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TABLAS\Formatos\"/>
    </mc:Choice>
  </mc:AlternateContent>
  <xr:revisionPtr revIDLastSave="0" documentId="8_{4AF3CF8E-3A41-44D1-8010-5BA8192F8F04}" xr6:coauthVersionLast="47" xr6:coauthVersionMax="47" xr10:uidLastSave="{00000000-0000-0000-0000-000000000000}"/>
  <bookViews>
    <workbookView xWindow="0" yWindow="0" windowWidth="19200" windowHeight="15600" xr2:uid="{00000000-000D-0000-FFFF-FFFF00000000}"/>
  </bookViews>
  <sheets>
    <sheet name="PEDIDO A" sheetId="6" r:id="rId1"/>
    <sheet name="PEDIDO B" sheetId="10" state="hidden" r:id="rId2"/>
    <sheet name="PEDIDO C" sheetId="11" state="hidden" r:id="rId3"/>
    <sheet name="PEDIDO D" sheetId="12" r:id="rId4"/>
    <sheet name="GH PED 167 (2)" sheetId="7" state="hidden" r:id="rId5"/>
    <sheet name="GH PED TOTAL FIJOS (RESPALDO)" sheetId="4" state="hidden" r:id="rId6"/>
    <sheet name="REGISTRO PEDIDOS (RESPALDO)" sheetId="2" state="hidden" r:id="rId7"/>
    <sheet name="GENERADOR FIJOS TORRE (AL)" sheetId="3" state="hidden" r:id="rId8"/>
  </sheets>
  <definedNames>
    <definedName name="_xlnm._FilterDatabase" localSheetId="4" hidden="1">'GH PED 167 (2)'!$B$29:$P$67</definedName>
    <definedName name="_xlnm._FilterDatabase" localSheetId="5" hidden="1">'GH PED TOTAL FIJOS (RESPALDO)'!$B$29:$P$65</definedName>
    <definedName name="_xlnm._FilterDatabase" localSheetId="0" hidden="1">'PEDIDO A'!$B$32:$P$55</definedName>
    <definedName name="_xlnm._FilterDatabase" localSheetId="2" hidden="1">'PEDIDO C'!$B$29:$Q$32</definedName>
    <definedName name="_xlnm._FilterDatabase" localSheetId="3" hidden="1">'PEDIDO D'!$B$29:$P$32</definedName>
    <definedName name="_xlnm.Print_Area" localSheetId="7">'GENERADOR FIJOS TORRE (AL)'!#REF!</definedName>
    <definedName name="_xlnm.Print_Area" localSheetId="4">'GH PED 167 (2)'!$A$1:$P$83</definedName>
    <definedName name="_xlnm.Print_Area" localSheetId="0">'PEDIDO A'!$A$3:$Q$67</definedName>
    <definedName name="_xlnm.Print_Area" localSheetId="1">'PEDIDO B'!$B$2:$O$41</definedName>
    <definedName name="_xlnm.Print_Area" localSheetId="2">'PEDIDO C'!$A$1:$R$43</definedName>
    <definedName name="_xlnm.Print_Area" localSheetId="3">'PEDIDO D'!$A$1:$Q$43</definedName>
    <definedName name="_xlnm.Print_Area" localSheetId="6">'REGISTRO PEDIDOS (RESPALDO)'!$A$1:$AB$75</definedName>
    <definedName name="_xlnm.Print_Titles" localSheetId="4">'GH PED 167 (2)'!$28:$30</definedName>
    <definedName name="_xlnm.Print_Titles" localSheetId="0">'PEDIDO A'!$31:$32</definedName>
    <definedName name="_xlnm.Print_Titles" localSheetId="1">'PEDIDO B'!$26:$27</definedName>
    <definedName name="Z_93154483_19F4_4605_AF85_6D94EC75B5F6_.wvu.PrintArea" localSheetId="7">'GENERADOR FIJOS TORRE (AL)'!#REF!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KqqGKvN6oB/tiIBkEg8elSLZaJbNL6PwOaKdL2wGqls="/>
    </ext>
  </extLst>
</workbook>
</file>

<file path=xl/calcChain.xml><?xml version="1.0" encoding="utf-8"?>
<calcChain xmlns="http://schemas.openxmlformats.org/spreadsheetml/2006/main">
  <c r="K2" i="6" l="1"/>
  <c r="J2" i="6"/>
  <c r="I2" i="6"/>
  <c r="H2" i="6"/>
  <c r="G2" i="6"/>
  <c r="F2" i="6"/>
  <c r="E2" i="6"/>
  <c r="D2" i="6"/>
  <c r="B2" i="6"/>
  <c r="A2" i="6"/>
  <c r="P36" i="12" l="1"/>
  <c r="P37" i="12"/>
  <c r="P38" i="12"/>
  <c r="P39" i="12"/>
  <c r="P40" i="12"/>
  <c r="P42" i="12"/>
  <c r="P31" i="12"/>
  <c r="P30" i="12"/>
  <c r="M30" i="12"/>
  <c r="O30" i="12"/>
  <c r="M31" i="12"/>
  <c r="O31" i="12"/>
  <c r="P34" i="12"/>
  <c r="O34" i="12"/>
  <c r="N30" i="12"/>
  <c r="N31" i="12"/>
  <c r="N34" i="12"/>
  <c r="M34" i="12"/>
  <c r="L34" i="12"/>
  <c r="R31" i="12"/>
  <c r="S31" i="12"/>
  <c r="T31" i="12"/>
  <c r="B31" i="12"/>
  <c r="R30" i="12"/>
  <c r="S30" i="12"/>
  <c r="T30" i="12"/>
  <c r="L28" i="12"/>
  <c r="Q36" i="11"/>
  <c r="Q38" i="11"/>
  <c r="Q39" i="11"/>
  <c r="Q40" i="11"/>
  <c r="K29" i="10"/>
  <c r="L29" i="10"/>
  <c r="M29" i="10"/>
  <c r="O29" i="10"/>
  <c r="L28" i="11"/>
  <c r="M30" i="11"/>
  <c r="Q30" i="11"/>
  <c r="B31" i="11"/>
  <c r="M31" i="11"/>
  <c r="Q31" i="11"/>
  <c r="Q34" i="11"/>
  <c r="L34" i="11"/>
  <c r="N31" i="11"/>
  <c r="S31" i="11"/>
  <c r="T31" i="11"/>
  <c r="U31" i="11"/>
  <c r="O31" i="11"/>
  <c r="N30" i="11"/>
  <c r="M34" i="11"/>
  <c r="O30" i="11"/>
  <c r="O34" i="11"/>
  <c r="N34" i="11"/>
  <c r="S30" i="11"/>
  <c r="T30" i="11"/>
  <c r="U30" i="11"/>
  <c r="M38" i="6"/>
  <c r="N38" i="6" s="1"/>
  <c r="M37" i="6"/>
  <c r="O37" i="6" s="1"/>
  <c r="M36" i="6"/>
  <c r="N36" i="6" s="1"/>
  <c r="M35" i="6"/>
  <c r="O35" i="6" s="1"/>
  <c r="M34" i="6"/>
  <c r="O34" i="6" s="1"/>
  <c r="N35" i="6"/>
  <c r="R35" i="6" s="1"/>
  <c r="S35" i="6" s="1"/>
  <c r="T35" i="6" s="1"/>
  <c r="O28" i="10"/>
  <c r="K28" i="10"/>
  <c r="L28" i="10"/>
  <c r="M28" i="10"/>
  <c r="B34" i="6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L69" i="7"/>
  <c r="M66" i="7"/>
  <c r="O66" i="7"/>
  <c r="M65" i="7"/>
  <c r="O65" i="7"/>
  <c r="M64" i="7"/>
  <c r="N64" i="7"/>
  <c r="M63" i="7"/>
  <c r="N63" i="7"/>
  <c r="M62" i="7"/>
  <c r="N62" i="7"/>
  <c r="M61" i="7"/>
  <c r="N61" i="7"/>
  <c r="M60" i="7"/>
  <c r="O60" i="7"/>
  <c r="M59" i="7"/>
  <c r="O59" i="7"/>
  <c r="M58" i="7"/>
  <c r="O58" i="7"/>
  <c r="M57" i="7"/>
  <c r="O57" i="7"/>
  <c r="M56" i="7"/>
  <c r="O56" i="7"/>
  <c r="M55" i="7"/>
  <c r="O55" i="7"/>
  <c r="M54" i="7"/>
  <c r="O54" i="7"/>
  <c r="M53" i="7"/>
  <c r="N53" i="7"/>
  <c r="M52" i="7"/>
  <c r="O52" i="7"/>
  <c r="M51" i="7"/>
  <c r="N51" i="7"/>
  <c r="M50" i="7"/>
  <c r="N50" i="7"/>
  <c r="M49" i="7"/>
  <c r="O49" i="7"/>
  <c r="M48" i="7"/>
  <c r="O48" i="7"/>
  <c r="M47" i="7"/>
  <c r="O47" i="7"/>
  <c r="M46" i="7"/>
  <c r="N46" i="7"/>
  <c r="M45" i="7"/>
  <c r="O45" i="7"/>
  <c r="M44" i="7"/>
  <c r="O44" i="7"/>
  <c r="M43" i="7"/>
  <c r="N43" i="7"/>
  <c r="M42" i="7"/>
  <c r="N42" i="7"/>
  <c r="M41" i="7"/>
  <c r="O41" i="7"/>
  <c r="M40" i="7"/>
  <c r="N40" i="7"/>
  <c r="M39" i="7"/>
  <c r="O39" i="7"/>
  <c r="M38" i="7"/>
  <c r="O38" i="7"/>
  <c r="M37" i="7"/>
  <c r="O37" i="7"/>
  <c r="M36" i="7"/>
  <c r="O36" i="7"/>
  <c r="M35" i="7"/>
  <c r="O35" i="7"/>
  <c r="M34" i="7"/>
  <c r="O34" i="7"/>
  <c r="M33" i="7"/>
  <c r="O33" i="7"/>
  <c r="M32" i="7"/>
  <c r="O32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M31" i="7"/>
  <c r="O31" i="7"/>
  <c r="L28" i="7"/>
  <c r="O50" i="7"/>
  <c r="O51" i="7"/>
  <c r="P51" i="7"/>
  <c r="O63" i="7"/>
  <c r="N57" i="7"/>
  <c r="P57" i="7"/>
  <c r="O62" i="7"/>
  <c r="P63" i="7"/>
  <c r="O61" i="7"/>
  <c r="P61" i="7"/>
  <c r="O46" i="7"/>
  <c r="P46" i="7"/>
  <c r="N47" i="7"/>
  <c r="P47" i="7"/>
  <c r="O40" i="7"/>
  <c r="P40" i="7"/>
  <c r="R62" i="7"/>
  <c r="S62" i="7"/>
  <c r="T62" i="7"/>
  <c r="P62" i="7"/>
  <c r="P50" i="7"/>
  <c r="R50" i="7"/>
  <c r="S50" i="7"/>
  <c r="T50" i="7"/>
  <c r="N31" i="7"/>
  <c r="N32" i="7"/>
  <c r="N33" i="7"/>
  <c r="N34" i="7"/>
  <c r="N35" i="7"/>
  <c r="N36" i="7"/>
  <c r="N37" i="7"/>
  <c r="N38" i="7"/>
  <c r="N39" i="7"/>
  <c r="P39" i="7"/>
  <c r="O42" i="7"/>
  <c r="P42" i="7"/>
  <c r="O43" i="7"/>
  <c r="P43" i="7"/>
  <c r="N49" i="7"/>
  <c r="P49" i="7"/>
  <c r="O53" i="7"/>
  <c r="P53" i="7"/>
  <c r="N59" i="7"/>
  <c r="N60" i="7"/>
  <c r="P60" i="7"/>
  <c r="O64" i="7"/>
  <c r="P64" i="7"/>
  <c r="M69" i="7"/>
  <c r="N45" i="7"/>
  <c r="P45" i="7"/>
  <c r="N55" i="7"/>
  <c r="N56" i="7"/>
  <c r="P56" i="7"/>
  <c r="N41" i="7"/>
  <c r="P41" i="7"/>
  <c r="N52" i="7"/>
  <c r="P52" i="7"/>
  <c r="N48" i="7"/>
  <c r="P48" i="7"/>
  <c r="N58" i="7"/>
  <c r="P58" i="7"/>
  <c r="N44" i="7"/>
  <c r="P44" i="7"/>
  <c r="N54" i="7"/>
  <c r="P54" i="7"/>
  <c r="N65" i="7"/>
  <c r="N66" i="7"/>
  <c r="P66" i="7"/>
  <c r="O69" i="7"/>
  <c r="F80" i="7"/>
  <c r="F83" i="7"/>
  <c r="R42" i="7"/>
  <c r="S42" i="7"/>
  <c r="T42" i="7"/>
  <c r="R59" i="7"/>
  <c r="S59" i="7"/>
  <c r="T59" i="7"/>
  <c r="P59" i="7"/>
  <c r="R35" i="7"/>
  <c r="S35" i="7"/>
  <c r="T35" i="7"/>
  <c r="P35" i="7"/>
  <c r="R37" i="7"/>
  <c r="S37" i="7"/>
  <c r="T37" i="7"/>
  <c r="P37" i="7"/>
  <c r="R36" i="7"/>
  <c r="S36" i="7"/>
  <c r="T36" i="7"/>
  <c r="P36" i="7"/>
  <c r="P65" i="7"/>
  <c r="R65" i="7"/>
  <c r="S65" i="7"/>
  <c r="T65" i="7"/>
  <c r="R32" i="7"/>
  <c r="S32" i="7"/>
  <c r="T32" i="7"/>
  <c r="P32" i="7"/>
  <c r="R55" i="7"/>
  <c r="S55" i="7"/>
  <c r="T55" i="7"/>
  <c r="P55" i="7"/>
  <c r="R34" i="7"/>
  <c r="S34" i="7"/>
  <c r="T34" i="7"/>
  <c r="P34" i="7"/>
  <c r="R33" i="7"/>
  <c r="S33" i="7"/>
  <c r="T33" i="7"/>
  <c r="P33" i="7"/>
  <c r="R31" i="7"/>
  <c r="S31" i="7"/>
  <c r="T31" i="7"/>
  <c r="P31" i="7"/>
  <c r="N69" i="7"/>
  <c r="R38" i="7"/>
  <c r="S38" i="7"/>
  <c r="T38" i="7"/>
  <c r="P38" i="7"/>
  <c r="R46" i="7"/>
  <c r="S46" i="7"/>
  <c r="T46" i="7"/>
  <c r="P72" i="7"/>
  <c r="E80" i="7"/>
  <c r="E83" i="7"/>
  <c r="P69" i="7"/>
  <c r="P73" i="7"/>
  <c r="P74" i="7"/>
  <c r="P75" i="7"/>
  <c r="P76" i="7"/>
  <c r="P78" i="7"/>
  <c r="M44" i="6"/>
  <c r="O44" i="6" s="1"/>
  <c r="M41" i="6"/>
  <c r="N41" i="6" s="1"/>
  <c r="M50" i="6"/>
  <c r="O50" i="6" s="1"/>
  <c r="M51" i="6"/>
  <c r="O51" i="6" s="1"/>
  <c r="M52" i="6"/>
  <c r="O52" i="6" s="1"/>
  <c r="M53" i="6"/>
  <c r="O53" i="6" s="1"/>
  <c r="AA562" i="3"/>
  <c r="AA561" i="3"/>
  <c r="AA558" i="3"/>
  <c r="AA557" i="3"/>
  <c r="AA553" i="3"/>
  <c r="AA552" i="3"/>
  <c r="X552" i="3"/>
  <c r="AA551" i="3"/>
  <c r="AA547" i="3"/>
  <c r="AA546" i="3"/>
  <c r="AA545" i="3"/>
  <c r="X551" i="3"/>
  <c r="AA544" i="3"/>
  <c r="AA543" i="3"/>
  <c r="AA542" i="3"/>
  <c r="AA541" i="3"/>
  <c r="X553" i="3"/>
  <c r="AA540" i="3"/>
  <c r="AA535" i="3"/>
  <c r="AA534" i="3"/>
  <c r="AD524" i="3"/>
  <c r="AK521" i="3"/>
  <c r="X521" i="3"/>
  <c r="W521" i="3"/>
  <c r="S521" i="3"/>
  <c r="T521" i="3"/>
  <c r="AI520" i="3"/>
  <c r="AE520" i="3"/>
  <c r="X520" i="3"/>
  <c r="W520" i="3"/>
  <c r="Z520" i="3"/>
  <c r="T520" i="3"/>
  <c r="R520" i="3"/>
  <c r="AI519" i="3"/>
  <c r="AH519" i="3"/>
  <c r="AE519" i="3"/>
  <c r="Z519" i="3"/>
  <c r="AF519" i="3"/>
  <c r="W519" i="3"/>
  <c r="T519" i="3"/>
  <c r="R519" i="3"/>
  <c r="AI518" i="3"/>
  <c r="T518" i="3"/>
  <c r="R518" i="3"/>
  <c r="AI517" i="3"/>
  <c r="T517" i="3"/>
  <c r="R517" i="3"/>
  <c r="W516" i="3"/>
  <c r="X516" i="3"/>
  <c r="T516" i="3"/>
  <c r="R516" i="3"/>
  <c r="X515" i="3"/>
  <c r="W515" i="3"/>
  <c r="Z515" i="3"/>
  <c r="T515" i="3"/>
  <c r="AE515" i="3"/>
  <c r="R515" i="3"/>
  <c r="T514" i="3"/>
  <c r="R514" i="3"/>
  <c r="AI514" i="3"/>
  <c r="X513" i="3"/>
  <c r="T513" i="3"/>
  <c r="R513" i="3"/>
  <c r="W513" i="3"/>
  <c r="X512" i="3"/>
  <c r="W512" i="3"/>
  <c r="T512" i="3"/>
  <c r="R512" i="3"/>
  <c r="AJ511" i="3"/>
  <c r="AL511" i="3"/>
  <c r="AI511" i="3"/>
  <c r="AE511" i="3"/>
  <c r="Z511" i="3"/>
  <c r="AF511" i="3"/>
  <c r="AH511" i="3"/>
  <c r="X511" i="3"/>
  <c r="T511" i="3"/>
  <c r="R511" i="3"/>
  <c r="W511" i="3"/>
  <c r="AE510" i="3"/>
  <c r="T510" i="3"/>
  <c r="R510" i="3"/>
  <c r="T509" i="3"/>
  <c r="R509" i="3"/>
  <c r="AI508" i="3"/>
  <c r="W508" i="3"/>
  <c r="X508" i="3"/>
  <c r="T508" i="3"/>
  <c r="R508" i="3"/>
  <c r="W507" i="3"/>
  <c r="T507" i="3"/>
  <c r="R507" i="3"/>
  <c r="AE507" i="3"/>
  <c r="AE506" i="3"/>
  <c r="W506" i="3"/>
  <c r="X506" i="3"/>
  <c r="T506" i="3"/>
  <c r="R506" i="3"/>
  <c r="AI506" i="3"/>
  <c r="AI505" i="3"/>
  <c r="T505" i="3"/>
  <c r="R505" i="3"/>
  <c r="AI504" i="3"/>
  <c r="AE504" i="3"/>
  <c r="W504" i="3"/>
  <c r="T504" i="3"/>
  <c r="R504" i="3"/>
  <c r="AI503" i="3"/>
  <c r="W503" i="3"/>
  <c r="T503" i="3"/>
  <c r="R503" i="3"/>
  <c r="AI502" i="3"/>
  <c r="AE502" i="3"/>
  <c r="X502" i="3"/>
  <c r="T502" i="3"/>
  <c r="R502" i="3"/>
  <c r="W502" i="3"/>
  <c r="T501" i="3"/>
  <c r="R501" i="3"/>
  <c r="W500" i="3"/>
  <c r="X500" i="3"/>
  <c r="T500" i="3"/>
  <c r="R500" i="3"/>
  <c r="W499" i="3"/>
  <c r="Z499" i="3"/>
  <c r="T499" i="3"/>
  <c r="AE499" i="3"/>
  <c r="R499" i="3"/>
  <c r="AI499" i="3"/>
  <c r="AI498" i="3"/>
  <c r="W498" i="3"/>
  <c r="X498" i="3"/>
  <c r="T498" i="3"/>
  <c r="R498" i="3"/>
  <c r="X497" i="3"/>
  <c r="T497" i="3"/>
  <c r="R497" i="3"/>
  <c r="W497" i="3"/>
  <c r="AI496" i="3"/>
  <c r="X496" i="3"/>
  <c r="W496" i="3"/>
  <c r="T496" i="3"/>
  <c r="R496" i="3"/>
  <c r="X495" i="3"/>
  <c r="T495" i="3"/>
  <c r="R495" i="3"/>
  <c r="W495" i="3"/>
  <c r="AI494" i="3"/>
  <c r="AE494" i="3"/>
  <c r="W494" i="3"/>
  <c r="T494" i="3"/>
  <c r="R494" i="3"/>
  <c r="AI493" i="3"/>
  <c r="AE493" i="3"/>
  <c r="T493" i="3"/>
  <c r="R493" i="3"/>
  <c r="W492" i="3"/>
  <c r="X492" i="3"/>
  <c r="T492" i="3"/>
  <c r="R492" i="3"/>
  <c r="AI491" i="3"/>
  <c r="AE491" i="3"/>
  <c r="W491" i="3"/>
  <c r="X491" i="3"/>
  <c r="T491" i="3"/>
  <c r="R491" i="3"/>
  <c r="W490" i="3"/>
  <c r="X490" i="3"/>
  <c r="T490" i="3"/>
  <c r="R490" i="3"/>
  <c r="AI489" i="3"/>
  <c r="T489" i="3"/>
  <c r="R489" i="3"/>
  <c r="AI488" i="3"/>
  <c r="AE488" i="3"/>
  <c r="X488" i="3"/>
  <c r="W488" i="3"/>
  <c r="Z488" i="3"/>
  <c r="T488" i="3"/>
  <c r="R488" i="3"/>
  <c r="AE487" i="3"/>
  <c r="T487" i="3"/>
  <c r="R487" i="3"/>
  <c r="AI486" i="3"/>
  <c r="AK486" i="3"/>
  <c r="AG486" i="3"/>
  <c r="AF486" i="3"/>
  <c r="AH486" i="3"/>
  <c r="AE486" i="3"/>
  <c r="X486" i="3"/>
  <c r="T486" i="3"/>
  <c r="Z486" i="3"/>
  <c r="AJ486" i="3"/>
  <c r="R486" i="3"/>
  <c r="W486" i="3"/>
  <c r="AI485" i="3"/>
  <c r="AE485" i="3"/>
  <c r="X485" i="3"/>
  <c r="T485" i="3"/>
  <c r="R485" i="3"/>
  <c r="W485" i="3"/>
  <c r="AJ484" i="3"/>
  <c r="AL484" i="3"/>
  <c r="AF484" i="3"/>
  <c r="AE484" i="3"/>
  <c r="AG484" i="3"/>
  <c r="W484" i="3"/>
  <c r="X484" i="3"/>
  <c r="T484" i="3"/>
  <c r="Z484" i="3"/>
  <c r="R484" i="3"/>
  <c r="AI484" i="3"/>
  <c r="AE483" i="3"/>
  <c r="T483" i="3"/>
  <c r="R483" i="3"/>
  <c r="AI483" i="3"/>
  <c r="AI482" i="3"/>
  <c r="AE482" i="3"/>
  <c r="X482" i="3"/>
  <c r="T482" i="3"/>
  <c r="R482" i="3"/>
  <c r="W482" i="3"/>
  <c r="T481" i="3"/>
  <c r="R481" i="3"/>
  <c r="W480" i="3"/>
  <c r="T480" i="3"/>
  <c r="R480" i="3"/>
  <c r="T479" i="3"/>
  <c r="R479" i="3"/>
  <c r="T478" i="3"/>
  <c r="R478" i="3"/>
  <c r="T477" i="3"/>
  <c r="AI477" i="3"/>
  <c r="R477" i="3"/>
  <c r="AE476" i="3"/>
  <c r="W476" i="3"/>
  <c r="T476" i="3"/>
  <c r="Z476" i="3"/>
  <c r="AJ476" i="3"/>
  <c r="R476" i="3"/>
  <c r="X476" i="3"/>
  <c r="T475" i="3"/>
  <c r="R475" i="3"/>
  <c r="T474" i="3"/>
  <c r="R474" i="3"/>
  <c r="T473" i="3"/>
  <c r="R473" i="3"/>
  <c r="AI472" i="3"/>
  <c r="AE472" i="3"/>
  <c r="Z472" i="3"/>
  <c r="W472" i="3"/>
  <c r="X472" i="3"/>
  <c r="T472" i="3"/>
  <c r="R472" i="3"/>
  <c r="AI471" i="3"/>
  <c r="T471" i="3"/>
  <c r="R471" i="3"/>
  <c r="T470" i="3"/>
  <c r="R470" i="3"/>
  <c r="T469" i="3"/>
  <c r="R469" i="3"/>
  <c r="AE468" i="3"/>
  <c r="Z468" i="3"/>
  <c r="W468" i="3"/>
  <c r="X468" i="3"/>
  <c r="S468" i="3"/>
  <c r="T468" i="3"/>
  <c r="AK468" i="3"/>
  <c r="AI467" i="3"/>
  <c r="W467" i="3"/>
  <c r="T467" i="3"/>
  <c r="R467" i="3"/>
  <c r="AE467" i="3"/>
  <c r="T466" i="3"/>
  <c r="R466" i="3"/>
  <c r="T465" i="3"/>
  <c r="R465" i="3"/>
  <c r="AJ464" i="3"/>
  <c r="AL464" i="3"/>
  <c r="AF464" i="3"/>
  <c r="AE464" i="3"/>
  <c r="AG464" i="3"/>
  <c r="X464" i="3"/>
  <c r="W464" i="3"/>
  <c r="Z464" i="3"/>
  <c r="T464" i="3"/>
  <c r="R464" i="3"/>
  <c r="AI464" i="3"/>
  <c r="AI463" i="3"/>
  <c r="W463" i="3"/>
  <c r="X463" i="3"/>
  <c r="T463" i="3"/>
  <c r="AE463" i="3"/>
  <c r="R463" i="3"/>
  <c r="T462" i="3"/>
  <c r="R462" i="3"/>
  <c r="T461" i="3"/>
  <c r="R461" i="3"/>
  <c r="AE460" i="3"/>
  <c r="Z460" i="3"/>
  <c r="X460" i="3"/>
  <c r="W460" i="3"/>
  <c r="T460" i="3"/>
  <c r="R460" i="3"/>
  <c r="AI460" i="3"/>
  <c r="AJ459" i="3"/>
  <c r="AL459" i="3"/>
  <c r="AI459" i="3"/>
  <c r="W459" i="3"/>
  <c r="T459" i="3"/>
  <c r="R459" i="3"/>
  <c r="Z459" i="3"/>
  <c r="AF459" i="3"/>
  <c r="T458" i="3"/>
  <c r="R458" i="3"/>
  <c r="T457" i="3"/>
  <c r="R457" i="3"/>
  <c r="AJ456" i="3"/>
  <c r="AL456" i="3"/>
  <c r="AF456" i="3"/>
  <c r="AE456" i="3"/>
  <c r="AG456" i="3"/>
  <c r="X456" i="3"/>
  <c r="W456" i="3"/>
  <c r="Z456" i="3"/>
  <c r="T456" i="3"/>
  <c r="R456" i="3"/>
  <c r="AI456" i="3"/>
  <c r="AK456" i="3"/>
  <c r="AI455" i="3"/>
  <c r="W455" i="3"/>
  <c r="X455" i="3"/>
  <c r="T455" i="3"/>
  <c r="AE455" i="3"/>
  <c r="R455" i="3"/>
  <c r="T454" i="3"/>
  <c r="R454" i="3"/>
  <c r="AE453" i="3"/>
  <c r="W453" i="3"/>
  <c r="Z453" i="3"/>
  <c r="T453" i="3"/>
  <c r="R453" i="3"/>
  <c r="AI453" i="3"/>
  <c r="T452" i="3"/>
  <c r="R452" i="3"/>
  <c r="AE452" i="3"/>
  <c r="W451" i="3"/>
  <c r="X451" i="3"/>
  <c r="T451" i="3"/>
  <c r="Z451" i="3"/>
  <c r="R451" i="3"/>
  <c r="T450" i="3"/>
  <c r="R450" i="3"/>
  <c r="AH449" i="3"/>
  <c r="Z449" i="3"/>
  <c r="AF449" i="3"/>
  <c r="W449" i="3"/>
  <c r="T449" i="3"/>
  <c r="AE449" i="3"/>
  <c r="R449" i="3"/>
  <c r="T448" i="3"/>
  <c r="R448" i="3"/>
  <c r="AI447" i="3"/>
  <c r="X447" i="3"/>
  <c r="T447" i="3"/>
  <c r="Z447" i="3"/>
  <c r="R447" i="3"/>
  <c r="W447" i="3"/>
  <c r="W446" i="3"/>
  <c r="X446" i="3"/>
  <c r="T446" i="3"/>
  <c r="R446" i="3"/>
  <c r="AI445" i="3"/>
  <c r="AE445" i="3"/>
  <c r="T445" i="3"/>
  <c r="R445" i="3"/>
  <c r="T444" i="3"/>
  <c r="R444" i="3"/>
  <c r="AE443" i="3"/>
  <c r="X443" i="3"/>
  <c r="W443" i="3"/>
  <c r="T443" i="3"/>
  <c r="R443" i="3"/>
  <c r="AI443" i="3"/>
  <c r="AF442" i="3"/>
  <c r="X442" i="3"/>
  <c r="W442" i="3"/>
  <c r="T442" i="3"/>
  <c r="Z442" i="3"/>
  <c r="AJ442" i="3"/>
  <c r="R442" i="3"/>
  <c r="T441" i="3"/>
  <c r="R441" i="3"/>
  <c r="AE440" i="3"/>
  <c r="T440" i="3"/>
  <c r="R440" i="3"/>
  <c r="T439" i="3"/>
  <c r="R439" i="3"/>
  <c r="T438" i="3"/>
  <c r="R438" i="3"/>
  <c r="AI438" i="3"/>
  <c r="AI437" i="3"/>
  <c r="T437" i="3"/>
  <c r="R437" i="3"/>
  <c r="AE436" i="3"/>
  <c r="T436" i="3"/>
  <c r="R436" i="3"/>
  <c r="AE435" i="3"/>
  <c r="Z435" i="3"/>
  <c r="AJ435" i="3"/>
  <c r="AL435" i="3"/>
  <c r="W435" i="3"/>
  <c r="X435" i="3"/>
  <c r="T435" i="3"/>
  <c r="R435" i="3"/>
  <c r="AI435" i="3"/>
  <c r="T434" i="3"/>
  <c r="R434" i="3"/>
  <c r="AE433" i="3"/>
  <c r="W433" i="3"/>
  <c r="Z433" i="3"/>
  <c r="T433" i="3"/>
  <c r="R433" i="3"/>
  <c r="T432" i="3"/>
  <c r="R432" i="3"/>
  <c r="AL431" i="3"/>
  <c r="AE431" i="3"/>
  <c r="Z431" i="3"/>
  <c r="AJ431" i="3"/>
  <c r="X431" i="3"/>
  <c r="T431" i="3"/>
  <c r="AI431" i="3"/>
  <c r="R431" i="3"/>
  <c r="W431" i="3"/>
  <c r="AI430" i="3"/>
  <c r="T430" i="3"/>
  <c r="R430" i="3"/>
  <c r="W429" i="3"/>
  <c r="X429" i="3"/>
  <c r="T429" i="3"/>
  <c r="AI429" i="3"/>
  <c r="R429" i="3"/>
  <c r="T428" i="3"/>
  <c r="AE428" i="3"/>
  <c r="R428" i="3"/>
  <c r="W428" i="3"/>
  <c r="X428" i="3"/>
  <c r="AI427" i="3"/>
  <c r="AE427" i="3"/>
  <c r="X427" i="3"/>
  <c r="T427" i="3"/>
  <c r="R427" i="3"/>
  <c r="W427" i="3"/>
  <c r="T426" i="3"/>
  <c r="AI426" i="3"/>
  <c r="R426" i="3"/>
  <c r="W426" i="3"/>
  <c r="X426" i="3"/>
  <c r="AE425" i="3"/>
  <c r="Z425" i="3"/>
  <c r="W425" i="3"/>
  <c r="X425" i="3"/>
  <c r="T425" i="3"/>
  <c r="AI425" i="3"/>
  <c r="R425" i="3"/>
  <c r="AI424" i="3"/>
  <c r="T424" i="3"/>
  <c r="R424" i="3"/>
  <c r="AE424" i="3"/>
  <c r="X423" i="3"/>
  <c r="T423" i="3"/>
  <c r="R423" i="3"/>
  <c r="W423" i="3"/>
  <c r="AE422" i="3"/>
  <c r="X422" i="3"/>
  <c r="T422" i="3"/>
  <c r="Z422" i="3"/>
  <c r="R422" i="3"/>
  <c r="W422" i="3"/>
  <c r="W421" i="3"/>
  <c r="X421" i="3"/>
  <c r="T421" i="3"/>
  <c r="AI421" i="3"/>
  <c r="R421" i="3"/>
  <c r="T420" i="3"/>
  <c r="AE420" i="3"/>
  <c r="R420" i="3"/>
  <c r="AI420" i="3"/>
  <c r="AI419" i="3"/>
  <c r="AE419" i="3"/>
  <c r="X419" i="3"/>
  <c r="T419" i="3"/>
  <c r="R419" i="3"/>
  <c r="W419" i="3"/>
  <c r="T418" i="3"/>
  <c r="AI418" i="3"/>
  <c r="R418" i="3"/>
  <c r="W418" i="3"/>
  <c r="X418" i="3"/>
  <c r="AE417" i="3"/>
  <c r="Z417" i="3"/>
  <c r="W417" i="3"/>
  <c r="X417" i="3"/>
  <c r="T417" i="3"/>
  <c r="AI417" i="3"/>
  <c r="R417" i="3"/>
  <c r="AI416" i="3"/>
  <c r="T416" i="3"/>
  <c r="R416" i="3"/>
  <c r="AE416" i="3"/>
  <c r="X415" i="3"/>
  <c r="W415" i="3"/>
  <c r="S415" i="3"/>
  <c r="T415" i="3"/>
  <c r="AI414" i="3"/>
  <c r="AF414" i="3"/>
  <c r="AE414" i="3"/>
  <c r="Z414" i="3"/>
  <c r="AJ414" i="3"/>
  <c r="AL414" i="3"/>
  <c r="T414" i="3"/>
  <c r="R414" i="3"/>
  <c r="W414" i="3"/>
  <c r="X414" i="3"/>
  <c r="X413" i="3"/>
  <c r="W413" i="3"/>
  <c r="T413" i="3"/>
  <c r="AI413" i="3"/>
  <c r="R413" i="3"/>
  <c r="AI412" i="3"/>
  <c r="AE412" i="3"/>
  <c r="W412" i="3"/>
  <c r="X412" i="3"/>
  <c r="T412" i="3"/>
  <c r="R412" i="3"/>
  <c r="T411" i="3"/>
  <c r="R411" i="3"/>
  <c r="AI410" i="3"/>
  <c r="Z410" i="3"/>
  <c r="X410" i="3"/>
  <c r="T410" i="3"/>
  <c r="AE410" i="3"/>
  <c r="R410" i="3"/>
  <c r="W410" i="3"/>
  <c r="AI409" i="3"/>
  <c r="AE409" i="3"/>
  <c r="X409" i="3"/>
  <c r="W409" i="3"/>
  <c r="Z409" i="3"/>
  <c r="T409" i="3"/>
  <c r="R409" i="3"/>
  <c r="W408" i="3"/>
  <c r="T408" i="3"/>
  <c r="R408" i="3"/>
  <c r="T407" i="3"/>
  <c r="R407" i="3"/>
  <c r="AI406" i="3"/>
  <c r="AK406" i="3"/>
  <c r="AF406" i="3"/>
  <c r="AE406" i="3"/>
  <c r="Z406" i="3"/>
  <c r="AJ406" i="3"/>
  <c r="T406" i="3"/>
  <c r="R406" i="3"/>
  <c r="W406" i="3"/>
  <c r="X406" i="3"/>
  <c r="AI405" i="3"/>
  <c r="X405" i="3"/>
  <c r="W405" i="3"/>
  <c r="T405" i="3"/>
  <c r="R405" i="3"/>
  <c r="AI404" i="3"/>
  <c r="AE404" i="3"/>
  <c r="W404" i="3"/>
  <c r="X404" i="3"/>
  <c r="T404" i="3"/>
  <c r="R404" i="3"/>
  <c r="T403" i="3"/>
  <c r="R403" i="3"/>
  <c r="AI402" i="3"/>
  <c r="X402" i="3"/>
  <c r="T402" i="3"/>
  <c r="AE402" i="3"/>
  <c r="R402" i="3"/>
  <c r="W402" i="3"/>
  <c r="AI401" i="3"/>
  <c r="AE401" i="3"/>
  <c r="X401" i="3"/>
  <c r="W401" i="3"/>
  <c r="Z401" i="3"/>
  <c r="T401" i="3"/>
  <c r="R401" i="3"/>
  <c r="W400" i="3"/>
  <c r="T400" i="3"/>
  <c r="R400" i="3"/>
  <c r="T399" i="3"/>
  <c r="R399" i="3"/>
  <c r="AI398" i="3"/>
  <c r="AK398" i="3"/>
  <c r="AF398" i="3"/>
  <c r="AH398" i="3"/>
  <c r="Z398" i="3"/>
  <c r="AJ398" i="3"/>
  <c r="X398" i="3"/>
  <c r="W398" i="3"/>
  <c r="T398" i="3"/>
  <c r="AE398" i="3"/>
  <c r="R398" i="3"/>
  <c r="AI397" i="3"/>
  <c r="AE397" i="3"/>
  <c r="W397" i="3"/>
  <c r="X397" i="3"/>
  <c r="T397" i="3"/>
  <c r="R397" i="3"/>
  <c r="AI396" i="3"/>
  <c r="AE396" i="3"/>
  <c r="T396" i="3"/>
  <c r="R396" i="3"/>
  <c r="X395" i="3"/>
  <c r="T395" i="3"/>
  <c r="R395" i="3"/>
  <c r="W395" i="3"/>
  <c r="Z395" i="3"/>
  <c r="T394" i="3"/>
  <c r="R394" i="3"/>
  <c r="T393" i="3"/>
  <c r="R393" i="3"/>
  <c r="AJ392" i="3"/>
  <c r="AL392" i="3"/>
  <c r="AF392" i="3"/>
  <c r="AH392" i="3"/>
  <c r="AE392" i="3"/>
  <c r="AG392" i="3"/>
  <c r="Z392" i="3"/>
  <c r="W392" i="3"/>
  <c r="X392" i="3"/>
  <c r="T392" i="3"/>
  <c r="AI392" i="3"/>
  <c r="R392" i="3"/>
  <c r="T391" i="3"/>
  <c r="R391" i="3"/>
  <c r="W390" i="3"/>
  <c r="T390" i="3"/>
  <c r="AI390" i="3"/>
  <c r="R390" i="3"/>
  <c r="T389" i="3"/>
  <c r="R389" i="3"/>
  <c r="AE388" i="3"/>
  <c r="W388" i="3"/>
  <c r="X388" i="3"/>
  <c r="T388" i="3"/>
  <c r="AI388" i="3"/>
  <c r="R388" i="3"/>
  <c r="T387" i="3"/>
  <c r="R387" i="3"/>
  <c r="AI386" i="3"/>
  <c r="T386" i="3"/>
  <c r="R386" i="3"/>
  <c r="T385" i="3"/>
  <c r="R385" i="3"/>
  <c r="Z384" i="3"/>
  <c r="W384" i="3"/>
  <c r="X384" i="3"/>
  <c r="T384" i="3"/>
  <c r="AI384" i="3"/>
  <c r="R384" i="3"/>
  <c r="AE383" i="3"/>
  <c r="W383" i="3"/>
  <c r="Z383" i="3"/>
  <c r="T383" i="3"/>
  <c r="R383" i="3"/>
  <c r="AI383" i="3"/>
  <c r="AE382" i="3"/>
  <c r="T382" i="3"/>
  <c r="R382" i="3"/>
  <c r="W382" i="3"/>
  <c r="X381" i="3"/>
  <c r="W381" i="3"/>
  <c r="T381" i="3"/>
  <c r="AI381" i="3"/>
  <c r="R381" i="3"/>
  <c r="AE381" i="3"/>
  <c r="AI380" i="3"/>
  <c r="T380" i="3"/>
  <c r="R380" i="3"/>
  <c r="AE380" i="3"/>
  <c r="AE379" i="3"/>
  <c r="W379" i="3"/>
  <c r="Z379" i="3"/>
  <c r="T379" i="3"/>
  <c r="R379" i="3"/>
  <c r="X379" i="3"/>
  <c r="AE378" i="3"/>
  <c r="T378" i="3"/>
  <c r="R378" i="3"/>
  <c r="W378" i="3"/>
  <c r="X377" i="3"/>
  <c r="W377" i="3"/>
  <c r="T377" i="3"/>
  <c r="AI377" i="3"/>
  <c r="R377" i="3"/>
  <c r="AE377" i="3"/>
  <c r="T376" i="3"/>
  <c r="R376" i="3"/>
  <c r="AE375" i="3"/>
  <c r="W375" i="3"/>
  <c r="Z375" i="3"/>
  <c r="T375" i="3"/>
  <c r="R375" i="3"/>
  <c r="X375" i="3"/>
  <c r="AE374" i="3"/>
  <c r="T374" i="3"/>
  <c r="R374" i="3"/>
  <c r="W374" i="3"/>
  <c r="X373" i="3"/>
  <c r="W373" i="3"/>
  <c r="T373" i="3"/>
  <c r="AI373" i="3"/>
  <c r="R373" i="3"/>
  <c r="AE373" i="3"/>
  <c r="AI372" i="3"/>
  <c r="T372" i="3"/>
  <c r="R372" i="3"/>
  <c r="AE371" i="3"/>
  <c r="W371" i="3"/>
  <c r="Z371" i="3"/>
  <c r="T371" i="3"/>
  <c r="R371" i="3"/>
  <c r="X371" i="3"/>
  <c r="AE370" i="3"/>
  <c r="T370" i="3"/>
  <c r="R370" i="3"/>
  <c r="X369" i="3"/>
  <c r="W369" i="3"/>
  <c r="T369" i="3"/>
  <c r="AI369" i="3"/>
  <c r="R369" i="3"/>
  <c r="AE369" i="3"/>
  <c r="AI368" i="3"/>
  <c r="T368" i="3"/>
  <c r="R368" i="3"/>
  <c r="AE368" i="3"/>
  <c r="AJ367" i="3"/>
  <c r="AG367" i="3"/>
  <c r="AF367" i="3"/>
  <c r="AH367" i="3"/>
  <c r="AE367" i="3"/>
  <c r="Z367" i="3"/>
  <c r="W367" i="3"/>
  <c r="T367" i="3"/>
  <c r="R367" i="3"/>
  <c r="X367" i="3"/>
  <c r="AE366" i="3"/>
  <c r="T366" i="3"/>
  <c r="R366" i="3"/>
  <c r="X365" i="3"/>
  <c r="W365" i="3"/>
  <c r="T365" i="3"/>
  <c r="AI365" i="3"/>
  <c r="R365" i="3"/>
  <c r="AE365" i="3"/>
  <c r="T364" i="3"/>
  <c r="R364" i="3"/>
  <c r="AE363" i="3"/>
  <c r="W363" i="3"/>
  <c r="Z363" i="3"/>
  <c r="T363" i="3"/>
  <c r="R363" i="3"/>
  <c r="X362" i="3"/>
  <c r="W362" i="3"/>
  <c r="S362" i="3"/>
  <c r="T362" i="3"/>
  <c r="AE362" i="3"/>
  <c r="X361" i="3"/>
  <c r="W361" i="3"/>
  <c r="T361" i="3"/>
  <c r="R361" i="3"/>
  <c r="AI360" i="3"/>
  <c r="T360" i="3"/>
  <c r="R360" i="3"/>
  <c r="AE359" i="3"/>
  <c r="W359" i="3"/>
  <c r="T359" i="3"/>
  <c r="R359" i="3"/>
  <c r="AI359" i="3"/>
  <c r="AE358" i="3"/>
  <c r="T358" i="3"/>
  <c r="R358" i="3"/>
  <c r="AF357" i="3"/>
  <c r="X357" i="3"/>
  <c r="W357" i="3"/>
  <c r="T357" i="3"/>
  <c r="Z357" i="3"/>
  <c r="AJ357" i="3"/>
  <c r="R357" i="3"/>
  <c r="T356" i="3"/>
  <c r="AI356" i="3"/>
  <c r="R356" i="3"/>
  <c r="AE355" i="3"/>
  <c r="W355" i="3"/>
  <c r="T355" i="3"/>
  <c r="R355" i="3"/>
  <c r="AI355" i="3"/>
  <c r="T354" i="3"/>
  <c r="R354" i="3"/>
  <c r="AI353" i="3"/>
  <c r="X353" i="3"/>
  <c r="W353" i="3"/>
  <c r="T353" i="3"/>
  <c r="R353" i="3"/>
  <c r="AI352" i="3"/>
  <c r="T352" i="3"/>
  <c r="R352" i="3"/>
  <c r="AE352" i="3"/>
  <c r="AG351" i="3"/>
  <c r="AE351" i="3"/>
  <c r="W351" i="3"/>
  <c r="Z351" i="3"/>
  <c r="AF351" i="3"/>
  <c r="T351" i="3"/>
  <c r="R351" i="3"/>
  <c r="AE350" i="3"/>
  <c r="T350" i="3"/>
  <c r="R350" i="3"/>
  <c r="X349" i="3"/>
  <c r="W349" i="3"/>
  <c r="T349" i="3"/>
  <c r="Z349" i="3"/>
  <c r="AJ349" i="3"/>
  <c r="R349" i="3"/>
  <c r="T348" i="3"/>
  <c r="AI348" i="3"/>
  <c r="R348" i="3"/>
  <c r="AE348" i="3"/>
  <c r="AJ347" i="3"/>
  <c r="AG347" i="3"/>
  <c r="AE347" i="3"/>
  <c r="W347" i="3"/>
  <c r="Z347" i="3"/>
  <c r="AF347" i="3"/>
  <c r="AH347" i="3"/>
  <c r="T347" i="3"/>
  <c r="R347" i="3"/>
  <c r="X347" i="3"/>
  <c r="T346" i="3"/>
  <c r="R346" i="3"/>
  <c r="AI345" i="3"/>
  <c r="W345" i="3"/>
  <c r="X345" i="3"/>
  <c r="T345" i="3"/>
  <c r="R345" i="3"/>
  <c r="AE345" i="3"/>
  <c r="AI344" i="3"/>
  <c r="T344" i="3"/>
  <c r="R344" i="3"/>
  <c r="AJ343" i="3"/>
  <c r="AF343" i="3"/>
  <c r="AH343" i="3"/>
  <c r="AE343" i="3"/>
  <c r="W343" i="3"/>
  <c r="Z343" i="3"/>
  <c r="T343" i="3"/>
  <c r="R343" i="3"/>
  <c r="T342" i="3"/>
  <c r="R342" i="3"/>
  <c r="T341" i="3"/>
  <c r="R341" i="3"/>
  <c r="T340" i="3"/>
  <c r="R340" i="3"/>
  <c r="AJ339" i="3"/>
  <c r="AE339" i="3"/>
  <c r="Z339" i="3"/>
  <c r="AF339" i="3"/>
  <c r="AH339" i="3"/>
  <c r="W339" i="3"/>
  <c r="T339" i="3"/>
  <c r="R339" i="3"/>
  <c r="AE338" i="3"/>
  <c r="W338" i="3"/>
  <c r="Z338" i="3"/>
  <c r="T338" i="3"/>
  <c r="R338" i="3"/>
  <c r="AI338" i="3"/>
  <c r="AI337" i="3"/>
  <c r="T337" i="3"/>
  <c r="R337" i="3"/>
  <c r="AE337" i="3"/>
  <c r="W336" i="3"/>
  <c r="T336" i="3"/>
  <c r="R336" i="3"/>
  <c r="AE336" i="3"/>
  <c r="T335" i="3"/>
  <c r="R335" i="3"/>
  <c r="AE334" i="3"/>
  <c r="T334" i="3"/>
  <c r="R334" i="3"/>
  <c r="W334" i="3"/>
  <c r="Z333" i="3"/>
  <c r="X333" i="3"/>
  <c r="W333" i="3"/>
  <c r="T333" i="3"/>
  <c r="AI333" i="3"/>
  <c r="R333" i="3"/>
  <c r="W332" i="3"/>
  <c r="T332" i="3"/>
  <c r="AI332" i="3"/>
  <c r="R332" i="3"/>
  <c r="AE332" i="3"/>
  <c r="T331" i="3"/>
  <c r="R331" i="3"/>
  <c r="AE330" i="3"/>
  <c r="T330" i="3"/>
  <c r="R330" i="3"/>
  <c r="W330" i="3"/>
  <c r="Z329" i="3"/>
  <c r="X329" i="3"/>
  <c r="W329" i="3"/>
  <c r="T329" i="3"/>
  <c r="AI329" i="3"/>
  <c r="R329" i="3"/>
  <c r="AE329" i="3"/>
  <c r="W328" i="3"/>
  <c r="T328" i="3"/>
  <c r="AI328" i="3"/>
  <c r="R328" i="3"/>
  <c r="AE328" i="3"/>
  <c r="T327" i="3"/>
  <c r="R327" i="3"/>
  <c r="AE326" i="3"/>
  <c r="T326" i="3"/>
  <c r="R326" i="3"/>
  <c r="W326" i="3"/>
  <c r="Z325" i="3"/>
  <c r="X325" i="3"/>
  <c r="W325" i="3"/>
  <c r="T325" i="3"/>
  <c r="AI325" i="3"/>
  <c r="R325" i="3"/>
  <c r="AE325" i="3"/>
  <c r="W324" i="3"/>
  <c r="T324" i="3"/>
  <c r="AI324" i="3"/>
  <c r="R324" i="3"/>
  <c r="AE324" i="3"/>
  <c r="T323" i="3"/>
  <c r="R323" i="3"/>
  <c r="AE322" i="3"/>
  <c r="T322" i="3"/>
  <c r="R322" i="3"/>
  <c r="W322" i="3"/>
  <c r="Z321" i="3"/>
  <c r="X321" i="3"/>
  <c r="W321" i="3"/>
  <c r="T321" i="3"/>
  <c r="AI321" i="3"/>
  <c r="R321" i="3"/>
  <c r="AE321" i="3"/>
  <c r="W320" i="3"/>
  <c r="T320" i="3"/>
  <c r="AI320" i="3"/>
  <c r="R320" i="3"/>
  <c r="AE320" i="3"/>
  <c r="T319" i="3"/>
  <c r="R319" i="3"/>
  <c r="AE318" i="3"/>
  <c r="T318" i="3"/>
  <c r="R318" i="3"/>
  <c r="W318" i="3"/>
  <c r="Z317" i="3"/>
  <c r="X317" i="3"/>
  <c r="W317" i="3"/>
  <c r="T317" i="3"/>
  <c r="AI317" i="3"/>
  <c r="R317" i="3"/>
  <c r="AE317" i="3"/>
  <c r="W316" i="3"/>
  <c r="T316" i="3"/>
  <c r="AI316" i="3"/>
  <c r="R316" i="3"/>
  <c r="AE316" i="3"/>
  <c r="T315" i="3"/>
  <c r="R315" i="3"/>
  <c r="AF314" i="3"/>
  <c r="AH314" i="3"/>
  <c r="AE314" i="3"/>
  <c r="Z314" i="3"/>
  <c r="AJ314" i="3"/>
  <c r="T314" i="3"/>
  <c r="R314" i="3"/>
  <c r="W314" i="3"/>
  <c r="X314" i="3"/>
  <c r="Z313" i="3"/>
  <c r="X313" i="3"/>
  <c r="W313" i="3"/>
  <c r="T313" i="3"/>
  <c r="AI313" i="3"/>
  <c r="R313" i="3"/>
  <c r="AE313" i="3"/>
  <c r="W312" i="3"/>
  <c r="T312" i="3"/>
  <c r="AI312" i="3"/>
  <c r="R312" i="3"/>
  <c r="AE312" i="3"/>
  <c r="T311" i="3"/>
  <c r="R311" i="3"/>
  <c r="AE310" i="3"/>
  <c r="T310" i="3"/>
  <c r="R310" i="3"/>
  <c r="W310" i="3"/>
  <c r="AK309" i="3"/>
  <c r="Z309" i="3"/>
  <c r="X309" i="3"/>
  <c r="W309" i="3"/>
  <c r="T309" i="3"/>
  <c r="AE309" i="3"/>
  <c r="S309" i="3"/>
  <c r="W308" i="3"/>
  <c r="T308" i="3"/>
  <c r="AI308" i="3"/>
  <c r="R308" i="3"/>
  <c r="AE308" i="3"/>
  <c r="T307" i="3"/>
  <c r="R307" i="3"/>
  <c r="AE306" i="3"/>
  <c r="T306" i="3"/>
  <c r="R306" i="3"/>
  <c r="W306" i="3"/>
  <c r="Z305" i="3"/>
  <c r="X305" i="3"/>
  <c r="W305" i="3"/>
  <c r="T305" i="3"/>
  <c r="AI305" i="3"/>
  <c r="R305" i="3"/>
  <c r="AE305" i="3"/>
  <c r="W304" i="3"/>
  <c r="T304" i="3"/>
  <c r="AI304" i="3"/>
  <c r="R304" i="3"/>
  <c r="AE304" i="3"/>
  <c r="T303" i="3"/>
  <c r="R303" i="3"/>
  <c r="AE302" i="3"/>
  <c r="T302" i="3"/>
  <c r="R302" i="3"/>
  <c r="W302" i="3"/>
  <c r="Z301" i="3"/>
  <c r="X301" i="3"/>
  <c r="W301" i="3"/>
  <c r="T301" i="3"/>
  <c r="AI301" i="3"/>
  <c r="R301" i="3"/>
  <c r="AE301" i="3"/>
  <c r="W300" i="3"/>
  <c r="T300" i="3"/>
  <c r="AI300" i="3"/>
  <c r="R300" i="3"/>
  <c r="AE300" i="3"/>
  <c r="T299" i="3"/>
  <c r="R299" i="3"/>
  <c r="AE298" i="3"/>
  <c r="T298" i="3"/>
  <c r="R298" i="3"/>
  <c r="W298" i="3"/>
  <c r="Z297" i="3"/>
  <c r="X297" i="3"/>
  <c r="W297" i="3"/>
  <c r="T297" i="3"/>
  <c r="AI297" i="3"/>
  <c r="R297" i="3"/>
  <c r="AE297" i="3"/>
  <c r="W296" i="3"/>
  <c r="T296" i="3"/>
  <c r="AI296" i="3"/>
  <c r="R296" i="3"/>
  <c r="AE296" i="3"/>
  <c r="T295" i="3"/>
  <c r="R295" i="3"/>
  <c r="AE294" i="3"/>
  <c r="T294" i="3"/>
  <c r="R294" i="3"/>
  <c r="W294" i="3"/>
  <c r="Z293" i="3"/>
  <c r="X293" i="3"/>
  <c r="W293" i="3"/>
  <c r="T293" i="3"/>
  <c r="AI293" i="3"/>
  <c r="R293" i="3"/>
  <c r="AE293" i="3"/>
  <c r="W292" i="3"/>
  <c r="T292" i="3"/>
  <c r="AI292" i="3"/>
  <c r="R292" i="3"/>
  <c r="AE292" i="3"/>
  <c r="T291" i="3"/>
  <c r="R291" i="3"/>
  <c r="AE290" i="3"/>
  <c r="T290" i="3"/>
  <c r="R290" i="3"/>
  <c r="W290" i="3"/>
  <c r="Z289" i="3"/>
  <c r="X289" i="3"/>
  <c r="W289" i="3"/>
  <c r="T289" i="3"/>
  <c r="AI289" i="3"/>
  <c r="R289" i="3"/>
  <c r="AE289" i="3"/>
  <c r="W288" i="3"/>
  <c r="T288" i="3"/>
  <c r="AI288" i="3"/>
  <c r="R288" i="3"/>
  <c r="AE288" i="3"/>
  <c r="T287" i="3"/>
  <c r="R287" i="3"/>
  <c r="AF286" i="3"/>
  <c r="AH286" i="3"/>
  <c r="AE286" i="3"/>
  <c r="Z286" i="3"/>
  <c r="AJ286" i="3"/>
  <c r="T286" i="3"/>
  <c r="R286" i="3"/>
  <c r="W286" i="3"/>
  <c r="X286" i="3"/>
  <c r="Z285" i="3"/>
  <c r="X285" i="3"/>
  <c r="W285" i="3"/>
  <c r="T285" i="3"/>
  <c r="AI285" i="3"/>
  <c r="R285" i="3"/>
  <c r="AE285" i="3"/>
  <c r="W284" i="3"/>
  <c r="T284" i="3"/>
  <c r="AI284" i="3"/>
  <c r="R284" i="3"/>
  <c r="AE284" i="3"/>
  <c r="T283" i="3"/>
  <c r="R283" i="3"/>
  <c r="AE282" i="3"/>
  <c r="T282" i="3"/>
  <c r="R282" i="3"/>
  <c r="W282" i="3"/>
  <c r="Z281" i="3"/>
  <c r="W281" i="3"/>
  <c r="X281" i="3"/>
  <c r="T281" i="3"/>
  <c r="AI281" i="3"/>
  <c r="R281" i="3"/>
  <c r="AE281" i="3"/>
  <c r="W280" i="3"/>
  <c r="T280" i="3"/>
  <c r="R280" i="3"/>
  <c r="T279" i="3"/>
  <c r="R279" i="3"/>
  <c r="AE278" i="3"/>
  <c r="T278" i="3"/>
  <c r="R278" i="3"/>
  <c r="W278" i="3"/>
  <c r="X277" i="3"/>
  <c r="W277" i="3"/>
  <c r="Z277" i="3"/>
  <c r="T277" i="3"/>
  <c r="AI277" i="3"/>
  <c r="R277" i="3"/>
  <c r="AE277" i="3"/>
  <c r="T276" i="3"/>
  <c r="R276" i="3"/>
  <c r="T275" i="3"/>
  <c r="R275" i="3"/>
  <c r="AE274" i="3"/>
  <c r="T274" i="3"/>
  <c r="R274" i="3"/>
  <c r="W274" i="3"/>
  <c r="Z274" i="3"/>
  <c r="W273" i="3"/>
  <c r="X273" i="3"/>
  <c r="T273" i="3"/>
  <c r="AI273" i="3"/>
  <c r="R273" i="3"/>
  <c r="T272" i="3"/>
  <c r="R272" i="3"/>
  <c r="T271" i="3"/>
  <c r="R271" i="3"/>
  <c r="AE270" i="3"/>
  <c r="T270" i="3"/>
  <c r="R270" i="3"/>
  <c r="W270" i="3"/>
  <c r="Z270" i="3"/>
  <c r="W269" i="3"/>
  <c r="X269" i="3"/>
  <c r="T269" i="3"/>
  <c r="AI269" i="3"/>
  <c r="R269" i="3"/>
  <c r="T268" i="3"/>
  <c r="R268" i="3"/>
  <c r="AE267" i="3"/>
  <c r="T267" i="3"/>
  <c r="R267" i="3"/>
  <c r="W267" i="3"/>
  <c r="Z267" i="3"/>
  <c r="AE266" i="3"/>
  <c r="T266" i="3"/>
  <c r="R266" i="3"/>
  <c r="AJ265" i="3"/>
  <c r="AL265" i="3"/>
  <c r="AF265" i="3"/>
  <c r="AH265" i="3"/>
  <c r="Z265" i="3"/>
  <c r="X265" i="3"/>
  <c r="W265" i="3"/>
  <c r="T265" i="3"/>
  <c r="AI265" i="3"/>
  <c r="AK265" i="3"/>
  <c r="R265" i="3"/>
  <c r="AE265" i="3"/>
  <c r="AI264" i="3"/>
  <c r="T264" i="3"/>
  <c r="R264" i="3"/>
  <c r="AE263" i="3"/>
  <c r="T263" i="3"/>
  <c r="R263" i="3"/>
  <c r="W263" i="3"/>
  <c r="Z263" i="3"/>
  <c r="AE262" i="3"/>
  <c r="T262" i="3"/>
  <c r="R262" i="3"/>
  <c r="AI262" i="3"/>
  <c r="T261" i="3"/>
  <c r="R261" i="3"/>
  <c r="W260" i="3"/>
  <c r="T260" i="3"/>
  <c r="Z260" i="3"/>
  <c r="R260" i="3"/>
  <c r="AI260" i="3"/>
  <c r="T259" i="3"/>
  <c r="R259" i="3"/>
  <c r="T258" i="3"/>
  <c r="R258" i="3"/>
  <c r="AI258" i="3"/>
  <c r="AI257" i="3"/>
  <c r="Z257" i="3"/>
  <c r="W257" i="3"/>
  <c r="X257" i="3"/>
  <c r="T257" i="3"/>
  <c r="R257" i="3"/>
  <c r="AE257" i="3"/>
  <c r="W256" i="3"/>
  <c r="X256" i="3"/>
  <c r="T256" i="3"/>
  <c r="S256" i="3"/>
  <c r="AE255" i="3"/>
  <c r="T255" i="3"/>
  <c r="R255" i="3"/>
  <c r="W255" i="3"/>
  <c r="Z255" i="3"/>
  <c r="AE254" i="3"/>
  <c r="T254" i="3"/>
  <c r="R254" i="3"/>
  <c r="AI254" i="3"/>
  <c r="T253" i="3"/>
  <c r="R253" i="3"/>
  <c r="W252" i="3"/>
  <c r="T252" i="3"/>
  <c r="R252" i="3"/>
  <c r="AI252" i="3"/>
  <c r="T251" i="3"/>
  <c r="R251" i="3"/>
  <c r="T250" i="3"/>
  <c r="R250" i="3"/>
  <c r="AI250" i="3"/>
  <c r="AI249" i="3"/>
  <c r="Z249" i="3"/>
  <c r="W249" i="3"/>
  <c r="X249" i="3"/>
  <c r="T249" i="3"/>
  <c r="R249" i="3"/>
  <c r="AE249" i="3"/>
  <c r="T248" i="3"/>
  <c r="R248" i="3"/>
  <c r="AI248" i="3"/>
  <c r="AE247" i="3"/>
  <c r="Z247" i="3"/>
  <c r="AJ247" i="3"/>
  <c r="T247" i="3"/>
  <c r="R247" i="3"/>
  <c r="W247" i="3"/>
  <c r="AE246" i="3"/>
  <c r="T246" i="3"/>
  <c r="R246" i="3"/>
  <c r="AI246" i="3"/>
  <c r="T245" i="3"/>
  <c r="R245" i="3"/>
  <c r="W244" i="3"/>
  <c r="T244" i="3"/>
  <c r="Z244" i="3"/>
  <c r="R244" i="3"/>
  <c r="AI244" i="3"/>
  <c r="T243" i="3"/>
  <c r="R243" i="3"/>
  <c r="T242" i="3"/>
  <c r="R242" i="3"/>
  <c r="AI242" i="3"/>
  <c r="AI241" i="3"/>
  <c r="Z241" i="3"/>
  <c r="W241" i="3"/>
  <c r="X241" i="3"/>
  <c r="T241" i="3"/>
  <c r="R241" i="3"/>
  <c r="AE241" i="3"/>
  <c r="AI240" i="3"/>
  <c r="T240" i="3"/>
  <c r="R240" i="3"/>
  <c r="W239" i="3"/>
  <c r="X239" i="3"/>
  <c r="T239" i="3"/>
  <c r="AE239" i="3"/>
  <c r="R239" i="3"/>
  <c r="AE238" i="3"/>
  <c r="T238" i="3"/>
  <c r="R238" i="3"/>
  <c r="AE237" i="3"/>
  <c r="X237" i="3"/>
  <c r="W237" i="3"/>
  <c r="T237" i="3"/>
  <c r="AI237" i="3"/>
  <c r="R237" i="3"/>
  <c r="AI236" i="3"/>
  <c r="T236" i="3"/>
  <c r="R236" i="3"/>
  <c r="AE236" i="3"/>
  <c r="W235" i="3"/>
  <c r="X235" i="3"/>
  <c r="T235" i="3"/>
  <c r="AE235" i="3"/>
  <c r="R235" i="3"/>
  <c r="AE234" i="3"/>
  <c r="T234" i="3"/>
  <c r="R234" i="3"/>
  <c r="AE233" i="3"/>
  <c r="X233" i="3"/>
  <c r="W233" i="3"/>
  <c r="T233" i="3"/>
  <c r="AI233" i="3"/>
  <c r="R233" i="3"/>
  <c r="Z233" i="3"/>
  <c r="T232" i="3"/>
  <c r="R232" i="3"/>
  <c r="AE232" i="3"/>
  <c r="W231" i="3"/>
  <c r="X231" i="3"/>
  <c r="T231" i="3"/>
  <c r="AE231" i="3"/>
  <c r="R231" i="3"/>
  <c r="AE230" i="3"/>
  <c r="T230" i="3"/>
  <c r="R230" i="3"/>
  <c r="AE229" i="3"/>
  <c r="X229" i="3"/>
  <c r="W229" i="3"/>
  <c r="T229" i="3"/>
  <c r="AI229" i="3"/>
  <c r="R229" i="3"/>
  <c r="AI228" i="3"/>
  <c r="T228" i="3"/>
  <c r="R228" i="3"/>
  <c r="AI227" i="3"/>
  <c r="W227" i="3"/>
  <c r="X227" i="3"/>
  <c r="T227" i="3"/>
  <c r="AE227" i="3"/>
  <c r="R227" i="3"/>
  <c r="Z227" i="3"/>
  <c r="AE226" i="3"/>
  <c r="T226" i="3"/>
  <c r="R226" i="3"/>
  <c r="AE225" i="3"/>
  <c r="X225" i="3"/>
  <c r="W225" i="3"/>
  <c r="T225" i="3"/>
  <c r="AI225" i="3"/>
  <c r="R225" i="3"/>
  <c r="T224" i="3"/>
  <c r="R224" i="3"/>
  <c r="W223" i="3"/>
  <c r="X223" i="3"/>
  <c r="T223" i="3"/>
  <c r="AI223" i="3"/>
  <c r="R223" i="3"/>
  <c r="AE222" i="3"/>
  <c r="T222" i="3"/>
  <c r="R222" i="3"/>
  <c r="AE221" i="3"/>
  <c r="X221" i="3"/>
  <c r="W221" i="3"/>
  <c r="T221" i="3"/>
  <c r="AI221" i="3"/>
  <c r="R221" i="3"/>
  <c r="AI220" i="3"/>
  <c r="T220" i="3"/>
  <c r="R220" i="3"/>
  <c r="AE220" i="3"/>
  <c r="AI219" i="3"/>
  <c r="W219" i="3"/>
  <c r="X219" i="3"/>
  <c r="T219" i="3"/>
  <c r="R219" i="3"/>
  <c r="AE218" i="3"/>
  <c r="T218" i="3"/>
  <c r="R218" i="3"/>
  <c r="AE217" i="3"/>
  <c r="X217" i="3"/>
  <c r="W217" i="3"/>
  <c r="T217" i="3"/>
  <c r="AI217" i="3"/>
  <c r="R217" i="3"/>
  <c r="T216" i="3"/>
  <c r="R216" i="3"/>
  <c r="W215" i="3"/>
  <c r="X215" i="3"/>
  <c r="T215" i="3"/>
  <c r="R215" i="3"/>
  <c r="T214" i="3"/>
  <c r="R214" i="3"/>
  <c r="AE213" i="3"/>
  <c r="X213" i="3"/>
  <c r="W213" i="3"/>
  <c r="T213" i="3"/>
  <c r="AI213" i="3"/>
  <c r="R213" i="3"/>
  <c r="AI212" i="3"/>
  <c r="T212" i="3"/>
  <c r="R212" i="3"/>
  <c r="AE212" i="3"/>
  <c r="W211" i="3"/>
  <c r="X211" i="3"/>
  <c r="T211" i="3"/>
  <c r="R211" i="3"/>
  <c r="AE210" i="3"/>
  <c r="T210" i="3"/>
  <c r="R210" i="3"/>
  <c r="AE209" i="3"/>
  <c r="X209" i="3"/>
  <c r="W209" i="3"/>
  <c r="T209" i="3"/>
  <c r="AI209" i="3"/>
  <c r="R209" i="3"/>
  <c r="T208" i="3"/>
  <c r="R208" i="3"/>
  <c r="AI207" i="3"/>
  <c r="W207" i="3"/>
  <c r="X207" i="3"/>
  <c r="T207" i="3"/>
  <c r="R207" i="3"/>
  <c r="AE206" i="3"/>
  <c r="T206" i="3"/>
  <c r="R206" i="3"/>
  <c r="AE205" i="3"/>
  <c r="X205" i="3"/>
  <c r="W205" i="3"/>
  <c r="T205" i="3"/>
  <c r="AI205" i="3"/>
  <c r="R205" i="3"/>
  <c r="AI204" i="3"/>
  <c r="T204" i="3"/>
  <c r="R204" i="3"/>
  <c r="AI203" i="3"/>
  <c r="W203" i="3"/>
  <c r="X203" i="3"/>
  <c r="T203" i="3"/>
  <c r="S203" i="3"/>
  <c r="Z202" i="3"/>
  <c r="T202" i="3"/>
  <c r="R202" i="3"/>
  <c r="AE202" i="3"/>
  <c r="AE201" i="3"/>
  <c r="X201" i="3"/>
  <c r="W201" i="3"/>
  <c r="T201" i="3"/>
  <c r="AI201" i="3"/>
  <c r="R201" i="3"/>
  <c r="AI200" i="3"/>
  <c r="T200" i="3"/>
  <c r="R200" i="3"/>
  <c r="AI199" i="3"/>
  <c r="W199" i="3"/>
  <c r="X199" i="3"/>
  <c r="T199" i="3"/>
  <c r="R199" i="3"/>
  <c r="T198" i="3"/>
  <c r="R198" i="3"/>
  <c r="AE198" i="3"/>
  <c r="AE197" i="3"/>
  <c r="W197" i="3"/>
  <c r="X197" i="3"/>
  <c r="T197" i="3"/>
  <c r="AI197" i="3"/>
  <c r="R197" i="3"/>
  <c r="AI196" i="3"/>
  <c r="Z196" i="3"/>
  <c r="T196" i="3"/>
  <c r="R196" i="3"/>
  <c r="AI195" i="3"/>
  <c r="AE195" i="3"/>
  <c r="W195" i="3"/>
  <c r="X195" i="3"/>
  <c r="T195" i="3"/>
  <c r="R195" i="3"/>
  <c r="T194" i="3"/>
  <c r="R194" i="3"/>
  <c r="AI193" i="3"/>
  <c r="AE193" i="3"/>
  <c r="X193" i="3"/>
  <c r="W193" i="3"/>
  <c r="T193" i="3"/>
  <c r="R193" i="3"/>
  <c r="T192" i="3"/>
  <c r="R192" i="3"/>
  <c r="W191" i="3"/>
  <c r="X191" i="3"/>
  <c r="T191" i="3"/>
  <c r="R191" i="3"/>
  <c r="AE190" i="3"/>
  <c r="T190" i="3"/>
  <c r="R190" i="3"/>
  <c r="AF189" i="3"/>
  <c r="W189" i="3"/>
  <c r="X189" i="3"/>
  <c r="T189" i="3"/>
  <c r="Z189" i="3"/>
  <c r="R189" i="3"/>
  <c r="AI188" i="3"/>
  <c r="T188" i="3"/>
  <c r="R188" i="3"/>
  <c r="AI187" i="3"/>
  <c r="AE187" i="3"/>
  <c r="W187" i="3"/>
  <c r="X187" i="3"/>
  <c r="T187" i="3"/>
  <c r="R187" i="3"/>
  <c r="AE186" i="3"/>
  <c r="AE541" i="3"/>
  <c r="T186" i="3"/>
  <c r="R186" i="3"/>
  <c r="AI185" i="3"/>
  <c r="AE185" i="3"/>
  <c r="X185" i="3"/>
  <c r="W185" i="3"/>
  <c r="T185" i="3"/>
  <c r="S185" i="3"/>
  <c r="AE184" i="3"/>
  <c r="X184" i="3"/>
  <c r="W184" i="3"/>
  <c r="T184" i="3"/>
  <c r="S184" i="3"/>
  <c r="W183" i="3"/>
  <c r="X183" i="3"/>
  <c r="T183" i="3"/>
  <c r="S183" i="3"/>
  <c r="X182" i="3"/>
  <c r="W182" i="3"/>
  <c r="T182" i="3"/>
  <c r="S182" i="3"/>
  <c r="AE181" i="3"/>
  <c r="X181" i="3"/>
  <c r="W181" i="3"/>
  <c r="T181" i="3"/>
  <c r="AI181" i="3"/>
  <c r="AK181" i="3"/>
  <c r="R181" i="3"/>
  <c r="Z181" i="3"/>
  <c r="AJ181" i="3"/>
  <c r="AI180" i="3"/>
  <c r="AE180" i="3"/>
  <c r="Z180" i="3"/>
  <c r="X180" i="3"/>
  <c r="T180" i="3"/>
  <c r="R180" i="3"/>
  <c r="W180" i="3"/>
  <c r="AI179" i="3"/>
  <c r="W179" i="3"/>
  <c r="X179" i="3"/>
  <c r="T179" i="3"/>
  <c r="R179" i="3"/>
  <c r="AE178" i="3"/>
  <c r="T178" i="3"/>
  <c r="R178" i="3"/>
  <c r="AI177" i="3"/>
  <c r="AE177" i="3"/>
  <c r="X177" i="3"/>
  <c r="W177" i="3"/>
  <c r="T177" i="3"/>
  <c r="R177" i="3"/>
  <c r="AI176" i="3"/>
  <c r="Z176" i="3"/>
  <c r="X176" i="3"/>
  <c r="T176" i="3"/>
  <c r="R176" i="3"/>
  <c r="W176" i="3"/>
  <c r="AI175" i="3"/>
  <c r="X175" i="3"/>
  <c r="W175" i="3"/>
  <c r="T175" i="3"/>
  <c r="R175" i="3"/>
  <c r="T174" i="3"/>
  <c r="R174" i="3"/>
  <c r="AE174" i="3"/>
  <c r="AF173" i="3"/>
  <c r="X173" i="3"/>
  <c r="W173" i="3"/>
  <c r="T173" i="3"/>
  <c r="Z173" i="3"/>
  <c r="AJ173" i="3"/>
  <c r="R173" i="3"/>
  <c r="AI172" i="3"/>
  <c r="AE172" i="3"/>
  <c r="Z172" i="3"/>
  <c r="X172" i="3"/>
  <c r="T172" i="3"/>
  <c r="R172" i="3"/>
  <c r="W172" i="3"/>
  <c r="AI171" i="3"/>
  <c r="W171" i="3"/>
  <c r="X171" i="3"/>
  <c r="T171" i="3"/>
  <c r="R171" i="3"/>
  <c r="AE170" i="3"/>
  <c r="W170" i="3"/>
  <c r="X170" i="3"/>
  <c r="T170" i="3"/>
  <c r="Z170" i="3"/>
  <c r="R170" i="3"/>
  <c r="T169" i="3"/>
  <c r="R169" i="3"/>
  <c r="W169" i="3"/>
  <c r="AI168" i="3"/>
  <c r="AE168" i="3"/>
  <c r="W168" i="3"/>
  <c r="X168" i="3"/>
  <c r="T168" i="3"/>
  <c r="R168" i="3"/>
  <c r="AI167" i="3"/>
  <c r="X167" i="3"/>
  <c r="T167" i="3"/>
  <c r="Z167" i="3"/>
  <c r="R167" i="3"/>
  <c r="W167" i="3"/>
  <c r="W166" i="3"/>
  <c r="X166" i="3"/>
  <c r="T166" i="3"/>
  <c r="AI166" i="3"/>
  <c r="R166" i="3"/>
  <c r="Z165" i="3"/>
  <c r="T165" i="3"/>
  <c r="R165" i="3"/>
  <c r="W165" i="3"/>
  <c r="AI164" i="3"/>
  <c r="AE164" i="3"/>
  <c r="X164" i="3"/>
  <c r="W164" i="3"/>
  <c r="T164" i="3"/>
  <c r="R164" i="3"/>
  <c r="Z163" i="3"/>
  <c r="X163" i="3"/>
  <c r="T163" i="3"/>
  <c r="AI163" i="3"/>
  <c r="R163" i="3"/>
  <c r="W163" i="3"/>
  <c r="AE162" i="3"/>
  <c r="W162" i="3"/>
  <c r="X162" i="3"/>
  <c r="T162" i="3"/>
  <c r="Z162" i="3"/>
  <c r="AF162" i="3"/>
  <c r="AH162" i="3"/>
  <c r="R162" i="3"/>
  <c r="T161" i="3"/>
  <c r="R161" i="3"/>
  <c r="W161" i="3"/>
  <c r="AI160" i="3"/>
  <c r="AE160" i="3"/>
  <c r="W160" i="3"/>
  <c r="X160" i="3"/>
  <c r="T160" i="3"/>
  <c r="R160" i="3"/>
  <c r="AI159" i="3"/>
  <c r="X159" i="3"/>
  <c r="T159" i="3"/>
  <c r="Z159" i="3"/>
  <c r="R159" i="3"/>
  <c r="W159" i="3"/>
  <c r="W158" i="3"/>
  <c r="X158" i="3"/>
  <c r="T158" i="3"/>
  <c r="AI158" i="3"/>
  <c r="R158" i="3"/>
  <c r="Z157" i="3"/>
  <c r="T157" i="3"/>
  <c r="R157" i="3"/>
  <c r="W157" i="3"/>
  <c r="AI156" i="3"/>
  <c r="AE156" i="3"/>
  <c r="X156" i="3"/>
  <c r="W156" i="3"/>
  <c r="T156" i="3"/>
  <c r="R156" i="3"/>
  <c r="X155" i="3"/>
  <c r="W155" i="3"/>
  <c r="S155" i="3"/>
  <c r="T155" i="3"/>
  <c r="AI154" i="3"/>
  <c r="W154" i="3"/>
  <c r="X154" i="3"/>
  <c r="T154" i="3"/>
  <c r="S154" i="3"/>
  <c r="X153" i="3"/>
  <c r="W153" i="3"/>
  <c r="T153" i="3"/>
  <c r="S153" i="3"/>
  <c r="AE152" i="3"/>
  <c r="AG152" i="3"/>
  <c r="W152" i="3"/>
  <c r="X152" i="3"/>
  <c r="T152" i="3"/>
  <c r="Z152" i="3"/>
  <c r="AF152" i="3"/>
  <c r="S152" i="3"/>
  <c r="AI151" i="3"/>
  <c r="T151" i="3"/>
  <c r="AE151" i="3"/>
  <c r="R151" i="3"/>
  <c r="W151" i="3"/>
  <c r="AI150" i="3"/>
  <c r="AE150" i="3"/>
  <c r="W150" i="3"/>
  <c r="X150" i="3"/>
  <c r="T150" i="3"/>
  <c r="R150" i="3"/>
  <c r="AI149" i="3"/>
  <c r="X149" i="3"/>
  <c r="T149" i="3"/>
  <c r="Z149" i="3"/>
  <c r="R149" i="3"/>
  <c r="W149" i="3"/>
  <c r="W148" i="3"/>
  <c r="X148" i="3"/>
  <c r="T148" i="3"/>
  <c r="AI148" i="3"/>
  <c r="R148" i="3"/>
  <c r="Z147" i="3"/>
  <c r="T147" i="3"/>
  <c r="R147" i="3"/>
  <c r="W147" i="3"/>
  <c r="AI146" i="3"/>
  <c r="AE146" i="3"/>
  <c r="X146" i="3"/>
  <c r="W146" i="3"/>
  <c r="T146" i="3"/>
  <c r="R146" i="3"/>
  <c r="Z145" i="3"/>
  <c r="X145" i="3"/>
  <c r="T145" i="3"/>
  <c r="R145" i="3"/>
  <c r="W145" i="3"/>
  <c r="AG144" i="3"/>
  <c r="AE144" i="3"/>
  <c r="W144" i="3"/>
  <c r="X144" i="3"/>
  <c r="T144" i="3"/>
  <c r="Z144" i="3"/>
  <c r="AF144" i="3"/>
  <c r="AH144" i="3"/>
  <c r="R144" i="3"/>
  <c r="T143" i="3"/>
  <c r="R143" i="3"/>
  <c r="W143" i="3"/>
  <c r="AI142" i="3"/>
  <c r="AE142" i="3"/>
  <c r="W142" i="3"/>
  <c r="X142" i="3"/>
  <c r="T142" i="3"/>
  <c r="R142" i="3"/>
  <c r="AI141" i="3"/>
  <c r="X141" i="3"/>
  <c r="T141" i="3"/>
  <c r="Z141" i="3"/>
  <c r="R141" i="3"/>
  <c r="W141" i="3"/>
  <c r="W140" i="3"/>
  <c r="X140" i="3"/>
  <c r="T140" i="3"/>
  <c r="AI140" i="3"/>
  <c r="R140" i="3"/>
  <c r="Z139" i="3"/>
  <c r="T139" i="3"/>
  <c r="R139" i="3"/>
  <c r="W139" i="3"/>
  <c r="AI138" i="3"/>
  <c r="AE138" i="3"/>
  <c r="X138" i="3"/>
  <c r="W138" i="3"/>
  <c r="T138" i="3"/>
  <c r="R138" i="3"/>
  <c r="X137" i="3"/>
  <c r="T137" i="3"/>
  <c r="R137" i="3"/>
  <c r="W137" i="3"/>
  <c r="AG136" i="3"/>
  <c r="AE136" i="3"/>
  <c r="W136" i="3"/>
  <c r="X136" i="3"/>
  <c r="T136" i="3"/>
  <c r="Z136" i="3"/>
  <c r="AF136" i="3"/>
  <c r="R136" i="3"/>
  <c r="AI135" i="3"/>
  <c r="T135" i="3"/>
  <c r="R135" i="3"/>
  <c r="W135" i="3"/>
  <c r="AI134" i="3"/>
  <c r="AE134" i="3"/>
  <c r="W134" i="3"/>
  <c r="X134" i="3"/>
  <c r="T134" i="3"/>
  <c r="R134" i="3"/>
  <c r="AI133" i="3"/>
  <c r="X133" i="3"/>
  <c r="T133" i="3"/>
  <c r="Z133" i="3"/>
  <c r="R133" i="3"/>
  <c r="W133" i="3"/>
  <c r="W132" i="3"/>
  <c r="X132" i="3"/>
  <c r="T132" i="3"/>
  <c r="AI132" i="3"/>
  <c r="R132" i="3"/>
  <c r="Z131" i="3"/>
  <c r="T131" i="3"/>
  <c r="R131" i="3"/>
  <c r="W131" i="3"/>
  <c r="AI130" i="3"/>
  <c r="AE130" i="3"/>
  <c r="X130" i="3"/>
  <c r="W130" i="3"/>
  <c r="T130" i="3"/>
  <c r="R130" i="3"/>
  <c r="X129" i="3"/>
  <c r="T129" i="3"/>
  <c r="R129" i="3"/>
  <c r="W129" i="3"/>
  <c r="AG128" i="3"/>
  <c r="AE128" i="3"/>
  <c r="W128" i="3"/>
  <c r="X128" i="3"/>
  <c r="T128" i="3"/>
  <c r="Z128" i="3"/>
  <c r="AF128" i="3"/>
  <c r="AH128" i="3"/>
  <c r="R128" i="3"/>
  <c r="AI127" i="3"/>
  <c r="T127" i="3"/>
  <c r="R127" i="3"/>
  <c r="W127" i="3"/>
  <c r="AI126" i="3"/>
  <c r="AE126" i="3"/>
  <c r="W126" i="3"/>
  <c r="X126" i="3"/>
  <c r="T126" i="3"/>
  <c r="R126" i="3"/>
  <c r="AI125" i="3"/>
  <c r="X125" i="3"/>
  <c r="T125" i="3"/>
  <c r="Z125" i="3"/>
  <c r="R125" i="3"/>
  <c r="W125" i="3"/>
  <c r="W124" i="3"/>
  <c r="X124" i="3"/>
  <c r="T124" i="3"/>
  <c r="AI124" i="3"/>
  <c r="R124" i="3"/>
  <c r="Z123" i="3"/>
  <c r="T123" i="3"/>
  <c r="R123" i="3"/>
  <c r="W123" i="3"/>
  <c r="AI122" i="3"/>
  <c r="AE122" i="3"/>
  <c r="X122" i="3"/>
  <c r="W122" i="3"/>
  <c r="T122" i="3"/>
  <c r="R122" i="3"/>
  <c r="Z121" i="3"/>
  <c r="X121" i="3"/>
  <c r="W121" i="3"/>
  <c r="S121" i="3"/>
  <c r="T121" i="3"/>
  <c r="AI120" i="3"/>
  <c r="X120" i="3"/>
  <c r="W120" i="3"/>
  <c r="T120" i="3"/>
  <c r="S120" i="3"/>
  <c r="T119" i="3"/>
  <c r="R119" i="3"/>
  <c r="AF118" i="3"/>
  <c r="AH118" i="3"/>
  <c r="AE118" i="3"/>
  <c r="X118" i="3"/>
  <c r="W118" i="3"/>
  <c r="T118" i="3"/>
  <c r="Z118" i="3"/>
  <c r="AJ118" i="3"/>
  <c r="R118" i="3"/>
  <c r="AI117" i="3"/>
  <c r="T117" i="3"/>
  <c r="R117" i="3"/>
  <c r="W116" i="3"/>
  <c r="X116" i="3"/>
  <c r="T116" i="3"/>
  <c r="R116" i="3"/>
  <c r="AE115" i="3"/>
  <c r="X115" i="3"/>
  <c r="T115" i="3"/>
  <c r="R115" i="3"/>
  <c r="W115" i="3"/>
  <c r="X114" i="3"/>
  <c r="W114" i="3"/>
  <c r="T114" i="3"/>
  <c r="R114" i="3"/>
  <c r="AE113" i="3"/>
  <c r="Z113" i="3"/>
  <c r="X113" i="3"/>
  <c r="T113" i="3"/>
  <c r="R113" i="3"/>
  <c r="W113" i="3"/>
  <c r="AI112" i="3"/>
  <c r="X112" i="3"/>
  <c r="W112" i="3"/>
  <c r="T112" i="3"/>
  <c r="R112" i="3"/>
  <c r="T111" i="3"/>
  <c r="R111" i="3"/>
  <c r="AE110" i="3"/>
  <c r="X110" i="3"/>
  <c r="W110" i="3"/>
  <c r="T110" i="3"/>
  <c r="R110" i="3"/>
  <c r="T109" i="3"/>
  <c r="R109" i="3"/>
  <c r="AI109" i="3"/>
  <c r="W108" i="3"/>
  <c r="X108" i="3"/>
  <c r="T108" i="3"/>
  <c r="AE108" i="3"/>
  <c r="R108" i="3"/>
  <c r="AE107" i="3"/>
  <c r="X107" i="3"/>
  <c r="T107" i="3"/>
  <c r="Z107" i="3"/>
  <c r="R107" i="3"/>
  <c r="W107" i="3"/>
  <c r="AI106" i="3"/>
  <c r="X106" i="3"/>
  <c r="W106" i="3"/>
  <c r="T106" i="3"/>
  <c r="R106" i="3"/>
  <c r="AE105" i="3"/>
  <c r="T105" i="3"/>
  <c r="R105" i="3"/>
  <c r="AI104" i="3"/>
  <c r="X104" i="3"/>
  <c r="W104" i="3"/>
  <c r="T104" i="3"/>
  <c r="AE104" i="3"/>
  <c r="R104" i="3"/>
  <c r="T103" i="3"/>
  <c r="R103" i="3"/>
  <c r="AE102" i="3"/>
  <c r="X102" i="3"/>
  <c r="W102" i="3"/>
  <c r="T102" i="3"/>
  <c r="R102" i="3"/>
  <c r="AI101" i="3"/>
  <c r="AE101" i="3"/>
  <c r="T101" i="3"/>
  <c r="R101" i="3"/>
  <c r="AI100" i="3"/>
  <c r="X100" i="3"/>
  <c r="W100" i="3"/>
  <c r="T100" i="3"/>
  <c r="S100" i="3"/>
  <c r="AE99" i="3"/>
  <c r="X99" i="3"/>
  <c r="W99" i="3"/>
  <c r="T99" i="3"/>
  <c r="Z99" i="3"/>
  <c r="S99" i="3"/>
  <c r="AF98" i="3"/>
  <c r="W98" i="3"/>
  <c r="X98" i="3"/>
  <c r="T98" i="3"/>
  <c r="R98" i="3"/>
  <c r="Z98" i="3"/>
  <c r="AJ98" i="3"/>
  <c r="AE97" i="3"/>
  <c r="T97" i="3"/>
  <c r="R97" i="3"/>
  <c r="AI96" i="3"/>
  <c r="AE96" i="3"/>
  <c r="X96" i="3"/>
  <c r="W96" i="3"/>
  <c r="T96" i="3"/>
  <c r="R96" i="3"/>
  <c r="AI95" i="3"/>
  <c r="Z95" i="3"/>
  <c r="X95" i="3"/>
  <c r="T95" i="3"/>
  <c r="AE95" i="3"/>
  <c r="R95" i="3"/>
  <c r="W95" i="3"/>
  <c r="AE94" i="3"/>
  <c r="W94" i="3"/>
  <c r="T94" i="3"/>
  <c r="R94" i="3"/>
  <c r="T93" i="3"/>
  <c r="R93" i="3"/>
  <c r="AI92" i="3"/>
  <c r="T92" i="3"/>
  <c r="R92" i="3"/>
  <c r="T91" i="3"/>
  <c r="R91" i="3"/>
  <c r="W90" i="3"/>
  <c r="T90" i="3"/>
  <c r="AI90" i="3"/>
  <c r="R90" i="3"/>
  <c r="X90" i="3"/>
  <c r="X89" i="3"/>
  <c r="W89" i="3"/>
  <c r="Z89" i="3"/>
  <c r="T89" i="3"/>
  <c r="R89" i="3"/>
  <c r="AI88" i="3"/>
  <c r="AE88" i="3"/>
  <c r="W88" i="3"/>
  <c r="T88" i="3"/>
  <c r="R88" i="3"/>
  <c r="T87" i="3"/>
  <c r="R87" i="3"/>
  <c r="W86" i="3"/>
  <c r="T86" i="3"/>
  <c r="AI86" i="3"/>
  <c r="R86" i="3"/>
  <c r="T85" i="3"/>
  <c r="R85" i="3"/>
  <c r="W85" i="3"/>
  <c r="W84" i="3"/>
  <c r="T84" i="3"/>
  <c r="R84" i="3"/>
  <c r="AI84" i="3"/>
  <c r="T83" i="3"/>
  <c r="R83" i="3"/>
  <c r="AF82" i="3"/>
  <c r="AH82" i="3"/>
  <c r="AE82" i="3"/>
  <c r="Z82" i="3"/>
  <c r="AJ82" i="3"/>
  <c r="AL82" i="3"/>
  <c r="W82" i="3"/>
  <c r="X82" i="3"/>
  <c r="T82" i="3"/>
  <c r="AI82" i="3"/>
  <c r="S82" i="3"/>
  <c r="W81" i="3"/>
  <c r="X81" i="3"/>
  <c r="S81" i="3"/>
  <c r="T81" i="3"/>
  <c r="W80" i="3"/>
  <c r="T80" i="3"/>
  <c r="AI80" i="3"/>
  <c r="R80" i="3"/>
  <c r="T79" i="3"/>
  <c r="R79" i="3"/>
  <c r="AE78" i="3"/>
  <c r="W78" i="3"/>
  <c r="T78" i="3"/>
  <c r="AI78" i="3"/>
  <c r="R78" i="3"/>
  <c r="Z77" i="3"/>
  <c r="AF77" i="3"/>
  <c r="W77" i="3"/>
  <c r="X77" i="3"/>
  <c r="T77" i="3"/>
  <c r="R77" i="3"/>
  <c r="AE76" i="3"/>
  <c r="T76" i="3"/>
  <c r="R76" i="3"/>
  <c r="AI76" i="3"/>
  <c r="T75" i="3"/>
  <c r="R75" i="3"/>
  <c r="AI74" i="3"/>
  <c r="AE74" i="3"/>
  <c r="W74" i="3"/>
  <c r="Z74" i="3"/>
  <c r="T74" i="3"/>
  <c r="R74" i="3"/>
  <c r="X74" i="3"/>
  <c r="W73" i="3"/>
  <c r="Z73" i="3"/>
  <c r="T73" i="3"/>
  <c r="R73" i="3"/>
  <c r="X73" i="3"/>
  <c r="AE72" i="3"/>
  <c r="W72" i="3"/>
  <c r="T72" i="3"/>
  <c r="AI72" i="3"/>
  <c r="R72" i="3"/>
  <c r="T71" i="3"/>
  <c r="R71" i="3"/>
  <c r="AI70" i="3"/>
  <c r="AE70" i="3"/>
  <c r="W70" i="3"/>
  <c r="T70" i="3"/>
  <c r="Z70" i="3"/>
  <c r="R70" i="3"/>
  <c r="X70" i="3"/>
  <c r="T69" i="3"/>
  <c r="R69" i="3"/>
  <c r="T68" i="3"/>
  <c r="AE68" i="3"/>
  <c r="R68" i="3"/>
  <c r="AI68" i="3"/>
  <c r="T67" i="3"/>
  <c r="R67" i="3"/>
  <c r="AI66" i="3"/>
  <c r="AE66" i="3"/>
  <c r="W66" i="3"/>
  <c r="Z66" i="3"/>
  <c r="T66" i="3"/>
  <c r="R66" i="3"/>
  <c r="T65" i="3"/>
  <c r="R65" i="3"/>
  <c r="AJ64" i="3"/>
  <c r="W64" i="3"/>
  <c r="X64" i="3"/>
  <c r="T64" i="3"/>
  <c r="Z64" i="3"/>
  <c r="AF64" i="3"/>
  <c r="S64" i="3"/>
  <c r="X63" i="3"/>
  <c r="W63" i="3"/>
  <c r="S63" i="3"/>
  <c r="T63" i="3"/>
  <c r="Z63" i="3"/>
  <c r="AE62" i="3"/>
  <c r="W62" i="3"/>
  <c r="T62" i="3"/>
  <c r="AI62" i="3"/>
  <c r="R62" i="3"/>
  <c r="Z61" i="3"/>
  <c r="AF61" i="3"/>
  <c r="W61" i="3"/>
  <c r="X61" i="3"/>
  <c r="T61" i="3"/>
  <c r="R61" i="3"/>
  <c r="AE60" i="3"/>
  <c r="T60" i="3"/>
  <c r="R60" i="3"/>
  <c r="AI60" i="3"/>
  <c r="T59" i="3"/>
  <c r="R59" i="3"/>
  <c r="AI58" i="3"/>
  <c r="AE58" i="3"/>
  <c r="Z58" i="3"/>
  <c r="AJ58" i="3"/>
  <c r="AL58" i="3"/>
  <c r="W58" i="3"/>
  <c r="T58" i="3"/>
  <c r="R58" i="3"/>
  <c r="X58" i="3"/>
  <c r="W57" i="3"/>
  <c r="Z57" i="3"/>
  <c r="T57" i="3"/>
  <c r="R57" i="3"/>
  <c r="X57" i="3"/>
  <c r="AE56" i="3"/>
  <c r="W56" i="3"/>
  <c r="T56" i="3"/>
  <c r="Z56" i="3"/>
  <c r="AJ56" i="3"/>
  <c r="R56" i="3"/>
  <c r="T55" i="3"/>
  <c r="R55" i="3"/>
  <c r="AI54" i="3"/>
  <c r="AE54" i="3"/>
  <c r="W54" i="3"/>
  <c r="T54" i="3"/>
  <c r="Z54" i="3"/>
  <c r="R54" i="3"/>
  <c r="X54" i="3"/>
  <c r="T53" i="3"/>
  <c r="R53" i="3"/>
  <c r="T52" i="3"/>
  <c r="AE52" i="3"/>
  <c r="R52" i="3"/>
  <c r="AI52" i="3"/>
  <c r="T51" i="3"/>
  <c r="R51" i="3"/>
  <c r="AI50" i="3"/>
  <c r="AE50" i="3"/>
  <c r="Z50" i="3"/>
  <c r="AJ50" i="3"/>
  <c r="AL50" i="3"/>
  <c r="W50" i="3"/>
  <c r="T50" i="3"/>
  <c r="R50" i="3"/>
  <c r="T49" i="3"/>
  <c r="R49" i="3"/>
  <c r="T48" i="3"/>
  <c r="AI48" i="3"/>
  <c r="R48" i="3"/>
  <c r="AE48" i="3"/>
  <c r="Z47" i="3"/>
  <c r="AJ47" i="3"/>
  <c r="W47" i="3"/>
  <c r="X47" i="3"/>
  <c r="T47" i="3"/>
  <c r="R47" i="3"/>
  <c r="AI46" i="3"/>
  <c r="W46" i="3"/>
  <c r="X46" i="3"/>
  <c r="T46" i="3"/>
  <c r="AE46" i="3"/>
  <c r="S46" i="3"/>
  <c r="W45" i="3"/>
  <c r="Z45" i="3"/>
  <c r="S45" i="3"/>
  <c r="T45" i="3"/>
  <c r="AI44" i="3"/>
  <c r="AE44" i="3"/>
  <c r="Z44" i="3"/>
  <c r="AJ44" i="3"/>
  <c r="AL44" i="3"/>
  <c r="W44" i="3"/>
  <c r="T44" i="3"/>
  <c r="R44" i="3"/>
  <c r="W43" i="3"/>
  <c r="Z43" i="3"/>
  <c r="T43" i="3"/>
  <c r="R43" i="3"/>
  <c r="W42" i="3"/>
  <c r="T42" i="3"/>
  <c r="Z42" i="3"/>
  <c r="R42" i="3"/>
  <c r="AI42" i="3"/>
  <c r="T41" i="3"/>
  <c r="R41" i="3"/>
  <c r="T40" i="3"/>
  <c r="R40" i="3"/>
  <c r="W40" i="3"/>
  <c r="X39" i="3"/>
  <c r="W39" i="3"/>
  <c r="Z39" i="3"/>
  <c r="T39" i="3"/>
  <c r="R39" i="3"/>
  <c r="AE38" i="3"/>
  <c r="T38" i="3"/>
  <c r="R38" i="3"/>
  <c r="AI38" i="3"/>
  <c r="T37" i="3"/>
  <c r="R37" i="3"/>
  <c r="W37" i="3"/>
  <c r="AI36" i="3"/>
  <c r="AE36" i="3"/>
  <c r="Z36" i="3"/>
  <c r="AJ36" i="3"/>
  <c r="AL36" i="3"/>
  <c r="W36" i="3"/>
  <c r="T36" i="3"/>
  <c r="R36" i="3"/>
  <c r="W35" i="3"/>
  <c r="Z35" i="3"/>
  <c r="T35" i="3"/>
  <c r="R35" i="3"/>
  <c r="W34" i="3"/>
  <c r="T34" i="3"/>
  <c r="Z34" i="3"/>
  <c r="R34" i="3"/>
  <c r="AI34" i="3"/>
  <c r="T33" i="3"/>
  <c r="R33" i="3"/>
  <c r="T32" i="3"/>
  <c r="R32" i="3"/>
  <c r="AE32" i="3"/>
  <c r="X31" i="3"/>
  <c r="W31" i="3"/>
  <c r="Z31" i="3"/>
  <c r="T31" i="3"/>
  <c r="R31" i="3"/>
  <c r="AE30" i="3"/>
  <c r="T30" i="3"/>
  <c r="R30" i="3"/>
  <c r="AI30" i="3"/>
  <c r="T29" i="3"/>
  <c r="R29" i="3"/>
  <c r="W29" i="3"/>
  <c r="W28" i="3"/>
  <c r="X28" i="3"/>
  <c r="S28" i="3"/>
  <c r="T28" i="3"/>
  <c r="W27" i="3"/>
  <c r="X27" i="3"/>
  <c r="S27" i="3"/>
  <c r="T27" i="3"/>
  <c r="T26" i="3"/>
  <c r="AI26" i="3"/>
  <c r="R26" i="3"/>
  <c r="AE26" i="3"/>
  <c r="Z25" i="3"/>
  <c r="AJ25" i="3"/>
  <c r="W25" i="3"/>
  <c r="X25" i="3"/>
  <c r="T25" i="3"/>
  <c r="R25" i="3"/>
  <c r="AI24" i="3"/>
  <c r="W24" i="3"/>
  <c r="T24" i="3"/>
  <c r="Z24" i="3"/>
  <c r="R24" i="3"/>
  <c r="W23" i="3"/>
  <c r="Z23" i="3"/>
  <c r="T23" i="3"/>
  <c r="R23" i="3"/>
  <c r="X23" i="3"/>
  <c r="AI22" i="3"/>
  <c r="AF22" i="3"/>
  <c r="AH22" i="3"/>
  <c r="AE22" i="3"/>
  <c r="Z22" i="3"/>
  <c r="AJ22" i="3"/>
  <c r="AL22" i="3"/>
  <c r="T22" i="3"/>
  <c r="R22" i="3"/>
  <c r="W21" i="3"/>
  <c r="Z21" i="3"/>
  <c r="T21" i="3"/>
  <c r="R21" i="3"/>
  <c r="AI21" i="3"/>
  <c r="T20" i="3"/>
  <c r="R20" i="3"/>
  <c r="AE20" i="3"/>
  <c r="T19" i="3"/>
  <c r="R19" i="3"/>
  <c r="AE19" i="3"/>
  <c r="Z18" i="3"/>
  <c r="AJ18" i="3"/>
  <c r="W18" i="3"/>
  <c r="X18" i="3"/>
  <c r="T18" i="3"/>
  <c r="R18" i="3"/>
  <c r="AI18" i="3"/>
  <c r="AK18" i="3"/>
  <c r="W17" i="3"/>
  <c r="Z17" i="3"/>
  <c r="T17" i="3"/>
  <c r="R17" i="3"/>
  <c r="AI17" i="3"/>
  <c r="T16" i="3"/>
  <c r="R16" i="3"/>
  <c r="AE16" i="3"/>
  <c r="T15" i="3"/>
  <c r="R15" i="3"/>
  <c r="AE15" i="3"/>
  <c r="Z14" i="3"/>
  <c r="W14" i="3"/>
  <c r="X14" i="3"/>
  <c r="T14" i="3"/>
  <c r="R14" i="3"/>
  <c r="AI14" i="3"/>
  <c r="W13" i="3"/>
  <c r="Z13" i="3"/>
  <c r="T13" i="3"/>
  <c r="R13" i="3"/>
  <c r="AI13" i="3"/>
  <c r="T12" i="3"/>
  <c r="R12" i="3"/>
  <c r="AE12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T11" i="3"/>
  <c r="R11" i="3"/>
  <c r="AE11" i="3"/>
  <c r="AF579" i="3"/>
  <c r="R44" i="4"/>
  <c r="AA43" i="2"/>
  <c r="Z43" i="2"/>
  <c r="T43" i="2"/>
  <c r="O43" i="2"/>
  <c r="N43" i="2"/>
  <c r="M43" i="2"/>
  <c r="V43" i="2"/>
  <c r="L43" i="2"/>
  <c r="K43" i="2"/>
  <c r="J43" i="2"/>
  <c r="AA42" i="2"/>
  <c r="Z42" i="2"/>
  <c r="U42" i="2"/>
  <c r="T42" i="2"/>
  <c r="M42" i="2"/>
  <c r="V42" i="2"/>
  <c r="L42" i="2"/>
  <c r="O42" i="2"/>
  <c r="K42" i="2"/>
  <c r="J42" i="2"/>
  <c r="AA41" i="2"/>
  <c r="Z41" i="2"/>
  <c r="T41" i="2"/>
  <c r="V41" i="2"/>
  <c r="N41" i="2"/>
  <c r="M41" i="2"/>
  <c r="L41" i="2"/>
  <c r="O41" i="2"/>
  <c r="K41" i="2"/>
  <c r="J41" i="2"/>
  <c r="AR42" i="2"/>
  <c r="AM42" i="2"/>
  <c r="AL42" i="2"/>
  <c r="AI42" i="2"/>
  <c r="AH42" i="2"/>
  <c r="AE42" i="2"/>
  <c r="AD42" i="2"/>
  <c r="B45" i="4"/>
  <c r="B46" i="4"/>
  <c r="M45" i="4"/>
  <c r="N45" i="4"/>
  <c r="AJ17" i="3"/>
  <c r="AL17" i="3"/>
  <c r="AF17" i="3"/>
  <c r="AF54" i="3"/>
  <c r="AH54" i="3"/>
  <c r="AJ54" i="3"/>
  <c r="AL54" i="3"/>
  <c r="AJ63" i="3"/>
  <c r="AF63" i="3"/>
  <c r="Z28" i="3"/>
  <c r="AE28" i="3"/>
  <c r="AI28" i="3"/>
  <c r="AF73" i="3"/>
  <c r="AJ73" i="3"/>
  <c r="AJ31" i="3"/>
  <c r="AF31" i="3"/>
  <c r="AJ42" i="3"/>
  <c r="AL42" i="3"/>
  <c r="AF42" i="3"/>
  <c r="AJ34" i="3"/>
  <c r="AL34" i="3"/>
  <c r="AF34" i="3"/>
  <c r="AH34" i="3"/>
  <c r="AK13" i="3"/>
  <c r="AF21" i="3"/>
  <c r="AJ21" i="3"/>
  <c r="AL21" i="3"/>
  <c r="X29" i="3"/>
  <c r="Z29" i="3"/>
  <c r="AJ39" i="3"/>
  <c r="AF39" i="3"/>
  <c r="AJ66" i="3"/>
  <c r="AL66" i="3"/>
  <c r="AF66" i="3"/>
  <c r="AH66" i="3"/>
  <c r="Z37" i="3"/>
  <c r="X37" i="3"/>
  <c r="AF57" i="3"/>
  <c r="AJ57" i="3"/>
  <c r="AJ74" i="3"/>
  <c r="AF74" i="3"/>
  <c r="AH74" i="3"/>
  <c r="AK82" i="3"/>
  <c r="AF89" i="3"/>
  <c r="AJ89" i="3"/>
  <c r="AK21" i="3"/>
  <c r="AL18" i="3"/>
  <c r="AJ23" i="3"/>
  <c r="AL23" i="3"/>
  <c r="AF23" i="3"/>
  <c r="AH23" i="3"/>
  <c r="AL25" i="3"/>
  <c r="AJ13" i="3"/>
  <c r="AF13" i="3"/>
  <c r="AF35" i="3"/>
  <c r="AJ35" i="3"/>
  <c r="X53" i="3"/>
  <c r="AF70" i="3"/>
  <c r="AH70" i="3"/>
  <c r="AJ70" i="3"/>
  <c r="AL70" i="3"/>
  <c r="AK17" i="3"/>
  <c r="AF24" i="3"/>
  <c r="AH24" i="3"/>
  <c r="AJ24" i="3"/>
  <c r="AL24" i="3"/>
  <c r="AF43" i="3"/>
  <c r="AJ43" i="3"/>
  <c r="AL43" i="3"/>
  <c r="AJ45" i="3"/>
  <c r="AL45" i="3"/>
  <c r="AF45" i="3"/>
  <c r="Z85" i="3"/>
  <c r="X85" i="3"/>
  <c r="AI129" i="3"/>
  <c r="AE129" i="3"/>
  <c r="AI155" i="3"/>
  <c r="AE155" i="3"/>
  <c r="W194" i="3"/>
  <c r="AI194" i="3"/>
  <c r="AE194" i="3"/>
  <c r="AI12" i="3"/>
  <c r="X13" i="3"/>
  <c r="AE14" i="3"/>
  <c r="AI16" i="3"/>
  <c r="X17" i="3"/>
  <c r="AE18" i="3"/>
  <c r="AI20" i="3"/>
  <c r="X21" i="3"/>
  <c r="X24" i="3"/>
  <c r="AF25" i="3"/>
  <c r="AH25" i="3"/>
  <c r="W26" i="3"/>
  <c r="AE35" i="3"/>
  <c r="AG35" i="3"/>
  <c r="AI35" i="3"/>
  <c r="AK35" i="3"/>
  <c r="AF36" i="3"/>
  <c r="AH36" i="3"/>
  <c r="AE43" i="3"/>
  <c r="AG43" i="3"/>
  <c r="AI43" i="3"/>
  <c r="AF44" i="3"/>
  <c r="AH44" i="3"/>
  <c r="X45" i="3"/>
  <c r="AF47" i="3"/>
  <c r="W48" i="3"/>
  <c r="AF50" i="3"/>
  <c r="AH50" i="3"/>
  <c r="W52" i="3"/>
  <c r="AF56" i="3"/>
  <c r="AH56" i="3"/>
  <c r="Z62" i="3"/>
  <c r="W68" i="3"/>
  <c r="X68" i="3"/>
  <c r="Z78" i="3"/>
  <c r="Z80" i="3"/>
  <c r="X80" i="3"/>
  <c r="AE84" i="3"/>
  <c r="X86" i="3"/>
  <c r="AE91" i="3"/>
  <c r="W91" i="3"/>
  <c r="AI91" i="3"/>
  <c r="AE135" i="3"/>
  <c r="Z135" i="3"/>
  <c r="AH152" i="3"/>
  <c r="AJ163" i="3"/>
  <c r="AL163" i="3"/>
  <c r="AF163" i="3"/>
  <c r="AI69" i="3"/>
  <c r="AE69" i="3"/>
  <c r="AE34" i="3"/>
  <c r="Z48" i="3"/>
  <c r="AI49" i="3"/>
  <c r="AE49" i="3"/>
  <c r="AK50" i="3"/>
  <c r="W53" i="3"/>
  <c r="Z53" i="3"/>
  <c r="AE59" i="3"/>
  <c r="W59" i="3"/>
  <c r="Z59" i="3"/>
  <c r="AI59" i="3"/>
  <c r="AI65" i="3"/>
  <c r="AE65" i="3"/>
  <c r="AK66" i="3"/>
  <c r="W69" i="3"/>
  <c r="Z69" i="3"/>
  <c r="AE75" i="3"/>
  <c r="W75" i="3"/>
  <c r="Z75" i="3"/>
  <c r="AI75" i="3"/>
  <c r="AI81" i="3"/>
  <c r="AE81" i="3"/>
  <c r="Z90" i="3"/>
  <c r="AE109" i="3"/>
  <c r="Z114" i="3"/>
  <c r="AE114" i="3"/>
  <c r="Z129" i="3"/>
  <c r="AI137" i="3"/>
  <c r="AE137" i="3"/>
  <c r="AJ147" i="3"/>
  <c r="AF147" i="3"/>
  <c r="AF149" i="3"/>
  <c r="AJ149" i="3"/>
  <c r="AL149" i="3"/>
  <c r="AJ167" i="3"/>
  <c r="AL167" i="3"/>
  <c r="AF167" i="3"/>
  <c r="AF172" i="3"/>
  <c r="AH172" i="3"/>
  <c r="AJ172" i="3"/>
  <c r="AL172" i="3"/>
  <c r="AF180" i="3"/>
  <c r="AH180" i="3"/>
  <c r="AJ180" i="3"/>
  <c r="AL180" i="3"/>
  <c r="X40" i="3"/>
  <c r="AG50" i="3"/>
  <c r="AJ139" i="3"/>
  <c r="AL139" i="3"/>
  <c r="AF139" i="3"/>
  <c r="W16" i="3"/>
  <c r="Z16" i="3"/>
  <c r="W32" i="3"/>
  <c r="AE42" i="3"/>
  <c r="AG42" i="3"/>
  <c r="X16" i="3"/>
  <c r="AE17" i="3"/>
  <c r="AG17" i="3"/>
  <c r="X20" i="3"/>
  <c r="AE21" i="3"/>
  <c r="AG21" i="3"/>
  <c r="Z32" i="3"/>
  <c r="AK36" i="3"/>
  <c r="AI41" i="3"/>
  <c r="AE41" i="3"/>
  <c r="AK44" i="3"/>
  <c r="AI56" i="3"/>
  <c r="AK56" i="3"/>
  <c r="AJ61" i="3"/>
  <c r="X69" i="3"/>
  <c r="Z76" i="3"/>
  <c r="AJ77" i="3"/>
  <c r="AE87" i="3"/>
  <c r="W87" i="3"/>
  <c r="Z87" i="3"/>
  <c r="AI87" i="3"/>
  <c r="AE90" i="3"/>
  <c r="AI93" i="3"/>
  <c r="AE93" i="3"/>
  <c r="W105" i="3"/>
  <c r="Z105" i="3"/>
  <c r="AI105" i="3"/>
  <c r="Z106" i="3"/>
  <c r="AE106" i="3"/>
  <c r="AJ107" i="3"/>
  <c r="AF107" i="3"/>
  <c r="AK141" i="3"/>
  <c r="AE143" i="3"/>
  <c r="Z143" i="3"/>
  <c r="Z155" i="3"/>
  <c r="AI169" i="3"/>
  <c r="AE169" i="3"/>
  <c r="Z169" i="3"/>
  <c r="AI182" i="3"/>
  <c r="AE182" i="3"/>
  <c r="Z182" i="3"/>
  <c r="AK24" i="3"/>
  <c r="AI53" i="3"/>
  <c r="AE53" i="3"/>
  <c r="AL64" i="3"/>
  <c r="AF141" i="3"/>
  <c r="AH141" i="3"/>
  <c r="AJ141" i="3"/>
  <c r="AL141" i="3"/>
  <c r="W12" i="3"/>
  <c r="Z12" i="3"/>
  <c r="AF14" i="3"/>
  <c r="AK22" i="3"/>
  <c r="AE27" i="3"/>
  <c r="AI27" i="3"/>
  <c r="AI11" i="3"/>
  <c r="AE13" i="3"/>
  <c r="Z40" i="3"/>
  <c r="W15" i="3"/>
  <c r="Z15" i="3"/>
  <c r="W19" i="3"/>
  <c r="Z19" i="3"/>
  <c r="AI25" i="3"/>
  <c r="AK25" i="3"/>
  <c r="AE25" i="3"/>
  <c r="X35" i="3"/>
  <c r="X36" i="3"/>
  <c r="W38" i="3"/>
  <c r="Z38" i="3"/>
  <c r="AE40" i="3"/>
  <c r="X43" i="3"/>
  <c r="X44" i="3"/>
  <c r="Z46" i="3"/>
  <c r="AE47" i="3"/>
  <c r="AG47" i="3"/>
  <c r="AI47" i="3"/>
  <c r="W49" i="3"/>
  <c r="Z49" i="3"/>
  <c r="X50" i="3"/>
  <c r="AE55" i="3"/>
  <c r="W55" i="3"/>
  <c r="AI55" i="3"/>
  <c r="X59" i="3"/>
  <c r="AI61" i="3"/>
  <c r="AK61" i="3"/>
  <c r="AE61" i="3"/>
  <c r="AG61" i="3"/>
  <c r="AE64" i="3"/>
  <c r="AG64" i="3"/>
  <c r="W65" i="3"/>
  <c r="Z65" i="3"/>
  <c r="X66" i="3"/>
  <c r="AE71" i="3"/>
  <c r="W71" i="3"/>
  <c r="AI71" i="3"/>
  <c r="AG74" i="3"/>
  <c r="AI77" i="3"/>
  <c r="AK77" i="3"/>
  <c r="AE77" i="3"/>
  <c r="AG77" i="3"/>
  <c r="AE80" i="3"/>
  <c r="Z86" i="3"/>
  <c r="X88" i="3"/>
  <c r="W92" i="3"/>
  <c r="W103" i="3"/>
  <c r="X103" i="3"/>
  <c r="AI103" i="3"/>
  <c r="AE103" i="3"/>
  <c r="W117" i="3"/>
  <c r="Z117" i="3"/>
  <c r="AE117" i="3"/>
  <c r="AI121" i="3"/>
  <c r="AK121" i="3"/>
  <c r="AE121" i="3"/>
  <c r="AG121" i="3"/>
  <c r="Z562" i="3"/>
  <c r="AJ123" i="3"/>
  <c r="AF123" i="3"/>
  <c r="AF125" i="3"/>
  <c r="AJ125" i="3"/>
  <c r="AL125" i="3"/>
  <c r="Z137" i="3"/>
  <c r="AI143" i="3"/>
  <c r="AI145" i="3"/>
  <c r="AE145" i="3"/>
  <c r="AG145" i="3"/>
  <c r="AK180" i="3"/>
  <c r="X32" i="3"/>
  <c r="Z52" i="3"/>
  <c r="AJ95" i="3"/>
  <c r="AL95" i="3"/>
  <c r="AF95" i="3"/>
  <c r="AH95" i="3"/>
  <c r="AF18" i="3"/>
  <c r="AH18" i="3"/>
  <c r="W20" i="3"/>
  <c r="Z20" i="3"/>
  <c r="Z26" i="3"/>
  <c r="AI15" i="3"/>
  <c r="AI19" i="3"/>
  <c r="AI33" i="3"/>
  <c r="AE33" i="3"/>
  <c r="W11" i="3"/>
  <c r="Z11" i="3"/>
  <c r="W30" i="3"/>
  <c r="X11" i="3"/>
  <c r="X19" i="3"/>
  <c r="W22" i="3"/>
  <c r="X22" i="3"/>
  <c r="AE24" i="3"/>
  <c r="Z27" i="3"/>
  <c r="AE31" i="3"/>
  <c r="AG31" i="3"/>
  <c r="AI31" i="3"/>
  <c r="W33" i="3"/>
  <c r="AE39" i="3"/>
  <c r="AI39" i="3"/>
  <c r="W41" i="3"/>
  <c r="X56" i="3"/>
  <c r="AF58" i="3"/>
  <c r="AH58" i="3"/>
  <c r="W60" i="3"/>
  <c r="Z60" i="3"/>
  <c r="X65" i="3"/>
  <c r="Z72" i="3"/>
  <c r="X72" i="3"/>
  <c r="W76" i="3"/>
  <c r="X76" i="3"/>
  <c r="Z81" i="3"/>
  <c r="AE83" i="3"/>
  <c r="W83" i="3"/>
  <c r="AI83" i="3"/>
  <c r="AE86" i="3"/>
  <c r="Z88" i="3"/>
  <c r="AI89" i="3"/>
  <c r="AK89" i="3"/>
  <c r="AE89" i="3"/>
  <c r="AG89" i="3"/>
  <c r="AE92" i="3"/>
  <c r="W93" i="3"/>
  <c r="AI94" i="3"/>
  <c r="W97" i="3"/>
  <c r="AI97" i="3"/>
  <c r="AI98" i="3"/>
  <c r="AK98" i="3"/>
  <c r="AE98" i="3"/>
  <c r="AG98" i="3"/>
  <c r="AJ99" i="3"/>
  <c r="AF99" i="3"/>
  <c r="AH99" i="3"/>
  <c r="W101" i="3"/>
  <c r="Z101" i="3"/>
  <c r="Z102" i="3"/>
  <c r="AI102" i="3"/>
  <c r="Z103" i="3"/>
  <c r="X105" i="3"/>
  <c r="AI108" i="3"/>
  <c r="W111" i="3"/>
  <c r="X111" i="3"/>
  <c r="AI111" i="3"/>
  <c r="AE111" i="3"/>
  <c r="AI114" i="3"/>
  <c r="AG118" i="3"/>
  <c r="AH136" i="3"/>
  <c r="AK149" i="3"/>
  <c r="AG162" i="3"/>
  <c r="AL181" i="3"/>
  <c r="AE63" i="3"/>
  <c r="AG63" i="3"/>
  <c r="AI63" i="3"/>
  <c r="AK63" i="3"/>
  <c r="AK70" i="3"/>
  <c r="X34" i="3"/>
  <c r="X42" i="3"/>
  <c r="AE51" i="3"/>
  <c r="W51" i="3"/>
  <c r="AI51" i="3"/>
  <c r="AG54" i="3"/>
  <c r="AI57" i="3"/>
  <c r="AK57" i="3"/>
  <c r="AE57" i="3"/>
  <c r="AG57" i="3"/>
  <c r="AK58" i="3"/>
  <c r="X62" i="3"/>
  <c r="AE67" i="3"/>
  <c r="W67" i="3"/>
  <c r="AI67" i="3"/>
  <c r="AG70" i="3"/>
  <c r="AI73" i="3"/>
  <c r="AK73" i="3"/>
  <c r="AE73" i="3"/>
  <c r="AG73" i="3"/>
  <c r="X78" i="3"/>
  <c r="X84" i="3"/>
  <c r="Z100" i="3"/>
  <c r="AE100" i="3"/>
  <c r="AF113" i="3"/>
  <c r="AH113" i="3"/>
  <c r="AJ113" i="3"/>
  <c r="AL113" i="3"/>
  <c r="AJ131" i="3"/>
  <c r="AL131" i="3"/>
  <c r="AF131" i="3"/>
  <c r="AF133" i="3"/>
  <c r="AJ133" i="3"/>
  <c r="AL133" i="3"/>
  <c r="AF145" i="3"/>
  <c r="AJ145" i="3"/>
  <c r="AL145" i="3"/>
  <c r="AI153" i="3"/>
  <c r="AE153" i="3"/>
  <c r="Z153" i="3"/>
  <c r="AJ159" i="3"/>
  <c r="AL159" i="3"/>
  <c r="AF159" i="3"/>
  <c r="AL173" i="3"/>
  <c r="AK54" i="3"/>
  <c r="AG66" i="3"/>
  <c r="AE79" i="3"/>
  <c r="W79" i="3"/>
  <c r="Z79" i="3"/>
  <c r="AI79" i="3"/>
  <c r="W109" i="3"/>
  <c r="Z109" i="3"/>
  <c r="X109" i="3"/>
  <c r="AJ14" i="3"/>
  <c r="AE23" i="3"/>
  <c r="AI23" i="3"/>
  <c r="AG22" i="3"/>
  <c r="X26" i="3"/>
  <c r="AI29" i="3"/>
  <c r="AE29" i="3"/>
  <c r="AE539" i="3"/>
  <c r="AI32" i="3"/>
  <c r="AI37" i="3"/>
  <c r="AE37" i="3"/>
  <c r="AI40" i="3"/>
  <c r="AI45" i="3"/>
  <c r="AE45" i="3"/>
  <c r="AG45" i="3"/>
  <c r="X48" i="3"/>
  <c r="X52" i="3"/>
  <c r="AI64" i="3"/>
  <c r="AK64" i="3"/>
  <c r="Z68" i="3"/>
  <c r="AG82" i="3"/>
  <c r="Z84" i="3"/>
  <c r="AI85" i="3"/>
  <c r="AE85" i="3"/>
  <c r="AH98" i="3"/>
  <c r="Z110" i="3"/>
  <c r="AI110" i="3"/>
  <c r="AI536" i="3"/>
  <c r="AG113" i="3"/>
  <c r="Z116" i="3"/>
  <c r="AI116" i="3"/>
  <c r="AE116" i="3"/>
  <c r="W119" i="3"/>
  <c r="X119" i="3"/>
  <c r="AI119" i="3"/>
  <c r="AE119" i="3"/>
  <c r="Z119" i="3"/>
  <c r="AF121" i="3"/>
  <c r="AJ121" i="3"/>
  <c r="AK125" i="3"/>
  <c r="AE127" i="3"/>
  <c r="Z127" i="3"/>
  <c r="AF157" i="3"/>
  <c r="AJ157" i="3"/>
  <c r="AI161" i="3"/>
  <c r="AE161" i="3"/>
  <c r="Z161" i="3"/>
  <c r="AK163" i="3"/>
  <c r="Z96" i="3"/>
  <c r="AI99" i="3"/>
  <c r="AK99" i="3"/>
  <c r="Z104" i="3"/>
  <c r="AI107" i="3"/>
  <c r="AK107" i="3"/>
  <c r="AI115" i="3"/>
  <c r="Z122" i="3"/>
  <c r="X127" i="3"/>
  <c r="AI128" i="3"/>
  <c r="Z130" i="3"/>
  <c r="X135" i="3"/>
  <c r="AI136" i="3"/>
  <c r="Z138" i="3"/>
  <c r="X143" i="3"/>
  <c r="AI144" i="3"/>
  <c r="AK144" i="3"/>
  <c r="Z146" i="3"/>
  <c r="X151" i="3"/>
  <c r="AI152" i="3"/>
  <c r="AK152" i="3"/>
  <c r="Z156" i="3"/>
  <c r="X161" i="3"/>
  <c r="AI162" i="3"/>
  <c r="AK162" i="3"/>
  <c r="AE163" i="3"/>
  <c r="AG163" i="3"/>
  <c r="Z164" i="3"/>
  <c r="X169" i="3"/>
  <c r="AG172" i="3"/>
  <c r="X174" i="3"/>
  <c r="Z175" i="3"/>
  <c r="AE175" i="3"/>
  <c r="AG180" i="3"/>
  <c r="AE192" i="3"/>
  <c r="W192" i="3"/>
  <c r="Z192" i="3"/>
  <c r="AI192" i="3"/>
  <c r="AE211" i="3"/>
  <c r="Z211" i="3"/>
  <c r="AI211" i="3"/>
  <c r="Z94" i="3"/>
  <c r="Z112" i="3"/>
  <c r="AI118" i="3"/>
  <c r="Z120" i="3"/>
  <c r="AI123" i="3"/>
  <c r="AE124" i="3"/>
  <c r="AJ128" i="3"/>
  <c r="AL128" i="3"/>
  <c r="AI131" i="3"/>
  <c r="AE132" i="3"/>
  <c r="AJ136" i="3"/>
  <c r="AL136" i="3"/>
  <c r="AI139" i="3"/>
  <c r="AE140" i="3"/>
  <c r="AJ144" i="3"/>
  <c r="AI147" i="3"/>
  <c r="AK147" i="3"/>
  <c r="AE148" i="3"/>
  <c r="Z151" i="3"/>
  <c r="AJ152" i="3"/>
  <c r="Z154" i="3"/>
  <c r="AI157" i="3"/>
  <c r="AK157" i="3"/>
  <c r="AE158" i="3"/>
  <c r="AJ162" i="3"/>
  <c r="AI165" i="3"/>
  <c r="AE166" i="3"/>
  <c r="AI170" i="3"/>
  <c r="AI532" i="3"/>
  <c r="AE173" i="3"/>
  <c r="AG173" i="3"/>
  <c r="Z177" i="3"/>
  <c r="AG181" i="3"/>
  <c r="Z183" i="3"/>
  <c r="AI183" i="3"/>
  <c r="W190" i="3"/>
  <c r="AI190" i="3"/>
  <c r="AF196" i="3"/>
  <c r="AH196" i="3"/>
  <c r="AJ196" i="3"/>
  <c r="AI558" i="3"/>
  <c r="AI113" i="3"/>
  <c r="AJ170" i="3"/>
  <c r="AL170" i="3"/>
  <c r="AF170" i="3"/>
  <c r="AH170" i="3"/>
  <c r="AH173" i="3"/>
  <c r="W178" i="3"/>
  <c r="Z178" i="3"/>
  <c r="AI178" i="3"/>
  <c r="AF181" i="3"/>
  <c r="AH181" i="3"/>
  <c r="Z184" i="3"/>
  <c r="AI184" i="3"/>
  <c r="W186" i="3"/>
  <c r="Z186" i="3"/>
  <c r="AI186" i="3"/>
  <c r="AJ189" i="3"/>
  <c r="Z191" i="3"/>
  <c r="AE191" i="3"/>
  <c r="AJ202" i="3"/>
  <c r="AF202" i="3"/>
  <c r="AH202" i="3"/>
  <c r="AI208" i="3"/>
  <c r="Z208" i="3"/>
  <c r="AI173" i="3"/>
  <c r="AK173" i="3"/>
  <c r="AF176" i="3"/>
  <c r="AJ176" i="3"/>
  <c r="AE183" i="3"/>
  <c r="X190" i="3"/>
  <c r="Z216" i="3"/>
  <c r="AI216" i="3"/>
  <c r="X94" i="3"/>
  <c r="Z108" i="3"/>
  <c r="AE112" i="3"/>
  <c r="Z115" i="3"/>
  <c r="AE120" i="3"/>
  <c r="X123" i="3"/>
  <c r="AE125" i="3"/>
  <c r="AG125" i="3"/>
  <c r="Z126" i="3"/>
  <c r="X131" i="3"/>
  <c r="AE133" i="3"/>
  <c r="AG133" i="3"/>
  <c r="Z134" i="3"/>
  <c r="X139" i="3"/>
  <c r="AE141" i="3"/>
  <c r="Z142" i="3"/>
  <c r="X147" i="3"/>
  <c r="AE149" i="3"/>
  <c r="Z150" i="3"/>
  <c r="AE154" i="3"/>
  <c r="X157" i="3"/>
  <c r="AE159" i="3"/>
  <c r="AG159" i="3"/>
  <c r="Z160" i="3"/>
  <c r="X165" i="3"/>
  <c r="AE167" i="3"/>
  <c r="AG167" i="3"/>
  <c r="Z168" i="3"/>
  <c r="Z171" i="3"/>
  <c r="AE171" i="3"/>
  <c r="AE176" i="3"/>
  <c r="AG176" i="3"/>
  <c r="Z179" i="3"/>
  <c r="AE179" i="3"/>
  <c r="AE189" i="3"/>
  <c r="AH189" i="3"/>
  <c r="Z190" i="3"/>
  <c r="AE199" i="3"/>
  <c r="Z199" i="3"/>
  <c r="X214" i="3"/>
  <c r="W214" i="3"/>
  <c r="Z214" i="3"/>
  <c r="AI214" i="3"/>
  <c r="AE214" i="3"/>
  <c r="AF165" i="3"/>
  <c r="AH165" i="3"/>
  <c r="AJ165" i="3"/>
  <c r="AL165" i="3"/>
  <c r="AJ249" i="3"/>
  <c r="AL249" i="3"/>
  <c r="AF249" i="3"/>
  <c r="AH249" i="3"/>
  <c r="AI561" i="3"/>
  <c r="AE123" i="3"/>
  <c r="Z124" i="3"/>
  <c r="AE131" i="3"/>
  <c r="AG131" i="3"/>
  <c r="Z132" i="3"/>
  <c r="AE139" i="3"/>
  <c r="AG139" i="3"/>
  <c r="Z140" i="3"/>
  <c r="AE147" i="3"/>
  <c r="AG147" i="3"/>
  <c r="Z148" i="3"/>
  <c r="AE157" i="3"/>
  <c r="AG157" i="3"/>
  <c r="Z158" i="3"/>
  <c r="AE165" i="3"/>
  <c r="Z166" i="3"/>
  <c r="W174" i="3"/>
  <c r="Z174" i="3"/>
  <c r="AI174" i="3"/>
  <c r="AI189" i="3"/>
  <c r="AI191" i="3"/>
  <c r="Z187" i="3"/>
  <c r="AE188" i="3"/>
  <c r="W188" i="3"/>
  <c r="Z193" i="3"/>
  <c r="W210" i="3"/>
  <c r="Z210" i="3"/>
  <c r="AI210" i="3"/>
  <c r="AE219" i="3"/>
  <c r="Z219" i="3"/>
  <c r="AE228" i="3"/>
  <c r="AK249" i="3"/>
  <c r="Z252" i="3"/>
  <c r="AJ255" i="3"/>
  <c r="AF255" i="3"/>
  <c r="AJ270" i="3"/>
  <c r="AF270" i="3"/>
  <c r="AH270" i="3"/>
  <c r="AE208" i="3"/>
  <c r="Z264" i="3"/>
  <c r="AE268" i="3"/>
  <c r="X268" i="3"/>
  <c r="AI268" i="3"/>
  <c r="W268" i="3"/>
  <c r="Z268" i="3"/>
  <c r="AF277" i="3"/>
  <c r="AJ277" i="3"/>
  <c r="AE331" i="3"/>
  <c r="W331" i="3"/>
  <c r="Z331" i="3"/>
  <c r="AI331" i="3"/>
  <c r="AE559" i="3"/>
  <c r="AE215" i="3"/>
  <c r="Z215" i="3"/>
  <c r="AE224" i="3"/>
  <c r="AG233" i="3"/>
  <c r="AE253" i="3"/>
  <c r="AE560" i="3"/>
  <c r="AI253" i="3"/>
  <c r="W253" i="3"/>
  <c r="Z253" i="3"/>
  <c r="AJ321" i="3"/>
  <c r="AL321" i="3"/>
  <c r="AF321" i="3"/>
  <c r="AH321" i="3"/>
  <c r="AF227" i="3"/>
  <c r="AJ227" i="3"/>
  <c r="X230" i="3"/>
  <c r="AJ241" i="3"/>
  <c r="AF241" i="3"/>
  <c r="AH241" i="3"/>
  <c r="AK244" i="3"/>
  <c r="AJ257" i="3"/>
  <c r="AL257" i="3"/>
  <c r="AF257" i="3"/>
  <c r="AH257" i="3"/>
  <c r="AK260" i="3"/>
  <c r="X278" i="3"/>
  <c r="Z278" i="3"/>
  <c r="Z376" i="3"/>
  <c r="AI376" i="3"/>
  <c r="Z185" i="3"/>
  <c r="Z195" i="3"/>
  <c r="AE196" i="3"/>
  <c r="W196" i="3"/>
  <c r="X196" i="3"/>
  <c r="AE200" i="3"/>
  <c r="W200" i="3"/>
  <c r="AE204" i="3"/>
  <c r="W204" i="3"/>
  <c r="AE207" i="3"/>
  <c r="Z207" i="3"/>
  <c r="Z232" i="3"/>
  <c r="AJ244" i="3"/>
  <c r="AL244" i="3"/>
  <c r="AF244" i="3"/>
  <c r="AJ260" i="3"/>
  <c r="AL260" i="3"/>
  <c r="AF260" i="3"/>
  <c r="AJ263" i="3"/>
  <c r="AL263" i="3"/>
  <c r="AF263" i="3"/>
  <c r="Z290" i="3"/>
  <c r="X290" i="3"/>
  <c r="X198" i="3"/>
  <c r="W198" i="3"/>
  <c r="Z198" i="3"/>
  <c r="AI198" i="3"/>
  <c r="X202" i="3"/>
  <c r="W202" i="3"/>
  <c r="AI202" i="3"/>
  <c r="AK202" i="3"/>
  <c r="X206" i="3"/>
  <c r="W206" i="3"/>
  <c r="Z206" i="3"/>
  <c r="AI206" i="3"/>
  <c r="AI215" i="3"/>
  <c r="AI224" i="3"/>
  <c r="AI232" i="3"/>
  <c r="AE240" i="3"/>
  <c r="AE307" i="3"/>
  <c r="W307" i="3"/>
  <c r="AI307" i="3"/>
  <c r="AE203" i="3"/>
  <c r="Z203" i="3"/>
  <c r="AE216" i="3"/>
  <c r="AE223" i="3"/>
  <c r="Z223" i="3"/>
  <c r="AJ233" i="3"/>
  <c r="AL233" i="3"/>
  <c r="AF233" i="3"/>
  <c r="AH233" i="3"/>
  <c r="AE245" i="3"/>
  <c r="AI245" i="3"/>
  <c r="W245" i="3"/>
  <c r="Z245" i="3"/>
  <c r="AE261" i="3"/>
  <c r="AI261" i="3"/>
  <c r="Z261" i="3"/>
  <c r="W261" i="3"/>
  <c r="X261" i="3"/>
  <c r="AJ267" i="3"/>
  <c r="AF267" i="3"/>
  <c r="AH267" i="3"/>
  <c r="AJ274" i="3"/>
  <c r="AL274" i="3"/>
  <c r="AF274" i="3"/>
  <c r="AH274" i="3"/>
  <c r="AJ297" i="3"/>
  <c r="AL297" i="3"/>
  <c r="AF297" i="3"/>
  <c r="AH297" i="3"/>
  <c r="Z197" i="3"/>
  <c r="Z201" i="3"/>
  <c r="Z205" i="3"/>
  <c r="W208" i="3"/>
  <c r="X208" i="3"/>
  <c r="Z209" i="3"/>
  <c r="W212" i="3"/>
  <c r="Z213" i="3"/>
  <c r="W216" i="3"/>
  <c r="X216" i="3"/>
  <c r="Z217" i="3"/>
  <c r="W220" i="3"/>
  <c r="X220" i="3"/>
  <c r="Z221" i="3"/>
  <c r="W224" i="3"/>
  <c r="X224" i="3"/>
  <c r="Z225" i="3"/>
  <c r="W228" i="3"/>
  <c r="X228" i="3"/>
  <c r="Z229" i="3"/>
  <c r="W232" i="3"/>
  <c r="W236" i="3"/>
  <c r="Z236" i="3"/>
  <c r="Z237" i="3"/>
  <c r="W240" i="3"/>
  <c r="X240" i="3"/>
  <c r="W242" i="3"/>
  <c r="W250" i="3"/>
  <c r="W258" i="3"/>
  <c r="AE269" i="3"/>
  <c r="AE273" i="3"/>
  <c r="AE283" i="3"/>
  <c r="X283" i="3"/>
  <c r="W283" i="3"/>
  <c r="Z283" i="3"/>
  <c r="AI283" i="3"/>
  <c r="AG286" i="3"/>
  <c r="Z294" i="3"/>
  <c r="X294" i="3"/>
  <c r="AJ301" i="3"/>
  <c r="AL301" i="3"/>
  <c r="AF301" i="3"/>
  <c r="AH301" i="3"/>
  <c r="AG313" i="3"/>
  <c r="Z318" i="3"/>
  <c r="X318" i="3"/>
  <c r="AJ325" i="3"/>
  <c r="AL325" i="3"/>
  <c r="AF325" i="3"/>
  <c r="AH325" i="3"/>
  <c r="AE335" i="3"/>
  <c r="W335" i="3"/>
  <c r="X335" i="3"/>
  <c r="AI335" i="3"/>
  <c r="W342" i="3"/>
  <c r="Z342" i="3"/>
  <c r="AI342" i="3"/>
  <c r="AE342" i="3"/>
  <c r="X342" i="3"/>
  <c r="AI231" i="3"/>
  <c r="X232" i="3"/>
  <c r="AI235" i="3"/>
  <c r="AI548" i="3"/>
  <c r="X236" i="3"/>
  <c r="AI239" i="3"/>
  <c r="AE248" i="3"/>
  <c r="AE264" i="3"/>
  <c r="X264" i="3"/>
  <c r="AE272" i="3"/>
  <c r="AE276" i="3"/>
  <c r="Z298" i="3"/>
  <c r="X298" i="3"/>
  <c r="AJ305" i="3"/>
  <c r="AL305" i="3"/>
  <c r="AF305" i="3"/>
  <c r="AH305" i="3"/>
  <c r="AE311" i="3"/>
  <c r="W311" i="3"/>
  <c r="AI311" i="3"/>
  <c r="AG314" i="3"/>
  <c r="Z322" i="3"/>
  <c r="X322" i="3"/>
  <c r="AJ329" i="3"/>
  <c r="AL329" i="3"/>
  <c r="AF329" i="3"/>
  <c r="AH329" i="3"/>
  <c r="Z335" i="3"/>
  <c r="W346" i="3"/>
  <c r="Z346" i="3"/>
  <c r="AI346" i="3"/>
  <c r="AE346" i="3"/>
  <c r="X346" i="3"/>
  <c r="W354" i="3"/>
  <c r="Z354" i="3"/>
  <c r="AI354" i="3"/>
  <c r="AE354" i="3"/>
  <c r="Z360" i="3"/>
  <c r="AI243" i="3"/>
  <c r="X251" i="3"/>
  <c r="AI251" i="3"/>
  <c r="AE256" i="3"/>
  <c r="AK256" i="3"/>
  <c r="AI259" i="3"/>
  <c r="AG265" i="3"/>
  <c r="W271" i="3"/>
  <c r="Z271" i="3"/>
  <c r="AI271" i="3"/>
  <c r="Z272" i="3"/>
  <c r="W275" i="3"/>
  <c r="Z275" i="3"/>
  <c r="AI275" i="3"/>
  <c r="AJ281" i="3"/>
  <c r="AL281" i="3"/>
  <c r="AF281" i="3"/>
  <c r="AH281" i="3"/>
  <c r="AE287" i="3"/>
  <c r="W287" i="3"/>
  <c r="Z287" i="3"/>
  <c r="AI287" i="3"/>
  <c r="Z302" i="3"/>
  <c r="X302" i="3"/>
  <c r="AJ309" i="3"/>
  <c r="AF309" i="3"/>
  <c r="AH309" i="3"/>
  <c r="Z326" i="3"/>
  <c r="X326" i="3"/>
  <c r="AJ333" i="3"/>
  <c r="AF333" i="3"/>
  <c r="AG339" i="3"/>
  <c r="Z382" i="3"/>
  <c r="X382" i="3"/>
  <c r="AI218" i="3"/>
  <c r="AI222" i="3"/>
  <c r="AI226" i="3"/>
  <c r="AI230" i="3"/>
  <c r="AI234" i="3"/>
  <c r="AI238" i="3"/>
  <c r="AG241" i="3"/>
  <c r="AE242" i="3"/>
  <c r="AF247" i="3"/>
  <c r="W248" i="3"/>
  <c r="X248" i="3"/>
  <c r="AG249" i="3"/>
  <c r="AE250" i="3"/>
  <c r="AE258" i="3"/>
  <c r="W264" i="3"/>
  <c r="X270" i="3"/>
  <c r="W272" i="3"/>
  <c r="X272" i="3"/>
  <c r="X274" i="3"/>
  <c r="W276" i="3"/>
  <c r="Z276" i="3"/>
  <c r="AI280" i="3"/>
  <c r="AE280" i="3"/>
  <c r="Z280" i="3"/>
  <c r="X280" i="3"/>
  <c r="AJ285" i="3"/>
  <c r="AL285" i="3"/>
  <c r="AF285" i="3"/>
  <c r="AH285" i="3"/>
  <c r="AE291" i="3"/>
  <c r="W291" i="3"/>
  <c r="Z291" i="3"/>
  <c r="AI291" i="3"/>
  <c r="AG297" i="3"/>
  <c r="Z306" i="3"/>
  <c r="X306" i="3"/>
  <c r="AE315" i="3"/>
  <c r="X315" i="3"/>
  <c r="W315" i="3"/>
  <c r="Z315" i="3"/>
  <c r="AI315" i="3"/>
  <c r="AK317" i="3"/>
  <c r="Z330" i="3"/>
  <c r="X330" i="3"/>
  <c r="W218" i="3"/>
  <c r="Z218" i="3"/>
  <c r="W222" i="3"/>
  <c r="W226" i="3"/>
  <c r="W230" i="3"/>
  <c r="Z230" i="3"/>
  <c r="Z231" i="3"/>
  <c r="W234" i="3"/>
  <c r="Z234" i="3"/>
  <c r="Z235" i="3"/>
  <c r="W238" i="3"/>
  <c r="Z238" i="3"/>
  <c r="Z239" i="3"/>
  <c r="W243" i="3"/>
  <c r="Z243" i="3"/>
  <c r="W246" i="3"/>
  <c r="Z246" i="3"/>
  <c r="W251" i="3"/>
  <c r="Z251" i="3"/>
  <c r="W254" i="3"/>
  <c r="Z254" i="3"/>
  <c r="Z256" i="3"/>
  <c r="W259" i="3"/>
  <c r="Z259" i="3"/>
  <c r="W262" i="3"/>
  <c r="Z262" i="3"/>
  <c r="W266" i="3"/>
  <c r="AI266" i="3"/>
  <c r="Z269" i="3"/>
  <c r="AE271" i="3"/>
  <c r="Z273" i="3"/>
  <c r="AE275" i="3"/>
  <c r="Z282" i="3"/>
  <c r="X282" i="3"/>
  <c r="AE295" i="3"/>
  <c r="X295" i="3"/>
  <c r="W295" i="3"/>
  <c r="Z295" i="3"/>
  <c r="AI295" i="3"/>
  <c r="AK297" i="3"/>
  <c r="AG301" i="3"/>
  <c r="AL309" i="3"/>
  <c r="AJ313" i="3"/>
  <c r="AL313" i="3"/>
  <c r="AF313" i="3"/>
  <c r="AH313" i="3"/>
  <c r="AE319" i="3"/>
  <c r="X319" i="3"/>
  <c r="W319" i="3"/>
  <c r="Z319" i="3"/>
  <c r="AI319" i="3"/>
  <c r="AK321" i="3"/>
  <c r="AG325" i="3"/>
  <c r="Z334" i="3"/>
  <c r="X334" i="3"/>
  <c r="Z336" i="3"/>
  <c r="AF338" i="3"/>
  <c r="AH338" i="3"/>
  <c r="AJ338" i="3"/>
  <c r="AL338" i="3"/>
  <c r="AE340" i="3"/>
  <c r="X340" i="3"/>
  <c r="W340" i="3"/>
  <c r="Z340" i="3"/>
  <c r="AI340" i="3"/>
  <c r="Z361" i="3"/>
  <c r="AI361" i="3"/>
  <c r="AE244" i="3"/>
  <c r="AG244" i="3"/>
  <c r="X244" i="3"/>
  <c r="X246" i="3"/>
  <c r="AE252" i="3"/>
  <c r="X252" i="3"/>
  <c r="X254" i="3"/>
  <c r="AE260" i="3"/>
  <c r="AG260" i="3"/>
  <c r="X260" i="3"/>
  <c r="AG270" i="3"/>
  <c r="AG274" i="3"/>
  <c r="AI276" i="3"/>
  <c r="AJ289" i="3"/>
  <c r="AL289" i="3"/>
  <c r="AF289" i="3"/>
  <c r="AH289" i="3"/>
  <c r="AE299" i="3"/>
  <c r="W299" i="3"/>
  <c r="Z299" i="3"/>
  <c r="AI299" i="3"/>
  <c r="AG305" i="3"/>
  <c r="Z310" i="3"/>
  <c r="X310" i="3"/>
  <c r="AE323" i="3"/>
  <c r="X323" i="3"/>
  <c r="W323" i="3"/>
  <c r="Z323" i="3"/>
  <c r="AI323" i="3"/>
  <c r="AG329" i="3"/>
  <c r="AE243" i="3"/>
  <c r="X247" i="3"/>
  <c r="AI247" i="3"/>
  <c r="AE251" i="3"/>
  <c r="X255" i="3"/>
  <c r="AI255" i="3"/>
  <c r="AK255" i="3"/>
  <c r="AE259" i="3"/>
  <c r="X263" i="3"/>
  <c r="AI263" i="3"/>
  <c r="X267" i="3"/>
  <c r="AI267" i="3"/>
  <c r="AK267" i="3"/>
  <c r="AI272" i="3"/>
  <c r="AE279" i="3"/>
  <c r="W279" i="3"/>
  <c r="Z279" i="3"/>
  <c r="AI279" i="3"/>
  <c r="AJ293" i="3"/>
  <c r="AL293" i="3"/>
  <c r="AF293" i="3"/>
  <c r="AH293" i="3"/>
  <c r="AE303" i="3"/>
  <c r="X303" i="3"/>
  <c r="W303" i="3"/>
  <c r="Z303" i="3"/>
  <c r="AI303" i="3"/>
  <c r="AK305" i="3"/>
  <c r="AJ317" i="3"/>
  <c r="AL317" i="3"/>
  <c r="AF317" i="3"/>
  <c r="AH317" i="3"/>
  <c r="AE327" i="3"/>
  <c r="X327" i="3"/>
  <c r="W327" i="3"/>
  <c r="Z327" i="3"/>
  <c r="AI327" i="3"/>
  <c r="AK329" i="3"/>
  <c r="AE341" i="3"/>
  <c r="AI341" i="3"/>
  <c r="W341" i="3"/>
  <c r="X341" i="3"/>
  <c r="X284" i="3"/>
  <c r="X288" i="3"/>
  <c r="X292" i="3"/>
  <c r="X296" i="3"/>
  <c r="X300" i="3"/>
  <c r="X304" i="3"/>
  <c r="X308" i="3"/>
  <c r="X312" i="3"/>
  <c r="X316" i="3"/>
  <c r="X320" i="3"/>
  <c r="X324" i="3"/>
  <c r="X328" i="3"/>
  <c r="X332" i="3"/>
  <c r="AE333" i="3"/>
  <c r="AG333" i="3"/>
  <c r="X343" i="3"/>
  <c r="AE344" i="3"/>
  <c r="W344" i="3"/>
  <c r="Z344" i="3"/>
  <c r="Z345" i="3"/>
  <c r="AJ351" i="3"/>
  <c r="AE353" i="3"/>
  <c r="Z355" i="3"/>
  <c r="X355" i="3"/>
  <c r="AI357" i="3"/>
  <c r="AK357" i="3"/>
  <c r="AE360" i="3"/>
  <c r="AE364" i="3"/>
  <c r="AE550" i="3"/>
  <c r="AF453" i="3"/>
  <c r="AH453" i="3"/>
  <c r="AJ453" i="3"/>
  <c r="AL453" i="3"/>
  <c r="Z284" i="3"/>
  <c r="Z288" i="3"/>
  <c r="Z292" i="3"/>
  <c r="Z296" i="3"/>
  <c r="Z300" i="3"/>
  <c r="Z304" i="3"/>
  <c r="Z308" i="3"/>
  <c r="Z312" i="3"/>
  <c r="Z316" i="3"/>
  <c r="Z320" i="3"/>
  <c r="Z324" i="3"/>
  <c r="Z328" i="3"/>
  <c r="Z332" i="3"/>
  <c r="AF349" i="3"/>
  <c r="AH349" i="3"/>
  <c r="AI270" i="3"/>
  <c r="AK270" i="3"/>
  <c r="AI274" i="3"/>
  <c r="AI278" i="3"/>
  <c r="AI282" i="3"/>
  <c r="AI286" i="3"/>
  <c r="AK286" i="3"/>
  <c r="AI290" i="3"/>
  <c r="AI294" i="3"/>
  <c r="AI298" i="3"/>
  <c r="AI302" i="3"/>
  <c r="AI306" i="3"/>
  <c r="AI310" i="3"/>
  <c r="AI314" i="3"/>
  <c r="AI318" i="3"/>
  <c r="AI322" i="3"/>
  <c r="AI326" i="3"/>
  <c r="AI330" i="3"/>
  <c r="AI334" i="3"/>
  <c r="AI349" i="3"/>
  <c r="AK349" i="3"/>
  <c r="W358" i="3"/>
  <c r="AI358" i="3"/>
  <c r="AI364" i="3"/>
  <c r="AF371" i="3"/>
  <c r="AJ371" i="3"/>
  <c r="AL371" i="3"/>
  <c r="W399" i="3"/>
  <c r="AI399" i="3"/>
  <c r="AE399" i="3"/>
  <c r="X399" i="3"/>
  <c r="W403" i="3"/>
  <c r="Z403" i="3"/>
  <c r="AE403" i="3"/>
  <c r="X403" i="3"/>
  <c r="AI403" i="3"/>
  <c r="Z490" i="3"/>
  <c r="AE490" i="3"/>
  <c r="W337" i="3"/>
  <c r="X337" i="3"/>
  <c r="X351" i="3"/>
  <c r="AE357" i="3"/>
  <c r="AG357" i="3"/>
  <c r="Z359" i="3"/>
  <c r="X359" i="3"/>
  <c r="X363" i="3"/>
  <c r="AF375" i="3"/>
  <c r="AJ375" i="3"/>
  <c r="AK383" i="3"/>
  <c r="AJ384" i="3"/>
  <c r="AL384" i="3"/>
  <c r="AF384" i="3"/>
  <c r="W350" i="3"/>
  <c r="Z350" i="3"/>
  <c r="AI350" i="3"/>
  <c r="AL357" i="3"/>
  <c r="AF379" i="3"/>
  <c r="AJ379" i="3"/>
  <c r="AE385" i="3"/>
  <c r="W385" i="3"/>
  <c r="Z385" i="3"/>
  <c r="AI385" i="3"/>
  <c r="AE394" i="3"/>
  <c r="AI394" i="3"/>
  <c r="W394" i="3"/>
  <c r="X394" i="3"/>
  <c r="AH414" i="3"/>
  <c r="AG414" i="3"/>
  <c r="X336" i="3"/>
  <c r="AI336" i="3"/>
  <c r="X338" i="3"/>
  <c r="X339" i="3"/>
  <c r="AG343" i="3"/>
  <c r="AL347" i="3"/>
  <c r="AE349" i="3"/>
  <c r="AH351" i="3"/>
  <c r="AE356" i="3"/>
  <c r="Z362" i="3"/>
  <c r="AK362" i="3"/>
  <c r="AF363" i="3"/>
  <c r="AJ363" i="3"/>
  <c r="AL363" i="3"/>
  <c r="AE372" i="3"/>
  <c r="Z374" i="3"/>
  <c r="X374" i="3"/>
  <c r="AF383" i="3"/>
  <c r="AH383" i="3"/>
  <c r="AJ383" i="3"/>
  <c r="AL383" i="3"/>
  <c r="AK401" i="3"/>
  <c r="AG409" i="3"/>
  <c r="AL343" i="3"/>
  <c r="X350" i="3"/>
  <c r="AE361" i="3"/>
  <c r="Z372" i="3"/>
  <c r="AE376" i="3"/>
  <c r="Z378" i="3"/>
  <c r="X378" i="3"/>
  <c r="AG383" i="3"/>
  <c r="W348" i="3"/>
  <c r="Z348" i="3"/>
  <c r="W352" i="3"/>
  <c r="Z352" i="3"/>
  <c r="Z353" i="3"/>
  <c r="W356" i="3"/>
  <c r="Z356" i="3"/>
  <c r="W360" i="3"/>
  <c r="W364" i="3"/>
  <c r="Z364" i="3"/>
  <c r="Z365" i="3"/>
  <c r="W368" i="3"/>
  <c r="Z368" i="3"/>
  <c r="Z369" i="3"/>
  <c r="W372" i="3"/>
  <c r="Z373" i="3"/>
  <c r="W376" i="3"/>
  <c r="Z377" i="3"/>
  <c r="W380" i="3"/>
  <c r="X380" i="3"/>
  <c r="Z381" i="3"/>
  <c r="AE384" i="3"/>
  <c r="AG384" i="3"/>
  <c r="Z394" i="3"/>
  <c r="AE395" i="3"/>
  <c r="AG395" i="3"/>
  <c r="W407" i="3"/>
  <c r="X407" i="3"/>
  <c r="AI407" i="3"/>
  <c r="AE407" i="3"/>
  <c r="AK409" i="3"/>
  <c r="W411" i="3"/>
  <c r="AE411" i="3"/>
  <c r="X411" i="3"/>
  <c r="AI411" i="3"/>
  <c r="AK414" i="3"/>
  <c r="AE473" i="3"/>
  <c r="W473" i="3"/>
  <c r="Z473" i="3"/>
  <c r="X473" i="3"/>
  <c r="AI473" i="3"/>
  <c r="AI339" i="3"/>
  <c r="AK339" i="3"/>
  <c r="AI343" i="3"/>
  <c r="AK343" i="3"/>
  <c r="AI347" i="3"/>
  <c r="AK347" i="3"/>
  <c r="AI351" i="3"/>
  <c r="AK351" i="3"/>
  <c r="X352" i="3"/>
  <c r="X356" i="3"/>
  <c r="X360" i="3"/>
  <c r="AI363" i="3"/>
  <c r="AI367" i="3"/>
  <c r="AK367" i="3"/>
  <c r="X368" i="3"/>
  <c r="AI371" i="3"/>
  <c r="X372" i="3"/>
  <c r="AI375" i="3"/>
  <c r="AK375" i="3"/>
  <c r="X376" i="3"/>
  <c r="AI379" i="3"/>
  <c r="AK379" i="3"/>
  <c r="AE386" i="3"/>
  <c r="Z386" i="3"/>
  <c r="AE393" i="3"/>
  <c r="W393" i="3"/>
  <c r="Z393" i="3"/>
  <c r="AI393" i="3"/>
  <c r="AI395" i="3"/>
  <c r="AK395" i="3"/>
  <c r="AG398" i="3"/>
  <c r="Z415" i="3"/>
  <c r="AK415" i="3"/>
  <c r="AE415" i="3"/>
  <c r="AK417" i="3"/>
  <c r="AI387" i="3"/>
  <c r="AE387" i="3"/>
  <c r="AI391" i="3"/>
  <c r="AE391" i="3"/>
  <c r="AK392" i="3"/>
  <c r="Z423" i="3"/>
  <c r="AI423" i="3"/>
  <c r="AE423" i="3"/>
  <c r="AI366" i="3"/>
  <c r="AI370" i="3"/>
  <c r="AI374" i="3"/>
  <c r="AI378" i="3"/>
  <c r="AI382" i="3"/>
  <c r="X383" i="3"/>
  <c r="W386" i="3"/>
  <c r="X386" i="3"/>
  <c r="AE390" i="3"/>
  <c r="X390" i="3"/>
  <c r="X396" i="3"/>
  <c r="W396" i="3"/>
  <c r="Z397" i="3"/>
  <c r="AF417" i="3"/>
  <c r="AJ417" i="3"/>
  <c r="AL417" i="3"/>
  <c r="AF425" i="3"/>
  <c r="AJ425" i="3"/>
  <c r="AL425" i="3"/>
  <c r="AF433" i="3"/>
  <c r="AJ433" i="3"/>
  <c r="Z497" i="3"/>
  <c r="AE497" i="3"/>
  <c r="W366" i="3"/>
  <c r="Z366" i="3"/>
  <c r="W370" i="3"/>
  <c r="Z370" i="3"/>
  <c r="W387" i="3"/>
  <c r="AI550" i="3"/>
  <c r="AE389" i="3"/>
  <c r="W389" i="3"/>
  <c r="Z389" i="3"/>
  <c r="AI389" i="3"/>
  <c r="Z390" i="3"/>
  <c r="W391" i="3"/>
  <c r="Z391" i="3"/>
  <c r="AL398" i="3"/>
  <c r="AI400" i="3"/>
  <c r="AE400" i="3"/>
  <c r="X400" i="3"/>
  <c r="AF401" i="3"/>
  <c r="AH401" i="3"/>
  <c r="AJ401" i="3"/>
  <c r="AL401" i="3"/>
  <c r="Z402" i="3"/>
  <c r="AE405" i="3"/>
  <c r="Z405" i="3"/>
  <c r="AL406" i="3"/>
  <c r="AI439" i="3"/>
  <c r="AE439" i="3"/>
  <c r="Z439" i="3"/>
  <c r="W439" i="3"/>
  <c r="X439" i="3"/>
  <c r="AJ460" i="3"/>
  <c r="AF460" i="3"/>
  <c r="AJ395" i="3"/>
  <c r="AF395" i="3"/>
  <c r="AI408" i="3"/>
  <c r="AE408" i="3"/>
  <c r="X408" i="3"/>
  <c r="AF409" i="3"/>
  <c r="AH409" i="3"/>
  <c r="AJ409" i="3"/>
  <c r="AL409" i="3"/>
  <c r="AJ410" i="3"/>
  <c r="AL410" i="3"/>
  <c r="AF410" i="3"/>
  <c r="AH410" i="3"/>
  <c r="AE413" i="3"/>
  <c r="Z413" i="3"/>
  <c r="AE434" i="3"/>
  <c r="W434" i="3"/>
  <c r="Z434" i="3"/>
  <c r="AI434" i="3"/>
  <c r="Z388" i="3"/>
  <c r="AH406" i="3"/>
  <c r="AG406" i="3"/>
  <c r="AK410" i="3"/>
  <c r="AJ422" i="3"/>
  <c r="AL422" i="3"/>
  <c r="AF422" i="3"/>
  <c r="AH422" i="3"/>
  <c r="Z400" i="3"/>
  <c r="Z408" i="3"/>
  <c r="AI444" i="3"/>
  <c r="W444" i="3"/>
  <c r="Z444" i="3"/>
  <c r="AE444" i="3"/>
  <c r="AE458" i="3"/>
  <c r="W458" i="3"/>
  <c r="X458" i="3"/>
  <c r="AI458" i="3"/>
  <c r="AK459" i="3"/>
  <c r="AE470" i="3"/>
  <c r="W470" i="3"/>
  <c r="Z470" i="3"/>
  <c r="AI470" i="3"/>
  <c r="AI480" i="3"/>
  <c r="AE480" i="3"/>
  <c r="Z480" i="3"/>
  <c r="Z492" i="3"/>
  <c r="AE492" i="3"/>
  <c r="AI492" i="3"/>
  <c r="W509" i="3"/>
  <c r="X509" i="3"/>
  <c r="AE509" i="3"/>
  <c r="AI509" i="3"/>
  <c r="AI516" i="3"/>
  <c r="AE516" i="3"/>
  <c r="Z516" i="3"/>
  <c r="Z424" i="3"/>
  <c r="AI432" i="3"/>
  <c r="AE432" i="3"/>
  <c r="AJ451" i="3"/>
  <c r="AF451" i="3"/>
  <c r="AH451" i="3"/>
  <c r="AK464" i="3"/>
  <c r="AE465" i="3"/>
  <c r="Z465" i="3"/>
  <c r="AI465" i="3"/>
  <c r="AF468" i="3"/>
  <c r="AH468" i="3"/>
  <c r="AL468" i="3"/>
  <c r="W478" i="3"/>
  <c r="Z478" i="3"/>
  <c r="AI478" i="3"/>
  <c r="AF499" i="3"/>
  <c r="AJ499" i="3"/>
  <c r="AL499" i="3"/>
  <c r="Z509" i="3"/>
  <c r="Z396" i="3"/>
  <c r="Z411" i="3"/>
  <c r="W416" i="3"/>
  <c r="Z416" i="3"/>
  <c r="Z418" i="3"/>
  <c r="AI422" i="3"/>
  <c r="W424" i="3"/>
  <c r="Z426" i="3"/>
  <c r="AE430" i="3"/>
  <c r="W430" i="3"/>
  <c r="Z430" i="3"/>
  <c r="AK431" i="3"/>
  <c r="AF435" i="3"/>
  <c r="AH435" i="3"/>
  <c r="AJ447" i="3"/>
  <c r="AL447" i="3"/>
  <c r="AF447" i="3"/>
  <c r="AH447" i="3"/>
  <c r="AJ449" i="3"/>
  <c r="AE454" i="3"/>
  <c r="W454" i="3"/>
  <c r="X454" i="3"/>
  <c r="AI454" i="3"/>
  <c r="W461" i="3"/>
  <c r="Z461" i="3"/>
  <c r="AE461" i="3"/>
  <c r="AI461" i="3"/>
  <c r="AG468" i="3"/>
  <c r="AI468" i="3"/>
  <c r="W474" i="3"/>
  <c r="X474" i="3"/>
  <c r="AE474" i="3"/>
  <c r="AI474" i="3"/>
  <c r="AK484" i="3"/>
  <c r="AE496" i="3"/>
  <c r="Z496" i="3"/>
  <c r="X499" i="3"/>
  <c r="Z504" i="3"/>
  <c r="X504" i="3"/>
  <c r="X416" i="3"/>
  <c r="AE418" i="3"/>
  <c r="Z419" i="3"/>
  <c r="Z421" i="3"/>
  <c r="X424" i="3"/>
  <c r="AE426" i="3"/>
  <c r="Z427" i="3"/>
  <c r="AI428" i="3"/>
  <c r="Z429" i="3"/>
  <c r="W432" i="3"/>
  <c r="Z432" i="3"/>
  <c r="AE437" i="3"/>
  <c r="AE450" i="3"/>
  <c r="AI450" i="3"/>
  <c r="W450" i="3"/>
  <c r="X450" i="3"/>
  <c r="AE451" i="3"/>
  <c r="AK453" i="3"/>
  <c r="AJ468" i="3"/>
  <c r="AE478" i="3"/>
  <c r="Z491" i="3"/>
  <c r="AJ520" i="3"/>
  <c r="AF520" i="3"/>
  <c r="AH520" i="3"/>
  <c r="Z404" i="3"/>
  <c r="Z412" i="3"/>
  <c r="Z420" i="3"/>
  <c r="AE421" i="3"/>
  <c r="AE429" i="3"/>
  <c r="AI436" i="3"/>
  <c r="X436" i="3"/>
  <c r="Z437" i="3"/>
  <c r="X441" i="3"/>
  <c r="AE441" i="3"/>
  <c r="AI441" i="3"/>
  <c r="Z446" i="3"/>
  <c r="AI446" i="3"/>
  <c r="AE466" i="3"/>
  <c r="W466" i="3"/>
  <c r="AI466" i="3"/>
  <c r="W471" i="3"/>
  <c r="Z471" i="3"/>
  <c r="AE471" i="3"/>
  <c r="AJ472" i="3"/>
  <c r="AF472" i="3"/>
  <c r="AG476" i="3"/>
  <c r="AI479" i="3"/>
  <c r="X479" i="3"/>
  <c r="W479" i="3"/>
  <c r="Z479" i="3"/>
  <c r="AE479" i="3"/>
  <c r="AI481" i="3"/>
  <c r="Z493" i="3"/>
  <c r="AE503" i="3"/>
  <c r="Z503" i="3"/>
  <c r="Z428" i="3"/>
  <c r="AK435" i="3"/>
  <c r="AE457" i="3"/>
  <c r="Z457" i="3"/>
  <c r="AI457" i="3"/>
  <c r="AH459" i="3"/>
  <c r="AE469" i="3"/>
  <c r="AI469" i="3"/>
  <c r="AI475" i="3"/>
  <c r="W475" i="3"/>
  <c r="Z475" i="3"/>
  <c r="AE475" i="3"/>
  <c r="AF515" i="3"/>
  <c r="AJ515" i="3"/>
  <c r="Z399" i="3"/>
  <c r="Z407" i="3"/>
  <c r="W420" i="3"/>
  <c r="X420" i="3"/>
  <c r="AF431" i="3"/>
  <c r="AH431" i="3"/>
  <c r="W436" i="3"/>
  <c r="Z436" i="3"/>
  <c r="AI440" i="3"/>
  <c r="W440" i="3"/>
  <c r="Z440" i="3"/>
  <c r="W441" i="3"/>
  <c r="Z441" i="3"/>
  <c r="AH442" i="3"/>
  <c r="AG449" i="3"/>
  <c r="AE462" i="3"/>
  <c r="W462" i="3"/>
  <c r="X462" i="3"/>
  <c r="AI462" i="3"/>
  <c r="X466" i="3"/>
  <c r="Z469" i="3"/>
  <c r="X471" i="3"/>
  <c r="AE495" i="3"/>
  <c r="Z495" i="3"/>
  <c r="AI495" i="3"/>
  <c r="W505" i="3"/>
  <c r="Z505" i="3"/>
  <c r="AE505" i="3"/>
  <c r="X505" i="3"/>
  <c r="W437" i="3"/>
  <c r="X445" i="3"/>
  <c r="W445" i="3"/>
  <c r="AI448" i="3"/>
  <c r="AE448" i="3"/>
  <c r="Z450" i="3"/>
  <c r="W452" i="3"/>
  <c r="Z452" i="3"/>
  <c r="X459" i="3"/>
  <c r="X467" i="3"/>
  <c r="AF476" i="3"/>
  <c r="AH476" i="3"/>
  <c r="W501" i="3"/>
  <c r="X501" i="3"/>
  <c r="AI501" i="3"/>
  <c r="AE438" i="3"/>
  <c r="W438" i="3"/>
  <c r="AE447" i="3"/>
  <c r="X453" i="3"/>
  <c r="Z455" i="3"/>
  <c r="AE459" i="3"/>
  <c r="AG459" i="3"/>
  <c r="Z463" i="3"/>
  <c r="X487" i="3"/>
  <c r="AI487" i="3"/>
  <c r="W487" i="3"/>
  <c r="Z487" i="3"/>
  <c r="AK499" i="3"/>
  <c r="W510" i="3"/>
  <c r="X510" i="3"/>
  <c r="AE512" i="3"/>
  <c r="AI512" i="3"/>
  <c r="Z512" i="3"/>
  <c r="AE513" i="3"/>
  <c r="Z513" i="3"/>
  <c r="W517" i="3"/>
  <c r="AE517" i="3"/>
  <c r="X517" i="3"/>
  <c r="Z443" i="3"/>
  <c r="Z445" i="3"/>
  <c r="AE446" i="3"/>
  <c r="W448" i="3"/>
  <c r="AI451" i="3"/>
  <c r="AK451" i="3"/>
  <c r="X469" i="3"/>
  <c r="W469" i="3"/>
  <c r="AI476" i="3"/>
  <c r="X480" i="3"/>
  <c r="AE481" i="3"/>
  <c r="W481" i="3"/>
  <c r="X481" i="3"/>
  <c r="W483" i="3"/>
  <c r="AI500" i="3"/>
  <c r="AE500" i="3"/>
  <c r="Z500" i="3"/>
  <c r="AE501" i="3"/>
  <c r="Z517" i="3"/>
  <c r="AG519" i="3"/>
  <c r="AG520" i="3"/>
  <c r="Z454" i="3"/>
  <c r="AH456" i="3"/>
  <c r="Z458" i="3"/>
  <c r="Z462" i="3"/>
  <c r="AH464" i="3"/>
  <c r="Z466" i="3"/>
  <c r="AH484" i="3"/>
  <c r="AI507" i="3"/>
  <c r="X507" i="3"/>
  <c r="Z508" i="3"/>
  <c r="AE508" i="3"/>
  <c r="AI510" i="3"/>
  <c r="AG511" i="3"/>
  <c r="AJ519" i="3"/>
  <c r="AL519" i="3"/>
  <c r="X437" i="3"/>
  <c r="AI452" i="3"/>
  <c r="X452" i="3"/>
  <c r="Z467" i="3"/>
  <c r="Z507" i="3"/>
  <c r="AK511" i="3"/>
  <c r="AE514" i="3"/>
  <c r="X514" i="3"/>
  <c r="W514" i="3"/>
  <c r="Z514" i="3"/>
  <c r="X433" i="3"/>
  <c r="AI433" i="3"/>
  <c r="AK433" i="3"/>
  <c r="AE442" i="3"/>
  <c r="AG442" i="3"/>
  <c r="AI442" i="3"/>
  <c r="AK442" i="3"/>
  <c r="X449" i="3"/>
  <c r="AI449" i="3"/>
  <c r="AK449" i="3"/>
  <c r="X457" i="3"/>
  <c r="W457" i="3"/>
  <c r="X465" i="3"/>
  <c r="W465" i="3"/>
  <c r="AL486" i="3"/>
  <c r="AJ488" i="3"/>
  <c r="AF488" i="3"/>
  <c r="W489" i="3"/>
  <c r="Z489" i="3"/>
  <c r="AE489" i="3"/>
  <c r="W493" i="3"/>
  <c r="X493" i="3"/>
  <c r="W518" i="3"/>
  <c r="Z518" i="3"/>
  <c r="AE518" i="3"/>
  <c r="Z521" i="3"/>
  <c r="AE521" i="3"/>
  <c r="Z474" i="3"/>
  <c r="Z482" i="3"/>
  <c r="X494" i="3"/>
  <c r="Z498" i="3"/>
  <c r="AE498" i="3"/>
  <c r="Z510" i="3"/>
  <c r="X519" i="3"/>
  <c r="AE477" i="3"/>
  <c r="W477" i="3"/>
  <c r="Z485" i="3"/>
  <c r="AI490" i="3"/>
  <c r="Z494" i="3"/>
  <c r="Z502" i="3"/>
  <c r="X503" i="3"/>
  <c r="Z506" i="3"/>
  <c r="AI515" i="3"/>
  <c r="AK515" i="3"/>
  <c r="AI497" i="3"/>
  <c r="AI513" i="3"/>
  <c r="N42" i="2"/>
  <c r="W42" i="2"/>
  <c r="O45" i="4"/>
  <c r="P45" i="4"/>
  <c r="AK72" i="2"/>
  <c r="AG72" i="2"/>
  <c r="AC72" i="2"/>
  <c r="I72" i="2"/>
  <c r="AM69" i="2"/>
  <c r="AL69" i="2"/>
  <c r="AI69" i="2"/>
  <c r="AH69" i="2"/>
  <c r="AE69" i="2"/>
  <c r="AD69" i="2"/>
  <c r="Y69" i="2"/>
  <c r="T69" i="2"/>
  <c r="M69" i="2"/>
  <c r="L69" i="2"/>
  <c r="K69" i="2"/>
  <c r="K70" i="2"/>
  <c r="J69" i="2"/>
  <c r="J70" i="2"/>
  <c r="AM67" i="2"/>
  <c r="AL67" i="2"/>
  <c r="AI67" i="2"/>
  <c r="AH67" i="2"/>
  <c r="AE67" i="2"/>
  <c r="AD67" i="2"/>
  <c r="Y67" i="2"/>
  <c r="AA67" i="2"/>
  <c r="T67" i="2"/>
  <c r="M67" i="2"/>
  <c r="L67" i="2"/>
  <c r="O67" i="2"/>
  <c r="O68" i="2"/>
  <c r="K67" i="2"/>
  <c r="K68" i="2"/>
  <c r="J67" i="2"/>
  <c r="J68" i="2"/>
  <c r="AM65" i="2"/>
  <c r="AL65" i="2"/>
  <c r="AI65" i="2"/>
  <c r="AH65" i="2"/>
  <c r="AE65" i="2"/>
  <c r="AD65" i="2"/>
  <c r="Z65" i="2"/>
  <c r="Y65" i="2"/>
  <c r="AA65" i="2"/>
  <c r="T65" i="2"/>
  <c r="M65" i="2"/>
  <c r="L65" i="2"/>
  <c r="O65" i="2"/>
  <c r="K65" i="2"/>
  <c r="J65" i="2"/>
  <c r="AM64" i="2"/>
  <c r="AL64" i="2"/>
  <c r="AI64" i="2"/>
  <c r="AH64" i="2"/>
  <c r="AE64" i="2"/>
  <c r="AD64" i="2"/>
  <c r="Y64" i="2"/>
  <c r="T64" i="2"/>
  <c r="M64" i="2"/>
  <c r="L64" i="2"/>
  <c r="K64" i="2"/>
  <c r="J64" i="2"/>
  <c r="AM62" i="2"/>
  <c r="AL62" i="2"/>
  <c r="AI62" i="2"/>
  <c r="AH62" i="2"/>
  <c r="AE62" i="2"/>
  <c r="AD62" i="2"/>
  <c r="AA62" i="2"/>
  <c r="Z62" i="2"/>
  <c r="Y62" i="2"/>
  <c r="T62" i="2"/>
  <c r="V62" i="2"/>
  <c r="M62" i="2"/>
  <c r="L62" i="2"/>
  <c r="O62" i="2"/>
  <c r="K62" i="2"/>
  <c r="J62" i="2"/>
  <c r="AM61" i="2"/>
  <c r="AL61" i="2"/>
  <c r="AI61" i="2"/>
  <c r="AH61" i="2"/>
  <c r="AE61" i="2"/>
  <c r="AD61" i="2"/>
  <c r="Y61" i="2"/>
  <c r="T61" i="2"/>
  <c r="M61" i="2"/>
  <c r="L61" i="2"/>
  <c r="O61" i="2"/>
  <c r="K61" i="2"/>
  <c r="J61" i="2"/>
  <c r="AM59" i="2"/>
  <c r="AL59" i="2"/>
  <c r="AI59" i="2"/>
  <c r="AH59" i="2"/>
  <c r="AE59" i="2"/>
  <c r="AD59" i="2"/>
  <c r="AA59" i="2"/>
  <c r="Z59" i="2"/>
  <c r="T59" i="2"/>
  <c r="V59" i="2"/>
  <c r="M59" i="2"/>
  <c r="L59" i="2"/>
  <c r="K59" i="2"/>
  <c r="J59" i="2"/>
  <c r="AM58" i="2"/>
  <c r="AL58" i="2"/>
  <c r="AI58" i="2"/>
  <c r="AH58" i="2"/>
  <c r="AE58" i="2"/>
  <c r="AD58" i="2"/>
  <c r="AA58" i="2"/>
  <c r="Z58" i="2"/>
  <c r="T58" i="2"/>
  <c r="M58" i="2"/>
  <c r="L58" i="2"/>
  <c r="O58" i="2"/>
  <c r="K58" i="2"/>
  <c r="J58" i="2"/>
  <c r="AM57" i="2"/>
  <c r="AL57" i="2"/>
  <c r="AI57" i="2"/>
  <c r="AH57" i="2"/>
  <c r="U57" i="2"/>
  <c r="AE57" i="2"/>
  <c r="AD57" i="2"/>
  <c r="AA57" i="2"/>
  <c r="Z57" i="2"/>
  <c r="T57" i="2"/>
  <c r="M57" i="2"/>
  <c r="L57" i="2"/>
  <c r="K57" i="2"/>
  <c r="K60" i="2"/>
  <c r="J57" i="2"/>
  <c r="AM55" i="2"/>
  <c r="AL55" i="2"/>
  <c r="AI55" i="2"/>
  <c r="AH55" i="2"/>
  <c r="AE55" i="2"/>
  <c r="AD55" i="2"/>
  <c r="AA55" i="2"/>
  <c r="Z55" i="2"/>
  <c r="T55" i="2"/>
  <c r="M55" i="2"/>
  <c r="V55" i="2"/>
  <c r="L55" i="2"/>
  <c r="N55" i="2"/>
  <c r="K55" i="2"/>
  <c r="J55" i="2"/>
  <c r="AM54" i="2"/>
  <c r="AL54" i="2"/>
  <c r="AI54" i="2"/>
  <c r="AH54" i="2"/>
  <c r="AE54" i="2"/>
  <c r="AD54" i="2"/>
  <c r="AA54" i="2"/>
  <c r="Z54" i="2"/>
  <c r="T54" i="2"/>
  <c r="M54" i="2"/>
  <c r="L54" i="2"/>
  <c r="K54" i="2"/>
  <c r="J54" i="2"/>
  <c r="AM53" i="2"/>
  <c r="AL53" i="2"/>
  <c r="AI53" i="2"/>
  <c r="AH53" i="2"/>
  <c r="AE53" i="2"/>
  <c r="AD53" i="2"/>
  <c r="AA53" i="2"/>
  <c r="Z53" i="2"/>
  <c r="T53" i="2"/>
  <c r="M53" i="2"/>
  <c r="L53" i="2"/>
  <c r="K53" i="2"/>
  <c r="K56" i="2"/>
  <c r="J53" i="2"/>
  <c r="AM51" i="2"/>
  <c r="AL51" i="2"/>
  <c r="AI51" i="2"/>
  <c r="AH51" i="2"/>
  <c r="AE51" i="2"/>
  <c r="AD51" i="2"/>
  <c r="AA51" i="2"/>
  <c r="Z51" i="2"/>
  <c r="T51" i="2"/>
  <c r="M51" i="2"/>
  <c r="V51" i="2"/>
  <c r="L51" i="2"/>
  <c r="K51" i="2"/>
  <c r="J51" i="2"/>
  <c r="AM50" i="2"/>
  <c r="AL50" i="2"/>
  <c r="AI50" i="2"/>
  <c r="AH50" i="2"/>
  <c r="AE50" i="2"/>
  <c r="AD50" i="2"/>
  <c r="AA50" i="2"/>
  <c r="Y50" i="2"/>
  <c r="T50" i="2"/>
  <c r="M50" i="2"/>
  <c r="V50" i="2"/>
  <c r="L50" i="2"/>
  <c r="K50" i="2"/>
  <c r="J50" i="2"/>
  <c r="AM49" i="2"/>
  <c r="AL49" i="2"/>
  <c r="AI49" i="2"/>
  <c r="AH49" i="2"/>
  <c r="AE49" i="2"/>
  <c r="AD49" i="2"/>
  <c r="Y49" i="2"/>
  <c r="AA49" i="2"/>
  <c r="T49" i="2"/>
  <c r="M49" i="2"/>
  <c r="V49" i="2"/>
  <c r="L49" i="2"/>
  <c r="K49" i="2"/>
  <c r="K52" i="2"/>
  <c r="J49" i="2"/>
  <c r="J52" i="2"/>
  <c r="AM47" i="2"/>
  <c r="AL47" i="2"/>
  <c r="AI47" i="2"/>
  <c r="AH47" i="2"/>
  <c r="AE47" i="2"/>
  <c r="AD47" i="2"/>
  <c r="AA47" i="2"/>
  <c r="Z47" i="2"/>
  <c r="T47" i="2"/>
  <c r="M47" i="2"/>
  <c r="V47" i="2"/>
  <c r="L47" i="2"/>
  <c r="K47" i="2"/>
  <c r="J47" i="2"/>
  <c r="AM46" i="2"/>
  <c r="AL46" i="2"/>
  <c r="AI46" i="2"/>
  <c r="AH46" i="2"/>
  <c r="AE46" i="2"/>
  <c r="AD46" i="2"/>
  <c r="AA46" i="2"/>
  <c r="Z46" i="2"/>
  <c r="T46" i="2"/>
  <c r="M46" i="2"/>
  <c r="V46" i="2"/>
  <c r="L46" i="2"/>
  <c r="K46" i="2"/>
  <c r="J46" i="2"/>
  <c r="AM45" i="2"/>
  <c r="AL45" i="2"/>
  <c r="AI45" i="2"/>
  <c r="AH45" i="2"/>
  <c r="AE45" i="2"/>
  <c r="AD45" i="2"/>
  <c r="AA45" i="2"/>
  <c r="Z45" i="2"/>
  <c r="T45" i="2"/>
  <c r="M45" i="2"/>
  <c r="L45" i="2"/>
  <c r="N45" i="2"/>
  <c r="K45" i="2"/>
  <c r="K48" i="2"/>
  <c r="J45" i="2"/>
  <c r="AM43" i="2"/>
  <c r="AL43" i="2"/>
  <c r="AI43" i="2"/>
  <c r="AH43" i="2"/>
  <c r="AE43" i="2"/>
  <c r="AD43" i="2"/>
  <c r="U43" i="2"/>
  <c r="W43" i="2"/>
  <c r="AM41" i="2"/>
  <c r="AL41" i="2"/>
  <c r="AI41" i="2"/>
  <c r="AH41" i="2"/>
  <c r="AE41" i="2"/>
  <c r="AD41" i="2"/>
  <c r="U41" i="2"/>
  <c r="W41" i="2"/>
  <c r="K44" i="2"/>
  <c r="AM39" i="2"/>
  <c r="AL39" i="2"/>
  <c r="AI39" i="2"/>
  <c r="AH39" i="2"/>
  <c r="AE39" i="2"/>
  <c r="AD39" i="2"/>
  <c r="AA39" i="2"/>
  <c r="Z39" i="2"/>
  <c r="T39" i="2"/>
  <c r="M39" i="2"/>
  <c r="L39" i="2"/>
  <c r="O39" i="2"/>
  <c r="K39" i="2"/>
  <c r="J39" i="2"/>
  <c r="AM38" i="2"/>
  <c r="AL38" i="2"/>
  <c r="AI38" i="2"/>
  <c r="AH38" i="2"/>
  <c r="AE38" i="2"/>
  <c r="AD38" i="2"/>
  <c r="AA38" i="2"/>
  <c r="Z38" i="2"/>
  <c r="T38" i="2"/>
  <c r="M38" i="2"/>
  <c r="L38" i="2"/>
  <c r="K38" i="2"/>
  <c r="K40" i="2"/>
  <c r="J38" i="2"/>
  <c r="J40" i="2"/>
  <c r="AM36" i="2"/>
  <c r="AL36" i="2"/>
  <c r="AI36" i="2"/>
  <c r="AH36" i="2"/>
  <c r="AE36" i="2"/>
  <c r="AD36" i="2"/>
  <c r="AA36" i="2"/>
  <c r="Z36" i="2"/>
  <c r="T36" i="2"/>
  <c r="M36" i="2"/>
  <c r="L36" i="2"/>
  <c r="O36" i="2"/>
  <c r="K36" i="2"/>
  <c r="J36" i="2"/>
  <c r="AM35" i="2"/>
  <c r="AL35" i="2"/>
  <c r="AI35" i="2"/>
  <c r="AH35" i="2"/>
  <c r="AE35" i="2"/>
  <c r="AD35" i="2"/>
  <c r="AA35" i="2"/>
  <c r="Z35" i="2"/>
  <c r="T35" i="2"/>
  <c r="M35" i="2"/>
  <c r="V35" i="2"/>
  <c r="L35" i="2"/>
  <c r="K35" i="2"/>
  <c r="K37" i="2"/>
  <c r="J35" i="2"/>
  <c r="AM33" i="2"/>
  <c r="AL33" i="2"/>
  <c r="AI33" i="2"/>
  <c r="AH33" i="2"/>
  <c r="AE33" i="2"/>
  <c r="AD33" i="2"/>
  <c r="Y33" i="2"/>
  <c r="Z33" i="2"/>
  <c r="M33" i="2"/>
  <c r="L33" i="2"/>
  <c r="O33" i="2"/>
  <c r="K33" i="2"/>
  <c r="J33" i="2"/>
  <c r="AM32" i="2"/>
  <c r="AL32" i="2"/>
  <c r="AI32" i="2"/>
  <c r="AH32" i="2"/>
  <c r="AE32" i="2"/>
  <c r="AD32" i="2"/>
  <c r="Y32" i="2"/>
  <c r="T32" i="2"/>
  <c r="M32" i="2"/>
  <c r="L32" i="2"/>
  <c r="K32" i="2"/>
  <c r="K34" i="2"/>
  <c r="J32" i="2"/>
  <c r="AM30" i="2"/>
  <c r="AL30" i="2"/>
  <c r="AI30" i="2"/>
  <c r="AH30" i="2"/>
  <c r="AE30" i="2"/>
  <c r="AD30" i="2"/>
  <c r="AA30" i="2"/>
  <c r="Y30" i="2"/>
  <c r="Z30" i="2"/>
  <c r="T30" i="2"/>
  <c r="M30" i="2"/>
  <c r="V30" i="2"/>
  <c r="L30" i="2"/>
  <c r="K30" i="2"/>
  <c r="J30" i="2"/>
  <c r="AM29" i="2"/>
  <c r="AL29" i="2"/>
  <c r="AI29" i="2"/>
  <c r="AH29" i="2"/>
  <c r="AE29" i="2"/>
  <c r="AD29" i="2"/>
  <c r="Y29" i="2"/>
  <c r="T29" i="2"/>
  <c r="V29" i="2"/>
  <c r="M29" i="2"/>
  <c r="L29" i="2"/>
  <c r="O29" i="2"/>
  <c r="K29" i="2"/>
  <c r="K31" i="2"/>
  <c r="J29" i="2"/>
  <c r="J31" i="2"/>
  <c r="AM27" i="2"/>
  <c r="AL27" i="2"/>
  <c r="AI27" i="2"/>
  <c r="AH27" i="2"/>
  <c r="AE27" i="2"/>
  <c r="AD27" i="2"/>
  <c r="Y27" i="2"/>
  <c r="T27" i="2"/>
  <c r="M27" i="2"/>
  <c r="V27" i="2"/>
  <c r="L27" i="2"/>
  <c r="O27" i="2"/>
  <c r="O28" i="2"/>
  <c r="K27" i="2"/>
  <c r="K28" i="2"/>
  <c r="Q28" i="2"/>
  <c r="J27" i="2"/>
  <c r="J28" i="2"/>
  <c r="AM25" i="2"/>
  <c r="AL25" i="2"/>
  <c r="AI25" i="2"/>
  <c r="AH25" i="2"/>
  <c r="AE25" i="2"/>
  <c r="AD25" i="2"/>
  <c r="AA25" i="2"/>
  <c r="Z25" i="2"/>
  <c r="T25" i="2"/>
  <c r="M25" i="2"/>
  <c r="L25" i="2"/>
  <c r="O25" i="2"/>
  <c r="O26" i="2"/>
  <c r="K25" i="2"/>
  <c r="K26" i="2"/>
  <c r="J25" i="2"/>
  <c r="J26" i="2"/>
  <c r="K24" i="2"/>
  <c r="AM23" i="2"/>
  <c r="AL23" i="2"/>
  <c r="AI23" i="2"/>
  <c r="AH23" i="2"/>
  <c r="AE23" i="2"/>
  <c r="AD23" i="2"/>
  <c r="AA23" i="2"/>
  <c r="Z23" i="2"/>
  <c r="T23" i="2"/>
  <c r="M23" i="2"/>
  <c r="L23" i="2"/>
  <c r="K23" i="2"/>
  <c r="J23" i="2"/>
  <c r="J24" i="2"/>
  <c r="AM21" i="2"/>
  <c r="AL21" i="2"/>
  <c r="AI21" i="2"/>
  <c r="AH21" i="2"/>
  <c r="AE21" i="2"/>
  <c r="AD21" i="2"/>
  <c r="AA21" i="2"/>
  <c r="Z21" i="2"/>
  <c r="T21" i="2"/>
  <c r="M21" i="2"/>
  <c r="L21" i="2"/>
  <c r="O21" i="2"/>
  <c r="O22" i="2"/>
  <c r="K21" i="2"/>
  <c r="K22" i="2"/>
  <c r="J21" i="2"/>
  <c r="J22" i="2"/>
  <c r="AM19" i="2"/>
  <c r="AL19" i="2"/>
  <c r="AI19" i="2"/>
  <c r="AH19" i="2"/>
  <c r="AE19" i="2"/>
  <c r="AD19" i="2"/>
  <c r="AA19" i="2"/>
  <c r="Z19" i="2"/>
  <c r="T19" i="2"/>
  <c r="M19" i="2"/>
  <c r="V19" i="2"/>
  <c r="L19" i="2"/>
  <c r="K19" i="2"/>
  <c r="K20" i="2"/>
  <c r="J19" i="2"/>
  <c r="J20" i="2"/>
  <c r="B19" i="2"/>
  <c r="B21" i="2"/>
  <c r="B23" i="2"/>
  <c r="B25" i="2"/>
  <c r="B27" i="2"/>
  <c r="B29" i="2"/>
  <c r="B30" i="2"/>
  <c r="B32" i="2"/>
  <c r="B33" i="2"/>
  <c r="B35" i="2"/>
  <c r="B36" i="2"/>
  <c r="B38" i="2"/>
  <c r="B39" i="2"/>
  <c r="B41" i="2"/>
  <c r="B42" i="2"/>
  <c r="B43" i="2"/>
  <c r="AM17" i="2"/>
  <c r="AL17" i="2"/>
  <c r="AI17" i="2"/>
  <c r="AH17" i="2"/>
  <c r="AH72" i="2"/>
  <c r="AE17" i="2"/>
  <c r="AD17" i="2"/>
  <c r="Y17" i="2"/>
  <c r="Z17" i="2"/>
  <c r="M17" i="2"/>
  <c r="L17" i="2"/>
  <c r="K17" i="2"/>
  <c r="K18" i="2"/>
  <c r="J17" i="2"/>
  <c r="J18" i="2"/>
  <c r="AJ441" i="3"/>
  <c r="AL441" i="3"/>
  <c r="AF441" i="3"/>
  <c r="AH441" i="3"/>
  <c r="AF344" i="3"/>
  <c r="AH344" i="3"/>
  <c r="AJ344" i="3"/>
  <c r="AJ461" i="3"/>
  <c r="AL461" i="3"/>
  <c r="AF461" i="3"/>
  <c r="AH461" i="3"/>
  <c r="AF416" i="3"/>
  <c r="AJ416" i="3"/>
  <c r="AJ403" i="3"/>
  <c r="AL403" i="3"/>
  <c r="AF403" i="3"/>
  <c r="AH403" i="3"/>
  <c r="AF470" i="3"/>
  <c r="AH470" i="3"/>
  <c r="AJ470" i="3"/>
  <c r="AL470" i="3"/>
  <c r="AF364" i="3"/>
  <c r="AH364" i="3"/>
  <c r="AJ364" i="3"/>
  <c r="AL364" i="3"/>
  <c r="AJ514" i="3"/>
  <c r="AF514" i="3"/>
  <c r="AH514" i="3"/>
  <c r="AF434" i="3"/>
  <c r="AH434" i="3"/>
  <c r="AJ434" i="3"/>
  <c r="AL434" i="3"/>
  <c r="AF276" i="3"/>
  <c r="AH276" i="3"/>
  <c r="AJ276" i="3"/>
  <c r="AL276" i="3"/>
  <c r="AJ178" i="3"/>
  <c r="AL178" i="3"/>
  <c r="AF178" i="3"/>
  <c r="AF518" i="3"/>
  <c r="AH518" i="3"/>
  <c r="AJ518" i="3"/>
  <c r="AF236" i="3"/>
  <c r="AJ236" i="3"/>
  <c r="AF478" i="3"/>
  <c r="AH478" i="3"/>
  <c r="AJ478" i="3"/>
  <c r="AL478" i="3"/>
  <c r="AF368" i="3"/>
  <c r="AJ368" i="3"/>
  <c r="AF60" i="3"/>
  <c r="AJ60" i="3"/>
  <c r="AK31" i="3"/>
  <c r="AI535" i="3"/>
  <c r="AF494" i="3"/>
  <c r="AJ494" i="3"/>
  <c r="Z501" i="3"/>
  <c r="X518" i="3"/>
  <c r="AJ489" i="3"/>
  <c r="AF489" i="3"/>
  <c r="AH489" i="3"/>
  <c r="AF458" i="3"/>
  <c r="AH458" i="3"/>
  <c r="AJ458" i="3"/>
  <c r="AL458" i="3"/>
  <c r="AJ517" i="3"/>
  <c r="AF517" i="3"/>
  <c r="AH517" i="3"/>
  <c r="AJ445" i="3"/>
  <c r="AF445" i="3"/>
  <c r="AF463" i="3"/>
  <c r="AJ463" i="3"/>
  <c r="AJ452" i="3"/>
  <c r="AL452" i="3"/>
  <c r="AF452" i="3"/>
  <c r="AJ407" i="3"/>
  <c r="AL407" i="3"/>
  <c r="AF407" i="3"/>
  <c r="AH407" i="3"/>
  <c r="AF503" i="3"/>
  <c r="AH503" i="3"/>
  <c r="AJ503" i="3"/>
  <c r="AK479" i="3"/>
  <c r="AJ437" i="3"/>
  <c r="AF437" i="3"/>
  <c r="AH437" i="3"/>
  <c r="AG451" i="3"/>
  <c r="AF429" i="3"/>
  <c r="AH429" i="3"/>
  <c r="AJ429" i="3"/>
  <c r="AG461" i="3"/>
  <c r="AL449" i="3"/>
  <c r="X430" i="3"/>
  <c r="X478" i="3"/>
  <c r="AF492" i="3"/>
  <c r="AH492" i="3"/>
  <c r="AJ492" i="3"/>
  <c r="AL492" i="3"/>
  <c r="X470" i="3"/>
  <c r="AE543" i="3"/>
  <c r="X434" i="3"/>
  <c r="AF413" i="3"/>
  <c r="AH413" i="3"/>
  <c r="AJ413" i="3"/>
  <c r="AF439" i="3"/>
  <c r="AH439" i="3"/>
  <c r="AJ439" i="3"/>
  <c r="AL439" i="3"/>
  <c r="AF390" i="3"/>
  <c r="AJ390" i="3"/>
  <c r="Z553" i="3"/>
  <c r="AJ370" i="3"/>
  <c r="AL370" i="3"/>
  <c r="AF370" i="3"/>
  <c r="AE544" i="3"/>
  <c r="X393" i="3"/>
  <c r="AJ473" i="3"/>
  <c r="AL473" i="3"/>
  <c r="AF473" i="3"/>
  <c r="AH473" i="3"/>
  <c r="AG411" i="3"/>
  <c r="AG349" i="3"/>
  <c r="X385" i="3"/>
  <c r="AH371" i="3"/>
  <c r="AG371" i="3"/>
  <c r="AF304" i="3"/>
  <c r="AJ304" i="3"/>
  <c r="X344" i="3"/>
  <c r="AJ310" i="3"/>
  <c r="AL310" i="3"/>
  <c r="AF310" i="3"/>
  <c r="AF319" i="3"/>
  <c r="AH319" i="3"/>
  <c r="AJ319" i="3"/>
  <c r="AL319" i="3"/>
  <c r="AJ282" i="3"/>
  <c r="AL282" i="3"/>
  <c r="AF282" i="3"/>
  <c r="AJ259" i="3"/>
  <c r="AL259" i="3"/>
  <c r="AF259" i="3"/>
  <c r="AH259" i="3"/>
  <c r="AF235" i="3"/>
  <c r="AJ235" i="3"/>
  <c r="AL235" i="3"/>
  <c r="AG321" i="3"/>
  <c r="AJ306" i="3"/>
  <c r="AL306" i="3"/>
  <c r="AF306" i="3"/>
  <c r="AJ326" i="3"/>
  <c r="AL326" i="3"/>
  <c r="AF326" i="3"/>
  <c r="AJ302" i="3"/>
  <c r="AL302" i="3"/>
  <c r="AF302" i="3"/>
  <c r="Z311" i="3"/>
  <c r="X311" i="3"/>
  <c r="AG289" i="3"/>
  <c r="AI560" i="3"/>
  <c r="AJ221" i="3"/>
  <c r="AF221" i="3"/>
  <c r="AF205" i="3"/>
  <c r="AJ205" i="3"/>
  <c r="X245" i="3"/>
  <c r="AH263" i="3"/>
  <c r="AG263" i="3"/>
  <c r="X234" i="3"/>
  <c r="X204" i="3"/>
  <c r="Z204" i="3"/>
  <c r="AK376" i="3"/>
  <c r="Z248" i="3"/>
  <c r="AI540" i="3"/>
  <c r="AI553" i="3"/>
  <c r="AK189" i="3"/>
  <c r="AE562" i="3"/>
  <c r="AG123" i="3"/>
  <c r="AF216" i="3"/>
  <c r="AH216" i="3"/>
  <c r="AJ216" i="3"/>
  <c r="AL216" i="3"/>
  <c r="AH176" i="3"/>
  <c r="AL196" i="3"/>
  <c r="AK196" i="3"/>
  <c r="AJ68" i="3"/>
  <c r="AF68" i="3"/>
  <c r="AI538" i="3"/>
  <c r="AL14" i="3"/>
  <c r="AK14" i="3"/>
  <c r="Z97" i="3"/>
  <c r="X97" i="3"/>
  <c r="X60" i="3"/>
  <c r="AJ78" i="3"/>
  <c r="AF78" i="3"/>
  <c r="AJ462" i="3"/>
  <c r="AL462" i="3"/>
  <c r="AF462" i="3"/>
  <c r="AH462" i="3"/>
  <c r="AJ411" i="3"/>
  <c r="AL411" i="3"/>
  <c r="AF411" i="3"/>
  <c r="AH411" i="3"/>
  <c r="AF391" i="3"/>
  <c r="AH391" i="3"/>
  <c r="AJ391" i="3"/>
  <c r="AL391" i="3"/>
  <c r="AJ369" i="3"/>
  <c r="AF369" i="3"/>
  <c r="AG364" i="3"/>
  <c r="AJ262" i="3"/>
  <c r="AF262" i="3"/>
  <c r="AF185" i="3"/>
  <c r="AJ185" i="3"/>
  <c r="AG503" i="3"/>
  <c r="AK520" i="3"/>
  <c r="AL520" i="3"/>
  <c r="AK432" i="3"/>
  <c r="AG509" i="3"/>
  <c r="AG470" i="3"/>
  <c r="AF444" i="3"/>
  <c r="AH444" i="3"/>
  <c r="AJ444" i="3"/>
  <c r="AL444" i="3"/>
  <c r="AK434" i="3"/>
  <c r="AG413" i="3"/>
  <c r="AG439" i="3"/>
  <c r="AK389" i="3"/>
  <c r="AJ366" i="3"/>
  <c r="AL366" i="3"/>
  <c r="AF366" i="3"/>
  <c r="AH417" i="3"/>
  <c r="AG417" i="3"/>
  <c r="AK391" i="3"/>
  <c r="AI544" i="3"/>
  <c r="AG393" i="3"/>
  <c r="AK371" i="3"/>
  <c r="AJ381" i="3"/>
  <c r="AF381" i="3"/>
  <c r="AJ365" i="3"/>
  <c r="AF365" i="3"/>
  <c r="AK385" i="3"/>
  <c r="AL375" i="3"/>
  <c r="AK326" i="3"/>
  <c r="AK384" i="3"/>
  <c r="AF332" i="3"/>
  <c r="AJ332" i="3"/>
  <c r="AF300" i="3"/>
  <c r="AJ300" i="3"/>
  <c r="AG344" i="3"/>
  <c r="AK247" i="3"/>
  <c r="AL247" i="3"/>
  <c r="AK325" i="3"/>
  <c r="AJ336" i="3"/>
  <c r="AL336" i="3"/>
  <c r="AF336" i="3"/>
  <c r="AF256" i="3"/>
  <c r="AH256" i="3"/>
  <c r="AL256" i="3"/>
  <c r="AJ256" i="3"/>
  <c r="AJ234" i="3"/>
  <c r="AL234" i="3"/>
  <c r="AF234" i="3"/>
  <c r="AH247" i="3"/>
  <c r="AG247" i="3"/>
  <c r="AJ271" i="3"/>
  <c r="AL271" i="3"/>
  <c r="AF271" i="3"/>
  <c r="AH271" i="3"/>
  <c r="AJ354" i="3"/>
  <c r="AL354" i="3"/>
  <c r="AF354" i="3"/>
  <c r="AH354" i="3"/>
  <c r="X276" i="3"/>
  <c r="AK281" i="3"/>
  <c r="AJ237" i="3"/>
  <c r="AF237" i="3"/>
  <c r="AJ201" i="3"/>
  <c r="AF201" i="3"/>
  <c r="AL267" i="3"/>
  <c r="AF223" i="3"/>
  <c r="AH223" i="3"/>
  <c r="AJ223" i="3"/>
  <c r="Z220" i="3"/>
  <c r="AF232" i="3"/>
  <c r="AJ232" i="3"/>
  <c r="AL232" i="3"/>
  <c r="AE540" i="3"/>
  <c r="AF376" i="3"/>
  <c r="AH376" i="3"/>
  <c r="AJ376" i="3"/>
  <c r="AL376" i="3"/>
  <c r="AF331" i="3"/>
  <c r="AH331" i="3"/>
  <c r="AJ331" i="3"/>
  <c r="AL331" i="3"/>
  <c r="AG285" i="3"/>
  <c r="AE545" i="3"/>
  <c r="Z555" i="3"/>
  <c r="AF193" i="3"/>
  <c r="AJ193" i="3"/>
  <c r="AF148" i="3"/>
  <c r="AH148" i="3"/>
  <c r="AJ148" i="3"/>
  <c r="X178" i="3"/>
  <c r="AJ115" i="3"/>
  <c r="AL115" i="3"/>
  <c r="AF115" i="3"/>
  <c r="AK178" i="3"/>
  <c r="AI529" i="3"/>
  <c r="X101" i="3"/>
  <c r="AK94" i="3"/>
  <c r="AJ52" i="3"/>
  <c r="AF52" i="3"/>
  <c r="AF38" i="3"/>
  <c r="AJ38" i="3"/>
  <c r="AE523" i="3"/>
  <c r="AJ510" i="3"/>
  <c r="AL510" i="3"/>
  <c r="AF510" i="3"/>
  <c r="AF404" i="3"/>
  <c r="AJ404" i="3"/>
  <c r="Z387" i="3"/>
  <c r="X387" i="3"/>
  <c r="X391" i="3"/>
  <c r="AF308" i="3"/>
  <c r="AJ308" i="3"/>
  <c r="AF272" i="3"/>
  <c r="AH272" i="3"/>
  <c r="AJ272" i="3"/>
  <c r="AL272" i="3"/>
  <c r="AF335" i="3"/>
  <c r="AH335" i="3"/>
  <c r="AJ335" i="3"/>
  <c r="AL335" i="3"/>
  <c r="AF245" i="3"/>
  <c r="AH245" i="3"/>
  <c r="AJ245" i="3"/>
  <c r="AL245" i="3"/>
  <c r="AI546" i="3"/>
  <c r="AF396" i="3"/>
  <c r="AJ396" i="3"/>
  <c r="AL488" i="3"/>
  <c r="AK488" i="3"/>
  <c r="AF455" i="3"/>
  <c r="AJ455" i="3"/>
  <c r="AJ440" i="3"/>
  <c r="AL440" i="3"/>
  <c r="AF440" i="3"/>
  <c r="AH472" i="3"/>
  <c r="AG472" i="3"/>
  <c r="AF491" i="3"/>
  <c r="AJ491" i="3"/>
  <c r="AJ504" i="3"/>
  <c r="AF504" i="3"/>
  <c r="AL451" i="3"/>
  <c r="AF424" i="3"/>
  <c r="AJ424" i="3"/>
  <c r="AK444" i="3"/>
  <c r="AI543" i="3"/>
  <c r="AK439" i="3"/>
  <c r="AG410" i="3"/>
  <c r="AJ423" i="3"/>
  <c r="AL423" i="3"/>
  <c r="AF423" i="3"/>
  <c r="AH423" i="3"/>
  <c r="AL415" i="3"/>
  <c r="AJ415" i="3"/>
  <c r="AF415" i="3"/>
  <c r="AH415" i="3"/>
  <c r="X348" i="3"/>
  <c r="AH363" i="3"/>
  <c r="AG363" i="3"/>
  <c r="AJ385" i="3"/>
  <c r="AL385" i="3"/>
  <c r="AF385" i="3"/>
  <c r="AH385" i="3"/>
  <c r="AK350" i="3"/>
  <c r="AH375" i="3"/>
  <c r="AG375" i="3"/>
  <c r="AF328" i="3"/>
  <c r="AJ328" i="3"/>
  <c r="AK295" i="3"/>
  <c r="AF273" i="3"/>
  <c r="AH273" i="3"/>
  <c r="AJ273" i="3"/>
  <c r="AJ254" i="3"/>
  <c r="AF254" i="3"/>
  <c r="AL339" i="3"/>
  <c r="AK218" i="3"/>
  <c r="AK338" i="3"/>
  <c r="AG317" i="3"/>
  <c r="X271" i="3"/>
  <c r="AG276" i="3"/>
  <c r="AK235" i="3"/>
  <c r="AJ342" i="3"/>
  <c r="AL342" i="3"/>
  <c r="AF342" i="3"/>
  <c r="AH342" i="3"/>
  <c r="AJ294" i="3"/>
  <c r="AL294" i="3"/>
  <c r="AF294" i="3"/>
  <c r="AJ217" i="3"/>
  <c r="AF217" i="3"/>
  <c r="AJ197" i="3"/>
  <c r="AF197" i="3"/>
  <c r="AG223" i="3"/>
  <c r="AE558" i="3"/>
  <c r="AH260" i="3"/>
  <c r="Z200" i="3"/>
  <c r="X200" i="3"/>
  <c r="AI545" i="3"/>
  <c r="X331" i="3"/>
  <c r="AF264" i="3"/>
  <c r="AH264" i="3"/>
  <c r="AJ264" i="3"/>
  <c r="AF219" i="3"/>
  <c r="AH219" i="3"/>
  <c r="AJ219" i="3"/>
  <c r="Z188" i="3"/>
  <c r="X188" i="3"/>
  <c r="AF199" i="3"/>
  <c r="AH199" i="3"/>
  <c r="AJ199" i="3"/>
  <c r="AJ134" i="3"/>
  <c r="AF134" i="3"/>
  <c r="Z546" i="3"/>
  <c r="AJ191" i="3"/>
  <c r="AF191" i="3"/>
  <c r="Z51" i="3"/>
  <c r="X51" i="3"/>
  <c r="AF101" i="3"/>
  <c r="AJ101" i="3"/>
  <c r="AI539" i="3"/>
  <c r="AI556" i="3"/>
  <c r="AJ521" i="3"/>
  <c r="AF521" i="3"/>
  <c r="AH521" i="3"/>
  <c r="AL521" i="3"/>
  <c r="AF430" i="3"/>
  <c r="AH430" i="3"/>
  <c r="AJ430" i="3"/>
  <c r="AG408" i="3"/>
  <c r="AF348" i="3"/>
  <c r="AJ348" i="3"/>
  <c r="AF450" i="3"/>
  <c r="AH450" i="3"/>
  <c r="AJ450" i="3"/>
  <c r="AL450" i="3"/>
  <c r="AJ485" i="3"/>
  <c r="AF485" i="3"/>
  <c r="AK476" i="3"/>
  <c r="AL476" i="3"/>
  <c r="AF475" i="3"/>
  <c r="AH475" i="3"/>
  <c r="AJ475" i="3"/>
  <c r="AL475" i="3"/>
  <c r="AJ493" i="3"/>
  <c r="AF493" i="3"/>
  <c r="AK436" i="3"/>
  <c r="AJ427" i="3"/>
  <c r="AF427" i="3"/>
  <c r="X461" i="3"/>
  <c r="AJ426" i="3"/>
  <c r="AF426" i="3"/>
  <c r="AH426" i="3"/>
  <c r="AJ389" i="3"/>
  <c r="AL389" i="3"/>
  <c r="AF389" i="3"/>
  <c r="AH389" i="3"/>
  <c r="AK382" i="3"/>
  <c r="AE547" i="3"/>
  <c r="AF386" i="3"/>
  <c r="AH386" i="3"/>
  <c r="AJ386" i="3"/>
  <c r="AG473" i="3"/>
  <c r="AK364" i="3"/>
  <c r="AK290" i="3"/>
  <c r="AF296" i="3"/>
  <c r="AJ296" i="3"/>
  <c r="AJ361" i="3"/>
  <c r="AL361" i="3"/>
  <c r="AF361" i="3"/>
  <c r="AH361" i="3"/>
  <c r="AG319" i="3"/>
  <c r="AF231" i="3"/>
  <c r="AJ231" i="3"/>
  <c r="AL231" i="3"/>
  <c r="AG245" i="3"/>
  <c r="X477" i="3"/>
  <c r="Z477" i="3"/>
  <c r="AG453" i="3"/>
  <c r="AJ500" i="3"/>
  <c r="AL500" i="3"/>
  <c r="AF500" i="3"/>
  <c r="AH500" i="3"/>
  <c r="AG517" i="3"/>
  <c r="AK495" i="3"/>
  <c r="AK462" i="3"/>
  <c r="X440" i="3"/>
  <c r="AL515" i="3"/>
  <c r="X475" i="3"/>
  <c r="AK447" i="3"/>
  <c r="AL472" i="3"/>
  <c r="AK472" i="3"/>
  <c r="AG429" i="3"/>
  <c r="AG478" i="3"/>
  <c r="AJ509" i="3"/>
  <c r="AL509" i="3"/>
  <c r="AF509" i="3"/>
  <c r="AH509" i="3"/>
  <c r="AF480" i="3"/>
  <c r="AH480" i="3"/>
  <c r="AJ480" i="3"/>
  <c r="AL480" i="3"/>
  <c r="AK458" i="3"/>
  <c r="AG434" i="3"/>
  <c r="AH395" i="3"/>
  <c r="X389" i="3"/>
  <c r="AJ497" i="3"/>
  <c r="AL497" i="3"/>
  <c r="AF497" i="3"/>
  <c r="AH497" i="3"/>
  <c r="AF397" i="3"/>
  <c r="AJ397" i="3"/>
  <c r="AI547" i="3"/>
  <c r="AG386" i="3"/>
  <c r="AG422" i="3"/>
  <c r="AG407" i="3"/>
  <c r="AJ377" i="3"/>
  <c r="AF377" i="3"/>
  <c r="AJ378" i="3"/>
  <c r="AL378" i="3"/>
  <c r="AF378" i="3"/>
  <c r="AJ350" i="3"/>
  <c r="AL350" i="3"/>
  <c r="AF350" i="3"/>
  <c r="AL367" i="3"/>
  <c r="AG490" i="3"/>
  <c r="AK318" i="3"/>
  <c r="AF324" i="3"/>
  <c r="AJ324" i="3"/>
  <c r="AF292" i="3"/>
  <c r="AJ292" i="3"/>
  <c r="Z380" i="3"/>
  <c r="AF355" i="3"/>
  <c r="AJ355" i="3"/>
  <c r="Z341" i="3"/>
  <c r="AH357" i="3"/>
  <c r="AK263" i="3"/>
  <c r="AG243" i="3"/>
  <c r="AF323" i="3"/>
  <c r="AH323" i="3"/>
  <c r="AJ323" i="3"/>
  <c r="AL323" i="3"/>
  <c r="AK301" i="3"/>
  <c r="AK276" i="3"/>
  <c r="AE542" i="3"/>
  <c r="AK340" i="3"/>
  <c r="AJ334" i="3"/>
  <c r="AL334" i="3"/>
  <c r="AF334" i="3"/>
  <c r="AF295" i="3"/>
  <c r="AH295" i="3"/>
  <c r="AJ295" i="3"/>
  <c r="AL295" i="3"/>
  <c r="AJ251" i="3"/>
  <c r="AL251" i="3"/>
  <c r="AF251" i="3"/>
  <c r="AH251" i="3"/>
  <c r="AJ230" i="3"/>
  <c r="AL230" i="3"/>
  <c r="AF230" i="3"/>
  <c r="AF315" i="3"/>
  <c r="AH315" i="3"/>
  <c r="AJ315" i="3"/>
  <c r="AL315" i="3"/>
  <c r="AK293" i="3"/>
  <c r="AH333" i="3"/>
  <c r="AK289" i="3"/>
  <c r="X243" i="3"/>
  <c r="AG346" i="3"/>
  <c r="AK335" i="3"/>
  <c r="AJ318" i="3"/>
  <c r="AL318" i="3"/>
  <c r="AF318" i="3"/>
  <c r="Z240" i="3"/>
  <c r="AG216" i="3"/>
  <c r="AE533" i="3"/>
  <c r="X238" i="3"/>
  <c r="AI554" i="3"/>
  <c r="AJ198" i="3"/>
  <c r="AL198" i="3"/>
  <c r="AF198" i="3"/>
  <c r="AG309" i="3"/>
  <c r="AI309" i="3"/>
  <c r="AL227" i="3"/>
  <c r="AK227" i="3"/>
  <c r="AL270" i="3"/>
  <c r="AG219" i="3"/>
  <c r="AE556" i="3"/>
  <c r="AF140" i="3"/>
  <c r="AH140" i="3"/>
  <c r="AJ140" i="3"/>
  <c r="AE555" i="3"/>
  <c r="AE561" i="3"/>
  <c r="AJ108" i="3"/>
  <c r="AL108" i="3"/>
  <c r="AF108" i="3"/>
  <c r="AL189" i="3"/>
  <c r="AJ175" i="3"/>
  <c r="AF175" i="3"/>
  <c r="AH175" i="3"/>
  <c r="AF156" i="3"/>
  <c r="AJ156" i="3"/>
  <c r="AK47" i="3"/>
  <c r="AL47" i="3"/>
  <c r="AF106" i="3"/>
  <c r="AH106" i="3"/>
  <c r="AJ106" i="3"/>
  <c r="AG489" i="3"/>
  <c r="AK461" i="3"/>
  <c r="AG492" i="3"/>
  <c r="AH425" i="3"/>
  <c r="AG425" i="3"/>
  <c r="AJ393" i="3"/>
  <c r="AL393" i="3"/>
  <c r="AF393" i="3"/>
  <c r="AH393" i="3"/>
  <c r="AK302" i="3"/>
  <c r="AK319" i="3"/>
  <c r="AG256" i="3"/>
  <c r="AI256" i="3"/>
  <c r="Z307" i="3"/>
  <c r="X307" i="3"/>
  <c r="AJ252" i="3"/>
  <c r="AF252" i="3"/>
  <c r="AH252" i="3"/>
  <c r="AG518" i="3"/>
  <c r="AJ469" i="3"/>
  <c r="AL469" i="3"/>
  <c r="AF469" i="3"/>
  <c r="AH469" i="3"/>
  <c r="AJ457" i="3"/>
  <c r="AL457" i="3"/>
  <c r="AF457" i="3"/>
  <c r="AH457" i="3"/>
  <c r="AG293" i="3"/>
  <c r="AF482" i="3"/>
  <c r="AJ482" i="3"/>
  <c r="AG500" i="3"/>
  <c r="AG447" i="3"/>
  <c r="AF495" i="3"/>
  <c r="AH495" i="3"/>
  <c r="AJ495" i="3"/>
  <c r="AL495" i="3"/>
  <c r="AK440" i="3"/>
  <c r="AG515" i="3"/>
  <c r="AH515" i="3"/>
  <c r="AK475" i="3"/>
  <c r="Z481" i="3"/>
  <c r="AJ446" i="3"/>
  <c r="AL446" i="3"/>
  <c r="AF446" i="3"/>
  <c r="AH446" i="3"/>
  <c r="AG421" i="3"/>
  <c r="AG450" i="3"/>
  <c r="X444" i="3"/>
  <c r="AK422" i="3"/>
  <c r="AK519" i="3"/>
  <c r="AF408" i="3"/>
  <c r="AH408" i="3"/>
  <c r="AJ408" i="3"/>
  <c r="AL408" i="3"/>
  <c r="AL395" i="3"/>
  <c r="AL433" i="3"/>
  <c r="X364" i="3"/>
  <c r="AK407" i="3"/>
  <c r="AF356" i="3"/>
  <c r="AH356" i="3"/>
  <c r="AJ356" i="3"/>
  <c r="AG376" i="3"/>
  <c r="AL349" i="3"/>
  <c r="AL362" i="3"/>
  <c r="AJ362" i="3"/>
  <c r="AF362" i="3"/>
  <c r="AL379" i="3"/>
  <c r="AF490" i="3"/>
  <c r="AH490" i="3"/>
  <c r="AJ490" i="3"/>
  <c r="AL490" i="3"/>
  <c r="Z358" i="3"/>
  <c r="X358" i="3"/>
  <c r="AK314" i="3"/>
  <c r="AL314" i="3"/>
  <c r="AK282" i="3"/>
  <c r="AF320" i="3"/>
  <c r="AJ320" i="3"/>
  <c r="AF288" i="3"/>
  <c r="AJ288" i="3"/>
  <c r="AF327" i="3"/>
  <c r="AH327" i="3"/>
  <c r="AJ327" i="3"/>
  <c r="AL327" i="3"/>
  <c r="AF303" i="3"/>
  <c r="AH303" i="3"/>
  <c r="AJ303" i="3"/>
  <c r="AL303" i="3"/>
  <c r="AJ340" i="3"/>
  <c r="AL340" i="3"/>
  <c r="AF340" i="3"/>
  <c r="AH340" i="3"/>
  <c r="AF269" i="3"/>
  <c r="AH269" i="3"/>
  <c r="AJ269" i="3"/>
  <c r="AJ246" i="3"/>
  <c r="AF246" i="3"/>
  <c r="Z226" i="3"/>
  <c r="X226" i="3"/>
  <c r="AF280" i="3"/>
  <c r="AH280" i="3"/>
  <c r="AJ280" i="3"/>
  <c r="AL280" i="3"/>
  <c r="AL333" i="3"/>
  <c r="AK333" i="3"/>
  <c r="AK259" i="3"/>
  <c r="AK346" i="3"/>
  <c r="AJ322" i="3"/>
  <c r="AL322" i="3"/>
  <c r="AF322" i="3"/>
  <c r="AG272" i="3"/>
  <c r="AK231" i="3"/>
  <c r="AK285" i="3"/>
  <c r="Z548" i="3"/>
  <c r="AJ229" i="3"/>
  <c r="AF229" i="3"/>
  <c r="AJ213" i="3"/>
  <c r="AF213" i="3"/>
  <c r="AF261" i="3"/>
  <c r="AH261" i="3"/>
  <c r="AJ261" i="3"/>
  <c r="AL261" i="3"/>
  <c r="AF203" i="3"/>
  <c r="AH203" i="3"/>
  <c r="AJ203" i="3"/>
  <c r="AJ206" i="3"/>
  <c r="AF206" i="3"/>
  <c r="AK257" i="3"/>
  <c r="AG281" i="3"/>
  <c r="AH227" i="3"/>
  <c r="AG227" i="3"/>
  <c r="AF253" i="3"/>
  <c r="AH253" i="3"/>
  <c r="AJ253" i="3"/>
  <c r="AL253" i="3"/>
  <c r="X218" i="3"/>
  <c r="AL277" i="3"/>
  <c r="AK277" i="3"/>
  <c r="AG267" i="3"/>
  <c r="AI559" i="3"/>
  <c r="Z544" i="3"/>
  <c r="AF187" i="3"/>
  <c r="AJ187" i="3"/>
  <c r="AJ174" i="3"/>
  <c r="AL174" i="3"/>
  <c r="AF174" i="3"/>
  <c r="AF208" i="3"/>
  <c r="AH208" i="3"/>
  <c r="AJ208" i="3"/>
  <c r="AL208" i="3"/>
  <c r="AF130" i="3"/>
  <c r="AJ130" i="3"/>
  <c r="AF96" i="3"/>
  <c r="AJ96" i="3"/>
  <c r="AJ26" i="3"/>
  <c r="AJ529" i="3"/>
  <c r="AF26" i="3"/>
  <c r="Z529" i="3"/>
  <c r="Z194" i="3"/>
  <c r="X194" i="3"/>
  <c r="AL74" i="3"/>
  <c r="AK74" i="3"/>
  <c r="AE528" i="3"/>
  <c r="AJ158" i="3"/>
  <c r="AF158" i="3"/>
  <c r="AH158" i="3"/>
  <c r="Z532" i="3"/>
  <c r="AF124" i="3"/>
  <c r="AJ124" i="3"/>
  <c r="AF443" i="3"/>
  <c r="AJ443" i="3"/>
  <c r="AG466" i="3"/>
  <c r="AK497" i="3"/>
  <c r="AF507" i="3"/>
  <c r="AJ507" i="3"/>
  <c r="AL507" i="3"/>
  <c r="AJ454" i="3"/>
  <c r="AL454" i="3"/>
  <c r="AF454" i="3"/>
  <c r="AH454" i="3"/>
  <c r="AF506" i="3"/>
  <c r="AJ506" i="3"/>
  <c r="AF466" i="3"/>
  <c r="AH466" i="3"/>
  <c r="AJ466" i="3"/>
  <c r="AL466" i="3"/>
  <c r="AK500" i="3"/>
  <c r="AJ513" i="3"/>
  <c r="AL513" i="3"/>
  <c r="AF513" i="3"/>
  <c r="AH513" i="3"/>
  <c r="Z438" i="3"/>
  <c r="X438" i="3"/>
  <c r="AK469" i="3"/>
  <c r="AF471" i="3"/>
  <c r="AH471" i="3"/>
  <c r="AJ471" i="3"/>
  <c r="AF420" i="3"/>
  <c r="AJ420" i="3"/>
  <c r="AL442" i="3"/>
  <c r="AF421" i="3"/>
  <c r="AH421" i="3"/>
  <c r="AJ421" i="3"/>
  <c r="AF496" i="3"/>
  <c r="AH496" i="3"/>
  <c r="AJ496" i="3"/>
  <c r="AJ418" i="3"/>
  <c r="AF418" i="3"/>
  <c r="AH418" i="3"/>
  <c r="AF516" i="3"/>
  <c r="AH516" i="3"/>
  <c r="AJ516" i="3"/>
  <c r="AL516" i="3"/>
  <c r="AG458" i="3"/>
  <c r="AF400" i="3"/>
  <c r="AH400" i="3"/>
  <c r="AJ400" i="3"/>
  <c r="AL400" i="3"/>
  <c r="AG401" i="3"/>
  <c r="AH460" i="3"/>
  <c r="AG460" i="3"/>
  <c r="AF405" i="3"/>
  <c r="AH405" i="3"/>
  <c r="AJ405" i="3"/>
  <c r="AH433" i="3"/>
  <c r="AG433" i="3"/>
  <c r="AK370" i="3"/>
  <c r="AK363" i="3"/>
  <c r="AJ373" i="3"/>
  <c r="AF373" i="3"/>
  <c r="AJ353" i="3"/>
  <c r="AF353" i="3"/>
  <c r="AH353" i="3"/>
  <c r="AF372" i="3"/>
  <c r="AH372" i="3"/>
  <c r="AJ372" i="3"/>
  <c r="AK394" i="3"/>
  <c r="AH379" i="3"/>
  <c r="AG379" i="3"/>
  <c r="AK310" i="3"/>
  <c r="AF316" i="3"/>
  <c r="AJ316" i="3"/>
  <c r="AF284" i="3"/>
  <c r="AJ284" i="3"/>
  <c r="AL351" i="3"/>
  <c r="AJ279" i="3"/>
  <c r="AL279" i="3"/>
  <c r="AF279" i="3"/>
  <c r="AH279" i="3"/>
  <c r="AG259" i="3"/>
  <c r="AG323" i="3"/>
  <c r="AF299" i="3"/>
  <c r="AH299" i="3"/>
  <c r="AJ299" i="3"/>
  <c r="AL299" i="3"/>
  <c r="AG295" i="3"/>
  <c r="AJ243" i="3"/>
  <c r="AL243" i="3"/>
  <c r="AF243" i="3"/>
  <c r="AH243" i="3"/>
  <c r="Z222" i="3"/>
  <c r="X222" i="3"/>
  <c r="AG315" i="3"/>
  <c r="AF291" i="3"/>
  <c r="AH291" i="3"/>
  <c r="AJ291" i="3"/>
  <c r="AL291" i="3"/>
  <c r="AG280" i="3"/>
  <c r="AG257" i="3"/>
  <c r="AK234" i="3"/>
  <c r="AJ382" i="3"/>
  <c r="AL382" i="3"/>
  <c r="AF382" i="3"/>
  <c r="AF287" i="3"/>
  <c r="AH287" i="3"/>
  <c r="AJ287" i="3"/>
  <c r="AL287" i="3"/>
  <c r="AJ275" i="3"/>
  <c r="AL275" i="3"/>
  <c r="AF275" i="3"/>
  <c r="AH275" i="3"/>
  <c r="X259" i="3"/>
  <c r="AF360" i="3"/>
  <c r="AH360" i="3"/>
  <c r="AJ360" i="3"/>
  <c r="AJ346" i="3"/>
  <c r="AL346" i="3"/>
  <c r="AF346" i="3"/>
  <c r="AH346" i="3"/>
  <c r="AE548" i="3"/>
  <c r="AG335" i="3"/>
  <c r="Z258" i="3"/>
  <c r="X258" i="3"/>
  <c r="X212" i="3"/>
  <c r="Z212" i="3"/>
  <c r="AK261" i="3"/>
  <c r="AG203" i="3"/>
  <c r="AK232" i="3"/>
  <c r="AI555" i="3"/>
  <c r="AH244" i="3"/>
  <c r="Z224" i="3"/>
  <c r="X253" i="3"/>
  <c r="AF215" i="3"/>
  <c r="AH215" i="3"/>
  <c r="AJ215" i="3"/>
  <c r="AL215" i="3"/>
  <c r="AH277" i="3"/>
  <c r="AG277" i="3"/>
  <c r="Z228" i="3"/>
  <c r="AH255" i="3"/>
  <c r="AG255" i="3"/>
  <c r="Z559" i="3"/>
  <c r="AJ210" i="3"/>
  <c r="AF210" i="3"/>
  <c r="AL286" i="3"/>
  <c r="AE553" i="3"/>
  <c r="AG189" i="3"/>
  <c r="AJ168" i="3"/>
  <c r="AF168" i="3"/>
  <c r="AG149" i="3"/>
  <c r="AE537" i="3"/>
  <c r="AJ126" i="3"/>
  <c r="AF126" i="3"/>
  <c r="AG183" i="3"/>
  <c r="Z541" i="3"/>
  <c r="AJ186" i="3"/>
  <c r="AF186" i="3"/>
  <c r="AJ183" i="3"/>
  <c r="AL183" i="3"/>
  <c r="AF183" i="3"/>
  <c r="AH183" i="3"/>
  <c r="AG158" i="3"/>
  <c r="AG140" i="3"/>
  <c r="AJ120" i="3"/>
  <c r="AF120" i="3"/>
  <c r="AH120" i="3"/>
  <c r="AI551" i="3"/>
  <c r="AF20" i="3"/>
  <c r="AJ20" i="3"/>
  <c r="AL20" i="3"/>
  <c r="X92" i="3"/>
  <c r="Z92" i="3"/>
  <c r="AL39" i="3"/>
  <c r="AJ502" i="3"/>
  <c r="AF502" i="3"/>
  <c r="AJ512" i="3"/>
  <c r="AL512" i="3"/>
  <c r="AF512" i="3"/>
  <c r="AH512" i="3"/>
  <c r="AF428" i="3"/>
  <c r="AJ428" i="3"/>
  <c r="AL428" i="3"/>
  <c r="AF432" i="3"/>
  <c r="AH432" i="3"/>
  <c r="AJ432" i="3"/>
  <c r="AL432" i="3"/>
  <c r="X432" i="3"/>
  <c r="AJ402" i="3"/>
  <c r="AF402" i="3"/>
  <c r="AG390" i="3"/>
  <c r="AJ394" i="3"/>
  <c r="AL394" i="3"/>
  <c r="AF394" i="3"/>
  <c r="AH394" i="3"/>
  <c r="AF359" i="3"/>
  <c r="AJ359" i="3"/>
  <c r="AG279" i="3"/>
  <c r="AJ238" i="3"/>
  <c r="AL238" i="3"/>
  <c r="AF238" i="3"/>
  <c r="AG354" i="3"/>
  <c r="AJ298" i="3"/>
  <c r="AL298" i="3"/>
  <c r="AF298" i="3"/>
  <c r="Z242" i="3"/>
  <c r="X242" i="3"/>
  <c r="AE551" i="3"/>
  <c r="AG253" i="3"/>
  <c r="AK490" i="3"/>
  <c r="AH488" i="3"/>
  <c r="AG488" i="3"/>
  <c r="AJ505" i="3"/>
  <c r="AF505" i="3"/>
  <c r="AH505" i="3"/>
  <c r="AJ399" i="3"/>
  <c r="AL399" i="3"/>
  <c r="AF399" i="3"/>
  <c r="AH399" i="3"/>
  <c r="AJ498" i="3"/>
  <c r="AF498" i="3"/>
  <c r="AH498" i="3"/>
  <c r="AJ474" i="3"/>
  <c r="AL474" i="3"/>
  <c r="AF474" i="3"/>
  <c r="AH474" i="3"/>
  <c r="AG508" i="3"/>
  <c r="AF487" i="3"/>
  <c r="AJ487" i="3"/>
  <c r="AL487" i="3"/>
  <c r="AF436" i="3"/>
  <c r="AJ436" i="3"/>
  <c r="AL436" i="3"/>
  <c r="AK441" i="3"/>
  <c r="AH499" i="3"/>
  <c r="AG499" i="3"/>
  <c r="AG521" i="3"/>
  <c r="AI521" i="3"/>
  <c r="X489" i="3"/>
  <c r="AF467" i="3"/>
  <c r="AJ467" i="3"/>
  <c r="AF508" i="3"/>
  <c r="AH508" i="3"/>
  <c r="AJ508" i="3"/>
  <c r="Z483" i="3"/>
  <c r="X483" i="3"/>
  <c r="Z448" i="3"/>
  <c r="X448" i="3"/>
  <c r="AG513" i="3"/>
  <c r="AK487" i="3"/>
  <c r="AG462" i="3"/>
  <c r="AG469" i="3"/>
  <c r="AG431" i="3"/>
  <c r="AF479" i="3"/>
  <c r="AH479" i="3"/>
  <c r="AJ479" i="3"/>
  <c r="AL479" i="3"/>
  <c r="AG441" i="3"/>
  <c r="AF412" i="3"/>
  <c r="AJ412" i="3"/>
  <c r="AG437" i="3"/>
  <c r="AJ419" i="3"/>
  <c r="AF419" i="3"/>
  <c r="AK478" i="3"/>
  <c r="AJ465" i="3"/>
  <c r="AL465" i="3"/>
  <c r="AF465" i="3"/>
  <c r="AH465" i="3"/>
  <c r="AG435" i="3"/>
  <c r="AG516" i="3"/>
  <c r="AK492" i="3"/>
  <c r="AK470" i="3"/>
  <c r="Z550" i="3"/>
  <c r="AJ388" i="3"/>
  <c r="AF388" i="3"/>
  <c r="AL460" i="3"/>
  <c r="AK460" i="3"/>
  <c r="AG405" i="3"/>
  <c r="AK366" i="3"/>
  <c r="AK425" i="3"/>
  <c r="AK473" i="3"/>
  <c r="AK411" i="3"/>
  <c r="AF352" i="3"/>
  <c r="AJ352" i="3"/>
  <c r="AJ374" i="3"/>
  <c r="AL374" i="3"/>
  <c r="AF374" i="3"/>
  <c r="AG356" i="3"/>
  <c r="AK336" i="3"/>
  <c r="X370" i="3"/>
  <c r="AH384" i="3"/>
  <c r="AK403" i="3"/>
  <c r="Z337" i="3"/>
  <c r="AK306" i="3"/>
  <c r="AK274" i="3"/>
  <c r="AF312" i="3"/>
  <c r="AJ312" i="3"/>
  <c r="X366" i="3"/>
  <c r="AJ345" i="3"/>
  <c r="AF345" i="3"/>
  <c r="AG303" i="3"/>
  <c r="X279" i="3"/>
  <c r="AG338" i="3"/>
  <c r="X299" i="3"/>
  <c r="X262" i="3"/>
  <c r="AG340" i="3"/>
  <c r="X266" i="3"/>
  <c r="Z266" i="3"/>
  <c r="Z560" i="3"/>
  <c r="AF239" i="3"/>
  <c r="AJ239" i="3"/>
  <c r="AK239" i="3"/>
  <c r="AJ218" i="3"/>
  <c r="AL218" i="3"/>
  <c r="AF218" i="3"/>
  <c r="AJ330" i="3"/>
  <c r="AL330" i="3"/>
  <c r="AF330" i="3"/>
  <c r="X291" i="3"/>
  <c r="AK280" i="3"/>
  <c r="X287" i="3"/>
  <c r="X275" i="3"/>
  <c r="X354" i="3"/>
  <c r="AK313" i="3"/>
  <c r="AG264" i="3"/>
  <c r="AF283" i="3"/>
  <c r="AH283" i="3"/>
  <c r="AJ283" i="3"/>
  <c r="AL283" i="3"/>
  <c r="Z250" i="3"/>
  <c r="Z554" i="3"/>
  <c r="X250" i="3"/>
  <c r="AJ225" i="3"/>
  <c r="AF225" i="3"/>
  <c r="Z533" i="3"/>
  <c r="AJ209" i="3"/>
  <c r="AF209" i="3"/>
  <c r="AG261" i="3"/>
  <c r="AI542" i="3"/>
  <c r="Z551" i="3"/>
  <c r="AF207" i="3"/>
  <c r="AJ207" i="3"/>
  <c r="Z543" i="3"/>
  <c r="AJ195" i="3"/>
  <c r="AF195" i="3"/>
  <c r="AL241" i="3"/>
  <c r="AK241" i="3"/>
  <c r="AK253" i="3"/>
  <c r="AG215" i="3"/>
  <c r="AF268" i="3"/>
  <c r="AH268" i="3"/>
  <c r="AJ268" i="3"/>
  <c r="AL268" i="3"/>
  <c r="AI533" i="3"/>
  <c r="AL255" i="3"/>
  <c r="X210" i="3"/>
  <c r="AK233" i="3"/>
  <c r="AG165" i="3"/>
  <c r="AE554" i="3"/>
  <c r="X186" i="3"/>
  <c r="AK139" i="3"/>
  <c r="AK118" i="3"/>
  <c r="AL118" i="3"/>
  <c r="AF161" i="3"/>
  <c r="AH161" i="3"/>
  <c r="AJ161" i="3"/>
  <c r="AL161" i="3"/>
  <c r="Z33" i="3"/>
  <c r="X33" i="3"/>
  <c r="Z30" i="3"/>
  <c r="X30" i="3"/>
  <c r="AG143" i="3"/>
  <c r="AJ28" i="3"/>
  <c r="AL28" i="3"/>
  <c r="AF28" i="3"/>
  <c r="AH28" i="3"/>
  <c r="AK245" i="3"/>
  <c r="AJ290" i="3"/>
  <c r="AL290" i="3"/>
  <c r="AF290" i="3"/>
  <c r="AG196" i="3"/>
  <c r="AJ278" i="3"/>
  <c r="AL278" i="3"/>
  <c r="AF278" i="3"/>
  <c r="AG331" i="3"/>
  <c r="AJ166" i="3"/>
  <c r="AF166" i="3"/>
  <c r="AH166" i="3"/>
  <c r="AF132" i="3"/>
  <c r="AH132" i="3"/>
  <c r="AJ132" i="3"/>
  <c r="AJ214" i="3"/>
  <c r="AL214" i="3"/>
  <c r="AF214" i="3"/>
  <c r="AH214" i="3"/>
  <c r="AJ179" i="3"/>
  <c r="AF179" i="3"/>
  <c r="AH179" i="3"/>
  <c r="AJ160" i="3"/>
  <c r="AF160" i="3"/>
  <c r="AG141" i="3"/>
  <c r="AK216" i="3"/>
  <c r="AE546" i="3"/>
  <c r="AG191" i="3"/>
  <c r="AK183" i="3"/>
  <c r="AL162" i="3"/>
  <c r="AL144" i="3"/>
  <c r="AI562" i="3"/>
  <c r="AK123" i="3"/>
  <c r="AE557" i="3"/>
  <c r="AG175" i="3"/>
  <c r="AK136" i="3"/>
  <c r="AJ104" i="3"/>
  <c r="AF104" i="3"/>
  <c r="AJ127" i="3"/>
  <c r="AF127" i="3"/>
  <c r="AH127" i="3"/>
  <c r="AJ110" i="3"/>
  <c r="AL110" i="3"/>
  <c r="AF110" i="3"/>
  <c r="AE538" i="3"/>
  <c r="AG37" i="3"/>
  <c r="AG23" i="3"/>
  <c r="AH131" i="3"/>
  <c r="X67" i="3"/>
  <c r="Z67" i="3"/>
  <c r="AK159" i="3"/>
  <c r="AK114" i="3"/>
  <c r="AJ102" i="3"/>
  <c r="AL102" i="3"/>
  <c r="AF102" i="3"/>
  <c r="X87" i="3"/>
  <c r="AJ72" i="3"/>
  <c r="AF72" i="3"/>
  <c r="AE534" i="3"/>
  <c r="AG39" i="3"/>
  <c r="X15" i="3"/>
  <c r="X12" i="3"/>
  <c r="AK145" i="3"/>
  <c r="AL123" i="3"/>
  <c r="X75" i="3"/>
  <c r="AJ182" i="3"/>
  <c r="AL182" i="3"/>
  <c r="AF182" i="3"/>
  <c r="AH182" i="3"/>
  <c r="Z531" i="3"/>
  <c r="AJ155" i="3"/>
  <c r="AF155" i="3"/>
  <c r="AL107" i="3"/>
  <c r="AF32" i="3"/>
  <c r="AJ32" i="3"/>
  <c r="AL32" i="3"/>
  <c r="AF16" i="3"/>
  <c r="AJ16" i="3"/>
  <c r="AL16" i="3"/>
  <c r="AH167" i="3"/>
  <c r="AG137" i="3"/>
  <c r="AE552" i="3"/>
  <c r="AI531" i="3"/>
  <c r="AH35" i="3"/>
  <c r="X79" i="3"/>
  <c r="AJ37" i="3"/>
  <c r="AF37" i="3"/>
  <c r="AH31" i="3"/>
  <c r="AK28" i="3"/>
  <c r="AF49" i="3"/>
  <c r="AH49" i="3"/>
  <c r="AJ49" i="3"/>
  <c r="AL49" i="3"/>
  <c r="AE535" i="3"/>
  <c r="AG13" i="3"/>
  <c r="AJ143" i="3"/>
  <c r="AL143" i="3"/>
  <c r="AF143" i="3"/>
  <c r="AH143" i="3"/>
  <c r="AG106" i="3"/>
  <c r="AL61" i="3"/>
  <c r="AH139" i="3"/>
  <c r="AG65" i="3"/>
  <c r="AK69" i="3"/>
  <c r="AK133" i="3"/>
  <c r="AF80" i="3"/>
  <c r="AH80" i="3"/>
  <c r="AJ80" i="3"/>
  <c r="AH47" i="3"/>
  <c r="AE529" i="3"/>
  <c r="AG14" i="3"/>
  <c r="AI552" i="3"/>
  <c r="AH45" i="3"/>
  <c r="AH39" i="3"/>
  <c r="AL31" i="3"/>
  <c r="AG28" i="3"/>
  <c r="AF177" i="3"/>
  <c r="AJ177" i="3"/>
  <c r="AJ154" i="3"/>
  <c r="AF154" i="3"/>
  <c r="AH154" i="3"/>
  <c r="AJ112" i="3"/>
  <c r="AF112" i="3"/>
  <c r="AH112" i="3"/>
  <c r="X192" i="3"/>
  <c r="AK128" i="3"/>
  <c r="AF109" i="3"/>
  <c r="AH109" i="3"/>
  <c r="AJ109" i="3"/>
  <c r="Z93" i="3"/>
  <c r="X93" i="3"/>
  <c r="X83" i="3"/>
  <c r="Z83" i="3"/>
  <c r="Z524" i="3"/>
  <c r="AJ11" i="3"/>
  <c r="AF11" i="3"/>
  <c r="AF137" i="3"/>
  <c r="AH137" i="3"/>
  <c r="AJ137" i="3"/>
  <c r="AL137" i="3"/>
  <c r="Z71" i="3"/>
  <c r="X71" i="3"/>
  <c r="AG25" i="3"/>
  <c r="AJ87" i="3"/>
  <c r="AL87" i="3"/>
  <c r="AF87" i="3"/>
  <c r="AH87" i="3"/>
  <c r="AJ48" i="3"/>
  <c r="AF48" i="3"/>
  <c r="AH163" i="3"/>
  <c r="AI537" i="3"/>
  <c r="AK34" i="3"/>
  <c r="AH77" i="3"/>
  <c r="Z528" i="3"/>
  <c r="AJ190" i="3"/>
  <c r="AF190" i="3"/>
  <c r="AJ171" i="3"/>
  <c r="AF171" i="3"/>
  <c r="AH171" i="3"/>
  <c r="AJ150" i="3"/>
  <c r="AF150" i="3"/>
  <c r="AL176" i="3"/>
  <c r="AK176" i="3"/>
  <c r="AK208" i="3"/>
  <c r="AI541" i="3"/>
  <c r="AK186" i="3"/>
  <c r="AL152" i="3"/>
  <c r="AG132" i="3"/>
  <c r="AJ94" i="3"/>
  <c r="AL94" i="3"/>
  <c r="AF94" i="3"/>
  <c r="AI549" i="3"/>
  <c r="AK192" i="3"/>
  <c r="AF146" i="3"/>
  <c r="AJ146" i="3"/>
  <c r="AL157" i="3"/>
  <c r="AK116" i="3"/>
  <c r="AK79" i="3"/>
  <c r="AH159" i="3"/>
  <c r="AH145" i="3"/>
  <c r="Z111" i="3"/>
  <c r="AG56" i="3"/>
  <c r="AK108" i="3"/>
  <c r="AL99" i="3"/>
  <c r="Z530" i="3"/>
  <c r="AF27" i="3"/>
  <c r="AG27" i="3"/>
  <c r="AJ27" i="3"/>
  <c r="AK172" i="3"/>
  <c r="X117" i="3"/>
  <c r="AF86" i="3"/>
  <c r="AH86" i="3"/>
  <c r="AJ86" i="3"/>
  <c r="AG58" i="3"/>
  <c r="AF46" i="3"/>
  <c r="AJ46" i="3"/>
  <c r="AE530" i="3"/>
  <c r="AF169" i="3"/>
  <c r="AH169" i="3"/>
  <c r="AJ169" i="3"/>
  <c r="AL169" i="3"/>
  <c r="AF105" i="3"/>
  <c r="AJ105" i="3"/>
  <c r="AL105" i="3"/>
  <c r="AG87" i="3"/>
  <c r="AF129" i="3"/>
  <c r="AH129" i="3"/>
  <c r="AJ129" i="3"/>
  <c r="AL129" i="3"/>
  <c r="AK59" i="3"/>
  <c r="X38" i="3"/>
  <c r="Z91" i="3"/>
  <c r="X91" i="3"/>
  <c r="AJ62" i="3"/>
  <c r="AF62" i="3"/>
  <c r="AK43" i="3"/>
  <c r="AG36" i="3"/>
  <c r="AH43" i="3"/>
  <c r="AH13" i="3"/>
  <c r="AH64" i="3"/>
  <c r="AJ29" i="3"/>
  <c r="AL29" i="3"/>
  <c r="AF29" i="3"/>
  <c r="AH29" i="3"/>
  <c r="AG99" i="3"/>
  <c r="AH17" i="3"/>
  <c r="AL56" i="3"/>
  <c r="AK170" i="3"/>
  <c r="AJ151" i="3"/>
  <c r="AF151" i="3"/>
  <c r="AK131" i="3"/>
  <c r="Z549" i="3"/>
  <c r="AF192" i="3"/>
  <c r="AJ192" i="3"/>
  <c r="AF164" i="3"/>
  <c r="AJ164" i="3"/>
  <c r="Z561" i="3"/>
  <c r="AF122" i="3"/>
  <c r="AJ122" i="3"/>
  <c r="AH157" i="3"/>
  <c r="AL121" i="3"/>
  <c r="AJ116" i="3"/>
  <c r="AL116" i="3"/>
  <c r="AF116" i="3"/>
  <c r="AH116" i="3"/>
  <c r="AJ79" i="3"/>
  <c r="AL79" i="3"/>
  <c r="AF79" i="3"/>
  <c r="AH79" i="3"/>
  <c r="AE536" i="3"/>
  <c r="AF81" i="3"/>
  <c r="AH81" i="3"/>
  <c r="AJ81" i="3"/>
  <c r="AL81" i="3"/>
  <c r="X49" i="3"/>
  <c r="AG24" i="3"/>
  <c r="AK167" i="3"/>
  <c r="AG80" i="3"/>
  <c r="AJ19" i="3"/>
  <c r="AL19" i="3"/>
  <c r="AF19" i="3"/>
  <c r="AG44" i="3"/>
  <c r="AL77" i="3"/>
  <c r="AH149" i="3"/>
  <c r="AK95" i="3"/>
  <c r="AJ75" i="3"/>
  <c r="AL75" i="3"/>
  <c r="AF75" i="3"/>
  <c r="AH75" i="3"/>
  <c r="AJ59" i="3"/>
  <c r="AL59" i="3"/>
  <c r="AF59" i="3"/>
  <c r="AH59" i="3"/>
  <c r="AG34" i="3"/>
  <c r="AK20" i="3"/>
  <c r="AG202" i="3"/>
  <c r="AG170" i="3"/>
  <c r="AL13" i="3"/>
  <c r="AL89" i="3"/>
  <c r="AL57" i="3"/>
  <c r="AL98" i="3"/>
  <c r="AL73" i="3"/>
  <c r="AH63" i="3"/>
  <c r="AK113" i="3"/>
  <c r="AI528" i="3"/>
  <c r="AK190" i="3"/>
  <c r="AG166" i="3"/>
  <c r="AG148" i="3"/>
  <c r="AI557" i="3"/>
  <c r="AE549" i="3"/>
  <c r="AG192" i="3"/>
  <c r="AK115" i="3"/>
  <c r="AH121" i="3"/>
  <c r="AJ84" i="3"/>
  <c r="AF84" i="3"/>
  <c r="AH84" i="3"/>
  <c r="AK45" i="3"/>
  <c r="AG79" i="3"/>
  <c r="AF153" i="3"/>
  <c r="AH153" i="3"/>
  <c r="AJ153" i="3"/>
  <c r="AL153" i="3"/>
  <c r="AJ100" i="3"/>
  <c r="AF100" i="3"/>
  <c r="AH100" i="3"/>
  <c r="AJ103" i="3"/>
  <c r="AL103" i="3"/>
  <c r="AF103" i="3"/>
  <c r="AH103" i="3"/>
  <c r="Z41" i="3"/>
  <c r="X41" i="3"/>
  <c r="AK19" i="3"/>
  <c r="AH125" i="3"/>
  <c r="AF117" i="3"/>
  <c r="AH117" i="3"/>
  <c r="AJ117" i="3"/>
  <c r="AF65" i="3"/>
  <c r="AH65" i="3"/>
  <c r="AJ65" i="3"/>
  <c r="AL65" i="3"/>
  <c r="Z55" i="3"/>
  <c r="X55" i="3"/>
  <c r="AJ15" i="3"/>
  <c r="AL15" i="3"/>
  <c r="AF15" i="3"/>
  <c r="AH14" i="3"/>
  <c r="AH147" i="3"/>
  <c r="AG75" i="3"/>
  <c r="AG18" i="3"/>
  <c r="Z535" i="3"/>
  <c r="AH89" i="3"/>
  <c r="AH57" i="3"/>
  <c r="AH42" i="3"/>
  <c r="AH73" i="3"/>
  <c r="AL63" i="3"/>
  <c r="AK214" i="3"/>
  <c r="AG179" i="3"/>
  <c r="AJ142" i="3"/>
  <c r="AF142" i="3"/>
  <c r="AL202" i="3"/>
  <c r="AF184" i="3"/>
  <c r="AJ184" i="3"/>
  <c r="AL184" i="3"/>
  <c r="AK165" i="3"/>
  <c r="AE532" i="3"/>
  <c r="AG124" i="3"/>
  <c r="Z557" i="3"/>
  <c r="AF211" i="3"/>
  <c r="AG211" i="3"/>
  <c r="AJ211" i="3"/>
  <c r="AK211" i="3"/>
  <c r="AF138" i="3"/>
  <c r="AJ138" i="3"/>
  <c r="AJ119" i="3"/>
  <c r="AL119" i="3"/>
  <c r="AF119" i="3"/>
  <c r="AH119" i="3"/>
  <c r="AK110" i="3"/>
  <c r="AK40" i="3"/>
  <c r="AK23" i="3"/>
  <c r="AG153" i="3"/>
  <c r="AH133" i="3"/>
  <c r="AG95" i="3"/>
  <c r="AK102" i="3"/>
  <c r="AJ88" i="3"/>
  <c r="AF88" i="3"/>
  <c r="AI534" i="3"/>
  <c r="AK39" i="3"/>
  <c r="AK15" i="3"/>
  <c r="AF562" i="3"/>
  <c r="AG562" i="3"/>
  <c r="AH123" i="3"/>
  <c r="AG103" i="3"/>
  <c r="AG40" i="3"/>
  <c r="AJ40" i="3"/>
  <c r="AL40" i="3"/>
  <c r="AF40" i="3"/>
  <c r="AH40" i="3"/>
  <c r="Z537" i="3"/>
  <c r="AF12" i="3"/>
  <c r="AJ12" i="3"/>
  <c r="AK12" i="3"/>
  <c r="AH107" i="3"/>
  <c r="AG107" i="3"/>
  <c r="AF76" i="3"/>
  <c r="AJ76" i="3"/>
  <c r="AL147" i="3"/>
  <c r="AF114" i="3"/>
  <c r="AH114" i="3"/>
  <c r="AJ114" i="3"/>
  <c r="AL114" i="3"/>
  <c r="AJ90" i="3"/>
  <c r="AF90" i="3"/>
  <c r="AH90" i="3"/>
  <c r="AF69" i="3"/>
  <c r="AH69" i="3"/>
  <c r="AJ69" i="3"/>
  <c r="AL69" i="3"/>
  <c r="AF53" i="3"/>
  <c r="AH53" i="3"/>
  <c r="AJ53" i="3"/>
  <c r="AL53" i="3"/>
  <c r="AJ135" i="3"/>
  <c r="AF135" i="3"/>
  <c r="AH135" i="3"/>
  <c r="AG84" i="3"/>
  <c r="AE531" i="3"/>
  <c r="AG155" i="3"/>
  <c r="AF85" i="3"/>
  <c r="AH85" i="3"/>
  <c r="AJ85" i="3"/>
  <c r="AL85" i="3"/>
  <c r="AE524" i="3"/>
  <c r="AL35" i="3"/>
  <c r="AH61" i="3"/>
  <c r="AH21" i="3"/>
  <c r="AK42" i="3"/>
  <c r="AA33" i="2"/>
  <c r="N36" i="2"/>
  <c r="U38" i="2"/>
  <c r="O23" i="2"/>
  <c r="O24" i="2"/>
  <c r="V32" i="2"/>
  <c r="V57" i="2"/>
  <c r="V61" i="2"/>
  <c r="K63" i="2"/>
  <c r="V67" i="2"/>
  <c r="V36" i="2"/>
  <c r="J48" i="2"/>
  <c r="U65" i="2"/>
  <c r="B45" i="2"/>
  <c r="B46" i="2"/>
  <c r="B47" i="2"/>
  <c r="B49" i="2"/>
  <c r="B50" i="2"/>
  <c r="B51" i="2"/>
  <c r="B53" i="2"/>
  <c r="B54" i="2"/>
  <c r="B55" i="2"/>
  <c r="B57" i="2"/>
  <c r="B58" i="2"/>
  <c r="B59" i="2"/>
  <c r="B61" i="2"/>
  <c r="B62" i="2"/>
  <c r="B64" i="2"/>
  <c r="B65" i="2"/>
  <c r="B67" i="2"/>
  <c r="B69" i="2"/>
  <c r="U45" i="2"/>
  <c r="O51" i="2"/>
  <c r="N39" i="2"/>
  <c r="Z67" i="2"/>
  <c r="U30" i="2"/>
  <c r="N33" i="2"/>
  <c r="U59" i="2"/>
  <c r="J63" i="2"/>
  <c r="U23" i="2"/>
  <c r="Q26" i="2"/>
  <c r="T33" i="2"/>
  <c r="V38" i="2"/>
  <c r="O47" i="2"/>
  <c r="U51" i="2"/>
  <c r="J56" i="2"/>
  <c r="V54" i="2"/>
  <c r="V58" i="2"/>
  <c r="J66" i="2"/>
  <c r="U67" i="2"/>
  <c r="O53" i="2"/>
  <c r="N38" i="2"/>
  <c r="N40" i="2"/>
  <c r="P40" i="2"/>
  <c r="O38" i="2"/>
  <c r="O63" i="2"/>
  <c r="N17" i="2"/>
  <c r="N18" i="2"/>
  <c r="AI72" i="2"/>
  <c r="O19" i="2"/>
  <c r="O20" i="2"/>
  <c r="O35" i="2"/>
  <c r="O37" i="2"/>
  <c r="N57" i="2"/>
  <c r="W57" i="2"/>
  <c r="N58" i="2"/>
  <c r="W58" i="2"/>
  <c r="T17" i="2"/>
  <c r="V17" i="2"/>
  <c r="AL72" i="2"/>
  <c r="U36" i="2"/>
  <c r="W36" i="2"/>
  <c r="U46" i="2"/>
  <c r="O49" i="2"/>
  <c r="Z50" i="2"/>
  <c r="U50" i="2"/>
  <c r="O55" i="2"/>
  <c r="Z61" i="2"/>
  <c r="U61" i="2"/>
  <c r="V65" i="2"/>
  <c r="N67" i="2"/>
  <c r="O69" i="2"/>
  <c r="O70" i="2"/>
  <c r="Q70" i="2"/>
  <c r="AM72" i="2"/>
  <c r="U19" i="2"/>
  <c r="V25" i="2"/>
  <c r="V33" i="2"/>
  <c r="J44" i="2"/>
  <c r="O45" i="2"/>
  <c r="O54" i="2"/>
  <c r="U55" i="2"/>
  <c r="W55" i="2"/>
  <c r="AA61" i="2"/>
  <c r="V69" i="2"/>
  <c r="U21" i="2"/>
  <c r="U35" i="2"/>
  <c r="U58" i="2"/>
  <c r="AA17" i="2"/>
  <c r="V23" i="2"/>
  <c r="U25" i="2"/>
  <c r="J34" i="2"/>
  <c r="J72" i="2"/>
  <c r="U39" i="2"/>
  <c r="W39" i="2"/>
  <c r="O44" i="2"/>
  <c r="Q44" i="2"/>
  <c r="U53" i="2"/>
  <c r="J60" i="2"/>
  <c r="N61" i="2"/>
  <c r="U62" i="2"/>
  <c r="K66" i="2"/>
  <c r="AD72" i="2"/>
  <c r="AE72" i="2"/>
  <c r="V21" i="2"/>
  <c r="O40" i="2"/>
  <c r="U47" i="2"/>
  <c r="N51" i="2"/>
  <c r="W51" i="2"/>
  <c r="N53" i="2"/>
  <c r="U54" i="2"/>
  <c r="O59" i="2"/>
  <c r="N62" i="2"/>
  <c r="O64" i="2"/>
  <c r="Q37" i="2"/>
  <c r="O17" i="2"/>
  <c r="O18" i="2"/>
  <c r="Q18" i="2"/>
  <c r="N19" i="2"/>
  <c r="N20" i="2"/>
  <c r="P20" i="2"/>
  <c r="N21" i="2"/>
  <c r="Q24" i="2"/>
  <c r="O30" i="2"/>
  <c r="O32" i="2"/>
  <c r="O34" i="2"/>
  <c r="Q34" i="2"/>
  <c r="U33" i="2"/>
  <c r="J37" i="2"/>
  <c r="V39" i="2"/>
  <c r="O46" i="2"/>
  <c r="O50" i="2"/>
  <c r="O57" i="2"/>
  <c r="O60" i="2"/>
  <c r="Q60" i="2"/>
  <c r="T72" i="2"/>
  <c r="W45" i="2"/>
  <c r="W67" i="2"/>
  <c r="Q63" i="2"/>
  <c r="U17" i="2"/>
  <c r="W17" i="2"/>
  <c r="Q22" i="2"/>
  <c r="O31" i="2"/>
  <c r="Q31" i="2"/>
  <c r="W33" i="2"/>
  <c r="P18" i="2"/>
  <c r="Q40" i="2"/>
  <c r="Q20" i="2"/>
  <c r="W53" i="2"/>
  <c r="O66" i="2"/>
  <c r="W19" i="2"/>
  <c r="O56" i="2"/>
  <c r="Q56" i="2"/>
  <c r="V64" i="2"/>
  <c r="Q68" i="2"/>
  <c r="N22" i="2"/>
  <c r="P22" i="2"/>
  <c r="N23" i="2"/>
  <c r="N54" i="2"/>
  <c r="N63" i="2"/>
  <c r="P63" i="2"/>
  <c r="N68" i="2"/>
  <c r="P68" i="2"/>
  <c r="N25" i="2"/>
  <c r="Z27" i="2"/>
  <c r="U27" i="2"/>
  <c r="Z32" i="2"/>
  <c r="U32" i="2"/>
  <c r="V45" i="2"/>
  <c r="V53" i="2"/>
  <c r="N64" i="2"/>
  <c r="AA64" i="2"/>
  <c r="N69" i="2"/>
  <c r="AA69" i="2"/>
  <c r="M72" i="2"/>
  <c r="M73" i="2"/>
  <c r="N30" i="2"/>
  <c r="W30" i="2"/>
  <c r="N35" i="2"/>
  <c r="Z69" i="2"/>
  <c r="U69" i="2"/>
  <c r="N27" i="2"/>
  <c r="AA27" i="2"/>
  <c r="N32" i="2"/>
  <c r="AA32" i="2"/>
  <c r="N59" i="2"/>
  <c r="W59" i="2"/>
  <c r="Y72" i="2"/>
  <c r="N46" i="2"/>
  <c r="N50" i="2"/>
  <c r="W50" i="2"/>
  <c r="Z64" i="2"/>
  <c r="U64" i="2"/>
  <c r="Z29" i="2"/>
  <c r="U29" i="2"/>
  <c r="N47" i="2"/>
  <c r="W47" i="2"/>
  <c r="Z49" i="2"/>
  <c r="U49" i="2"/>
  <c r="N29" i="2"/>
  <c r="AA29" i="2"/>
  <c r="N49" i="2"/>
  <c r="N65" i="2"/>
  <c r="W65" i="2"/>
  <c r="AH12" i="3"/>
  <c r="AG12" i="3"/>
  <c r="AG116" i="3"/>
  <c r="AL177" i="3"/>
  <c r="AK177" i="3"/>
  <c r="AL104" i="3"/>
  <c r="AK104" i="3"/>
  <c r="AL160" i="3"/>
  <c r="AK160" i="3"/>
  <c r="AL166" i="3"/>
  <c r="AK166" i="3"/>
  <c r="AK119" i="3"/>
  <c r="AL518" i="3"/>
  <c r="AK518" i="3"/>
  <c r="AL416" i="3"/>
  <c r="AK416" i="3"/>
  <c r="AL138" i="3"/>
  <c r="AK138" i="3"/>
  <c r="AG114" i="3"/>
  <c r="AK184" i="3"/>
  <c r="AJ549" i="3"/>
  <c r="AL192" i="3"/>
  <c r="AK75" i="3"/>
  <c r="AK53" i="3"/>
  <c r="AK29" i="3"/>
  <c r="AH94" i="3"/>
  <c r="AG94" i="3"/>
  <c r="AJ71" i="3"/>
  <c r="AF71" i="3"/>
  <c r="AJ83" i="3"/>
  <c r="AF83" i="3"/>
  <c r="AK161" i="3"/>
  <c r="AH177" i="3"/>
  <c r="AG177" i="3"/>
  <c r="AG49" i="3"/>
  <c r="AH16" i="3"/>
  <c r="AG16" i="3"/>
  <c r="AF30" i="3"/>
  <c r="AJ30" i="3"/>
  <c r="AJ533" i="3"/>
  <c r="AL209" i="3"/>
  <c r="AK209" i="3"/>
  <c r="AJ266" i="3"/>
  <c r="AF266" i="3"/>
  <c r="AG327" i="3"/>
  <c r="AF337" i="3"/>
  <c r="AJ337" i="3"/>
  <c r="AL352" i="3"/>
  <c r="AK352" i="3"/>
  <c r="AL412" i="3"/>
  <c r="AK412" i="3"/>
  <c r="AG479" i="3"/>
  <c r="AH298" i="3"/>
  <c r="AG298" i="3"/>
  <c r="AK49" i="3"/>
  <c r="AH126" i="3"/>
  <c r="AG126" i="3"/>
  <c r="AH284" i="3"/>
  <c r="AG284" i="3"/>
  <c r="AL372" i="3"/>
  <c r="AK372" i="3"/>
  <c r="AL496" i="3"/>
  <c r="AK496" i="3"/>
  <c r="AK428" i="3"/>
  <c r="AG109" i="3"/>
  <c r="AH96" i="3"/>
  <c r="AG96" i="3"/>
  <c r="AF544" i="3"/>
  <c r="AG544" i="3"/>
  <c r="AH187" i="3"/>
  <c r="AG187" i="3"/>
  <c r="AL229" i="3"/>
  <c r="AK229" i="3"/>
  <c r="AG353" i="3"/>
  <c r="AG471" i="3"/>
  <c r="AG199" i="3"/>
  <c r="AK303" i="3"/>
  <c r="AH292" i="3"/>
  <c r="AG292" i="3"/>
  <c r="AH350" i="3"/>
  <c r="AG350" i="3"/>
  <c r="AH493" i="3"/>
  <c r="AG493" i="3"/>
  <c r="AL485" i="3"/>
  <c r="AK485" i="3"/>
  <c r="AF546" i="3"/>
  <c r="AG546" i="3"/>
  <c r="AH191" i="3"/>
  <c r="AH197" i="3"/>
  <c r="AG197" i="3"/>
  <c r="AK323" i="3"/>
  <c r="AH440" i="3"/>
  <c r="AG440" i="3"/>
  <c r="AG475" i="3"/>
  <c r="AK87" i="3"/>
  <c r="AL148" i="3"/>
  <c r="AK148" i="3"/>
  <c r="AG268" i="3"/>
  <c r="AH232" i="3"/>
  <c r="AG232" i="3"/>
  <c r="AL237" i="3"/>
  <c r="AK237" i="3"/>
  <c r="AG430" i="3"/>
  <c r="AF97" i="3"/>
  <c r="AJ97" i="3"/>
  <c r="AL221" i="3"/>
  <c r="AK221" i="3"/>
  <c r="AK354" i="3"/>
  <c r="AH306" i="3"/>
  <c r="AG306" i="3"/>
  <c r="AG403" i="3"/>
  <c r="AG415" i="3"/>
  <c r="AI415" i="3"/>
  <c r="AH390" i="3"/>
  <c r="AF553" i="3"/>
  <c r="AG553" i="3"/>
  <c r="AG444" i="3"/>
  <c r="AL503" i="3"/>
  <c r="AK503" i="3"/>
  <c r="AL463" i="3"/>
  <c r="AK463" i="3"/>
  <c r="AJ501" i="3"/>
  <c r="AF501" i="3"/>
  <c r="AH60" i="3"/>
  <c r="AG60" i="3"/>
  <c r="AL514" i="3"/>
  <c r="AK514" i="3"/>
  <c r="AH416" i="3"/>
  <c r="AG416" i="3"/>
  <c r="AL284" i="3"/>
  <c r="AK284" i="3"/>
  <c r="AL418" i="3"/>
  <c r="AK418" i="3"/>
  <c r="AL471" i="3"/>
  <c r="AK471" i="3"/>
  <c r="Z552" i="3"/>
  <c r="AJ194" i="3"/>
  <c r="AF194" i="3"/>
  <c r="AJ544" i="3"/>
  <c r="AL187" i="3"/>
  <c r="AK187" i="3"/>
  <c r="AL206" i="3"/>
  <c r="AK374" i="3"/>
  <c r="AF307" i="3"/>
  <c r="AJ307" i="3"/>
  <c r="AH424" i="3"/>
  <c r="AG424" i="3"/>
  <c r="AH396" i="3"/>
  <c r="AG396" i="3"/>
  <c r="AH237" i="3"/>
  <c r="AG237" i="3"/>
  <c r="AH185" i="3"/>
  <c r="AG185" i="3"/>
  <c r="AL369" i="3"/>
  <c r="AK369" i="3"/>
  <c r="AL68" i="3"/>
  <c r="AK68" i="3"/>
  <c r="AH221" i="3"/>
  <c r="AG221" i="3"/>
  <c r="AF311" i="3"/>
  <c r="AJ311" i="3"/>
  <c r="AH282" i="3"/>
  <c r="AG282" i="3"/>
  <c r="AL390" i="3"/>
  <c r="AK390" i="3"/>
  <c r="AL517" i="3"/>
  <c r="AK517" i="3"/>
  <c r="AL60" i="3"/>
  <c r="AK60" i="3"/>
  <c r="AL76" i="3"/>
  <c r="AK76" i="3"/>
  <c r="AH138" i="3"/>
  <c r="AG138" i="3"/>
  <c r="AH184" i="3"/>
  <c r="AG184" i="3"/>
  <c r="AF549" i="3"/>
  <c r="AG549" i="3"/>
  <c r="AH192" i="3"/>
  <c r="AG85" i="3"/>
  <c r="AH150" i="3"/>
  <c r="AG150" i="3"/>
  <c r="AH37" i="3"/>
  <c r="AH110" i="3"/>
  <c r="AG110" i="3"/>
  <c r="AL179" i="3"/>
  <c r="AK179" i="3"/>
  <c r="AG269" i="3"/>
  <c r="AL207" i="3"/>
  <c r="AK207" i="3"/>
  <c r="AH330" i="3"/>
  <c r="AG330" i="3"/>
  <c r="AH345" i="3"/>
  <c r="AG345" i="3"/>
  <c r="AH352" i="3"/>
  <c r="AG352" i="3"/>
  <c r="AH412" i="3"/>
  <c r="AG412" i="3"/>
  <c r="AL467" i="3"/>
  <c r="AK467" i="3"/>
  <c r="AH428" i="3"/>
  <c r="AG428" i="3"/>
  <c r="AF92" i="3"/>
  <c r="AJ92" i="3"/>
  <c r="AL126" i="3"/>
  <c r="AK126" i="3"/>
  <c r="AF559" i="3"/>
  <c r="AG559" i="3"/>
  <c r="AH210" i="3"/>
  <c r="AG210" i="3"/>
  <c r="AL316" i="3"/>
  <c r="AK316" i="3"/>
  <c r="AL506" i="3"/>
  <c r="AK506" i="3"/>
  <c r="AL158" i="3"/>
  <c r="AK158" i="3"/>
  <c r="AL130" i="3"/>
  <c r="AK130" i="3"/>
  <c r="AL203" i="3"/>
  <c r="AK203" i="3"/>
  <c r="AK275" i="3"/>
  <c r="AK291" i="3"/>
  <c r="AL288" i="3"/>
  <c r="AK288" i="3"/>
  <c r="AJ358" i="3"/>
  <c r="AF358" i="3"/>
  <c r="AG389" i="3"/>
  <c r="AJ481" i="3"/>
  <c r="AF481" i="3"/>
  <c r="AJ553" i="3"/>
  <c r="AL140" i="3"/>
  <c r="AK140" i="3"/>
  <c r="AG252" i="3"/>
  <c r="AK327" i="3"/>
  <c r="AL324" i="3"/>
  <c r="AK324" i="3"/>
  <c r="AH231" i="3"/>
  <c r="AG231" i="3"/>
  <c r="AL493" i="3"/>
  <c r="AK493" i="3"/>
  <c r="AG446" i="3"/>
  <c r="AJ546" i="3"/>
  <c r="AL191" i="3"/>
  <c r="Z556" i="3"/>
  <c r="AF188" i="3"/>
  <c r="AJ188" i="3"/>
  <c r="AF200" i="3"/>
  <c r="AJ200" i="3"/>
  <c r="AL197" i="3"/>
  <c r="AK197" i="3"/>
  <c r="AK315" i="3"/>
  <c r="AL328" i="3"/>
  <c r="AK328" i="3"/>
  <c r="AH504" i="3"/>
  <c r="AG504" i="3"/>
  <c r="AG512" i="3"/>
  <c r="Z547" i="3"/>
  <c r="AF387" i="3"/>
  <c r="AJ387" i="3"/>
  <c r="AF220" i="3"/>
  <c r="AJ220" i="3"/>
  <c r="AG275" i="3"/>
  <c r="AL300" i="3"/>
  <c r="AK300" i="3"/>
  <c r="AG287" i="3"/>
  <c r="AK129" i="3"/>
  <c r="AG283" i="3"/>
  <c r="AK251" i="3"/>
  <c r="AG360" i="3"/>
  <c r="AH463" i="3"/>
  <c r="AG463" i="3"/>
  <c r="AL494" i="3"/>
  <c r="AK494" i="3"/>
  <c r="AL368" i="3"/>
  <c r="AK368" i="3"/>
  <c r="AH178" i="3"/>
  <c r="AG178" i="3"/>
  <c r="AL48" i="3"/>
  <c r="AK48" i="3"/>
  <c r="AL96" i="3"/>
  <c r="AK96" i="3"/>
  <c r="AH229" i="3"/>
  <c r="AG229" i="3"/>
  <c r="AL175" i="3"/>
  <c r="AK175" i="3"/>
  <c r="AL211" i="3"/>
  <c r="AJ55" i="3"/>
  <c r="AF55" i="3"/>
  <c r="AJ41" i="3"/>
  <c r="AF41" i="3"/>
  <c r="AH62" i="3"/>
  <c r="AG62" i="3"/>
  <c r="AL150" i="3"/>
  <c r="AK150" i="3"/>
  <c r="AK105" i="3"/>
  <c r="AG81" i="3"/>
  <c r="AG182" i="3"/>
  <c r="AL37" i="3"/>
  <c r="AK16" i="3"/>
  <c r="AH32" i="3"/>
  <c r="AG32" i="3"/>
  <c r="AK103" i="3"/>
  <c r="AH72" i="3"/>
  <c r="AG72" i="3"/>
  <c r="AJ67" i="3"/>
  <c r="AF67" i="3"/>
  <c r="AH278" i="3"/>
  <c r="AG278" i="3"/>
  <c r="AJ33" i="3"/>
  <c r="AF33" i="3"/>
  <c r="AG214" i="3"/>
  <c r="AH207" i="3"/>
  <c r="AH225" i="3"/>
  <c r="AG225" i="3"/>
  <c r="AL345" i="3"/>
  <c r="AK345" i="3"/>
  <c r="AF550" i="3"/>
  <c r="AG550" i="3"/>
  <c r="AH388" i="3"/>
  <c r="AG388" i="3"/>
  <c r="AH467" i="3"/>
  <c r="AG467" i="3"/>
  <c r="AH436" i="3"/>
  <c r="AG436" i="3"/>
  <c r="AJ559" i="3"/>
  <c r="AL210" i="3"/>
  <c r="AF212" i="3"/>
  <c r="AJ212" i="3"/>
  <c r="AH382" i="3"/>
  <c r="AG382" i="3"/>
  <c r="AH316" i="3"/>
  <c r="AG316" i="3"/>
  <c r="AL405" i="3"/>
  <c r="AK405" i="3"/>
  <c r="AK480" i="3"/>
  <c r="AL421" i="3"/>
  <c r="AK421" i="3"/>
  <c r="AH506" i="3"/>
  <c r="AG506" i="3"/>
  <c r="AL443" i="3"/>
  <c r="AK443" i="3"/>
  <c r="AE564" i="3"/>
  <c r="AF569" i="3"/>
  <c r="AH130" i="3"/>
  <c r="AG130" i="3"/>
  <c r="AK210" i="3"/>
  <c r="AK287" i="3"/>
  <c r="AK299" i="3"/>
  <c r="AH288" i="3"/>
  <c r="AG288" i="3"/>
  <c r="AK399" i="3"/>
  <c r="AK400" i="3"/>
  <c r="AK454" i="3"/>
  <c r="AK510" i="3"/>
  <c r="AH108" i="3"/>
  <c r="AG108" i="3"/>
  <c r="AG271" i="3"/>
  <c r="AH324" i="3"/>
  <c r="AG324" i="3"/>
  <c r="AG385" i="3"/>
  <c r="AG400" i="3"/>
  <c r="AG426" i="3"/>
  <c r="AL386" i="3"/>
  <c r="AK386" i="3"/>
  <c r="AL426" i="3"/>
  <c r="AK426" i="3"/>
  <c r="AL101" i="3"/>
  <c r="AK101" i="3"/>
  <c r="AL219" i="3"/>
  <c r="AK219" i="3"/>
  <c r="AH217" i="3"/>
  <c r="AG217" i="3"/>
  <c r="AH328" i="3"/>
  <c r="AG328" i="3"/>
  <c r="AG497" i="3"/>
  <c r="AL504" i="3"/>
  <c r="AK504" i="3"/>
  <c r="AL455" i="3"/>
  <c r="AK455" i="3"/>
  <c r="AK191" i="3"/>
  <c r="AG291" i="3"/>
  <c r="AK516" i="3"/>
  <c r="AJ536" i="3"/>
  <c r="AL38" i="3"/>
  <c r="AK38" i="3"/>
  <c r="AJ555" i="3"/>
  <c r="AL193" i="3"/>
  <c r="AK193" i="3"/>
  <c r="AL223" i="3"/>
  <c r="AK223" i="3"/>
  <c r="AK342" i="3"/>
  <c r="AH336" i="3"/>
  <c r="AG336" i="3"/>
  <c r="AH300" i="3"/>
  <c r="AG300" i="3"/>
  <c r="AH365" i="3"/>
  <c r="AG365" i="3"/>
  <c r="AK423" i="3"/>
  <c r="AH262" i="3"/>
  <c r="AG262" i="3"/>
  <c r="AH78" i="3"/>
  <c r="AG78" i="3"/>
  <c r="AK331" i="3"/>
  <c r="AG342" i="3"/>
  <c r="AK271" i="3"/>
  <c r="AL304" i="3"/>
  <c r="AK304" i="3"/>
  <c r="AG391" i="3"/>
  <c r="AL429" i="3"/>
  <c r="AK429" i="3"/>
  <c r="AK457" i="3"/>
  <c r="AK512" i="3"/>
  <c r="AK507" i="3"/>
  <c r="AH494" i="3"/>
  <c r="AG494" i="3"/>
  <c r="AH368" i="3"/>
  <c r="AG368" i="3"/>
  <c r="AL135" i="3"/>
  <c r="AK135" i="3"/>
  <c r="AH15" i="3"/>
  <c r="AG15" i="3"/>
  <c r="AL292" i="3"/>
  <c r="AK292" i="3"/>
  <c r="AH485" i="3"/>
  <c r="AG485" i="3"/>
  <c r="AL430" i="3"/>
  <c r="AK430" i="3"/>
  <c r="AG457" i="3"/>
  <c r="AH76" i="3"/>
  <c r="AG76" i="3"/>
  <c r="AH88" i="3"/>
  <c r="AG88" i="3"/>
  <c r="AH211" i="3"/>
  <c r="AH142" i="3"/>
  <c r="AG142" i="3"/>
  <c r="AG117" i="3"/>
  <c r="AG100" i="3"/>
  <c r="AJ561" i="3"/>
  <c r="AL122" i="3"/>
  <c r="AK122" i="3"/>
  <c r="AL62" i="3"/>
  <c r="AK62" i="3"/>
  <c r="AL46" i="3"/>
  <c r="AK46" i="3"/>
  <c r="AG53" i="3"/>
  <c r="AH11" i="3"/>
  <c r="AG11" i="3"/>
  <c r="AF93" i="3"/>
  <c r="AJ93" i="3"/>
  <c r="AK137" i="3"/>
  <c r="Z538" i="3"/>
  <c r="AG135" i="3"/>
  <c r="AL72" i="3"/>
  <c r="AK72" i="3"/>
  <c r="AG119" i="3"/>
  <c r="AL225" i="3"/>
  <c r="AK225" i="3"/>
  <c r="AH218" i="3"/>
  <c r="AG218" i="3"/>
  <c r="AJ550" i="3"/>
  <c r="AL388" i="3"/>
  <c r="AK388" i="3"/>
  <c r="AG495" i="3"/>
  <c r="AL498" i="3"/>
  <c r="AK498" i="3"/>
  <c r="AH238" i="3"/>
  <c r="AG238" i="3"/>
  <c r="AH402" i="3"/>
  <c r="AG402" i="3"/>
  <c r="AL360" i="3"/>
  <c r="AK360" i="3"/>
  <c r="AJ222" i="3"/>
  <c r="AF222" i="3"/>
  <c r="AK278" i="3"/>
  <c r="AL353" i="3"/>
  <c r="AK353" i="3"/>
  <c r="AJ438" i="3"/>
  <c r="AF438" i="3"/>
  <c r="AH443" i="3"/>
  <c r="AG443" i="3"/>
  <c r="AG208" i="3"/>
  <c r="AH26" i="3"/>
  <c r="AG26" i="3"/>
  <c r="AJ226" i="3"/>
  <c r="AF226" i="3"/>
  <c r="AK279" i="3"/>
  <c r="AL320" i="3"/>
  <c r="AK320" i="3"/>
  <c r="AL356" i="3"/>
  <c r="AK356" i="3"/>
  <c r="AG474" i="3"/>
  <c r="AL482" i="3"/>
  <c r="AK482" i="3"/>
  <c r="AG465" i="3"/>
  <c r="AK174" i="3"/>
  <c r="Z558" i="3"/>
  <c r="AF240" i="3"/>
  <c r="AJ240" i="3"/>
  <c r="AJ341" i="3"/>
  <c r="AF341" i="3"/>
  <c r="AH378" i="3"/>
  <c r="AG378" i="3"/>
  <c r="AK450" i="3"/>
  <c r="AK513" i="3"/>
  <c r="AH101" i="3"/>
  <c r="AG101" i="3"/>
  <c r="AG112" i="3"/>
  <c r="AK198" i="3"/>
  <c r="AL217" i="3"/>
  <c r="AK217" i="3"/>
  <c r="AK243" i="3"/>
  <c r="AH254" i="3"/>
  <c r="AG254" i="3"/>
  <c r="AK322" i="3"/>
  <c r="AL491" i="3"/>
  <c r="AK491" i="3"/>
  <c r="AH455" i="3"/>
  <c r="AG455" i="3"/>
  <c r="AG299" i="3"/>
  <c r="AG454" i="3"/>
  <c r="AF536" i="3"/>
  <c r="AG536" i="3"/>
  <c r="AH38" i="3"/>
  <c r="AG38" i="3"/>
  <c r="AK32" i="3"/>
  <c r="AF555" i="3"/>
  <c r="AG555" i="3"/>
  <c r="AH193" i="3"/>
  <c r="AG193" i="3"/>
  <c r="AL332" i="3"/>
  <c r="AK332" i="3"/>
  <c r="AL365" i="3"/>
  <c r="AK365" i="3"/>
  <c r="AL262" i="3"/>
  <c r="AK262" i="3"/>
  <c r="AL78" i="3"/>
  <c r="AK78" i="3"/>
  <c r="AF248" i="3"/>
  <c r="AJ248" i="3"/>
  <c r="AH302" i="3"/>
  <c r="AG302" i="3"/>
  <c r="AH310" i="3"/>
  <c r="AG310" i="3"/>
  <c r="AH304" i="3"/>
  <c r="AG304" i="3"/>
  <c r="AG361" i="3"/>
  <c r="AG423" i="3"/>
  <c r="AK408" i="3"/>
  <c r="AH445" i="3"/>
  <c r="AG445" i="3"/>
  <c r="AK452" i="3"/>
  <c r="AK81" i="3"/>
  <c r="AL344" i="3"/>
  <c r="AK344" i="3"/>
  <c r="AJ543" i="3"/>
  <c r="AL195" i="3"/>
  <c r="AK195" i="3"/>
  <c r="AF533" i="3"/>
  <c r="AG533" i="3"/>
  <c r="AH209" i="3"/>
  <c r="AG209" i="3"/>
  <c r="AL508" i="3"/>
  <c r="AK508" i="3"/>
  <c r="AL505" i="3"/>
  <c r="AK505" i="3"/>
  <c r="AJ242" i="3"/>
  <c r="AF242" i="3"/>
  <c r="AH359" i="3"/>
  <c r="AG359" i="3"/>
  <c r="AL88" i="3"/>
  <c r="AK88" i="3"/>
  <c r="AL142" i="3"/>
  <c r="AK142" i="3"/>
  <c r="AK169" i="3"/>
  <c r="AL84" i="3"/>
  <c r="AK84" i="3"/>
  <c r="AF561" i="3"/>
  <c r="AG561" i="3"/>
  <c r="AH122" i="3"/>
  <c r="AG122" i="3"/>
  <c r="AH151" i="3"/>
  <c r="AG151" i="3"/>
  <c r="AH46" i="3"/>
  <c r="AG46" i="3"/>
  <c r="AJ530" i="3"/>
  <c r="AL27" i="3"/>
  <c r="AJ111" i="3"/>
  <c r="AF111" i="3"/>
  <c r="AL146" i="3"/>
  <c r="AK146" i="3"/>
  <c r="AL171" i="3"/>
  <c r="AK171" i="3"/>
  <c r="AK27" i="3"/>
  <c r="AL11" i="3"/>
  <c r="AL109" i="3"/>
  <c r="AK109" i="3"/>
  <c r="AL112" i="3"/>
  <c r="AK112" i="3"/>
  <c r="AF534" i="3"/>
  <c r="AG534" i="3"/>
  <c r="AL80" i="3"/>
  <c r="AK80" i="3"/>
  <c r="AG69" i="3"/>
  <c r="AF531" i="3"/>
  <c r="AG531" i="3"/>
  <c r="AH155" i="3"/>
  <c r="AJ562" i="3"/>
  <c r="AG120" i="3"/>
  <c r="AL132" i="3"/>
  <c r="AK132" i="3"/>
  <c r="AK65" i="3"/>
  <c r="AL312" i="3"/>
  <c r="AK312" i="3"/>
  <c r="AK393" i="3"/>
  <c r="AG496" i="3"/>
  <c r="AF448" i="3"/>
  <c r="AJ448" i="3"/>
  <c r="AG207" i="3"/>
  <c r="AL402" i="3"/>
  <c r="AK402" i="3"/>
  <c r="AH502" i="3"/>
  <c r="AG502" i="3"/>
  <c r="AH20" i="3"/>
  <c r="AG20" i="3"/>
  <c r="AF541" i="3"/>
  <c r="AG541" i="3"/>
  <c r="AH186" i="3"/>
  <c r="AG186" i="3"/>
  <c r="AH168" i="3"/>
  <c r="AG168" i="3"/>
  <c r="AF224" i="3"/>
  <c r="AJ224" i="3"/>
  <c r="AJ542" i="3"/>
  <c r="AH373" i="3"/>
  <c r="AG373" i="3"/>
  <c r="AG161" i="3"/>
  <c r="AL26" i="3"/>
  <c r="AK26" i="3"/>
  <c r="AH246" i="3"/>
  <c r="AG246" i="3"/>
  <c r="AH320" i="3"/>
  <c r="AG320" i="3"/>
  <c r="AH482" i="3"/>
  <c r="AG482" i="3"/>
  <c r="AG394" i="3"/>
  <c r="AL156" i="3"/>
  <c r="AK156" i="3"/>
  <c r="AG154" i="3"/>
  <c r="AH198" i="3"/>
  <c r="AG198" i="3"/>
  <c r="AH318" i="3"/>
  <c r="AG318" i="3"/>
  <c r="AL355" i="3"/>
  <c r="AK355" i="3"/>
  <c r="AK378" i="3"/>
  <c r="AK474" i="3"/>
  <c r="AL348" i="3"/>
  <c r="AK348" i="3"/>
  <c r="AH134" i="3"/>
  <c r="AG134" i="3"/>
  <c r="AL264" i="3"/>
  <c r="AK264" i="3"/>
  <c r="AK215" i="3"/>
  <c r="AG273" i="3"/>
  <c r="AL254" i="3"/>
  <c r="AK254" i="3"/>
  <c r="AH491" i="3"/>
  <c r="AG491" i="3"/>
  <c r="AL308" i="3"/>
  <c r="AK308" i="3"/>
  <c r="AL404" i="3"/>
  <c r="AK404" i="3"/>
  <c r="Z536" i="3"/>
  <c r="AH234" i="3"/>
  <c r="AG234" i="3"/>
  <c r="AK361" i="3"/>
  <c r="AH332" i="3"/>
  <c r="AG332" i="3"/>
  <c r="AH381" i="3"/>
  <c r="AG381" i="3"/>
  <c r="AG498" i="3"/>
  <c r="AG418" i="3"/>
  <c r="AK37" i="3"/>
  <c r="AL205" i="3"/>
  <c r="AK205" i="3"/>
  <c r="AH235" i="3"/>
  <c r="AG235" i="3"/>
  <c r="AK298" i="3"/>
  <c r="AH370" i="3"/>
  <c r="AG370" i="3"/>
  <c r="AL413" i="3"/>
  <c r="AK413" i="3"/>
  <c r="AK509" i="3"/>
  <c r="AL445" i="3"/>
  <c r="AK445" i="3"/>
  <c r="AG514" i="3"/>
  <c r="AH19" i="3"/>
  <c r="AG19" i="3"/>
  <c r="AH164" i="3"/>
  <c r="AG164" i="3"/>
  <c r="AL86" i="3"/>
  <c r="AK86" i="3"/>
  <c r="AL120" i="3"/>
  <c r="AK120" i="3"/>
  <c r="AL90" i="3"/>
  <c r="AK90" i="3"/>
  <c r="AL117" i="3"/>
  <c r="AK117" i="3"/>
  <c r="AG169" i="3"/>
  <c r="AL151" i="3"/>
  <c r="AK151" i="3"/>
  <c r="AJ91" i="3"/>
  <c r="AJ538" i="3"/>
  <c r="AF91" i="3"/>
  <c r="AF538" i="3"/>
  <c r="AG538" i="3"/>
  <c r="AH105" i="3"/>
  <c r="AG105" i="3"/>
  <c r="AF530" i="3"/>
  <c r="AG530" i="3"/>
  <c r="AH27" i="3"/>
  <c r="AH146" i="3"/>
  <c r="AG146" i="3"/>
  <c r="AF528" i="3"/>
  <c r="AH190" i="3"/>
  <c r="AG190" i="3"/>
  <c r="Z539" i="3"/>
  <c r="AJ531" i="3"/>
  <c r="AL155" i="3"/>
  <c r="AH102" i="3"/>
  <c r="AG102" i="3"/>
  <c r="AK153" i="3"/>
  <c r="AL127" i="3"/>
  <c r="AK127" i="3"/>
  <c r="AH290" i="3"/>
  <c r="AG290" i="3"/>
  <c r="AJ250" i="3"/>
  <c r="AF250" i="3"/>
  <c r="AK230" i="3"/>
  <c r="AJ560" i="3"/>
  <c r="AL239" i="3"/>
  <c r="AH312" i="3"/>
  <c r="AG312" i="3"/>
  <c r="AH419" i="3"/>
  <c r="AG419" i="3"/>
  <c r="AH487" i="3"/>
  <c r="AG487" i="3"/>
  <c r="AL502" i="3"/>
  <c r="AK502" i="3"/>
  <c r="AJ541" i="3"/>
  <c r="AL186" i="3"/>
  <c r="AL168" i="3"/>
  <c r="AK168" i="3"/>
  <c r="AJ258" i="3"/>
  <c r="AF258" i="3"/>
  <c r="AL373" i="3"/>
  <c r="AK373" i="3"/>
  <c r="AK465" i="3"/>
  <c r="AL420" i="3"/>
  <c r="AK420" i="3"/>
  <c r="AJ532" i="3"/>
  <c r="AL124" i="3"/>
  <c r="AK124" i="3"/>
  <c r="Z534" i="3"/>
  <c r="Z564" i="3"/>
  <c r="AH174" i="3"/>
  <c r="AG174" i="3"/>
  <c r="AH213" i="3"/>
  <c r="AG213" i="3"/>
  <c r="AH322" i="3"/>
  <c r="AG322" i="3"/>
  <c r="AK238" i="3"/>
  <c r="AL246" i="3"/>
  <c r="AK246" i="3"/>
  <c r="AL252" i="3"/>
  <c r="AK252" i="3"/>
  <c r="AG372" i="3"/>
  <c r="AH156" i="3"/>
  <c r="AG156" i="3"/>
  <c r="AH334" i="3"/>
  <c r="AG334" i="3"/>
  <c r="AH355" i="3"/>
  <c r="AG355" i="3"/>
  <c r="AG399" i="3"/>
  <c r="AH377" i="3"/>
  <c r="AG377" i="3"/>
  <c r="AL397" i="3"/>
  <c r="AK397" i="3"/>
  <c r="AJ477" i="3"/>
  <c r="AF477" i="3"/>
  <c r="AL296" i="3"/>
  <c r="AK296" i="3"/>
  <c r="AH427" i="3"/>
  <c r="AG427" i="3"/>
  <c r="AH348" i="3"/>
  <c r="AG348" i="3"/>
  <c r="AL134" i="3"/>
  <c r="AK134" i="3"/>
  <c r="AH294" i="3"/>
  <c r="AG294" i="3"/>
  <c r="AL273" i="3"/>
  <c r="AK273" i="3"/>
  <c r="AH308" i="3"/>
  <c r="AG308" i="3"/>
  <c r="AH404" i="3"/>
  <c r="AG404" i="3"/>
  <c r="AH52" i="3"/>
  <c r="AG52" i="3"/>
  <c r="AH115" i="3"/>
  <c r="AG115" i="3"/>
  <c r="AH201" i="3"/>
  <c r="AG201" i="3"/>
  <c r="AL381" i="3"/>
  <c r="AK381" i="3"/>
  <c r="AH366" i="3"/>
  <c r="AG366" i="3"/>
  <c r="AK268" i="3"/>
  <c r="AK466" i="3"/>
  <c r="AK182" i="3"/>
  <c r="Z540" i="3"/>
  <c r="AF204" i="3"/>
  <c r="AJ204" i="3"/>
  <c r="AH205" i="3"/>
  <c r="AG205" i="3"/>
  <c r="AH326" i="3"/>
  <c r="AG326" i="3"/>
  <c r="AG251" i="3"/>
  <c r="AK330" i="3"/>
  <c r="AG432" i="3"/>
  <c r="AG505" i="3"/>
  <c r="AL236" i="3"/>
  <c r="AK236" i="3"/>
  <c r="AJ537" i="3"/>
  <c r="AL12" i="3"/>
  <c r="AG59" i="3"/>
  <c r="AF529" i="3"/>
  <c r="AG529" i="3"/>
  <c r="AL100" i="3"/>
  <c r="AK100" i="3"/>
  <c r="AK85" i="3"/>
  <c r="AL164" i="3"/>
  <c r="AK164" i="3"/>
  <c r="AF535" i="3"/>
  <c r="AG535" i="3"/>
  <c r="AJ528" i="3"/>
  <c r="AL190" i="3"/>
  <c r="AH48" i="3"/>
  <c r="AG48" i="3"/>
  <c r="Z523" i="3"/>
  <c r="AG29" i="3"/>
  <c r="AL154" i="3"/>
  <c r="AK154" i="3"/>
  <c r="AG129" i="3"/>
  <c r="AG90" i="3"/>
  <c r="AK155" i="3"/>
  <c r="AH104" i="3"/>
  <c r="AG104" i="3"/>
  <c r="AH160" i="3"/>
  <c r="AG160" i="3"/>
  <c r="AK143" i="3"/>
  <c r="AF543" i="3"/>
  <c r="AG543" i="3"/>
  <c r="AH195" i="3"/>
  <c r="AG195" i="3"/>
  <c r="AF560" i="3"/>
  <c r="AG560" i="3"/>
  <c r="AH239" i="3"/>
  <c r="AG239" i="3"/>
  <c r="AH374" i="3"/>
  <c r="AG374" i="3"/>
  <c r="AL419" i="3"/>
  <c r="AK419" i="3"/>
  <c r="AF483" i="3"/>
  <c r="AJ483" i="3"/>
  <c r="AJ557" i="3"/>
  <c r="AL359" i="3"/>
  <c r="AK359" i="3"/>
  <c r="Z545" i="3"/>
  <c r="AF228" i="3"/>
  <c r="AJ228" i="3"/>
  <c r="AK283" i="3"/>
  <c r="AH420" i="3"/>
  <c r="AG420" i="3"/>
  <c r="AH507" i="3"/>
  <c r="AG507" i="3"/>
  <c r="AF532" i="3"/>
  <c r="AG532" i="3"/>
  <c r="AH124" i="3"/>
  <c r="AG127" i="3"/>
  <c r="AH206" i="3"/>
  <c r="AG206" i="3"/>
  <c r="AL213" i="3"/>
  <c r="AK213" i="3"/>
  <c r="AL269" i="3"/>
  <c r="AK269" i="3"/>
  <c r="AH362" i="3"/>
  <c r="AG362" i="3"/>
  <c r="AI362" i="3"/>
  <c r="AG480" i="3"/>
  <c r="AL106" i="3"/>
  <c r="AK106" i="3"/>
  <c r="AG171" i="3"/>
  <c r="AK206" i="3"/>
  <c r="AH230" i="3"/>
  <c r="AG230" i="3"/>
  <c r="AF380" i="3"/>
  <c r="AJ380" i="3"/>
  <c r="AL377" i="3"/>
  <c r="AK377" i="3"/>
  <c r="AH397" i="3"/>
  <c r="AG397" i="3"/>
  <c r="AK446" i="3"/>
  <c r="AH296" i="3"/>
  <c r="AG296" i="3"/>
  <c r="AL427" i="3"/>
  <c r="AK427" i="3"/>
  <c r="AK11" i="3"/>
  <c r="AJ51" i="3"/>
  <c r="AF51" i="3"/>
  <c r="AL199" i="3"/>
  <c r="AK199" i="3"/>
  <c r="AL424" i="3"/>
  <c r="AK424" i="3"/>
  <c r="AL396" i="3"/>
  <c r="AK396" i="3"/>
  <c r="AK334" i="3"/>
  <c r="AH510" i="3"/>
  <c r="AG510" i="3"/>
  <c r="AL52" i="3"/>
  <c r="AK52" i="3"/>
  <c r="AL201" i="3"/>
  <c r="AK201" i="3"/>
  <c r="AK294" i="3"/>
  <c r="AL185" i="3"/>
  <c r="AK185" i="3"/>
  <c r="AH369" i="3"/>
  <c r="AG369" i="3"/>
  <c r="AH68" i="3"/>
  <c r="AG68" i="3"/>
  <c r="Z542" i="3"/>
  <c r="AK272" i="3"/>
  <c r="AL437" i="3"/>
  <c r="AK437" i="3"/>
  <c r="AH452" i="3"/>
  <c r="AG452" i="3"/>
  <c r="AL489" i="3"/>
  <c r="AK489" i="3"/>
  <c r="AG86" i="3"/>
  <c r="AH236" i="3"/>
  <c r="AG236" i="3"/>
  <c r="W61" i="2"/>
  <c r="W21" i="2"/>
  <c r="N56" i="2"/>
  <c r="P56" i="2"/>
  <c r="Q66" i="2"/>
  <c r="W38" i="2"/>
  <c r="V72" i="2"/>
  <c r="AA72" i="2"/>
  <c r="O52" i="2"/>
  <c r="Q52" i="2"/>
  <c r="K72" i="2"/>
  <c r="W46" i="2"/>
  <c r="W54" i="2"/>
  <c r="W62" i="2"/>
  <c r="O48" i="2"/>
  <c r="W69" i="2"/>
  <c r="N70" i="2"/>
  <c r="P70" i="2"/>
  <c r="W25" i="2"/>
  <c r="N26" i="2"/>
  <c r="P26" i="2"/>
  <c r="N60" i="2"/>
  <c r="P60" i="2"/>
  <c r="Z72" i="2"/>
  <c r="Z73" i="2"/>
  <c r="N28" i="2"/>
  <c r="P28" i="2"/>
  <c r="W27" i="2"/>
  <c r="N52" i="2"/>
  <c r="P52" i="2"/>
  <c r="W49" i="2"/>
  <c r="N66" i="2"/>
  <c r="P66" i="2"/>
  <c r="W64" i="2"/>
  <c r="N44" i="2"/>
  <c r="P44" i="2"/>
  <c r="N48" i="2"/>
  <c r="P48" i="2"/>
  <c r="U72" i="2"/>
  <c r="N34" i="2"/>
  <c r="P34" i="2"/>
  <c r="W32" i="2"/>
  <c r="W35" i="2"/>
  <c r="N37" i="2"/>
  <c r="P37" i="2"/>
  <c r="N31" i="2"/>
  <c r="P31" i="2"/>
  <c r="W29" i="2"/>
  <c r="W23" i="2"/>
  <c r="N24" i="2"/>
  <c r="P24" i="2"/>
  <c r="M49" i="6"/>
  <c r="N49" i="6" s="1"/>
  <c r="M48" i="6"/>
  <c r="N48" i="6" s="1"/>
  <c r="M47" i="6"/>
  <c r="O47" i="6" s="1"/>
  <c r="M54" i="6"/>
  <c r="N54" i="6" s="1"/>
  <c r="M33" i="6"/>
  <c r="L57" i="6" s="1"/>
  <c r="L67" i="4"/>
  <c r="M51" i="4"/>
  <c r="N51" i="4"/>
  <c r="M48" i="4"/>
  <c r="O48" i="4"/>
  <c r="M52" i="4"/>
  <c r="N52" i="4"/>
  <c r="M50" i="4"/>
  <c r="N50" i="4"/>
  <c r="M49" i="4"/>
  <c r="O49" i="4"/>
  <c r="M47" i="4"/>
  <c r="O47" i="4"/>
  <c r="B32" i="4"/>
  <c r="M31" i="4"/>
  <c r="AL341" i="3"/>
  <c r="AK341" i="3"/>
  <c r="AH51" i="3"/>
  <c r="AG51" i="3"/>
  <c r="AL358" i="3"/>
  <c r="AK358" i="3"/>
  <c r="AH337" i="3"/>
  <c r="AG337" i="3"/>
  <c r="AH30" i="3"/>
  <c r="AG30" i="3"/>
  <c r="AL83" i="3"/>
  <c r="AK83" i="3"/>
  <c r="AL51" i="3"/>
  <c r="AK51" i="3"/>
  <c r="AL248" i="3"/>
  <c r="AK248" i="3"/>
  <c r="AF558" i="3"/>
  <c r="AG558" i="3"/>
  <c r="AH240" i="3"/>
  <c r="AG240" i="3"/>
  <c r="AH222" i="3"/>
  <c r="AG222" i="3"/>
  <c r="AL93" i="3"/>
  <c r="AJ534" i="3"/>
  <c r="AJ564" i="3"/>
  <c r="AK93" i="3"/>
  <c r="AL200" i="3"/>
  <c r="AK200" i="3"/>
  <c r="AH71" i="3"/>
  <c r="AG71" i="3"/>
  <c r="AL477" i="3"/>
  <c r="AK477" i="3"/>
  <c r="AF545" i="3"/>
  <c r="AG545" i="3"/>
  <c r="AH228" i="3"/>
  <c r="AG228" i="3"/>
  <c r="AH258" i="3"/>
  <c r="AG258" i="3"/>
  <c r="AH224" i="3"/>
  <c r="AG224" i="3"/>
  <c r="AL242" i="3"/>
  <c r="AK242" i="3"/>
  <c r="AL33" i="3"/>
  <c r="AK33" i="3"/>
  <c r="AH311" i="3"/>
  <c r="AG311" i="3"/>
  <c r="AH307" i="3"/>
  <c r="AG307" i="3"/>
  <c r="AJ552" i="3"/>
  <c r="AL194" i="3"/>
  <c r="AK194" i="3"/>
  <c r="AL250" i="3"/>
  <c r="AK250" i="3"/>
  <c r="AJ524" i="3"/>
  <c r="AH111" i="3"/>
  <c r="AG111" i="3"/>
  <c r="AH248" i="3"/>
  <c r="AG248" i="3"/>
  <c r="AL222" i="3"/>
  <c r="AK222" i="3"/>
  <c r="AH93" i="3"/>
  <c r="AG93" i="3"/>
  <c r="AH200" i="3"/>
  <c r="AG200" i="3"/>
  <c r="AH266" i="3"/>
  <c r="AG266" i="3"/>
  <c r="AL71" i="3"/>
  <c r="AK71" i="3"/>
  <c r="AF540" i="3"/>
  <c r="AG540" i="3"/>
  <c r="AH204" i="3"/>
  <c r="AG204" i="3"/>
  <c r="AK483" i="3"/>
  <c r="AL483" i="3"/>
  <c r="AJ523" i="3"/>
  <c r="AL111" i="3"/>
  <c r="AK111" i="3"/>
  <c r="AH67" i="3"/>
  <c r="AG67" i="3"/>
  <c r="AJ556" i="3"/>
  <c r="AL188" i="3"/>
  <c r="AK188" i="3"/>
  <c r="AJ554" i="3"/>
  <c r="AL266" i="3"/>
  <c r="AK266" i="3"/>
  <c r="AL380" i="3"/>
  <c r="AK380" i="3"/>
  <c r="AH483" i="3"/>
  <c r="AG483" i="3"/>
  <c r="AL448" i="3"/>
  <c r="AK448" i="3"/>
  <c r="AJ539" i="3"/>
  <c r="AH438" i="3"/>
  <c r="AG438" i="3"/>
  <c r="AL67" i="3"/>
  <c r="AJ535" i="3"/>
  <c r="AK67" i="3"/>
  <c r="AH41" i="3"/>
  <c r="AG41" i="3"/>
  <c r="AL220" i="3"/>
  <c r="AK220" i="3"/>
  <c r="AF556" i="3"/>
  <c r="AG556" i="3"/>
  <c r="AH188" i="3"/>
  <c r="AG188" i="3"/>
  <c r="AH481" i="3"/>
  <c r="AG481" i="3"/>
  <c r="AL92" i="3"/>
  <c r="AK92" i="3"/>
  <c r="AJ551" i="3"/>
  <c r="AL258" i="3"/>
  <c r="AK258" i="3"/>
  <c r="AH250" i="3"/>
  <c r="AG250" i="3"/>
  <c r="AJ558" i="3"/>
  <c r="AL240" i="3"/>
  <c r="AK240" i="3"/>
  <c r="AF542" i="3"/>
  <c r="AG542" i="3"/>
  <c r="AH380" i="3"/>
  <c r="AG380" i="3"/>
  <c r="AI530" i="3"/>
  <c r="AI564" i="3"/>
  <c r="AI524" i="3"/>
  <c r="AF554" i="3"/>
  <c r="AG554" i="3"/>
  <c r="AJ540" i="3"/>
  <c r="AL204" i="3"/>
  <c r="AK204" i="3"/>
  <c r="AH477" i="3"/>
  <c r="AG477" i="3"/>
  <c r="AH91" i="3"/>
  <c r="AG91" i="3"/>
  <c r="AH448" i="3"/>
  <c r="AG448" i="3"/>
  <c r="AH226" i="3"/>
  <c r="AG226" i="3"/>
  <c r="AL438" i="3"/>
  <c r="AK438" i="3"/>
  <c r="AF524" i="3"/>
  <c r="AG524" i="3"/>
  <c r="AF557" i="3"/>
  <c r="AG557" i="3"/>
  <c r="AL212" i="3"/>
  <c r="AK212" i="3"/>
  <c r="AF551" i="3"/>
  <c r="AG551" i="3"/>
  <c r="AL41" i="3"/>
  <c r="AK41" i="3"/>
  <c r="AH220" i="3"/>
  <c r="AG220" i="3"/>
  <c r="AL481" i="3"/>
  <c r="AK481" i="3"/>
  <c r="AH92" i="3"/>
  <c r="AG92" i="3"/>
  <c r="AJ545" i="3"/>
  <c r="AL228" i="3"/>
  <c r="AK228" i="3"/>
  <c r="AG528" i="3"/>
  <c r="AL91" i="3"/>
  <c r="AK91" i="3"/>
  <c r="AL224" i="3"/>
  <c r="AK224" i="3"/>
  <c r="AH242" i="3"/>
  <c r="AG242" i="3"/>
  <c r="AH341" i="3"/>
  <c r="AG341" i="3"/>
  <c r="AL226" i="3"/>
  <c r="AK226" i="3"/>
  <c r="AF523" i="3"/>
  <c r="AH212" i="3"/>
  <c r="AG212" i="3"/>
  <c r="AH55" i="3"/>
  <c r="AG55" i="3"/>
  <c r="AF548" i="3"/>
  <c r="AG548" i="3"/>
  <c r="AJ547" i="3"/>
  <c r="AL387" i="3"/>
  <c r="AK387" i="3"/>
  <c r="AH501" i="3"/>
  <c r="AG501" i="3"/>
  <c r="AL97" i="3"/>
  <c r="AK97" i="3"/>
  <c r="AF537" i="3"/>
  <c r="AG537" i="3"/>
  <c r="AF539" i="3"/>
  <c r="AG539" i="3"/>
  <c r="AH33" i="3"/>
  <c r="AG33" i="3"/>
  <c r="AL55" i="3"/>
  <c r="AK55" i="3"/>
  <c r="AF547" i="3"/>
  <c r="AG547" i="3"/>
  <c r="AH387" i="3"/>
  <c r="AG387" i="3"/>
  <c r="AH358" i="3"/>
  <c r="AG358" i="3"/>
  <c r="AL311" i="3"/>
  <c r="AK311" i="3"/>
  <c r="AL307" i="3"/>
  <c r="AK307" i="3"/>
  <c r="AF552" i="3"/>
  <c r="AG552" i="3"/>
  <c r="AH194" i="3"/>
  <c r="AG194" i="3"/>
  <c r="AL501" i="3"/>
  <c r="AK501" i="3"/>
  <c r="AH97" i="3"/>
  <c r="AG97" i="3"/>
  <c r="AJ548" i="3"/>
  <c r="AL337" i="3"/>
  <c r="AK337" i="3"/>
  <c r="AL30" i="3"/>
  <c r="AK30" i="3"/>
  <c r="AH83" i="3"/>
  <c r="AG83" i="3"/>
  <c r="AI523" i="3"/>
  <c r="P72" i="2"/>
  <c r="W72" i="2"/>
  <c r="R50" i="4"/>
  <c r="S50" i="4"/>
  <c r="T50" i="4"/>
  <c r="O72" i="2"/>
  <c r="Q48" i="2"/>
  <c r="Q72" i="2"/>
  <c r="N72" i="2"/>
  <c r="O51" i="4"/>
  <c r="P51" i="4"/>
  <c r="O50" i="4"/>
  <c r="O52" i="4"/>
  <c r="P52" i="4"/>
  <c r="N47" i="4"/>
  <c r="P47" i="4"/>
  <c r="N48" i="4"/>
  <c r="P48" i="4"/>
  <c r="N49" i="4"/>
  <c r="O31" i="4"/>
  <c r="N31" i="4"/>
  <c r="M46" i="6"/>
  <c r="O46" i="6" s="1"/>
  <c r="M45" i="6"/>
  <c r="N45" i="6" s="1"/>
  <c r="M43" i="6"/>
  <c r="O43" i="6" s="1"/>
  <c r="M42" i="6"/>
  <c r="N42" i="6" s="1"/>
  <c r="M40" i="6"/>
  <c r="O40" i="6" s="1"/>
  <c r="M39" i="6"/>
  <c r="N39" i="6" s="1"/>
  <c r="L31" i="6"/>
  <c r="M64" i="4"/>
  <c r="O64" i="4"/>
  <c r="M63" i="4"/>
  <c r="O63" i="4"/>
  <c r="M62" i="4"/>
  <c r="O62" i="4"/>
  <c r="M61" i="4"/>
  <c r="O61" i="4"/>
  <c r="M60" i="4"/>
  <c r="N60" i="4"/>
  <c r="M59" i="4"/>
  <c r="N59" i="4"/>
  <c r="AF564" i="3"/>
  <c r="O73" i="2"/>
  <c r="O75" i="2"/>
  <c r="N73" i="2"/>
  <c r="N75" i="2"/>
  <c r="P49" i="4"/>
  <c r="R47" i="4"/>
  <c r="S47" i="4"/>
  <c r="T47" i="4"/>
  <c r="R59" i="4"/>
  <c r="S59" i="4"/>
  <c r="T59" i="4"/>
  <c r="P50" i="4"/>
  <c r="R31" i="4"/>
  <c r="S31" i="4"/>
  <c r="T31" i="4"/>
  <c r="P31" i="4"/>
  <c r="N63" i="4"/>
  <c r="N64" i="4"/>
  <c r="O59" i="4"/>
  <c r="P59" i="4"/>
  <c r="N61" i="4"/>
  <c r="O60" i="4"/>
  <c r="P60" i="4"/>
  <c r="N62" i="4"/>
  <c r="P62" i="4"/>
  <c r="AF567" i="3"/>
  <c r="AF566" i="3"/>
  <c r="P61" i="4"/>
  <c r="R61" i="4"/>
  <c r="S61" i="4"/>
  <c r="T61" i="4"/>
  <c r="P64" i="4"/>
  <c r="R64" i="4"/>
  <c r="S64" i="4"/>
  <c r="T64" i="4"/>
  <c r="P63" i="4"/>
  <c r="R63" i="4"/>
  <c r="S63" i="4"/>
  <c r="T63" i="4"/>
  <c r="M34" i="4"/>
  <c r="O34" i="4"/>
  <c r="M58" i="4"/>
  <c r="O58" i="4"/>
  <c r="M57" i="4"/>
  <c r="N57" i="4"/>
  <c r="M56" i="4"/>
  <c r="N56" i="4"/>
  <c r="M55" i="4"/>
  <c r="M54" i="4"/>
  <c r="O54" i="4"/>
  <c r="M53" i="4"/>
  <c r="O53" i="4"/>
  <c r="M46" i="4"/>
  <c r="N46" i="4"/>
  <c r="M44" i="4"/>
  <c r="O44" i="4"/>
  <c r="M43" i="4"/>
  <c r="O43" i="4"/>
  <c r="M42" i="4"/>
  <c r="N42" i="4"/>
  <c r="M41" i="4"/>
  <c r="O41" i="4"/>
  <c r="M40" i="4"/>
  <c r="O40" i="4"/>
  <c r="M39" i="4"/>
  <c r="O39" i="4"/>
  <c r="M38" i="4"/>
  <c r="N38" i="4"/>
  <c r="M37" i="4"/>
  <c r="O37" i="4"/>
  <c r="M36" i="4"/>
  <c r="O36" i="4"/>
  <c r="M35" i="4"/>
  <c r="N35" i="4"/>
  <c r="M33" i="4"/>
  <c r="O33" i="4"/>
  <c r="B33" i="4"/>
  <c r="B34" i="4"/>
  <c r="B35" i="4"/>
  <c r="B36" i="4"/>
  <c r="B37" i="4"/>
  <c r="B38" i="4"/>
  <c r="B39" i="4"/>
  <c r="B40" i="4"/>
  <c r="B41" i="4"/>
  <c r="B42" i="4"/>
  <c r="M32" i="4"/>
  <c r="O32" i="4"/>
  <c r="L28" i="4"/>
  <c r="N55" i="4"/>
  <c r="M67" i="4"/>
  <c r="B43" i="4"/>
  <c r="O56" i="4"/>
  <c r="O55" i="4"/>
  <c r="O46" i="4"/>
  <c r="P46" i="4"/>
  <c r="O57" i="4"/>
  <c r="P57" i="4"/>
  <c r="N54" i="4"/>
  <c r="P54" i="4"/>
  <c r="O38" i="4"/>
  <c r="N44" i="4"/>
  <c r="S44" i="4"/>
  <c r="T44" i="4"/>
  <c r="N58" i="4"/>
  <c r="R56" i="4"/>
  <c r="S56" i="4"/>
  <c r="T56" i="4"/>
  <c r="N41" i="4"/>
  <c r="N39" i="4"/>
  <c r="N34" i="4"/>
  <c r="R34" i="4"/>
  <c r="S34" i="4"/>
  <c r="T34" i="4"/>
  <c r="O35" i="4"/>
  <c r="N32" i="4"/>
  <c r="R32" i="4"/>
  <c r="S32" i="4"/>
  <c r="T32" i="4"/>
  <c r="N37" i="4"/>
  <c r="P37" i="4"/>
  <c r="O42" i="4"/>
  <c r="N33" i="4"/>
  <c r="R35" i="4"/>
  <c r="S35" i="4"/>
  <c r="T35" i="4"/>
  <c r="P56" i="4"/>
  <c r="N36" i="4"/>
  <c r="N40" i="4"/>
  <c r="N43" i="4"/>
  <c r="P43" i="4"/>
  <c r="N53" i="4"/>
  <c r="R53" i="4"/>
  <c r="S53" i="4"/>
  <c r="T53" i="4"/>
  <c r="B44" i="4"/>
  <c r="R42" i="4"/>
  <c r="S42" i="4"/>
  <c r="T42" i="4"/>
  <c r="P41" i="4"/>
  <c r="R40" i="4"/>
  <c r="S40" i="4"/>
  <c r="T40" i="4"/>
  <c r="P39" i="4"/>
  <c r="R38" i="4"/>
  <c r="S38" i="4"/>
  <c r="T38" i="4"/>
  <c r="P42" i="4"/>
  <c r="P38" i="4"/>
  <c r="O67" i="4"/>
  <c r="E77" i="4"/>
  <c r="E80" i="4"/>
  <c r="N67" i="4"/>
  <c r="D77" i="4"/>
  <c r="D80" i="4"/>
  <c r="P55" i="4"/>
  <c r="P35" i="4"/>
  <c r="P44" i="4"/>
  <c r="P58" i="4"/>
  <c r="P32" i="4"/>
  <c r="P34" i="4"/>
  <c r="P33" i="4"/>
  <c r="R33" i="4"/>
  <c r="S33" i="4"/>
  <c r="T33" i="4"/>
  <c r="P53" i="4"/>
  <c r="P40" i="4"/>
  <c r="R36" i="4"/>
  <c r="S36" i="4"/>
  <c r="T36" i="4"/>
  <c r="P36" i="4"/>
  <c r="P67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P69" i="4"/>
  <c r="P70" i="4"/>
  <c r="P71" i="4"/>
  <c r="P72" i="4"/>
  <c r="P73" i="4"/>
  <c r="P75" i="4"/>
  <c r="O33" i="10"/>
  <c r="O34" i="10"/>
  <c r="O35" i="10"/>
  <c r="N40" i="6"/>
  <c r="N53" i="6"/>
  <c r="P53" i="6" s="1"/>
  <c r="O48" i="6" l="1"/>
  <c r="N51" i="6"/>
  <c r="O54" i="6"/>
  <c r="P54" i="6" s="1"/>
  <c r="O49" i="6"/>
  <c r="N50" i="6"/>
  <c r="P50" i="6" s="1"/>
  <c r="P49" i="6"/>
  <c r="N37" i="6"/>
  <c r="R37" i="6" s="1"/>
  <c r="S37" i="6" s="1"/>
  <c r="T37" i="6" s="1"/>
  <c r="O41" i="6"/>
  <c r="P41" i="6" s="1"/>
  <c r="P40" i="6"/>
  <c r="N33" i="6"/>
  <c r="R33" i="6" s="1"/>
  <c r="S33" i="6" s="1"/>
  <c r="T33" i="6" s="1"/>
  <c r="O42" i="6"/>
  <c r="P42" i="6" s="1"/>
  <c r="O33" i="6"/>
  <c r="N47" i="6"/>
  <c r="R47" i="6" s="1"/>
  <c r="S47" i="6" s="1"/>
  <c r="T47" i="6" s="1"/>
  <c r="N44" i="6"/>
  <c r="P44" i="6" s="1"/>
  <c r="N52" i="6"/>
  <c r="R51" i="6" s="1"/>
  <c r="S51" i="6" s="1"/>
  <c r="T51" i="6" s="1"/>
  <c r="P51" i="6"/>
  <c r="N46" i="6"/>
  <c r="P46" i="6" s="1"/>
  <c r="P35" i="6"/>
  <c r="R36" i="6"/>
  <c r="S36" i="6" s="1"/>
  <c r="T36" i="6" s="1"/>
  <c r="R39" i="6"/>
  <c r="S39" i="6" s="1"/>
  <c r="T39" i="6" s="1"/>
  <c r="R38" i="6"/>
  <c r="S38" i="6" s="1"/>
  <c r="T38" i="6" s="1"/>
  <c r="P38" i="6"/>
  <c r="O39" i="6"/>
  <c r="P39" i="6" s="1"/>
  <c r="O45" i="6"/>
  <c r="P45" i="6" s="1"/>
  <c r="O38" i="6"/>
  <c r="O36" i="6"/>
  <c r="P36" i="6" s="1"/>
  <c r="N34" i="6"/>
  <c r="M57" i="6"/>
  <c r="P48" i="6"/>
  <c r="N43" i="6"/>
  <c r="P37" i="6" l="1"/>
  <c r="P47" i="6"/>
  <c r="P33" i="6"/>
  <c r="N57" i="6"/>
  <c r="P52" i="6"/>
  <c r="P43" i="6"/>
  <c r="R43" i="6"/>
  <c r="S43" i="6" s="1"/>
  <c r="T43" i="6" s="1"/>
  <c r="P34" i="6"/>
  <c r="R34" i="6"/>
  <c r="S34" i="6" s="1"/>
  <c r="T34" i="6" s="1"/>
  <c r="O57" i="6"/>
  <c r="P60" i="6" l="1"/>
  <c r="P61" i="6" s="1"/>
  <c r="P62" i="6" s="1"/>
  <c r="P57" i="6"/>
  <c r="P63" i="6" l="1"/>
  <c r="P64" i="6"/>
  <c r="P66" i="6" s="1"/>
</calcChain>
</file>

<file path=xl/sharedStrings.xml><?xml version="1.0" encoding="utf-8"?>
<sst xmlns="http://schemas.openxmlformats.org/spreadsheetml/2006/main" count="5744" uniqueCount="324">
  <si>
    <t>PROYECTO:</t>
  </si>
  <si>
    <t>FECHA:</t>
  </si>
  <si>
    <t>CONCEPTO:</t>
  </si>
  <si>
    <t>ALUBIN</t>
  </si>
  <si>
    <t>No.</t>
  </si>
  <si>
    <t>TRAMO</t>
  </si>
  <si>
    <t>MILL FINISH</t>
  </si>
  <si>
    <t>TOTAL</t>
  </si>
  <si>
    <t>ADMINISTRACIÓN</t>
  </si>
  <si>
    <t xml:space="preserve"> ✆ 5510820751</t>
  </si>
  <si>
    <t>gabriela@heg.com.mx</t>
  </si>
  <si>
    <t>00266 GRAND HYATT CANCUN</t>
  </si>
  <si>
    <t>DIRECCION:</t>
  </si>
  <si>
    <t xml:space="preserve">AV BONAMPAK ZONA HOTELERA </t>
  </si>
  <si>
    <t>HOTEL HYATT</t>
  </si>
  <si>
    <t>CLAVE</t>
  </si>
  <si>
    <t>DESCRIPCION</t>
  </si>
  <si>
    <t>ACABADO</t>
  </si>
  <si>
    <t>PESO (KG/ML)</t>
  </si>
  <si>
    <t>PERÍM (M2/ML)</t>
  </si>
  <si>
    <t>CALCULADO</t>
  </si>
  <si>
    <t xml:space="preserve">PEDIDO </t>
  </si>
  <si>
    <t>DIFERENCIA</t>
  </si>
  <si>
    <t>OBSERVACIONES</t>
  </si>
  <si>
    <t>MEDIDA (TRAMO)</t>
  </si>
  <si>
    <t># PZAS</t>
  </si>
  <si>
    <t>KG</t>
  </si>
  <si>
    <t>M2</t>
  </si>
  <si>
    <t>00030</t>
  </si>
  <si>
    <t>ÁNGULO DE 2" X 2" X 1/4"</t>
  </si>
  <si>
    <t>1 PIEZA DE EXCEDENTE (2.0%)</t>
  </si>
  <si>
    <t>00667</t>
  </si>
  <si>
    <t>ÁNGULO DE 4" X 4" X 1/4"</t>
  </si>
  <si>
    <t>PENDIENTE</t>
  </si>
  <si>
    <t>15017</t>
  </si>
  <si>
    <t>SOLERA DE  2" X 1/8" (RASURADO)</t>
  </si>
  <si>
    <t>TUBO CUADRADO DE 1" X 1" X 1/8"</t>
  </si>
  <si>
    <t>11256 / SIM-11</t>
  </si>
  <si>
    <t>TAPA LISA DE 1 3/4"</t>
  </si>
  <si>
    <t>PINTURA TIGER GRIS EUROPA SUPERDURABLE 038/97011</t>
  </si>
  <si>
    <t>11257 / SIM-12</t>
  </si>
  <si>
    <t>MULLIÓN P/11256</t>
  </si>
  <si>
    <t>11258 / SIM-13</t>
  </si>
  <si>
    <t>TUBULAR RECTANGULAR CON BAYONETA DE 3" X 1 3/4"</t>
  </si>
  <si>
    <t>TUBULAR RECTANGULAR DE 5" X 3"</t>
  </si>
  <si>
    <t>BAYONETA DE 3.632"</t>
  </si>
  <si>
    <t>11429 / SRA-01</t>
  </si>
  <si>
    <t>TAPA LISA DE 3"</t>
  </si>
  <si>
    <t>11430 / SRA-02</t>
  </si>
  <si>
    <t>MULLIÓN P/11429</t>
  </si>
  <si>
    <t>11262 / SIM-17</t>
  </si>
  <si>
    <t>CONTRAMARCO P/VENTILA DE 3" X 1 3/4" (RASURADO)</t>
  </si>
  <si>
    <t>11552 / PUE-01</t>
  </si>
  <si>
    <t>MARCO BATIENTE DE 2" X 1.6"</t>
  </si>
  <si>
    <t>10756</t>
  </si>
  <si>
    <t>CERCO PERIMETRAL DE 1 3/4" X 3"</t>
  </si>
  <si>
    <t>EXPLOSIÓN DE INSUMOS TOTAL</t>
  </si>
  <si>
    <t>FORMULÓ:</t>
  </si>
  <si>
    <t>GABRIELA HERNÁNDEZ</t>
  </si>
  <si>
    <t>RESUMEN</t>
  </si>
  <si>
    <t>PEDIDO</t>
  </si>
  <si>
    <t>PROVEEDOR</t>
  </si>
  <si>
    <t>CANTIDAD</t>
  </si>
  <si>
    <t>ALUBIN DE MEXICO, S. A. DE C. V.</t>
  </si>
  <si>
    <t>Calle 2 Sur # 120,</t>
  </si>
  <si>
    <t>Parque Industrial Toluca 2000,</t>
  </si>
  <si>
    <t>Toluca, Edo.México.</t>
  </si>
  <si>
    <t>C:P: 50200</t>
  </si>
  <si>
    <t>Tel. 01800-288-0200;  01722-262-1500</t>
  </si>
  <si>
    <t>Fax 01722 262-1509</t>
  </si>
  <si>
    <t>Cel. 04455-3939-7295</t>
  </si>
  <si>
    <t>FIJOS DE TORRE EXTERIOR</t>
  </si>
  <si>
    <t>EMILIO RIESTRA</t>
  </si>
  <si>
    <t>SRITA. ANGELICA PEDRO</t>
  </si>
  <si>
    <t>CLAN:</t>
  </si>
  <si>
    <t>MATERIALES</t>
  </si>
  <si>
    <t>ENTREGAR:</t>
  </si>
  <si>
    <t>TLATILCO 112</t>
  </si>
  <si>
    <t>COL. TLATILCO</t>
  </si>
  <si>
    <t>DEL. AZCAPOTZALCO</t>
  </si>
  <si>
    <t>CP 02860</t>
  </si>
  <si>
    <t>AT´N:</t>
  </si>
  <si>
    <t xml:space="preserve">HUMBERTO JIMENEZ </t>
  </si>
  <si>
    <t>55 3056 6717</t>
  </si>
  <si>
    <t>PRECIO ALUMINIO</t>
  </si>
  <si>
    <t>PRECIO PINTURA</t>
  </si>
  <si>
    <t xml:space="preserve">FECHA DE ENTREGA: </t>
  </si>
  <si>
    <t>ESPECIFICACIONES DE PERFILES DE ALUMINIO</t>
  </si>
  <si>
    <t>PARTIDA</t>
  </si>
  <si>
    <t>ZONA</t>
  </si>
  <si>
    <t>N° PERFIL</t>
  </si>
  <si>
    <t>DIBUJO</t>
  </si>
  <si>
    <t>UNIDAD</t>
  </si>
  <si>
    <t>TOTAL TRAMOS</t>
  </si>
  <si>
    <t>M.L.</t>
  </si>
  <si>
    <t>IMPORTE</t>
  </si>
  <si>
    <t>SUMA</t>
  </si>
  <si>
    <t>PIEZAS FALTANTES</t>
  </si>
  <si>
    <t>SUMA:</t>
  </si>
  <si>
    <t>ALUMINIO - 115,000 KG</t>
  </si>
  <si>
    <t>ACABADO - 28,000 M2</t>
  </si>
  <si>
    <t>No</t>
  </si>
  <si>
    <t>KG / PEDIDOS</t>
  </si>
  <si>
    <t>M2 / PEDIDOS</t>
  </si>
  <si>
    <t>IMPORTE ALUMINIO</t>
  </si>
  <si>
    <t>ANTICIPO 01</t>
  </si>
  <si>
    <t>AMORTIZACION S/FACT. 1757 100% ANTICIPO</t>
  </si>
  <si>
    <t xml:space="preserve">IVA </t>
  </si>
  <si>
    <t>72A</t>
  </si>
  <si>
    <t>TOTAL A PAGAR</t>
  </si>
  <si>
    <t>72B</t>
  </si>
  <si>
    <t>76A</t>
  </si>
  <si>
    <t>SALDO</t>
  </si>
  <si>
    <t>SOLERA DE  2" X 1/8"</t>
  </si>
  <si>
    <t>11899 / FAI-03</t>
  </si>
  <si>
    <t>MARCO P/VENTILA DE 2" X 1 1/2"</t>
  </si>
  <si>
    <t>PEDIDO TOTAL ALUMINIO FIJOS TORRE (ACTUALIZADO)</t>
  </si>
  <si>
    <t>TOTAL PEDIDO</t>
  </si>
  <si>
    <t>ÁNGULO DE 2" X 2" X 1/4" (DESPATINADO A 2" X 1")</t>
  </si>
  <si>
    <t>PEDIR TOTAL PARA COMPLETAR KG</t>
  </si>
  <si>
    <t>FALTA COMPLETAR 500 KG</t>
  </si>
  <si>
    <t>00015</t>
  </si>
  <si>
    <t>ÁNGULO DE 2" X 2" X 1/8" (DESPATINADO 2" x 1")</t>
  </si>
  <si>
    <t>ÁNGULO DE 2" X 2" X 1/8"</t>
  </si>
  <si>
    <t>11432 / SRA-04</t>
  </si>
  <si>
    <t>TUBULAR RECTANGULAR ABIERTO DE 5" X 3"</t>
  </si>
  <si>
    <t>11431 / SRA-03</t>
  </si>
  <si>
    <t>MULLIÓN P/TORNILLO</t>
  </si>
  <si>
    <t>Cd. De México a 07 de febrero de 2025</t>
  </si>
  <si>
    <t>PEDIDO No. TOTAL (PERFILES DE ALUMINIO Y PINTURA)</t>
  </si>
  <si>
    <t>KG FALTANTES</t>
  </si>
  <si>
    <t>SUMA KG</t>
  </si>
  <si>
    <t>07 DE FEBRERO DEL 2025</t>
  </si>
  <si>
    <t>6 PIEZAS DE EXCEDENTE (1.5%)</t>
  </si>
  <si>
    <t>4 PIEZAS DE EXCEDENTE (1.5%)</t>
  </si>
  <si>
    <t>1 PIEZA DE EXCEDENTE (1.5%)</t>
  </si>
  <si>
    <t>6 PIEZAS DE EXCEDENTE (1.2%)</t>
  </si>
  <si>
    <t>CONTROL INTERNO DE KG</t>
  </si>
  <si>
    <t>COMPLEMENTO PARA STOCK</t>
  </si>
  <si>
    <t>PEDIR CON AMENIDADES</t>
  </si>
  <si>
    <t>COMPAÑÍA:</t>
  </si>
  <si>
    <t>HEG DISEÑO E INSTALACIÓN</t>
  </si>
  <si>
    <t>GRAND HYATT CANCÚN</t>
  </si>
  <si>
    <t>CUANTIFICACIÓN DE ALUMINIO (FIJOS TORRE)</t>
  </si>
  <si>
    <t>13 DE ENERO DEL 2025</t>
  </si>
  <si>
    <t>GENERAL</t>
  </si>
  <si>
    <t>ESPECIFICACIÓN</t>
  </si>
  <si>
    <t>MEDIDAS</t>
  </si>
  <si>
    <t>TRAMOS</t>
  </si>
  <si>
    <t>DATOS</t>
  </si>
  <si>
    <t>DESPERDICIO</t>
  </si>
  <si>
    <t>NO.</t>
  </si>
  <si>
    <t>TIPO</t>
  </si>
  <si>
    <t>UBICACIÓN</t>
  </si>
  <si>
    <t>CANCEL</t>
  </si>
  <si>
    <t>NO. CANCEL</t>
  </si>
  <si>
    <t>DIMENSIONES (MM.)</t>
  </si>
  <si>
    <t>DETALLE</t>
  </si>
  <si>
    <t xml:space="preserve">CLAVE </t>
  </si>
  <si>
    <t>PERFIL</t>
  </si>
  <si>
    <t>DIRECCIÓN</t>
  </si>
  <si>
    <t>MEDIDA DE</t>
  </si>
  <si>
    <t>PZAS. X</t>
  </si>
  <si>
    <t>PZAS.</t>
  </si>
  <si>
    <t>MEDIDA MAX.</t>
  </si>
  <si>
    <t>PZAS. X TRAMO</t>
  </si>
  <si>
    <t>MEDIDA TRAMO</t>
  </si>
  <si>
    <t>MEDIDA TRAMO X</t>
  </si>
  <si>
    <t>KG/ML</t>
  </si>
  <si>
    <t>M2/ML</t>
  </si>
  <si>
    <t xml:space="preserve">KG. </t>
  </si>
  <si>
    <t>M.</t>
  </si>
  <si>
    <t>BASE</t>
  </si>
  <si>
    <t>X</t>
  </si>
  <si>
    <t>ALTURA</t>
  </si>
  <si>
    <t>PZA. (MM.)</t>
  </si>
  <si>
    <t>TOTALES</t>
  </si>
  <si>
    <t>(X CALCULISTA)</t>
  </si>
  <si>
    <t>CALCULADA</t>
  </si>
  <si>
    <r>
      <rPr>
        <b/>
        <sz val="11"/>
        <rFont val="Arial"/>
        <family val="2"/>
      </rPr>
      <t>PEDIR</t>
    </r>
    <r>
      <rPr>
        <b/>
        <sz val="11"/>
        <color rgb="FFFF0000"/>
        <rFont val="Arial"/>
        <family val="2"/>
      </rPr>
      <t xml:space="preserve"> (X CALCULISTA)</t>
    </r>
  </si>
  <si>
    <t>REQUERIDOS</t>
  </si>
  <si>
    <t>REQUERIDO</t>
  </si>
  <si>
    <t>%</t>
  </si>
  <si>
    <t>FIJO LAMINADO</t>
  </si>
  <si>
    <t>JUNIOR SUITE</t>
  </si>
  <si>
    <t>C-03</t>
  </si>
  <si>
    <t>VERTICAL</t>
  </si>
  <si>
    <t>ALUBIN COMERCIAL</t>
  </si>
  <si>
    <t>HORIZONTAL</t>
  </si>
  <si>
    <t>ARMADO</t>
  </si>
  <si>
    <t>ANCLAJE</t>
  </si>
  <si>
    <t>C-04</t>
  </si>
  <si>
    <t>C-05</t>
  </si>
  <si>
    <t>SUITE PRESIDENCIAL</t>
  </si>
  <si>
    <t>C-13</t>
  </si>
  <si>
    <t>ARMADO PTA.</t>
  </si>
  <si>
    <t>LOUNGE N1</t>
  </si>
  <si>
    <t>AL-132</t>
  </si>
  <si>
    <t>AL-133</t>
  </si>
  <si>
    <t>AL-134</t>
  </si>
  <si>
    <t>FIJO INSULADO LAMINADO</t>
  </si>
  <si>
    <t>VESTÍBULO ELEVADOR PÚBLICO N1 AL 15</t>
  </si>
  <si>
    <t>AL-137</t>
  </si>
  <si>
    <t>ÁNGULO DE 2" X 2" X 1/8" (DESPATINADO A 2" X 1")</t>
  </si>
  <si>
    <t>CIRCULACIÓN TORRE                  N1 AL 3</t>
  </si>
  <si>
    <t>AL-138</t>
  </si>
  <si>
    <t>CIRCULACIÓN TORRE                              N4 AL 8</t>
  </si>
  <si>
    <t>AL-139</t>
  </si>
  <si>
    <t>CIRCULACIÓN TORRE                              N9 AL 15</t>
  </si>
  <si>
    <t>AL-140</t>
  </si>
  <si>
    <t xml:space="preserve">  </t>
  </si>
  <si>
    <t>CIRCULACIÓN TORRE                              N3</t>
  </si>
  <si>
    <t>AL-150</t>
  </si>
  <si>
    <t>AL-151</t>
  </si>
  <si>
    <t>AL-152</t>
  </si>
  <si>
    <t>PEDIDOS</t>
  </si>
  <si>
    <t>PERÍMETRO AL-137, AL-138, AL-139, AL-140, AL-150, AL-151 Y AL-152</t>
  </si>
  <si>
    <t>PERÍMETRO Y ARMADO                                                                        C-03, C-04, C-05, C-13, C-14, AL-132, AL-133, AL-134, AL-137, AL-138, AL-139, AL-140, AL-150, AL-151 Y AL-152</t>
  </si>
  <si>
    <t>ARMADO DE PUERTA                                                                     C-14, AL-133 Y AL-134</t>
  </si>
  <si>
    <t>REFUERZO DE PUERTAS                      C-14, AL-133 Y AL-134</t>
  </si>
  <si>
    <t>RESPALDO VENTILAS                                                                        AL-138, AL-139, AL-140, AL-150, AL-151 Y AL-152</t>
  </si>
  <si>
    <t>FIJOS LAMINADOS                                                                          C-04 (H), C-13 (H), AL-132 (V/H), AL-133 (V) Y AL-134 (V/H)</t>
  </si>
  <si>
    <t>FIJOS LAMINADOS                                                                          C-03 (V/H), C-04 (V), C-05 (V/H), C-13 (V) Y AL-133 (H)</t>
  </si>
  <si>
    <t>FIJOS INSULADOS-LAMINADOS                                               AL-138 (V), AL-139 (V), AL-140 (V), AL-150 (V), AL-151 (V) Y AL-152 (V)</t>
  </si>
  <si>
    <t>FIJOS INSULADOS-LAMINADOS                                                                              AL-137 (V)</t>
  </si>
  <si>
    <t>FIJOS INSULADOS-LAMINADOS                                               AL-138 (H), AL-139 (H), AL-140 (H), AL-150 (H), AL 151 (H) Y AL-152 (H)</t>
  </si>
  <si>
    <t>FIJOS INSULADOS-LAMINADOS                                               AL-137 (H) Y AL-151 (H)</t>
  </si>
  <si>
    <t>FIJOS INSULADOS-LAMINADOS                                               AL-150 (H) Y AL-152 (H)</t>
  </si>
  <si>
    <t>FIJOS INSULADOS-LAMINADOS                                                AL-138 (V/H), AL-139 (V/H), AL-140 (V/H), AL-150 (V/H), AL-151 (V/H) Y AL-152 (V/H)</t>
  </si>
  <si>
    <t>FIJOS INSULADOS-LAMINADOS                                               AL-137 (V), AL-150 (H) Y AL-152 (H)</t>
  </si>
  <si>
    <t>VENTILAS                                                                  AL-138 (V), AL-139 (V), AL-140 (V), AL-150 (V), AL-151 (V)  Y AL-152 (V)</t>
  </si>
  <si>
    <t>VENTILAS                                                                   AL-138 (H), AL-139 (H), AL-140 (H), AL-150 (H), AL-151 (H)  Y AL-152 (H)</t>
  </si>
  <si>
    <t>VENTILAS                                                                                 AL-138 (V), AL-139 (V), AL-140 (V), AL-150 (V), AL-151 (V)  Y AL-152 (V)</t>
  </si>
  <si>
    <t>VENTILAS                                                                                        AL-138 (H), AL-139 (H), AL-140 (H), AL-150 (H), AL-151 (H)  Y AL-152 (H)</t>
  </si>
  <si>
    <t>C-14</t>
  </si>
  <si>
    <t>PEDIDO 76 (5 NIVELES TORRE)</t>
  </si>
  <si>
    <t>SE PIDEN 43 MAS PARA COMPLETAR KG</t>
  </si>
  <si>
    <t>RESPALDO (NO BORRAR)</t>
  </si>
  <si>
    <t>5 NIVELES DE TORRE + 43 PERFILES MAS DE TORRE</t>
  </si>
  <si>
    <t>5 NIVELES DE TORRE</t>
  </si>
  <si>
    <t>APROBADO</t>
  </si>
  <si>
    <t>AMENIDADES (LOBBY)</t>
  </si>
  <si>
    <t>PEDIDO No. 167 (PERFILES DE ALUMINIO)</t>
  </si>
  <si>
    <t>Cd. De México a 09 de junio de 2025.</t>
  </si>
  <si>
    <t>FASE VII</t>
  </si>
  <si>
    <t>11770 / HGH-03</t>
  </si>
  <si>
    <t>TUBULAR RECTANGULAR ABIERTO DE 6" X 3"</t>
  </si>
  <si>
    <t>11769 / HGH-02</t>
  </si>
  <si>
    <t>CERCO DE 3 1/4" X 1 3/4"</t>
  </si>
  <si>
    <t>TOTAL AMENIDADES</t>
  </si>
  <si>
    <t>CORREDIZOS INSULADO-LAMINADO                                                   C-01 Y C-02</t>
  </si>
  <si>
    <t>CORREDIZOS INSULADO-LAMINADO                                                   C-02</t>
  </si>
  <si>
    <t>CORREDIZOS INSULADO-LAMINADO                                                   C-01</t>
  </si>
  <si>
    <t>INTERMEDIO PUERTA DE 1 3/4" X 3"</t>
  </si>
  <si>
    <t>SOLERA DE 1 1/4" X 1/4"</t>
  </si>
  <si>
    <t>NO APLICA</t>
  </si>
  <si>
    <t>04014</t>
  </si>
  <si>
    <t>CANAL DE 2" X 1" X 1/8"</t>
  </si>
  <si>
    <t>04019</t>
  </si>
  <si>
    <t>CANAL DE 1" X 1" X 1/8"</t>
  </si>
  <si>
    <t>MAYRA HERNÁNDEZ ORDÓÑEZ</t>
  </si>
  <si>
    <t>NORTE 45 NO. 766</t>
  </si>
  <si>
    <t xml:space="preserve">COL. INDUSTRIAL VALLEJO </t>
  </si>
  <si>
    <t>AZCAPOTZALCO</t>
  </si>
  <si>
    <t>CEL. 55-67-53-96</t>
  </si>
  <si>
    <t>AT'N:</t>
  </si>
  <si>
    <t>CAROLINA GUTIERREZ</t>
  </si>
  <si>
    <t>HEG DISEÑO E INSTALACIÓN, S.A. DE C.V.</t>
  </si>
  <si>
    <t>ENTREGAR EN:</t>
  </si>
  <si>
    <t>ATN:</t>
  </si>
  <si>
    <t>N°</t>
  </si>
  <si>
    <t>MEDIDA</t>
  </si>
  <si>
    <t>PESO/ML</t>
  </si>
  <si>
    <t>PERIM.</t>
  </si>
  <si>
    <t>ML</t>
  </si>
  <si>
    <t>TOTAL KG</t>
  </si>
  <si>
    <t>TOTAL M2</t>
  </si>
  <si>
    <t>P.U.</t>
  </si>
  <si>
    <t>SUBTOTAL</t>
  </si>
  <si>
    <t>IVA</t>
  </si>
  <si>
    <t>M9135</t>
  </si>
  <si>
    <t>BOLSA DE 3"</t>
  </si>
  <si>
    <t>M9136</t>
  </si>
  <si>
    <t>ESCALONADO DE 3"</t>
  </si>
  <si>
    <t>09112</t>
  </si>
  <si>
    <t>JUNQUILLO DE 3"</t>
  </si>
  <si>
    <t>M7315</t>
  </si>
  <si>
    <t>TAPA BOLSA DE 3"</t>
  </si>
  <si>
    <t>07316</t>
  </si>
  <si>
    <t>Cd. De México a 06 de noviembre de 2025.</t>
  </si>
  <si>
    <t>PEDIDO No. 317 B (PERFILES DE ALUMINIO)</t>
  </si>
  <si>
    <t>AMENIDADES</t>
  </si>
  <si>
    <t>GABRIELA HERNANDEZ</t>
  </si>
  <si>
    <t>CERCO C/JUNQUILLO INTEGRADO EUROVENT S-50</t>
  </si>
  <si>
    <t>14386S</t>
  </si>
  <si>
    <t>BATIENTE PUERTA EUROVENT S-50</t>
  </si>
  <si>
    <t>12617S</t>
  </si>
  <si>
    <t>PU</t>
  </si>
  <si>
    <t>PATRICIA RODRÍGUEZ</t>
  </si>
  <si>
    <t>Fax. Ext. 127, 138, 242, 245 y Fax Directo 5519-85</t>
  </si>
  <si>
    <t>Tel. 5634-9999</t>
  </si>
  <si>
    <t>Alc. Benito Juárez, México, CDMX</t>
  </si>
  <si>
    <t>Col. Atenor Salas</t>
  </si>
  <si>
    <t>Esq. Viaducto Miguel Alemán</t>
  </si>
  <si>
    <t>Eje Central Lázaro Cárdenas No. 353</t>
  </si>
  <si>
    <t>GRUPO SUPERFIL, S.A. DE C.V.</t>
  </si>
  <si>
    <t>PEDIDO No. 317 C (PERFILES DE ALUMINIO Y PINTURA)</t>
  </si>
  <si>
    <t>DESCUENTO</t>
  </si>
  <si>
    <t>COT. 141401</t>
  </si>
  <si>
    <t>PEDIDO No. 317 D (MAQUILAS)</t>
  </si>
  <si>
    <t>317 A</t>
  </si>
  <si>
    <t>FAMILIA</t>
  </si>
  <si>
    <t>AL</t>
  </si>
  <si>
    <t>CONCEPTO</t>
  </si>
  <si>
    <t>PERFILES DE ALUMINIO</t>
  </si>
  <si>
    <t>PROVEEDOR:</t>
  </si>
  <si>
    <t>PEDIDO:</t>
  </si>
  <si>
    <t>FAMILIA:</t>
  </si>
  <si>
    <t>FECHA DE APROBACION</t>
  </si>
  <si>
    <t>PROYECTO</t>
  </si>
  <si>
    <t>CLAN</t>
  </si>
  <si>
    <t>LUGAR DE ENTREGA</t>
  </si>
  <si>
    <t>SITUACIONES ESPECIALES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</si>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</sst>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0.000"/>
    <numFmt numFmtId="167" formatCode="#,##0.000"/>
    <numFmt numFmtId="168" formatCode="_(* #,##0.00_);_(* \(#,##0.00\);_(* &quot;-&quot;??_);_(@_)"/>
    <numFmt numFmtId="169" formatCode="#,##0.000;[Red]\-#,##0.000"/>
    <numFmt numFmtId="170" formatCode="0.0%"/>
    <numFmt numFmtId="171" formatCode="#,##0.0000_ ;[Red]\-#,##0.0000\ "/>
    <numFmt numFmtId="172" formatCode="#,##0.000_ ;[Red]\-#,##0.000\ "/>
    <numFmt numFmtId="173" formatCode="_-&quot;$&quot;* #,##0.00_-;\-&quot;$&quot;* #,##0.00_-;_-&quot;$&quot;* &quot;-&quot;??_-;_-@"/>
    <numFmt numFmtId="174" formatCode="_-* #,##0.00_-;\-* #,##0.00_-;_-* &quot;-&quot;??_-;_-@"/>
    <numFmt numFmtId="175" formatCode="_(* #,##0.000_);_(* \(#,##0.000\);_(* &quot;-&quot;??_);_(@_)"/>
    <numFmt numFmtId="176" formatCode="_-[$USD]\ * #,##0.00_-;\-[$USD]\ * #,##0.00_-;_-[$USD]\ * &quot;-&quot;??_-;_-@"/>
    <numFmt numFmtId="177" formatCode="0.0000"/>
    <numFmt numFmtId="178" formatCode="#,##0.0"/>
    <numFmt numFmtId="179" formatCode="0.0"/>
    <numFmt numFmtId="180" formatCode="_(&quot;$&quot;* #,##0.00_);_(&quot;$&quot;* \(#,##0.00\);_(&quot;$&quot;* &quot;-&quot;??_);_(@_)"/>
    <numFmt numFmtId="181" formatCode="_-[$$-80A]* #,##0.00_-;\-[$$-80A]* #,##0.00_-;_-[$$-80A]* &quot;-&quot;??_-;_-@_-"/>
    <numFmt numFmtId="182" formatCode="&quot;$&quot;#,##0.00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u/>
      <sz val="7.5"/>
      <color indexed="12"/>
      <name val="Arial"/>
      <family val="2"/>
    </font>
    <font>
      <u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</fills>
  <borders count="10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auto="1"/>
      </bottom>
      <diagonal/>
    </border>
    <border>
      <left/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double">
        <color indexed="64"/>
      </right>
      <top/>
      <bottom style="medium">
        <color auto="1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18" fillId="0" borderId="11"/>
    <xf numFmtId="168" fontId="18" fillId="0" borderId="11" applyFont="0" applyFill="0" applyBorder="0" applyAlignment="0" applyProtection="0"/>
    <xf numFmtId="41" fontId="18" fillId="0" borderId="11" applyFont="0" applyFill="0" applyBorder="0" applyAlignment="0" applyProtection="0"/>
    <xf numFmtId="9" fontId="26" fillId="0" borderId="0" applyFont="0" applyFill="0" applyBorder="0" applyAlignment="0" applyProtection="0"/>
    <xf numFmtId="0" fontId="5" fillId="0" borderId="11"/>
    <xf numFmtId="0" fontId="32" fillId="0" borderId="11"/>
    <xf numFmtId="43" fontId="34" fillId="0" borderId="0" applyFont="0" applyFill="0" applyBorder="0" applyAlignment="0" applyProtection="0"/>
    <xf numFmtId="0" fontId="36" fillId="0" borderId="11" applyNumberFormat="0" applyFill="0" applyBorder="0" applyAlignment="0" applyProtection="0">
      <alignment vertical="top"/>
      <protection locked="0"/>
    </xf>
    <xf numFmtId="0" fontId="3" fillId="0" borderId="11"/>
    <xf numFmtId="180" fontId="18" fillId="0" borderId="11" applyFont="0" applyFill="0" applyBorder="0" applyAlignment="0" applyProtection="0"/>
    <xf numFmtId="165" fontId="3" fillId="0" borderId="11" applyFont="0" applyFill="0" applyBorder="0" applyAlignment="0" applyProtection="0"/>
    <xf numFmtId="165" fontId="18" fillId="0" borderId="11" applyFont="0" applyFill="0" applyBorder="0" applyAlignment="0" applyProtection="0"/>
    <xf numFmtId="0" fontId="38" fillId="0" borderId="11"/>
    <xf numFmtId="165" fontId="2" fillId="0" borderId="11" applyFont="0" applyFill="0" applyBorder="0" applyAlignment="0" applyProtection="0"/>
    <xf numFmtId="43" fontId="2" fillId="0" borderId="11" applyFont="0" applyFill="0" applyBorder="0" applyAlignment="0" applyProtection="0"/>
    <xf numFmtId="165" fontId="39" fillId="0" borderId="0" applyFont="0" applyFill="0" applyBorder="0" applyAlignment="0" applyProtection="0"/>
  </cellStyleXfs>
  <cellXfs count="702">
    <xf numFmtId="0" fontId="0" fillId="0" borderId="0" xfId="0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168" fontId="11" fillId="0" borderId="0" xfId="0" applyNumberFormat="1" applyFont="1" applyAlignment="1">
      <alignment horizontal="right"/>
    </xf>
    <xf numFmtId="0" fontId="12" fillId="0" borderId="0" xfId="0" applyFont="1"/>
    <xf numFmtId="0" fontId="7" fillId="0" borderId="0" xfId="0" applyFont="1"/>
    <xf numFmtId="49" fontId="10" fillId="0" borderId="0" xfId="0" applyNumberFormat="1" applyFont="1"/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174" fontId="14" fillId="0" borderId="0" xfId="0" applyNumberFormat="1" applyFont="1"/>
    <xf numFmtId="174" fontId="10" fillId="0" borderId="0" xfId="0" applyNumberFormat="1" applyFont="1"/>
    <xf numFmtId="0" fontId="14" fillId="0" borderId="0" xfId="0" applyFont="1"/>
    <xf numFmtId="49" fontId="14" fillId="0" borderId="0" xfId="0" applyNumberFormat="1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174" fontId="10" fillId="0" borderId="0" xfId="0" applyNumberFormat="1" applyFont="1" applyAlignment="1">
      <alignment horizontal="right"/>
    </xf>
    <xf numFmtId="174" fontId="14" fillId="0" borderId="0" xfId="0" applyNumberFormat="1" applyFont="1" applyAlignment="1">
      <alignment horizontal="right"/>
    </xf>
    <xf numFmtId="0" fontId="15" fillId="0" borderId="0" xfId="0" applyFont="1"/>
    <xf numFmtId="173" fontId="10" fillId="0" borderId="0" xfId="0" applyNumberFormat="1" applyFont="1" applyAlignment="1">
      <alignment horizontal="right"/>
    </xf>
    <xf numFmtId="0" fontId="14" fillId="0" borderId="15" xfId="0" applyFont="1" applyBorder="1" applyAlignment="1">
      <alignment horizontal="center" vertical="center" wrapText="1"/>
    </xf>
    <xf numFmtId="49" fontId="14" fillId="0" borderId="15" xfId="0" applyNumberFormat="1" applyFont="1" applyBorder="1" applyAlignment="1">
      <alignment horizontal="center" vertical="center" wrapText="1"/>
    </xf>
    <xf numFmtId="174" fontId="14" fillId="0" borderId="15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173" fontId="14" fillId="0" borderId="16" xfId="0" applyNumberFormat="1" applyFont="1" applyBorder="1" applyAlignment="1">
      <alignment horizontal="center" vertical="center" wrapText="1"/>
    </xf>
    <xf numFmtId="174" fontId="14" fillId="0" borderId="16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1" fontId="10" fillId="0" borderId="17" xfId="0" applyNumberFormat="1" applyFont="1" applyBorder="1" applyAlignment="1">
      <alignment vertical="center" wrapText="1"/>
    </xf>
    <xf numFmtId="173" fontId="10" fillId="0" borderId="17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166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75" fontId="10" fillId="0" borderId="17" xfId="0" applyNumberFormat="1" applyFont="1" applyBorder="1" applyAlignment="1">
      <alignment horizontal="center" vertical="center"/>
    </xf>
    <xf numFmtId="176" fontId="10" fillId="0" borderId="17" xfId="0" applyNumberFormat="1" applyFont="1" applyBorder="1" applyAlignment="1">
      <alignment horizontal="right" vertical="center" wrapText="1"/>
    </xf>
    <xf numFmtId="175" fontId="10" fillId="0" borderId="0" xfId="0" applyNumberFormat="1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2" fontId="10" fillId="0" borderId="16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/>
    </xf>
    <xf numFmtId="175" fontId="10" fillId="0" borderId="16" xfId="0" applyNumberFormat="1" applyFont="1" applyBorder="1" applyAlignment="1">
      <alignment horizontal="center" vertical="center"/>
    </xf>
    <xf numFmtId="0" fontId="16" fillId="0" borderId="0" xfId="0" applyFont="1"/>
    <xf numFmtId="14" fontId="16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left" vertical="center"/>
    </xf>
    <xf numFmtId="175" fontId="14" fillId="0" borderId="0" xfId="0" applyNumberFormat="1" applyFont="1" applyAlignment="1">
      <alignment horizontal="left" vertical="center"/>
    </xf>
    <xf numFmtId="173" fontId="10" fillId="0" borderId="0" xfId="0" applyNumberFormat="1" applyFont="1"/>
    <xf numFmtId="49" fontId="16" fillId="0" borderId="0" xfId="0" applyNumberFormat="1" applyFont="1"/>
    <xf numFmtId="0" fontId="15" fillId="0" borderId="0" xfId="0" applyFont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2" fontId="14" fillId="0" borderId="7" xfId="0" applyNumberFormat="1" applyFont="1" applyBorder="1" applyAlignment="1">
      <alignment horizontal="left" vertical="center"/>
    </xf>
    <xf numFmtId="3" fontId="14" fillId="0" borderId="7" xfId="0" applyNumberFormat="1" applyFont="1" applyBorder="1" applyAlignment="1">
      <alignment horizontal="center" vertical="center"/>
    </xf>
    <xf numFmtId="174" fontId="14" fillId="0" borderId="7" xfId="0" applyNumberFormat="1" applyFont="1" applyBorder="1" applyAlignment="1">
      <alignment horizontal="left" vertical="center"/>
    </xf>
    <xf numFmtId="174" fontId="14" fillId="0" borderId="18" xfId="0" applyNumberFormat="1" applyFont="1" applyBorder="1" applyAlignment="1">
      <alignment horizontal="left" vertical="center"/>
    </xf>
    <xf numFmtId="173" fontId="14" fillId="0" borderId="8" xfId="0" applyNumberFormat="1" applyFont="1" applyBorder="1"/>
    <xf numFmtId="173" fontId="14" fillId="0" borderId="0" xfId="0" applyNumberFormat="1" applyFont="1"/>
    <xf numFmtId="0" fontId="10" fillId="0" borderId="19" xfId="0" applyFont="1" applyBorder="1" applyAlignment="1">
      <alignment horizontal="center" vertical="center"/>
    </xf>
    <xf numFmtId="4" fontId="14" fillId="0" borderId="12" xfId="0" applyNumberFormat="1" applyFont="1" applyBorder="1" applyAlignment="1">
      <alignment horizontal="center" vertical="center"/>
    </xf>
    <xf numFmtId="4" fontId="14" fillId="0" borderId="2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4" fillId="0" borderId="20" xfId="0" applyFont="1" applyBorder="1" applyAlignment="1">
      <alignment horizontal="center" vertical="center"/>
    </xf>
    <xf numFmtId="14" fontId="16" fillId="0" borderId="0" xfId="0" applyNumberFormat="1" applyFont="1" applyAlignment="1">
      <alignment horizontal="center"/>
    </xf>
    <xf numFmtId="4" fontId="10" fillId="0" borderId="0" xfId="0" applyNumberFormat="1" applyFont="1"/>
    <xf numFmtId="176" fontId="10" fillId="0" borderId="0" xfId="0" applyNumberFormat="1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174" fontId="14" fillId="0" borderId="2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76" fontId="10" fillId="0" borderId="1" xfId="0" applyNumberFormat="1" applyFont="1" applyBorder="1" applyAlignment="1">
      <alignment horizontal="center" vertical="center"/>
    </xf>
    <xf numFmtId="174" fontId="10" fillId="0" borderId="17" xfId="0" applyNumberFormat="1" applyFont="1" applyBorder="1" applyAlignment="1">
      <alignment horizontal="center" vertical="center"/>
    </xf>
    <xf numFmtId="174" fontId="10" fillId="0" borderId="17" xfId="0" applyNumberFormat="1" applyFont="1" applyBorder="1" applyAlignment="1">
      <alignment vertical="center"/>
    </xf>
    <xf numFmtId="2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176" fontId="10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8" fontId="10" fillId="0" borderId="22" xfId="0" applyNumberFormat="1" applyFont="1" applyBorder="1" applyAlignment="1">
      <alignment horizontal="center" vertical="center"/>
    </xf>
    <xf numFmtId="168" fontId="10" fillId="0" borderId="22" xfId="0" applyNumberFormat="1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4" fillId="0" borderId="16" xfId="0" applyFont="1" applyBorder="1" applyAlignment="1">
      <alignment horizontal="right" vertical="center"/>
    </xf>
    <xf numFmtId="174" fontId="14" fillId="0" borderId="16" xfId="0" applyNumberFormat="1" applyFont="1" applyBorder="1" applyAlignment="1">
      <alignment horizontal="center" vertical="center"/>
    </xf>
    <xf numFmtId="168" fontId="14" fillId="0" borderId="16" xfId="0" applyNumberFormat="1" applyFont="1" applyBorder="1" applyAlignment="1">
      <alignment vertical="center"/>
    </xf>
    <xf numFmtId="166" fontId="19" fillId="3" borderId="23" xfId="1" applyNumberFormat="1" applyFont="1" applyFill="1" applyBorder="1" applyAlignment="1">
      <alignment horizontal="center" vertical="center"/>
    </xf>
    <xf numFmtId="0" fontId="19" fillId="0" borderId="11" xfId="1" applyFont="1"/>
    <xf numFmtId="0" fontId="19" fillId="0" borderId="11" xfId="1" applyFont="1" applyAlignment="1">
      <alignment horizontal="center" vertical="center"/>
    </xf>
    <xf numFmtId="168" fontId="19" fillId="0" borderId="11" xfId="2" applyFont="1" applyAlignment="1">
      <alignment horizontal="center" vertical="center"/>
    </xf>
    <xf numFmtId="168" fontId="19" fillId="0" borderId="11" xfId="2" applyFont="1" applyFill="1" applyBorder="1" applyAlignment="1">
      <alignment horizontal="right"/>
    </xf>
    <xf numFmtId="168" fontId="19" fillId="0" borderId="11" xfId="2" applyFont="1" applyFill="1" applyBorder="1" applyAlignment="1">
      <alignment horizontal="right" wrapText="1"/>
    </xf>
    <xf numFmtId="0" fontId="19" fillId="0" borderId="11" xfId="1" applyFont="1" applyAlignment="1">
      <alignment wrapText="1"/>
    </xf>
    <xf numFmtId="0" fontId="20" fillId="0" borderId="11" xfId="1" applyFont="1" applyAlignment="1">
      <alignment horizontal="right" vertical="center"/>
    </xf>
    <xf numFmtId="0" fontId="19" fillId="0" borderId="11" xfId="1" applyFont="1" applyAlignment="1">
      <alignment vertical="center"/>
    </xf>
    <xf numFmtId="168" fontId="20" fillId="0" borderId="11" xfId="2" applyFont="1" applyAlignment="1">
      <alignment horizontal="center" vertical="center"/>
    </xf>
    <xf numFmtId="168" fontId="20" fillId="0" borderId="11" xfId="2" applyFont="1" applyFill="1" applyAlignment="1">
      <alignment horizontal="center" vertical="center"/>
    </xf>
    <xf numFmtId="0" fontId="20" fillId="0" borderId="11" xfId="1" applyFont="1" applyAlignment="1">
      <alignment horizontal="left" vertical="center"/>
    </xf>
    <xf numFmtId="0" fontId="20" fillId="0" borderId="11" xfId="1" applyFont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/>
    </xf>
    <xf numFmtId="0" fontId="20" fillId="0" borderId="11" xfId="1" applyFont="1" applyAlignment="1">
      <alignment horizontal="center" vertical="center"/>
    </xf>
    <xf numFmtId="1" fontId="20" fillId="0" borderId="11" xfId="3" applyNumberFormat="1" applyFont="1" applyFill="1" applyBorder="1" applyAlignment="1">
      <alignment horizontal="center" vertical="center"/>
    </xf>
    <xf numFmtId="1" fontId="20" fillId="0" borderId="11" xfId="3" applyNumberFormat="1" applyFont="1" applyFill="1" applyBorder="1" applyAlignment="1">
      <alignment horizontal="center" vertical="center" wrapText="1"/>
    </xf>
    <xf numFmtId="168" fontId="20" fillId="0" borderId="11" xfId="2" applyFont="1" applyFill="1" applyBorder="1" applyAlignment="1">
      <alignment horizontal="center" vertical="distributed" wrapText="1"/>
    </xf>
    <xf numFmtId="0" fontId="20" fillId="0" borderId="40" xfId="1" applyFont="1" applyBorder="1" applyAlignment="1">
      <alignment horizontal="center" vertical="center" wrapText="1"/>
    </xf>
    <xf numFmtId="0" fontId="20" fillId="0" borderId="41" xfId="1" applyFont="1" applyBorder="1" applyAlignment="1">
      <alignment horizontal="center" vertical="center" wrapText="1"/>
    </xf>
    <xf numFmtId="0" fontId="20" fillId="0" borderId="43" xfId="1" applyFont="1" applyBorder="1" applyAlignment="1">
      <alignment horizontal="center" vertical="center" wrapText="1"/>
    </xf>
    <xf numFmtId="0" fontId="20" fillId="0" borderId="44" xfId="1" applyFont="1" applyBorder="1" applyAlignment="1">
      <alignment horizontal="center" vertical="center" wrapText="1"/>
    </xf>
    <xf numFmtId="0" fontId="20" fillId="0" borderId="45" xfId="1" applyFont="1" applyBorder="1" applyAlignment="1">
      <alignment horizontal="center" vertical="center" wrapText="1"/>
    </xf>
    <xf numFmtId="0" fontId="20" fillId="0" borderId="46" xfId="1" applyFont="1" applyBorder="1" applyAlignment="1">
      <alignment horizontal="center" vertical="center" wrapText="1"/>
    </xf>
    <xf numFmtId="0" fontId="19" fillId="3" borderId="47" xfId="1" applyFont="1" applyFill="1" applyBorder="1" applyAlignment="1">
      <alignment horizontal="center" vertical="center"/>
    </xf>
    <xf numFmtId="49" fontId="19" fillId="3" borderId="48" xfId="1" applyNumberFormat="1" applyFont="1" applyFill="1" applyBorder="1" applyAlignment="1">
      <alignment horizontal="center" vertical="center"/>
    </xf>
    <xf numFmtId="0" fontId="19" fillId="3" borderId="48" xfId="1" applyFont="1" applyFill="1" applyBorder="1" applyAlignment="1">
      <alignment horizontal="center" vertical="center" wrapText="1"/>
    </xf>
    <xf numFmtId="166" fontId="19" fillId="3" borderId="48" xfId="1" applyNumberFormat="1" applyFont="1" applyFill="1" applyBorder="1" applyAlignment="1">
      <alignment horizontal="center" vertical="center"/>
    </xf>
    <xf numFmtId="2" fontId="19" fillId="3" borderId="48" xfId="1" applyNumberFormat="1" applyFont="1" applyFill="1" applyBorder="1" applyAlignment="1">
      <alignment horizontal="center" vertical="center"/>
    </xf>
    <xf numFmtId="1" fontId="19" fillId="3" borderId="49" xfId="1" applyNumberFormat="1" applyFont="1" applyFill="1" applyBorder="1" applyAlignment="1">
      <alignment horizontal="center" vertical="center"/>
    </xf>
    <xf numFmtId="167" fontId="19" fillId="3" borderId="48" xfId="1" applyNumberFormat="1" applyFont="1" applyFill="1" applyBorder="1" applyAlignment="1">
      <alignment horizontal="center" vertical="center"/>
    </xf>
    <xf numFmtId="2" fontId="19" fillId="4" borderId="48" xfId="1" applyNumberFormat="1" applyFont="1" applyFill="1" applyBorder="1" applyAlignment="1">
      <alignment horizontal="center" vertical="center"/>
    </xf>
    <xf numFmtId="1" fontId="19" fillId="4" borderId="50" xfId="1" applyNumberFormat="1" applyFont="1" applyFill="1" applyBorder="1" applyAlignment="1">
      <alignment horizontal="center" vertical="center"/>
    </xf>
    <xf numFmtId="169" fontId="19" fillId="4" borderId="48" xfId="1" applyNumberFormat="1" applyFont="1" applyFill="1" applyBorder="1" applyAlignment="1">
      <alignment horizontal="center" vertical="center"/>
    </xf>
    <xf numFmtId="169" fontId="19" fillId="3" borderId="48" xfId="1" applyNumberFormat="1" applyFont="1" applyFill="1" applyBorder="1" applyAlignment="1">
      <alignment horizontal="center" vertical="center"/>
    </xf>
    <xf numFmtId="166" fontId="20" fillId="3" borderId="51" xfId="1" applyNumberFormat="1" applyFont="1" applyFill="1" applyBorder="1" applyAlignment="1">
      <alignment horizontal="left" vertical="center"/>
    </xf>
    <xf numFmtId="2" fontId="19" fillId="0" borderId="11" xfId="1" applyNumberFormat="1" applyFont="1" applyAlignment="1">
      <alignment horizontal="center" vertical="center"/>
    </xf>
    <xf numFmtId="4" fontId="11" fillId="0" borderId="52" xfId="0" applyNumberFormat="1" applyFont="1" applyBorder="1" applyAlignment="1">
      <alignment horizontal="center" vertical="center"/>
    </xf>
    <xf numFmtId="4" fontId="11" fillId="0" borderId="23" xfId="0" applyNumberFormat="1" applyFont="1" applyBorder="1" applyAlignment="1">
      <alignment horizontal="center" vertical="center"/>
    </xf>
    <xf numFmtId="4" fontId="11" fillId="0" borderId="53" xfId="0" applyNumberFormat="1" applyFont="1" applyBorder="1" applyAlignment="1">
      <alignment horizontal="center" vertical="center"/>
    </xf>
    <xf numFmtId="4" fontId="11" fillId="0" borderId="54" xfId="0" applyNumberFormat="1" applyFont="1" applyBorder="1" applyAlignment="1">
      <alignment horizontal="center" vertical="center"/>
    </xf>
    <xf numFmtId="4" fontId="11" fillId="0" borderId="55" xfId="0" applyNumberFormat="1" applyFont="1" applyBorder="1" applyAlignment="1">
      <alignment horizontal="center" vertical="center"/>
    </xf>
    <xf numFmtId="4" fontId="11" fillId="0" borderId="56" xfId="0" applyNumberFormat="1" applyFont="1" applyBorder="1" applyAlignment="1">
      <alignment horizontal="center" vertical="center"/>
    </xf>
    <xf numFmtId="49" fontId="11" fillId="0" borderId="57" xfId="0" applyNumberFormat="1" applyFont="1" applyBorder="1" applyAlignment="1">
      <alignment horizontal="center" vertical="center" wrapText="1"/>
    </xf>
    <xf numFmtId="4" fontId="11" fillId="0" borderId="58" xfId="0" applyNumberFormat="1" applyFont="1" applyBorder="1" applyAlignment="1">
      <alignment horizontal="center" vertical="center"/>
    </xf>
    <xf numFmtId="49" fontId="11" fillId="0" borderId="59" xfId="0" applyNumberFormat="1" applyFont="1" applyBorder="1" applyAlignment="1">
      <alignment horizontal="center" vertical="center" wrapText="1"/>
    </xf>
    <xf numFmtId="2" fontId="20" fillId="0" borderId="11" xfId="1" applyNumberFormat="1" applyFont="1" applyAlignment="1">
      <alignment horizontal="center" vertical="center"/>
    </xf>
    <xf numFmtId="169" fontId="19" fillId="0" borderId="56" xfId="1" applyNumberFormat="1" applyFont="1" applyBorder="1" applyAlignment="1">
      <alignment horizontal="center" vertical="center"/>
    </xf>
    <xf numFmtId="0" fontId="20" fillId="3" borderId="43" xfId="1" applyFont="1" applyFill="1" applyBorder="1" applyAlignment="1">
      <alignment horizontal="center" vertical="center"/>
    </xf>
    <xf numFmtId="49" fontId="20" fillId="3" borderId="41" xfId="1" applyNumberFormat="1" applyFont="1" applyFill="1" applyBorder="1" applyAlignment="1">
      <alignment horizontal="center" vertical="center"/>
    </xf>
    <xf numFmtId="0" fontId="20" fillId="3" borderId="41" xfId="1" applyFont="1" applyFill="1" applyBorder="1" applyAlignment="1">
      <alignment horizontal="center" vertical="center" wrapText="1"/>
    </xf>
    <xf numFmtId="166" fontId="20" fillId="3" borderId="41" xfId="1" applyNumberFormat="1" applyFont="1" applyFill="1" applyBorder="1" applyAlignment="1">
      <alignment horizontal="center" vertical="center"/>
    </xf>
    <xf numFmtId="2" fontId="20" fillId="3" borderId="41" xfId="1" applyNumberFormat="1" applyFont="1" applyFill="1" applyBorder="1" applyAlignment="1">
      <alignment horizontal="center" vertical="center"/>
    </xf>
    <xf numFmtId="1" fontId="20" fillId="3" borderId="60" xfId="1" applyNumberFormat="1" applyFont="1" applyFill="1" applyBorder="1" applyAlignment="1">
      <alignment horizontal="center" vertical="center"/>
    </xf>
    <xf numFmtId="167" fontId="20" fillId="3" borderId="41" xfId="1" applyNumberFormat="1" applyFont="1" applyFill="1" applyBorder="1" applyAlignment="1">
      <alignment horizontal="center" vertical="center"/>
    </xf>
    <xf numFmtId="169" fontId="20" fillId="3" borderId="41" xfId="1" applyNumberFormat="1" applyFont="1" applyFill="1" applyBorder="1" applyAlignment="1">
      <alignment horizontal="center" vertical="center"/>
    </xf>
    <xf numFmtId="170" fontId="20" fillId="3" borderId="46" xfId="1" applyNumberFormat="1" applyFont="1" applyFill="1" applyBorder="1" applyAlignment="1">
      <alignment horizontal="left" vertical="center"/>
    </xf>
    <xf numFmtId="4" fontId="11" fillId="0" borderId="43" xfId="0" applyNumberFormat="1" applyFont="1" applyBorder="1" applyAlignment="1">
      <alignment horizontal="center" vertical="center"/>
    </xf>
    <xf numFmtId="4" fontId="11" fillId="0" borderId="60" xfId="0" applyNumberFormat="1" applyFont="1" applyBorder="1" applyAlignment="1">
      <alignment horizontal="center" vertical="center"/>
    </xf>
    <xf numFmtId="4" fontId="11" fillId="0" borderId="45" xfId="0" applyNumberFormat="1" applyFont="1" applyBorder="1" applyAlignment="1">
      <alignment horizontal="center" vertical="center"/>
    </xf>
    <xf numFmtId="4" fontId="11" fillId="0" borderId="46" xfId="0" applyNumberFormat="1" applyFont="1" applyBorder="1" applyAlignment="1">
      <alignment horizontal="center" vertical="center"/>
    </xf>
    <xf numFmtId="4" fontId="11" fillId="0" borderId="41" xfId="0" applyNumberFormat="1" applyFont="1" applyBorder="1" applyAlignment="1">
      <alignment horizontal="center" vertical="center"/>
    </xf>
    <xf numFmtId="49" fontId="11" fillId="0" borderId="44" xfId="0" applyNumberFormat="1" applyFont="1" applyBorder="1" applyAlignment="1">
      <alignment horizontal="center" vertical="center" wrapText="1"/>
    </xf>
    <xf numFmtId="49" fontId="11" fillId="0" borderId="46" xfId="0" applyNumberFormat="1" applyFont="1" applyBorder="1" applyAlignment="1">
      <alignment horizontal="center" vertical="center" wrapText="1"/>
    </xf>
    <xf numFmtId="169" fontId="20" fillId="0" borderId="41" xfId="1" applyNumberFormat="1" applyFont="1" applyBorder="1" applyAlignment="1">
      <alignment horizontal="center" vertical="center"/>
    </xf>
    <xf numFmtId="0" fontId="19" fillId="0" borderId="47" xfId="1" applyFont="1" applyBorder="1" applyAlignment="1">
      <alignment horizontal="center" vertical="center"/>
    </xf>
    <xf numFmtId="49" fontId="19" fillId="0" borderId="48" xfId="1" applyNumberFormat="1" applyFont="1" applyBorder="1" applyAlignment="1">
      <alignment horizontal="center" vertical="center"/>
    </xf>
    <xf numFmtId="0" fontId="19" fillId="0" borderId="48" xfId="1" applyFont="1" applyBorder="1" applyAlignment="1">
      <alignment horizontal="center" vertical="center" wrapText="1"/>
    </xf>
    <xf numFmtId="166" fontId="19" fillId="0" borderId="48" xfId="1" applyNumberFormat="1" applyFont="1" applyBorder="1" applyAlignment="1">
      <alignment horizontal="center" vertical="center"/>
    </xf>
    <xf numFmtId="2" fontId="19" fillId="0" borderId="48" xfId="1" applyNumberFormat="1" applyFont="1" applyBorder="1" applyAlignment="1">
      <alignment horizontal="center" vertical="center"/>
    </xf>
    <xf numFmtId="1" fontId="19" fillId="0" borderId="49" xfId="1" applyNumberFormat="1" applyFont="1" applyBorder="1" applyAlignment="1">
      <alignment horizontal="center" vertical="center"/>
    </xf>
    <xf numFmtId="167" fontId="19" fillId="0" borderId="48" xfId="1" applyNumberFormat="1" applyFont="1" applyBorder="1" applyAlignment="1">
      <alignment horizontal="center" vertical="center"/>
    </xf>
    <xf numFmtId="169" fontId="19" fillId="0" borderId="48" xfId="1" applyNumberFormat="1" applyFont="1" applyBorder="1" applyAlignment="1">
      <alignment horizontal="center" vertical="center"/>
    </xf>
    <xf numFmtId="166" fontId="20" fillId="0" borderId="51" xfId="1" applyNumberFormat="1" applyFont="1" applyBorder="1" applyAlignment="1">
      <alignment horizontal="left" vertical="center"/>
    </xf>
    <xf numFmtId="0" fontId="20" fillId="0" borderId="43" xfId="1" applyFont="1" applyBorder="1" applyAlignment="1">
      <alignment horizontal="center" vertical="center"/>
    </xf>
    <xf numFmtId="49" fontId="20" fillId="0" borderId="41" xfId="1" applyNumberFormat="1" applyFont="1" applyBorder="1" applyAlignment="1">
      <alignment horizontal="center" vertical="center"/>
    </xf>
    <xf numFmtId="166" fontId="20" fillId="0" borderId="41" xfId="1" applyNumberFormat="1" applyFont="1" applyBorder="1" applyAlignment="1">
      <alignment horizontal="center" vertical="center"/>
    </xf>
    <xf numFmtId="2" fontId="20" fillId="0" borderId="41" xfId="1" applyNumberFormat="1" applyFont="1" applyBorder="1" applyAlignment="1">
      <alignment horizontal="center" vertical="center"/>
    </xf>
    <xf numFmtId="1" fontId="20" fillId="0" borderId="60" xfId="1" applyNumberFormat="1" applyFont="1" applyBorder="1" applyAlignment="1">
      <alignment horizontal="center" vertical="center"/>
    </xf>
    <xf numFmtId="167" fontId="20" fillId="0" borderId="41" xfId="1" applyNumberFormat="1" applyFont="1" applyBorder="1" applyAlignment="1">
      <alignment horizontal="center" vertical="center"/>
    </xf>
    <xf numFmtId="170" fontId="20" fillId="0" borderId="46" xfId="1" applyNumberFormat="1" applyFont="1" applyBorder="1" applyAlignment="1">
      <alignment horizontal="left" vertical="center"/>
    </xf>
    <xf numFmtId="49" fontId="20" fillId="0" borderId="57" xfId="0" applyNumberFormat="1" applyFont="1" applyBorder="1" applyAlignment="1">
      <alignment horizontal="center" vertical="center" wrapText="1"/>
    </xf>
    <xf numFmtId="49" fontId="20" fillId="0" borderId="59" xfId="0" applyNumberFormat="1" applyFont="1" applyBorder="1" applyAlignment="1">
      <alignment horizontal="center" vertical="center" wrapText="1"/>
    </xf>
    <xf numFmtId="49" fontId="13" fillId="0" borderId="44" xfId="0" applyNumberFormat="1" applyFont="1" applyBorder="1" applyAlignment="1">
      <alignment horizontal="center" vertical="center" wrapText="1"/>
    </xf>
    <xf numFmtId="49" fontId="13" fillId="0" borderId="46" xfId="0" applyNumberFormat="1" applyFont="1" applyBorder="1" applyAlignment="1">
      <alignment horizontal="center" vertical="center" wrapText="1"/>
    </xf>
    <xf numFmtId="166" fontId="13" fillId="0" borderId="51" xfId="1" applyNumberFormat="1" applyFont="1" applyBorder="1" applyAlignment="1">
      <alignment horizontal="left" vertical="center"/>
    </xf>
    <xf numFmtId="49" fontId="13" fillId="0" borderId="57" xfId="0" applyNumberFormat="1" applyFont="1" applyBorder="1" applyAlignment="1">
      <alignment horizontal="center" vertical="center" wrapText="1"/>
    </xf>
    <xf numFmtId="49" fontId="13" fillId="0" borderId="59" xfId="0" applyNumberFormat="1" applyFont="1" applyBorder="1" applyAlignment="1">
      <alignment horizontal="center" vertical="center" wrapText="1"/>
    </xf>
    <xf numFmtId="0" fontId="20" fillId="3" borderId="38" xfId="1" applyFont="1" applyFill="1" applyBorder="1" applyAlignment="1">
      <alignment horizontal="center" vertical="center"/>
    </xf>
    <xf numFmtId="169" fontId="19" fillId="4" borderId="23" xfId="1" applyNumberFormat="1" applyFont="1" applyFill="1" applyBorder="1" applyAlignment="1">
      <alignment horizontal="center" vertical="center"/>
    </xf>
    <xf numFmtId="49" fontId="19" fillId="0" borderId="23" xfId="1" applyNumberFormat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 wrapText="1"/>
    </xf>
    <xf numFmtId="166" fontId="19" fillId="0" borderId="23" xfId="1" applyNumberFormat="1" applyFont="1" applyBorder="1" applyAlignment="1">
      <alignment horizontal="center" vertical="center"/>
    </xf>
    <xf numFmtId="2" fontId="19" fillId="0" borderId="23" xfId="1" applyNumberFormat="1" applyFont="1" applyBorder="1" applyAlignment="1">
      <alignment horizontal="center" vertical="center"/>
    </xf>
    <xf numFmtId="1" fontId="19" fillId="0" borderId="50" xfId="1" applyNumberFormat="1" applyFont="1" applyBorder="1" applyAlignment="1">
      <alignment horizontal="center" vertical="center"/>
    </xf>
    <xf numFmtId="167" fontId="19" fillId="0" borderId="23" xfId="1" applyNumberFormat="1" applyFont="1" applyBorder="1" applyAlignment="1">
      <alignment horizontal="center" vertical="center"/>
    </xf>
    <xf numFmtId="2" fontId="19" fillId="4" borderId="23" xfId="1" applyNumberFormat="1" applyFont="1" applyFill="1" applyBorder="1" applyAlignment="1">
      <alignment horizontal="center" vertical="center"/>
    </xf>
    <xf numFmtId="169" fontId="19" fillId="0" borderId="23" xfId="1" applyNumberFormat="1" applyFont="1" applyBorder="1" applyAlignment="1">
      <alignment horizontal="center" vertical="center"/>
    </xf>
    <xf numFmtId="166" fontId="20" fillId="0" borderId="54" xfId="1" applyNumberFormat="1" applyFont="1" applyBorder="1" applyAlignment="1">
      <alignment horizontal="left" vertical="center"/>
    </xf>
    <xf numFmtId="49" fontId="20" fillId="0" borderId="61" xfId="0" applyNumberFormat="1" applyFont="1" applyBorder="1" applyAlignment="1">
      <alignment horizontal="center" vertical="center" wrapText="1"/>
    </xf>
    <xf numFmtId="49" fontId="20" fillId="0" borderId="54" xfId="0" applyNumberFormat="1" applyFont="1" applyBorder="1" applyAlignment="1">
      <alignment horizontal="center" vertical="center" wrapText="1"/>
    </xf>
    <xf numFmtId="0" fontId="19" fillId="0" borderId="38" xfId="1" applyFont="1" applyBorder="1" applyAlignment="1">
      <alignment horizontal="center" vertical="center"/>
    </xf>
    <xf numFmtId="49" fontId="19" fillId="0" borderId="41" xfId="1" applyNumberFormat="1" applyFont="1" applyBorder="1" applyAlignment="1">
      <alignment horizontal="center" vertical="center"/>
    </xf>
    <xf numFmtId="0" fontId="19" fillId="0" borderId="41" xfId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/>
    </xf>
    <xf numFmtId="2" fontId="19" fillId="0" borderId="41" xfId="1" applyNumberFormat="1" applyFont="1" applyBorder="1" applyAlignment="1">
      <alignment horizontal="center" vertical="center"/>
    </xf>
    <xf numFmtId="1" fontId="19" fillId="0" borderId="60" xfId="1" applyNumberFormat="1" applyFont="1" applyBorder="1" applyAlignment="1">
      <alignment horizontal="center" vertical="center"/>
    </xf>
    <xf numFmtId="166" fontId="19" fillId="0" borderId="46" xfId="1" applyNumberFormat="1" applyFont="1" applyBorder="1" applyAlignment="1">
      <alignment horizontal="left" vertical="center"/>
    </xf>
    <xf numFmtId="49" fontId="19" fillId="3" borderId="23" xfId="1" applyNumberFormat="1" applyFont="1" applyFill="1" applyBorder="1" applyAlignment="1">
      <alignment horizontal="center" vertical="center"/>
    </xf>
    <xf numFmtId="0" fontId="19" fillId="3" borderId="23" xfId="1" applyFont="1" applyFill="1" applyBorder="1" applyAlignment="1">
      <alignment horizontal="center" vertical="center" wrapText="1"/>
    </xf>
    <xf numFmtId="2" fontId="19" fillId="3" borderId="23" xfId="1" applyNumberFormat="1" applyFont="1" applyFill="1" applyBorder="1" applyAlignment="1">
      <alignment horizontal="center" vertical="center"/>
    </xf>
    <xf numFmtId="1" fontId="19" fillId="3" borderId="50" xfId="1" applyNumberFormat="1" applyFont="1" applyFill="1" applyBorder="1" applyAlignment="1">
      <alignment horizontal="center" vertical="center"/>
    </xf>
    <xf numFmtId="167" fontId="19" fillId="3" borderId="23" xfId="1" applyNumberFormat="1" applyFont="1" applyFill="1" applyBorder="1" applyAlignment="1">
      <alignment horizontal="center" vertical="center"/>
    </xf>
    <xf numFmtId="169" fontId="19" fillId="3" borderId="23" xfId="1" applyNumberFormat="1" applyFont="1" applyFill="1" applyBorder="1" applyAlignment="1">
      <alignment horizontal="center" vertical="center"/>
    </xf>
    <xf numFmtId="170" fontId="20" fillId="3" borderId="54" xfId="1" applyNumberFormat="1" applyFont="1" applyFill="1" applyBorder="1" applyAlignment="1">
      <alignment horizontal="left" vertical="center"/>
    </xf>
    <xf numFmtId="0" fontId="19" fillId="3" borderId="43" xfId="1" applyFont="1" applyFill="1" applyBorder="1" applyAlignment="1">
      <alignment horizontal="center" vertical="center"/>
    </xf>
    <xf numFmtId="49" fontId="19" fillId="3" borderId="41" xfId="1" applyNumberFormat="1" applyFont="1" applyFill="1" applyBorder="1" applyAlignment="1">
      <alignment horizontal="center" vertical="center"/>
    </xf>
    <xf numFmtId="0" fontId="19" fillId="3" borderId="41" xfId="1" applyFont="1" applyFill="1" applyBorder="1" applyAlignment="1">
      <alignment horizontal="center" vertical="center" wrapText="1"/>
    </xf>
    <xf numFmtId="166" fontId="19" fillId="3" borderId="41" xfId="1" applyNumberFormat="1" applyFont="1" applyFill="1" applyBorder="1" applyAlignment="1">
      <alignment horizontal="center" vertical="center"/>
    </xf>
    <xf numFmtId="2" fontId="19" fillId="3" borderId="41" xfId="1" applyNumberFormat="1" applyFont="1" applyFill="1" applyBorder="1" applyAlignment="1">
      <alignment horizontal="center" vertical="center"/>
    </xf>
    <xf numFmtId="1" fontId="19" fillId="3" borderId="60" xfId="1" applyNumberFormat="1" applyFont="1" applyFill="1" applyBorder="1" applyAlignment="1">
      <alignment horizontal="center" vertical="center"/>
    </xf>
    <xf numFmtId="166" fontId="19" fillId="3" borderId="46" xfId="1" applyNumberFormat="1" applyFont="1" applyFill="1" applyBorder="1" applyAlignment="1">
      <alignment horizontal="left" vertical="center"/>
    </xf>
    <xf numFmtId="170" fontId="20" fillId="0" borderId="54" xfId="1" applyNumberFormat="1" applyFont="1" applyBorder="1" applyAlignment="1">
      <alignment horizontal="left" vertical="center"/>
    </xf>
    <xf numFmtId="49" fontId="11" fillId="0" borderId="61" xfId="0" applyNumberFormat="1" applyFont="1" applyBorder="1" applyAlignment="1">
      <alignment horizontal="center" vertical="center" wrapText="1"/>
    </xf>
    <xf numFmtId="49" fontId="11" fillId="0" borderId="54" xfId="0" applyNumberFormat="1" applyFont="1" applyBorder="1" applyAlignment="1">
      <alignment horizontal="center" vertical="center" wrapText="1"/>
    </xf>
    <xf numFmtId="166" fontId="19" fillId="3" borderId="54" xfId="1" applyNumberFormat="1" applyFont="1" applyFill="1" applyBorder="1" applyAlignment="1">
      <alignment horizontal="center" vertical="center"/>
    </xf>
    <xf numFmtId="170" fontId="20" fillId="0" borderId="51" xfId="1" applyNumberFormat="1" applyFont="1" applyBorder="1" applyAlignment="1">
      <alignment horizontal="left" vertical="center"/>
    </xf>
    <xf numFmtId="49" fontId="20" fillId="0" borderId="62" xfId="0" applyNumberFormat="1" applyFont="1" applyBorder="1" applyAlignment="1">
      <alignment horizontal="center" vertical="center" wrapText="1"/>
    </xf>
    <xf numFmtId="49" fontId="20" fillId="0" borderId="63" xfId="0" applyNumberFormat="1" applyFont="1" applyBorder="1" applyAlignment="1">
      <alignment horizontal="center" vertical="center" wrapText="1"/>
    </xf>
    <xf numFmtId="49" fontId="13" fillId="0" borderId="61" xfId="0" applyNumberFormat="1" applyFont="1" applyBorder="1" applyAlignment="1">
      <alignment horizontal="center" vertical="center" wrapText="1"/>
    </xf>
    <xf numFmtId="49" fontId="13" fillId="0" borderId="54" xfId="0" applyNumberFormat="1" applyFont="1" applyBorder="1" applyAlignment="1">
      <alignment horizontal="center" vertical="center" wrapText="1"/>
    </xf>
    <xf numFmtId="0" fontId="19" fillId="0" borderId="43" xfId="1" applyFont="1" applyBorder="1" applyAlignment="1">
      <alignment horizontal="center" vertical="center"/>
    </xf>
    <xf numFmtId="166" fontId="19" fillId="0" borderId="46" xfId="1" applyNumberFormat="1" applyFont="1" applyBorder="1" applyAlignment="1">
      <alignment horizontal="center" vertical="center"/>
    </xf>
    <xf numFmtId="166" fontId="19" fillId="3" borderId="46" xfId="1" applyNumberFormat="1" applyFont="1" applyFill="1" applyBorder="1" applyAlignment="1">
      <alignment horizontal="center" vertical="center"/>
    </xf>
    <xf numFmtId="166" fontId="19" fillId="0" borderId="54" xfId="1" applyNumberFormat="1" applyFont="1" applyBorder="1" applyAlignment="1">
      <alignment horizontal="center" vertical="center"/>
    </xf>
    <xf numFmtId="166" fontId="13" fillId="3" borderId="51" xfId="1" applyNumberFormat="1" applyFont="1" applyFill="1" applyBorder="1" applyAlignment="1">
      <alignment horizontal="left" vertical="center"/>
    </xf>
    <xf numFmtId="166" fontId="20" fillId="3" borderId="54" xfId="1" applyNumberFormat="1" applyFont="1" applyFill="1" applyBorder="1" applyAlignment="1">
      <alignment horizontal="left" vertical="center"/>
    </xf>
    <xf numFmtId="166" fontId="20" fillId="3" borderId="46" xfId="1" applyNumberFormat="1" applyFont="1" applyFill="1" applyBorder="1" applyAlignment="1">
      <alignment horizontal="left" vertical="center"/>
    </xf>
    <xf numFmtId="0" fontId="19" fillId="0" borderId="55" xfId="1" applyFont="1" applyBorder="1" applyAlignment="1">
      <alignment horizontal="center" vertical="center"/>
    </xf>
    <xf numFmtId="49" fontId="19" fillId="0" borderId="56" xfId="1" applyNumberFormat="1" applyFont="1" applyBorder="1" applyAlignment="1">
      <alignment horizontal="center" vertical="center"/>
    </xf>
    <xf numFmtId="0" fontId="19" fillId="0" borderId="56" xfId="1" applyFont="1" applyBorder="1" applyAlignment="1">
      <alignment horizontal="center" vertical="center" wrapText="1"/>
    </xf>
    <xf numFmtId="166" fontId="19" fillId="0" borderId="56" xfId="1" applyNumberFormat="1" applyFont="1" applyBorder="1" applyAlignment="1">
      <alignment horizontal="center" vertical="center"/>
    </xf>
    <xf numFmtId="2" fontId="19" fillId="0" borderId="56" xfId="1" applyNumberFormat="1" applyFont="1" applyBorder="1" applyAlignment="1">
      <alignment horizontal="center" vertical="center"/>
    </xf>
    <xf numFmtId="1" fontId="19" fillId="0" borderId="64" xfId="1" applyNumberFormat="1" applyFont="1" applyBorder="1" applyAlignment="1">
      <alignment horizontal="center" vertical="center"/>
    </xf>
    <xf numFmtId="167" fontId="19" fillId="0" borderId="56" xfId="1" applyNumberFormat="1" applyFont="1" applyBorder="1" applyAlignment="1">
      <alignment horizontal="center" vertical="center"/>
    </xf>
    <xf numFmtId="169" fontId="19" fillId="4" borderId="56" xfId="1" applyNumberFormat="1" applyFont="1" applyFill="1" applyBorder="1" applyAlignment="1">
      <alignment horizontal="center" vertical="center"/>
    </xf>
    <xf numFmtId="166" fontId="13" fillId="0" borderId="59" xfId="1" applyNumberFormat="1" applyFont="1" applyBorder="1" applyAlignment="1">
      <alignment horizontal="left" vertical="center"/>
    </xf>
    <xf numFmtId="166" fontId="20" fillId="0" borderId="46" xfId="1" applyNumberFormat="1" applyFont="1" applyBorder="1" applyAlignment="1">
      <alignment horizontal="left" vertical="center"/>
    </xf>
    <xf numFmtId="0" fontId="19" fillId="5" borderId="47" xfId="1" applyFont="1" applyFill="1" applyBorder="1" applyAlignment="1">
      <alignment horizontal="center" vertical="center"/>
    </xf>
    <xf numFmtId="0" fontId="19" fillId="5" borderId="55" xfId="1" applyFont="1" applyFill="1" applyBorder="1" applyAlignment="1">
      <alignment horizontal="center" vertical="center"/>
    </xf>
    <xf numFmtId="49" fontId="19" fillId="0" borderId="11" xfId="1" applyNumberFormat="1" applyFont="1" applyAlignment="1">
      <alignment horizontal="center" vertical="center"/>
    </xf>
    <xf numFmtId="0" fontId="19" fillId="0" borderId="11" xfId="1" applyFont="1" applyAlignment="1">
      <alignment horizontal="center" vertical="center" wrapText="1"/>
    </xf>
    <xf numFmtId="166" fontId="19" fillId="0" borderId="11" xfId="1" applyNumberFormat="1" applyFont="1" applyAlignment="1">
      <alignment horizontal="center" vertical="center"/>
    </xf>
    <xf numFmtId="1" fontId="19" fillId="0" borderId="11" xfId="1" applyNumberFormat="1" applyFont="1" applyAlignment="1">
      <alignment horizontal="center" vertical="center"/>
    </xf>
    <xf numFmtId="167" fontId="20" fillId="0" borderId="11" xfId="1" applyNumberFormat="1" applyFont="1" applyAlignment="1">
      <alignment horizontal="center" vertical="center"/>
    </xf>
    <xf numFmtId="169" fontId="20" fillId="0" borderId="11" xfId="1" applyNumberFormat="1" applyFont="1" applyAlignment="1">
      <alignment horizontal="center" vertical="center"/>
    </xf>
    <xf numFmtId="166" fontId="20" fillId="0" borderId="11" xfId="1" applyNumberFormat="1" applyFont="1" applyAlignment="1">
      <alignment horizontal="left" vertical="center"/>
    </xf>
    <xf numFmtId="169" fontId="20" fillId="0" borderId="11" xfId="1" applyNumberFormat="1" applyFont="1" applyAlignment="1">
      <alignment horizontal="center" vertical="center" wrapText="1"/>
    </xf>
    <xf numFmtId="171" fontId="19" fillId="0" borderId="11" xfId="1" applyNumberFormat="1" applyFont="1" applyAlignment="1">
      <alignment horizontal="center" vertical="center"/>
    </xf>
    <xf numFmtId="172" fontId="19" fillId="0" borderId="11" xfId="1" applyNumberFormat="1" applyFont="1" applyAlignment="1">
      <alignment horizontal="center" vertical="center"/>
    </xf>
    <xf numFmtId="166" fontId="20" fillId="0" borderId="11" xfId="1" applyNumberFormat="1" applyFont="1" applyAlignment="1">
      <alignment horizontal="center" vertical="center"/>
    </xf>
    <xf numFmtId="166" fontId="19" fillId="0" borderId="11" xfId="1" applyNumberFormat="1" applyFont="1" applyAlignment="1">
      <alignment horizontal="right" vertical="center"/>
    </xf>
    <xf numFmtId="169" fontId="19" fillId="0" borderId="65" xfId="1" applyNumberFormat="1" applyFont="1" applyBorder="1" applyAlignment="1">
      <alignment horizontal="center" vertical="center"/>
    </xf>
    <xf numFmtId="169" fontId="19" fillId="0" borderId="11" xfId="1" applyNumberFormat="1" applyFont="1" applyAlignment="1">
      <alignment horizontal="center" vertical="center"/>
    </xf>
    <xf numFmtId="0" fontId="22" fillId="0" borderId="0" xfId="0" applyFont="1"/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4" fontId="19" fillId="0" borderId="11" xfId="1" applyNumberFormat="1" applyFont="1" applyAlignment="1">
      <alignment horizontal="center" vertical="center"/>
    </xf>
    <xf numFmtId="168" fontId="19" fillId="0" borderId="11" xfId="2" applyFont="1" applyAlignment="1">
      <alignment horizontal="right"/>
    </xf>
    <xf numFmtId="168" fontId="20" fillId="0" borderId="11" xfId="2" applyFont="1" applyFill="1" applyBorder="1" applyAlignment="1">
      <alignment horizontal="right"/>
    </xf>
    <xf numFmtId="168" fontId="20" fillId="0" borderId="11" xfId="2" applyFont="1" applyFill="1" applyBorder="1" applyAlignment="1">
      <alignment horizontal="right" wrapText="1"/>
    </xf>
    <xf numFmtId="168" fontId="20" fillId="0" borderId="11" xfId="2" applyFont="1" applyFill="1" applyBorder="1" applyAlignment="1">
      <alignment horizontal="left"/>
    </xf>
    <xf numFmtId="168" fontId="20" fillId="0" borderId="11" xfId="2" applyFont="1" applyFill="1" applyBorder="1" applyAlignment="1">
      <alignment horizontal="left" wrapText="1"/>
    </xf>
    <xf numFmtId="0" fontId="19" fillId="0" borderId="11" xfId="1" applyFont="1" applyAlignment="1">
      <alignment horizontal="right"/>
    </xf>
    <xf numFmtId="0" fontId="19" fillId="0" borderId="11" xfId="1" applyFont="1" applyAlignment="1">
      <alignment horizontal="right" wrapText="1"/>
    </xf>
    <xf numFmtId="0" fontId="20" fillId="0" borderId="11" xfId="1" applyFont="1" applyAlignment="1">
      <alignment horizontal="center" vertical="center" wrapText="1"/>
    </xf>
    <xf numFmtId="168" fontId="20" fillId="0" borderId="11" xfId="2" applyFont="1" applyFill="1" applyBorder="1" applyAlignment="1">
      <alignment horizontal="center" vertical="center"/>
    </xf>
    <xf numFmtId="168" fontId="20" fillId="0" borderId="11" xfId="2" applyFont="1" applyFill="1" applyBorder="1" applyAlignment="1">
      <alignment horizontal="center" vertical="center" wrapText="1"/>
    </xf>
    <xf numFmtId="168" fontId="19" fillId="0" borderId="11" xfId="2" applyFont="1" applyFill="1" applyBorder="1" applyAlignment="1">
      <alignment horizontal="center" vertical="center"/>
    </xf>
    <xf numFmtId="168" fontId="19" fillId="0" borderId="11" xfId="2" applyFont="1" applyFill="1" applyBorder="1" applyAlignment="1">
      <alignment horizontal="center" vertical="center" wrapText="1"/>
    </xf>
    <xf numFmtId="174" fontId="10" fillId="0" borderId="66" xfId="0" applyNumberFormat="1" applyFont="1" applyBorder="1" applyAlignment="1">
      <alignment horizontal="center" vertical="center"/>
    </xf>
    <xf numFmtId="169" fontId="24" fillId="0" borderId="67" xfId="1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174" fontId="10" fillId="0" borderId="69" xfId="0" applyNumberFormat="1" applyFont="1" applyBorder="1" applyAlignment="1">
      <alignment horizontal="center" vertical="center"/>
    </xf>
    <xf numFmtId="169" fontId="24" fillId="0" borderId="2" xfId="1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10" fillId="5" borderId="17" xfId="0" applyFont="1" applyFill="1" applyBorder="1" applyAlignment="1">
      <alignment horizontal="center" vertical="center"/>
    </xf>
    <xf numFmtId="49" fontId="10" fillId="5" borderId="17" xfId="0" applyNumberFormat="1" applyFont="1" applyFill="1" applyBorder="1" applyAlignment="1">
      <alignment horizontal="center" vertical="center" wrapText="1"/>
    </xf>
    <xf numFmtId="1" fontId="10" fillId="5" borderId="17" xfId="0" applyNumberFormat="1" applyFont="1" applyFill="1" applyBorder="1" applyAlignment="1">
      <alignment horizontal="center" vertical="center"/>
    </xf>
    <xf numFmtId="1" fontId="10" fillId="5" borderId="17" xfId="0" applyNumberFormat="1" applyFont="1" applyFill="1" applyBorder="1" applyAlignment="1">
      <alignment vertical="center" wrapText="1"/>
    </xf>
    <xf numFmtId="173" fontId="10" fillId="5" borderId="17" xfId="0" applyNumberFormat="1" applyFont="1" applyFill="1" applyBorder="1" applyAlignment="1">
      <alignment horizontal="center" vertical="center"/>
    </xf>
    <xf numFmtId="2" fontId="10" fillId="5" borderId="17" xfId="0" applyNumberFormat="1" applyFont="1" applyFill="1" applyBorder="1" applyAlignment="1">
      <alignment horizontal="center" vertical="center"/>
    </xf>
    <xf numFmtId="166" fontId="10" fillId="5" borderId="17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175" fontId="10" fillId="5" borderId="17" xfId="0" applyNumberFormat="1" applyFont="1" applyFill="1" applyBorder="1" applyAlignment="1">
      <alignment horizontal="center" vertical="center"/>
    </xf>
    <xf numFmtId="176" fontId="10" fillId="5" borderId="17" xfId="0" applyNumberFormat="1" applyFont="1" applyFill="1" applyBorder="1" applyAlignment="1">
      <alignment horizontal="right" vertical="center" wrapText="1"/>
    </xf>
    <xf numFmtId="0" fontId="10" fillId="5" borderId="0" xfId="0" applyFont="1" applyFill="1"/>
    <xf numFmtId="0" fontId="0" fillId="5" borderId="0" xfId="0" applyFill="1"/>
    <xf numFmtId="0" fontId="10" fillId="5" borderId="69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9" fontId="24" fillId="5" borderId="2" xfId="1" applyNumberFormat="1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174" fontId="10" fillId="5" borderId="69" xfId="0" applyNumberFormat="1" applyFont="1" applyFill="1" applyBorder="1" applyAlignment="1">
      <alignment horizontal="center" vertical="center"/>
    </xf>
    <xf numFmtId="0" fontId="9" fillId="0" borderId="0" xfId="0" applyFont="1"/>
    <xf numFmtId="178" fontId="9" fillId="0" borderId="0" xfId="0" applyNumberFormat="1" applyFont="1" applyAlignment="1">
      <alignment horizontal="center" vertical="center"/>
    </xf>
    <xf numFmtId="0" fontId="27" fillId="0" borderId="0" xfId="0" applyFont="1"/>
    <xf numFmtId="0" fontId="28" fillId="0" borderId="11" xfId="1" applyFont="1" applyAlignment="1">
      <alignment horizontal="right" vertical="center"/>
    </xf>
    <xf numFmtId="0" fontId="29" fillId="0" borderId="11" xfId="1" applyFont="1" applyAlignment="1">
      <alignment horizontal="left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30" fillId="7" borderId="78" xfId="0" applyFont="1" applyFill="1" applyBorder="1" applyAlignment="1">
      <alignment horizontal="center" vertical="center"/>
    </xf>
    <xf numFmtId="0" fontId="30" fillId="7" borderId="78" xfId="0" applyFont="1" applyFill="1" applyBorder="1" applyAlignment="1">
      <alignment horizontal="center" vertical="center" wrapText="1"/>
    </xf>
    <xf numFmtId="0" fontId="30" fillId="2" borderId="78" xfId="0" applyFont="1" applyFill="1" applyBorder="1" applyAlignment="1">
      <alignment horizontal="center" vertical="center" wrapText="1"/>
    </xf>
    <xf numFmtId="0" fontId="30" fillId="7" borderId="82" xfId="0" applyFont="1" applyFill="1" applyBorder="1" applyAlignment="1">
      <alignment horizontal="center" vertical="center"/>
    </xf>
    <xf numFmtId="0" fontId="30" fillId="7" borderId="45" xfId="0" applyFont="1" applyFill="1" applyBorder="1" applyAlignment="1">
      <alignment horizontal="center" vertical="center"/>
    </xf>
    <xf numFmtId="0" fontId="30" fillId="7" borderId="41" xfId="0" applyFont="1" applyFill="1" applyBorder="1" applyAlignment="1">
      <alignment horizontal="center" vertical="center"/>
    </xf>
    <xf numFmtId="0" fontId="30" fillId="7" borderId="44" xfId="0" applyFont="1" applyFill="1" applyBorder="1" applyAlignment="1">
      <alignment horizontal="center" vertical="center"/>
    </xf>
    <xf numFmtId="0" fontId="30" fillId="2" borderId="82" xfId="0" applyFont="1" applyFill="1" applyBorder="1" applyAlignment="1">
      <alignment horizontal="center" vertical="center"/>
    </xf>
    <xf numFmtId="0" fontId="31" fillId="7" borderId="82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8" borderId="48" xfId="0" applyFont="1" applyFill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left" vertical="center"/>
    </xf>
    <xf numFmtId="0" fontId="5" fillId="0" borderId="23" xfId="5" applyBorder="1" applyAlignment="1">
      <alignment horizontal="center" vertical="center"/>
    </xf>
    <xf numFmtId="3" fontId="9" fillId="9" borderId="48" xfId="0" applyNumberFormat="1" applyFont="1" applyFill="1" applyBorder="1" applyAlignment="1">
      <alignment horizontal="center" vertical="center"/>
    </xf>
    <xf numFmtId="178" fontId="9" fillId="0" borderId="48" xfId="0" applyNumberFormat="1" applyFont="1" applyBorder="1" applyAlignment="1">
      <alignment horizontal="center" vertical="center"/>
    </xf>
    <xf numFmtId="3" fontId="9" fillId="0" borderId="48" xfId="0" applyNumberFormat="1" applyFont="1" applyBorder="1" applyAlignment="1">
      <alignment horizontal="center" vertical="center"/>
    </xf>
    <xf numFmtId="3" fontId="30" fillId="9" borderId="48" xfId="0" applyNumberFormat="1" applyFont="1" applyFill="1" applyBorder="1" applyAlignment="1">
      <alignment horizontal="center" vertical="center"/>
    </xf>
    <xf numFmtId="167" fontId="30" fillId="0" borderId="48" xfId="0" applyNumberFormat="1" applyFont="1" applyBorder="1" applyAlignment="1">
      <alignment horizontal="center" vertical="center"/>
    </xf>
    <xf numFmtId="167" fontId="9" fillId="0" borderId="48" xfId="0" applyNumberFormat="1" applyFont="1" applyBorder="1" applyAlignment="1">
      <alignment horizontal="center" vertical="center"/>
    </xf>
    <xf numFmtId="167" fontId="9" fillId="0" borderId="56" xfId="0" applyNumberFormat="1" applyFont="1" applyBorder="1" applyAlignment="1">
      <alignment horizontal="center" vertical="center"/>
    </xf>
    <xf numFmtId="10" fontId="9" fillId="0" borderId="56" xfId="4" applyNumberFormat="1" applyFont="1" applyBorder="1" applyAlignment="1">
      <alignment horizontal="center" vertical="center"/>
    </xf>
    <xf numFmtId="167" fontId="9" fillId="0" borderId="23" xfId="0" applyNumberFormat="1" applyFont="1" applyBorder="1" applyAlignment="1">
      <alignment horizontal="center" vertical="center"/>
    </xf>
    <xf numFmtId="10" fontId="9" fillId="0" borderId="23" xfId="4" applyNumberFormat="1" applyFont="1" applyBorder="1" applyAlignment="1">
      <alignment horizontal="center" vertical="center"/>
    </xf>
    <xf numFmtId="0" fontId="9" fillId="10" borderId="48" xfId="0" applyFont="1" applyFill="1" applyBorder="1" applyAlignment="1">
      <alignment horizontal="center" vertical="center"/>
    </xf>
    <xf numFmtId="49" fontId="9" fillId="10" borderId="48" xfId="0" applyNumberFormat="1" applyFont="1" applyFill="1" applyBorder="1" applyAlignment="1">
      <alignment horizontal="center" vertical="center"/>
    </xf>
    <xf numFmtId="0" fontId="9" fillId="10" borderId="48" xfId="0" applyFont="1" applyFill="1" applyBorder="1" applyAlignment="1">
      <alignment horizontal="left" vertical="center"/>
    </xf>
    <xf numFmtId="0" fontId="9" fillId="10" borderId="48" xfId="0" applyFont="1" applyFill="1" applyBorder="1" applyAlignment="1">
      <alignment horizontal="center" vertical="center" wrapText="1"/>
    </xf>
    <xf numFmtId="3" fontId="5" fillId="9" borderId="23" xfId="5" applyNumberFormat="1" applyFill="1" applyBorder="1" applyAlignment="1">
      <alignment horizontal="center" vertical="center"/>
    </xf>
    <xf numFmtId="3" fontId="9" fillId="10" borderId="48" xfId="0" applyNumberFormat="1" applyFont="1" applyFill="1" applyBorder="1" applyAlignment="1">
      <alignment horizontal="center" vertical="center"/>
    </xf>
    <xf numFmtId="167" fontId="30" fillId="2" borderId="48" xfId="0" applyNumberFormat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/>
    </xf>
    <xf numFmtId="0" fontId="9" fillId="8" borderId="23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left" vertical="center"/>
    </xf>
    <xf numFmtId="0" fontId="9" fillId="10" borderId="23" xfId="0" applyFont="1" applyFill="1" applyBorder="1" applyAlignment="1">
      <alignment horizontal="center" vertical="center" wrapText="1"/>
    </xf>
    <xf numFmtId="3" fontId="9" fillId="9" borderId="23" xfId="0" applyNumberFormat="1" applyFont="1" applyFill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3" fontId="9" fillId="10" borderId="23" xfId="0" applyNumberFormat="1" applyFont="1" applyFill="1" applyBorder="1" applyAlignment="1">
      <alignment horizontal="center" vertical="center"/>
    </xf>
    <xf numFmtId="3" fontId="30" fillId="9" borderId="23" xfId="0" applyNumberFormat="1" applyFont="1" applyFill="1" applyBorder="1" applyAlignment="1">
      <alignment horizontal="center" vertical="center"/>
    </xf>
    <xf numFmtId="167" fontId="30" fillId="2" borderId="23" xfId="0" applyNumberFormat="1" applyFont="1" applyFill="1" applyBorder="1" applyAlignment="1">
      <alignment horizontal="center" vertical="center"/>
    </xf>
    <xf numFmtId="0" fontId="5" fillId="0" borderId="11" xfId="5"/>
    <xf numFmtId="49" fontId="5" fillId="10" borderId="23" xfId="5" applyNumberFormat="1" applyFill="1" applyBorder="1" applyAlignment="1">
      <alignment horizontal="center" vertical="center"/>
    </xf>
    <xf numFmtId="49" fontId="5" fillId="10" borderId="23" xfId="5" applyNumberFormat="1" applyFill="1" applyBorder="1" applyAlignment="1">
      <alignment horizontal="center" vertical="center" wrapText="1"/>
    </xf>
    <xf numFmtId="0" fontId="5" fillId="10" borderId="23" xfId="5" applyFill="1" applyBorder="1" applyAlignment="1">
      <alignment horizontal="left" vertical="center" wrapText="1"/>
    </xf>
    <xf numFmtId="178" fontId="5" fillId="0" borderId="23" xfId="5" applyNumberFormat="1" applyBorder="1" applyAlignment="1">
      <alignment horizontal="center" vertical="center"/>
    </xf>
    <xf numFmtId="3" fontId="5" fillId="10" borderId="23" xfId="5" applyNumberFormat="1" applyFill="1" applyBorder="1" applyAlignment="1">
      <alignment horizontal="center" vertical="center"/>
    </xf>
    <xf numFmtId="167" fontId="33" fillId="0" borderId="23" xfId="5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49" fontId="5" fillId="10" borderId="41" xfId="5" applyNumberFormat="1" applyFill="1" applyBorder="1" applyAlignment="1">
      <alignment horizontal="center" vertical="center"/>
    </xf>
    <xf numFmtId="49" fontId="5" fillId="10" borderId="41" xfId="5" applyNumberFormat="1" applyFill="1" applyBorder="1" applyAlignment="1">
      <alignment horizontal="center" vertical="center" wrapText="1"/>
    </xf>
    <xf numFmtId="0" fontId="5" fillId="10" borderId="41" xfId="5" applyFill="1" applyBorder="1" applyAlignment="1">
      <alignment horizontal="left" vertical="center" wrapText="1"/>
    </xf>
    <xf numFmtId="0" fontId="5" fillId="0" borderId="41" xfId="5" applyBorder="1" applyAlignment="1">
      <alignment horizontal="center" vertical="center"/>
    </xf>
    <xf numFmtId="0" fontId="9" fillId="10" borderId="41" xfId="0" applyFont="1" applyFill="1" applyBorder="1" applyAlignment="1">
      <alignment horizontal="center" vertical="center" wrapText="1"/>
    </xf>
    <xf numFmtId="3" fontId="5" fillId="9" borderId="41" xfId="5" applyNumberFormat="1" applyFill="1" applyBorder="1" applyAlignment="1">
      <alignment horizontal="center" vertical="center"/>
    </xf>
    <xf numFmtId="178" fontId="5" fillId="0" borderId="41" xfId="5" applyNumberFormat="1" applyBorder="1" applyAlignment="1">
      <alignment horizontal="center" vertical="center"/>
    </xf>
    <xf numFmtId="3" fontId="5" fillId="10" borderId="41" xfId="5" applyNumberFormat="1" applyFill="1" applyBorder="1" applyAlignment="1">
      <alignment horizontal="center" vertical="center"/>
    </xf>
    <xf numFmtId="3" fontId="30" fillId="9" borderId="41" xfId="0" applyNumberFormat="1" applyFont="1" applyFill="1" applyBorder="1" applyAlignment="1">
      <alignment horizontal="center" vertical="center"/>
    </xf>
    <xf numFmtId="167" fontId="33" fillId="0" borderId="41" xfId="5" applyNumberFormat="1" applyFont="1" applyBorder="1" applyAlignment="1">
      <alignment horizontal="center" vertical="center"/>
    </xf>
    <xf numFmtId="167" fontId="9" fillId="0" borderId="41" xfId="0" applyNumberFormat="1" applyFont="1" applyBorder="1" applyAlignment="1">
      <alignment horizontal="center" vertical="center"/>
    </xf>
    <xf numFmtId="10" fontId="9" fillId="0" borderId="41" xfId="4" applyNumberFormat="1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8" borderId="56" xfId="0" applyFont="1" applyFill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5" fillId="0" borderId="48" xfId="5" applyBorder="1" applyAlignment="1">
      <alignment horizontal="center" vertical="center"/>
    </xf>
    <xf numFmtId="3" fontId="9" fillId="0" borderId="56" xfId="0" applyNumberFormat="1" applyFont="1" applyBorder="1" applyAlignment="1">
      <alignment horizontal="center" vertical="center"/>
    </xf>
    <xf numFmtId="3" fontId="30" fillId="9" borderId="56" xfId="0" applyNumberFormat="1" applyFont="1" applyFill="1" applyBorder="1" applyAlignment="1">
      <alignment horizontal="center" vertical="center"/>
    </xf>
    <xf numFmtId="167" fontId="30" fillId="0" borderId="56" xfId="0" applyNumberFormat="1" applyFont="1" applyBorder="1" applyAlignment="1">
      <alignment horizontal="center" vertical="center"/>
    </xf>
    <xf numFmtId="10" fontId="9" fillId="0" borderId="48" xfId="4" applyNumberFormat="1" applyFont="1" applyBorder="1" applyAlignment="1">
      <alignment horizontal="center" vertical="center"/>
    </xf>
    <xf numFmtId="0" fontId="9" fillId="0" borderId="56" xfId="0" applyFont="1" applyBorder="1" applyAlignment="1">
      <alignment horizontal="left" vertical="center"/>
    </xf>
    <xf numFmtId="0" fontId="5" fillId="0" borderId="56" xfId="5" applyBorder="1" applyAlignment="1">
      <alignment horizontal="center" vertical="center"/>
    </xf>
    <xf numFmtId="3" fontId="9" fillId="9" borderId="56" xfId="0" applyNumberFormat="1" applyFont="1" applyFill="1" applyBorder="1" applyAlignment="1">
      <alignment horizontal="center" vertical="center"/>
    </xf>
    <xf numFmtId="178" fontId="9" fillId="0" borderId="56" xfId="0" applyNumberFormat="1" applyFont="1" applyBorder="1" applyAlignment="1">
      <alignment horizontal="center" vertical="center"/>
    </xf>
    <xf numFmtId="178" fontId="9" fillId="2" borderId="0" xfId="0" applyNumberFormat="1" applyFont="1" applyFill="1" applyAlignment="1">
      <alignment horizontal="center" vertical="center"/>
    </xf>
    <xf numFmtId="3" fontId="9" fillId="0" borderId="23" xfId="0" applyNumberFormat="1" applyFont="1" applyBorder="1" applyAlignment="1">
      <alignment horizontal="center" vertical="center"/>
    </xf>
    <xf numFmtId="167" fontId="30" fillId="0" borderId="23" xfId="0" applyNumberFormat="1" applyFont="1" applyBorder="1" applyAlignment="1">
      <alignment horizontal="center" vertical="center"/>
    </xf>
    <xf numFmtId="0" fontId="5" fillId="0" borderId="11" xfId="5" applyAlignment="1">
      <alignment horizontal="center" vertical="center"/>
    </xf>
    <xf numFmtId="3" fontId="33" fillId="9" borderId="41" xfId="5" applyNumberFormat="1" applyFont="1" applyFill="1" applyBorder="1" applyAlignment="1">
      <alignment horizontal="center" vertical="center"/>
    </xf>
    <xf numFmtId="178" fontId="9" fillId="0" borderId="0" xfId="0" applyNumberFormat="1" applyFont="1"/>
    <xf numFmtId="49" fontId="9" fillId="10" borderId="23" xfId="0" applyNumberFormat="1" applyFont="1" applyFill="1" applyBorder="1" applyAlignment="1">
      <alignment horizontal="center" vertical="center"/>
    </xf>
    <xf numFmtId="0" fontId="9" fillId="0" borderId="83" xfId="0" applyFont="1" applyBorder="1" applyAlignment="1">
      <alignment horizontal="center" vertical="center" wrapText="1"/>
    </xf>
    <xf numFmtId="167" fontId="9" fillId="0" borderId="3" xfId="0" applyNumberFormat="1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 wrapText="1"/>
    </xf>
    <xf numFmtId="3" fontId="9" fillId="9" borderId="85" xfId="0" applyNumberFormat="1" applyFont="1" applyFill="1" applyBorder="1" applyAlignment="1">
      <alignment horizontal="center" vertical="center"/>
    </xf>
    <xf numFmtId="178" fontId="9" fillId="0" borderId="85" xfId="0" applyNumberFormat="1" applyFont="1" applyBorder="1" applyAlignment="1">
      <alignment horizontal="center" vertical="center"/>
    </xf>
    <xf numFmtId="3" fontId="9" fillId="0" borderId="85" xfId="0" applyNumberFormat="1" applyFont="1" applyBorder="1" applyAlignment="1">
      <alignment horizontal="center" vertical="center"/>
    </xf>
    <xf numFmtId="3" fontId="30" fillId="9" borderId="85" xfId="0" applyNumberFormat="1" applyFont="1" applyFill="1" applyBorder="1" applyAlignment="1">
      <alignment horizontal="center" vertical="center"/>
    </xf>
    <xf numFmtId="167" fontId="30" fillId="0" borderId="85" xfId="0" applyNumberFormat="1" applyFont="1" applyBorder="1" applyAlignment="1">
      <alignment horizontal="center" vertical="center"/>
    </xf>
    <xf numFmtId="167" fontId="9" fillId="0" borderId="85" xfId="0" applyNumberFormat="1" applyFont="1" applyBorder="1" applyAlignment="1">
      <alignment horizontal="center" vertical="center"/>
    </xf>
    <xf numFmtId="10" fontId="9" fillId="0" borderId="85" xfId="4" applyNumberFormat="1" applyFont="1" applyBorder="1" applyAlignment="1">
      <alignment horizontal="center" vertical="center"/>
    </xf>
    <xf numFmtId="178" fontId="9" fillId="12" borderId="0" xfId="0" applyNumberFormat="1" applyFont="1" applyFill="1" applyAlignment="1">
      <alignment horizontal="center" vertical="center"/>
    </xf>
    <xf numFmtId="0" fontId="9" fillId="0" borderId="84" xfId="0" applyFont="1" applyBorder="1" applyAlignment="1">
      <alignment horizontal="center" vertical="center" wrapText="1"/>
    </xf>
    <xf numFmtId="0" fontId="9" fillId="0" borderId="83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8" fillId="0" borderId="0" xfId="0" applyNumberFormat="1" applyFont="1"/>
    <xf numFmtId="0" fontId="8" fillId="0" borderId="0" xfId="0" applyFont="1"/>
    <xf numFmtId="167" fontId="9" fillId="0" borderId="0" xfId="0" applyNumberFormat="1" applyFont="1"/>
    <xf numFmtId="0" fontId="9" fillId="0" borderId="0" xfId="0" applyFont="1" applyAlignment="1">
      <alignment horizontal="center"/>
    </xf>
    <xf numFmtId="49" fontId="9" fillId="2" borderId="48" xfId="0" applyNumberFormat="1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left" vertical="center"/>
    </xf>
    <xf numFmtId="0" fontId="9" fillId="2" borderId="48" xfId="0" applyFont="1" applyFill="1" applyBorder="1" applyAlignment="1">
      <alignment horizontal="center" vertical="center" wrapText="1"/>
    </xf>
    <xf numFmtId="3" fontId="8" fillId="2" borderId="23" xfId="0" applyNumberFormat="1" applyFont="1" applyFill="1" applyBorder="1" applyAlignment="1">
      <alignment horizontal="center" vertical="center"/>
    </xf>
    <xf numFmtId="49" fontId="9" fillId="2" borderId="48" xfId="0" applyNumberFormat="1" applyFont="1" applyFill="1" applyBorder="1" applyAlignment="1">
      <alignment horizontal="center" vertical="center" wrapText="1"/>
    </xf>
    <xf numFmtId="3" fontId="8" fillId="10" borderId="23" xfId="0" applyNumberFormat="1" applyFont="1" applyFill="1" applyBorder="1" applyAlignment="1">
      <alignment horizontal="center" vertical="center"/>
    </xf>
    <xf numFmtId="167" fontId="30" fillId="10" borderId="23" xfId="0" applyNumberFormat="1" applyFont="1" applyFill="1" applyBorder="1" applyAlignment="1">
      <alignment horizontal="center" vertical="center"/>
    </xf>
    <xf numFmtId="0" fontId="9" fillId="6" borderId="48" xfId="0" applyFont="1" applyFill="1" applyBorder="1" applyAlignment="1">
      <alignment horizontal="center" vertical="center" wrapText="1"/>
    </xf>
    <xf numFmtId="0" fontId="9" fillId="6" borderId="48" xfId="0" applyFont="1" applyFill="1" applyBorder="1" applyAlignment="1">
      <alignment horizontal="left" vertical="center"/>
    </xf>
    <xf numFmtId="3" fontId="8" fillId="6" borderId="23" xfId="0" applyNumberFormat="1" applyFont="1" applyFill="1" applyBorder="1" applyAlignment="1">
      <alignment horizontal="center" vertical="center"/>
    </xf>
    <xf numFmtId="167" fontId="30" fillId="6" borderId="23" xfId="0" applyNumberFormat="1" applyFont="1" applyFill="1" applyBorder="1" applyAlignment="1">
      <alignment horizontal="center" vertical="center"/>
    </xf>
    <xf numFmtId="178" fontId="9" fillId="11" borderId="0" xfId="0" applyNumberFormat="1" applyFont="1" applyFill="1" applyAlignment="1">
      <alignment horizontal="center" vertical="center"/>
    </xf>
    <xf numFmtId="0" fontId="9" fillId="12" borderId="23" xfId="0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left" vertical="center"/>
    </xf>
    <xf numFmtId="3" fontId="8" fillId="12" borderId="23" xfId="0" applyNumberFormat="1" applyFont="1" applyFill="1" applyBorder="1" applyAlignment="1">
      <alignment horizontal="center" vertical="center"/>
    </xf>
    <xf numFmtId="167" fontId="30" fillId="12" borderId="23" xfId="0" applyNumberFormat="1" applyFont="1" applyFill="1" applyBorder="1" applyAlignment="1">
      <alignment horizontal="center" vertical="center"/>
    </xf>
    <xf numFmtId="167" fontId="9" fillId="2" borderId="0" xfId="0" applyNumberFormat="1" applyFont="1" applyFill="1"/>
    <xf numFmtId="0" fontId="9" fillId="12" borderId="48" xfId="0" applyFont="1" applyFill="1" applyBorder="1" applyAlignment="1">
      <alignment horizontal="center" vertical="center" wrapText="1"/>
    </xf>
    <xf numFmtId="0" fontId="9" fillId="12" borderId="48" xfId="0" applyFont="1" applyFill="1" applyBorder="1" applyAlignment="1">
      <alignment horizontal="left" vertical="center"/>
    </xf>
    <xf numFmtId="178" fontId="7" fillId="0" borderId="0" xfId="0" applyNumberFormat="1" applyFont="1" applyAlignment="1">
      <alignment horizontal="center" vertical="center"/>
    </xf>
    <xf numFmtId="178" fontId="9" fillId="6" borderId="0" xfId="0" applyNumberFormat="1" applyFont="1" applyFill="1" applyAlignment="1">
      <alignment horizontal="center" vertical="center"/>
    </xf>
    <xf numFmtId="167" fontId="7" fillId="0" borderId="0" xfId="0" applyNumberFormat="1" applyFont="1"/>
    <xf numFmtId="0" fontId="0" fillId="0" borderId="0" xfId="0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11" borderId="48" xfId="0" applyFont="1" applyFill="1" applyBorder="1" applyAlignment="1">
      <alignment horizontal="center" vertical="center" wrapText="1"/>
    </xf>
    <xf numFmtId="0" fontId="9" fillId="11" borderId="48" xfId="0" applyFont="1" applyFill="1" applyBorder="1" applyAlignment="1">
      <alignment horizontal="left" vertical="center"/>
    </xf>
    <xf numFmtId="3" fontId="8" fillId="11" borderId="23" xfId="0" applyNumberFormat="1" applyFont="1" applyFill="1" applyBorder="1" applyAlignment="1">
      <alignment horizontal="center" vertical="center"/>
    </xf>
    <xf numFmtId="167" fontId="30" fillId="11" borderId="23" xfId="0" applyNumberFormat="1" applyFont="1" applyFill="1" applyBorder="1" applyAlignment="1">
      <alignment horizontal="center" vertical="center"/>
    </xf>
    <xf numFmtId="3" fontId="8" fillId="13" borderId="23" xfId="0" applyNumberFormat="1" applyFont="1" applyFill="1" applyBorder="1" applyAlignment="1">
      <alignment horizontal="center" vertical="center"/>
    </xf>
    <xf numFmtId="167" fontId="30" fillId="13" borderId="23" xfId="0" applyNumberFormat="1" applyFont="1" applyFill="1" applyBorder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167" fontId="8" fillId="0" borderId="0" xfId="0" applyNumberFormat="1" applyFont="1" applyAlignment="1">
      <alignment horizontal="center"/>
    </xf>
    <xf numFmtId="3" fontId="7" fillId="0" borderId="0" xfId="0" applyNumberFormat="1" applyFont="1"/>
    <xf numFmtId="9" fontId="7" fillId="0" borderId="0" xfId="4" applyFont="1"/>
    <xf numFmtId="0" fontId="16" fillId="2" borderId="0" xfId="0" applyFont="1" applyFill="1" applyAlignment="1">
      <alignment horizontal="left" vertical="center"/>
    </xf>
    <xf numFmtId="49" fontId="14" fillId="2" borderId="0" xfId="0" applyNumberFormat="1" applyFont="1" applyFill="1"/>
    <xf numFmtId="166" fontId="10" fillId="0" borderId="11" xfId="0" applyNumberFormat="1" applyFont="1" applyBorder="1" applyAlignment="1">
      <alignment horizontal="center" vertical="center"/>
    </xf>
    <xf numFmtId="2" fontId="14" fillId="0" borderId="11" xfId="0" applyNumberFormat="1" applyFont="1" applyBorder="1" applyAlignment="1">
      <alignment horizontal="left" vertical="center"/>
    </xf>
    <xf numFmtId="3" fontId="14" fillId="0" borderId="11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left" vertical="center"/>
    </xf>
    <xf numFmtId="173" fontId="14" fillId="0" borderId="11" xfId="0" applyNumberFormat="1" applyFont="1" applyBorder="1"/>
    <xf numFmtId="0" fontId="9" fillId="14" borderId="56" xfId="0" applyFont="1" applyFill="1" applyBorder="1" applyAlignment="1">
      <alignment horizontal="center" vertical="center" wrapText="1"/>
    </xf>
    <xf numFmtId="0" fontId="9" fillId="14" borderId="48" xfId="0" applyFont="1" applyFill="1" applyBorder="1" applyAlignment="1">
      <alignment horizontal="center" vertical="center" wrapText="1"/>
    </xf>
    <xf numFmtId="0" fontId="9" fillId="14" borderId="23" xfId="0" applyFont="1" applyFill="1" applyBorder="1" applyAlignment="1">
      <alignment horizontal="center" vertical="center" wrapText="1"/>
    </xf>
    <xf numFmtId="0" fontId="9" fillId="14" borderId="84" xfId="0" applyFont="1" applyFill="1" applyBorder="1" applyAlignment="1">
      <alignment horizontal="center" vertical="center" wrapText="1"/>
    </xf>
    <xf numFmtId="0" fontId="9" fillId="14" borderId="41" xfId="0" applyFont="1" applyFill="1" applyBorder="1" applyAlignment="1">
      <alignment horizontal="center" vertical="center" wrapText="1"/>
    </xf>
    <xf numFmtId="169" fontId="20" fillId="0" borderId="52" xfId="1" applyNumberFormat="1" applyFont="1" applyBorder="1" applyAlignment="1">
      <alignment horizontal="center" vertical="center"/>
    </xf>
    <xf numFmtId="169" fontId="20" fillId="0" borderId="23" xfId="1" applyNumberFormat="1" applyFont="1" applyBorder="1" applyAlignment="1">
      <alignment horizontal="center" vertical="center"/>
    </xf>
    <xf numFmtId="169" fontId="20" fillId="0" borderId="54" xfId="1" applyNumberFormat="1" applyFont="1" applyBorder="1" applyAlignment="1">
      <alignment horizontal="center" vertical="center"/>
    </xf>
    <xf numFmtId="167" fontId="12" fillId="0" borderId="52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9" fontId="12" fillId="0" borderId="23" xfId="0" applyNumberFormat="1" applyFont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4" fillId="10" borderId="23" xfId="6" applyFont="1" applyFill="1" applyBorder="1" applyAlignment="1">
      <alignment horizontal="center" vertical="center" wrapText="1"/>
    </xf>
    <xf numFmtId="0" fontId="4" fillId="10" borderId="41" xfId="6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left" vertical="center"/>
    </xf>
    <xf numFmtId="167" fontId="4" fillId="0" borderId="23" xfId="0" applyNumberFormat="1" applyFont="1" applyBorder="1" applyAlignment="1">
      <alignment horizontal="center" vertical="center"/>
    </xf>
    <xf numFmtId="167" fontId="4" fillId="0" borderId="41" xfId="0" applyNumberFormat="1" applyFont="1" applyBorder="1" applyAlignment="1">
      <alignment horizontal="center" vertical="center"/>
    </xf>
    <xf numFmtId="178" fontId="4" fillId="0" borderId="0" xfId="0" applyNumberFormat="1" applyFont="1"/>
    <xf numFmtId="10" fontId="4" fillId="0" borderId="41" xfId="4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175" fontId="10" fillId="0" borderId="69" xfId="0" applyNumberFormat="1" applyFont="1" applyBorder="1" applyAlignment="1">
      <alignment horizontal="center" vertical="center"/>
    </xf>
    <xf numFmtId="169" fontId="24" fillId="0" borderId="3" xfId="1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2" fontId="10" fillId="6" borderId="17" xfId="0" applyNumberFormat="1" applyFont="1" applyFill="1" applyBorder="1" applyAlignment="1">
      <alignment horizontal="center" vertical="center"/>
    </xf>
    <xf numFmtId="175" fontId="10" fillId="0" borderId="88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vertical="center"/>
    </xf>
    <xf numFmtId="173" fontId="10" fillId="0" borderId="17" xfId="0" applyNumberFormat="1" applyFont="1" applyBorder="1" applyAlignment="1">
      <alignment horizontal="center" vertical="center" wrapText="1"/>
    </xf>
    <xf numFmtId="166" fontId="24" fillId="0" borderId="90" xfId="7" applyNumberFormat="1" applyFont="1" applyFill="1" applyBorder="1" applyAlignment="1">
      <alignment horizontal="center" vertical="center"/>
    </xf>
    <xf numFmtId="166" fontId="24" fillId="0" borderId="90" xfId="1" applyNumberFormat="1" applyFont="1" applyBorder="1" applyAlignment="1">
      <alignment horizontal="center" vertical="center"/>
    </xf>
    <xf numFmtId="4" fontId="10" fillId="0" borderId="17" xfId="0" applyNumberFormat="1" applyFont="1" applyBorder="1" applyAlignment="1">
      <alignment horizontal="center" vertical="center"/>
    </xf>
    <xf numFmtId="0" fontId="0" fillId="2" borderId="0" xfId="0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14" fillId="2" borderId="16" xfId="0" applyFont="1" applyFill="1" applyBorder="1" applyAlignment="1">
      <alignment horizontal="center" vertical="center" wrapText="1"/>
    </xf>
    <xf numFmtId="175" fontId="10" fillId="2" borderId="17" xfId="0" applyNumberFormat="1" applyFont="1" applyFill="1" applyBorder="1" applyAlignment="1">
      <alignment horizontal="center" vertical="center"/>
    </xf>
    <xf numFmtId="175" fontId="10" fillId="2" borderId="16" xfId="0" applyNumberFormat="1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left" vertical="center"/>
    </xf>
    <xf numFmtId="174" fontId="14" fillId="2" borderId="7" xfId="0" applyNumberFormat="1" applyFont="1" applyFill="1" applyBorder="1" applyAlignment="1">
      <alignment horizontal="left" vertical="center"/>
    </xf>
    <xf numFmtId="174" fontId="14" fillId="2" borderId="11" xfId="0" applyNumberFormat="1" applyFont="1" applyFill="1" applyBorder="1" applyAlignment="1">
      <alignment horizontal="left" vertical="center"/>
    </xf>
    <xf numFmtId="174" fontId="10" fillId="2" borderId="0" xfId="0" applyNumberFormat="1" applyFont="1" applyFill="1" applyAlignment="1">
      <alignment horizontal="right"/>
    </xf>
    <xf numFmtId="174" fontId="10" fillId="0" borderId="69" xfId="0" applyNumberFormat="1" applyFont="1" applyBorder="1" applyAlignment="1">
      <alignment vertical="center"/>
    </xf>
    <xf numFmtId="169" fontId="24" fillId="0" borderId="2" xfId="1" applyNumberFormat="1" applyFont="1" applyBorder="1" applyAlignment="1">
      <alignment vertical="center"/>
    </xf>
    <xf numFmtId="0" fontId="24" fillId="0" borderId="11" xfId="1" applyFont="1" applyAlignment="1">
      <alignment horizontal="center"/>
    </xf>
    <xf numFmtId="0" fontId="24" fillId="0" borderId="11" xfId="1" applyFont="1" applyAlignment="1">
      <alignment horizontal="left"/>
    </xf>
    <xf numFmtId="0" fontId="24" fillId="0" borderId="11" xfId="1" applyFont="1"/>
    <xf numFmtId="0" fontId="35" fillId="0" borderId="11" xfId="1" applyFont="1" applyAlignment="1">
      <alignment horizontal="center"/>
    </xf>
    <xf numFmtId="168" fontId="24" fillId="0" borderId="11" xfId="2" applyFont="1" applyAlignment="1"/>
    <xf numFmtId="168" fontId="35" fillId="0" borderId="11" xfId="2" applyFont="1" applyAlignment="1"/>
    <xf numFmtId="168" fontId="37" fillId="0" borderId="11" xfId="8" applyNumberFormat="1" applyFont="1" applyAlignment="1" applyProtection="1"/>
    <xf numFmtId="0" fontId="24" fillId="0" borderId="11" xfId="1" applyFont="1" applyAlignment="1">
      <alignment horizontal="right"/>
    </xf>
    <xf numFmtId="0" fontId="35" fillId="0" borderId="11" xfId="1" applyFont="1"/>
    <xf numFmtId="0" fontId="24" fillId="0" borderId="11" xfId="9" applyFont="1" applyAlignment="1">
      <alignment horizontal="left"/>
    </xf>
    <xf numFmtId="0" fontId="35" fillId="0" borderId="11" xfId="1" applyFont="1" applyAlignment="1">
      <alignment horizontal="left"/>
    </xf>
    <xf numFmtId="168" fontId="24" fillId="0" borderId="11" xfId="2" applyFont="1" applyAlignment="1">
      <alignment horizontal="right"/>
    </xf>
    <xf numFmtId="180" fontId="24" fillId="0" borderId="11" xfId="10" applyFont="1"/>
    <xf numFmtId="0" fontId="35" fillId="0" borderId="11" xfId="1" applyFont="1" applyAlignment="1">
      <alignment horizontal="center" vertical="center"/>
    </xf>
    <xf numFmtId="0" fontId="35" fillId="0" borderId="94" xfId="1" applyFont="1" applyBorder="1" applyAlignment="1">
      <alignment horizontal="center" vertical="center"/>
    </xf>
    <xf numFmtId="168" fontId="35" fillId="0" borderId="94" xfId="2" applyFont="1" applyFill="1" applyBorder="1" applyAlignment="1">
      <alignment horizontal="center" vertical="center"/>
    </xf>
    <xf numFmtId="0" fontId="35" fillId="0" borderId="94" xfId="1" applyFont="1" applyBorder="1" applyAlignment="1">
      <alignment horizontal="center" vertical="center" wrapText="1"/>
    </xf>
    <xf numFmtId="165" fontId="24" fillId="0" borderId="11" xfId="11" applyFont="1"/>
    <xf numFmtId="0" fontId="24" fillId="0" borderId="95" xfId="1" applyFont="1" applyBorder="1" applyAlignment="1">
      <alignment horizontal="center" vertical="center"/>
    </xf>
    <xf numFmtId="0" fontId="24" fillId="0" borderId="95" xfId="1" applyFont="1" applyBorder="1" applyAlignment="1">
      <alignment horizontal="center" vertical="center" wrapText="1"/>
    </xf>
    <xf numFmtId="0" fontId="24" fillId="0" borderId="95" xfId="1" applyFont="1" applyBorder="1" applyAlignment="1">
      <alignment vertical="distributed" wrapText="1"/>
    </xf>
    <xf numFmtId="4" fontId="24" fillId="0" borderId="95" xfId="2" applyNumberFormat="1" applyFont="1" applyBorder="1" applyAlignment="1">
      <alignment horizontal="center" vertical="center"/>
    </xf>
    <xf numFmtId="167" fontId="24" fillId="0" borderId="95" xfId="2" applyNumberFormat="1" applyFont="1" applyBorder="1" applyAlignment="1">
      <alignment horizontal="center" vertical="center"/>
    </xf>
    <xf numFmtId="180" fontId="24" fillId="0" borderId="95" xfId="2" applyNumberFormat="1" applyFont="1" applyBorder="1" applyAlignment="1">
      <alignment horizontal="center" vertical="center"/>
    </xf>
    <xf numFmtId="180" fontId="24" fillId="0" borderId="95" xfId="1" applyNumberFormat="1" applyFont="1" applyBorder="1" applyAlignment="1">
      <alignment horizontal="center" vertical="center"/>
    </xf>
    <xf numFmtId="0" fontId="24" fillId="0" borderId="96" xfId="1" applyFont="1" applyBorder="1" applyAlignment="1">
      <alignment horizontal="center" vertical="center"/>
    </xf>
    <xf numFmtId="0" fontId="24" fillId="0" borderId="96" xfId="1" applyFont="1" applyBorder="1" applyAlignment="1">
      <alignment horizontal="center" vertical="center" wrapText="1"/>
    </xf>
    <xf numFmtId="0" fontId="24" fillId="0" borderId="96" xfId="1" applyFont="1" applyBorder="1" applyAlignment="1">
      <alignment vertical="distributed" wrapText="1"/>
    </xf>
    <xf numFmtId="0" fontId="24" fillId="0" borderId="97" xfId="1" applyFont="1" applyBorder="1" applyAlignment="1">
      <alignment horizontal="center" vertical="center" wrapText="1"/>
    </xf>
    <xf numFmtId="4" fontId="24" fillId="0" borderId="97" xfId="2" applyNumberFormat="1" applyFont="1" applyBorder="1" applyAlignment="1">
      <alignment horizontal="center" vertical="center"/>
    </xf>
    <xf numFmtId="167" fontId="24" fillId="0" borderId="97" xfId="2" applyNumberFormat="1" applyFont="1" applyBorder="1" applyAlignment="1">
      <alignment horizontal="center" vertical="center"/>
    </xf>
    <xf numFmtId="2" fontId="24" fillId="0" borderId="97" xfId="1" applyNumberFormat="1" applyFont="1" applyBorder="1" applyAlignment="1">
      <alignment horizontal="center" vertical="center"/>
    </xf>
    <xf numFmtId="2" fontId="24" fillId="0" borderId="11" xfId="1" applyNumberFormat="1" applyFont="1" applyAlignment="1">
      <alignment horizontal="center" vertical="center"/>
    </xf>
    <xf numFmtId="0" fontId="35" fillId="0" borderId="98" xfId="1" applyFont="1" applyBorder="1" applyAlignment="1">
      <alignment horizontal="center" vertical="center" wrapText="1"/>
    </xf>
    <xf numFmtId="0" fontId="35" fillId="0" borderId="99" xfId="1" applyFont="1" applyBorder="1" applyAlignment="1">
      <alignment horizontal="center" vertical="center" wrapText="1"/>
    </xf>
    <xf numFmtId="2" fontId="24" fillId="0" borderId="99" xfId="1" applyNumberFormat="1" applyFont="1" applyBorder="1" applyAlignment="1">
      <alignment horizontal="center" vertical="center"/>
    </xf>
    <xf numFmtId="0" fontId="35" fillId="0" borderId="11" xfId="1" applyFont="1" applyAlignment="1">
      <alignment wrapText="1"/>
    </xf>
    <xf numFmtId="0" fontId="24" fillId="0" borderId="11" xfId="1" applyFont="1" applyAlignment="1">
      <alignment wrapText="1"/>
    </xf>
    <xf numFmtId="168" fontId="24" fillId="0" borderId="11" xfId="2" applyFont="1" applyBorder="1" applyAlignment="1">
      <alignment horizontal="right" vertical="center"/>
    </xf>
    <xf numFmtId="181" fontId="24" fillId="0" borderId="11" xfId="2" applyNumberFormat="1" applyFont="1" applyBorder="1" applyAlignment="1">
      <alignment horizontal="right" vertical="center"/>
    </xf>
    <xf numFmtId="165" fontId="24" fillId="0" borderId="11" xfId="1" applyNumberFormat="1" applyFont="1"/>
    <xf numFmtId="0" fontId="23" fillId="0" borderId="5" xfId="0" applyFont="1" applyBorder="1" applyAlignment="1">
      <alignment vertical="center" wrapText="1"/>
    </xf>
    <xf numFmtId="3" fontId="24" fillId="0" borderId="95" xfId="2" applyNumberFormat="1" applyFont="1" applyFill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 wrapText="1"/>
    </xf>
    <xf numFmtId="49" fontId="14" fillId="0" borderId="100" xfId="0" applyNumberFormat="1" applyFont="1" applyBorder="1" applyAlignment="1">
      <alignment horizontal="center" vertical="center" wrapText="1"/>
    </xf>
    <xf numFmtId="174" fontId="14" fillId="0" borderId="100" xfId="0" applyNumberFormat="1" applyFont="1" applyBorder="1" applyAlignment="1">
      <alignment horizontal="center" vertical="center" wrapText="1"/>
    </xf>
    <xf numFmtId="164" fontId="16" fillId="0" borderId="11" xfId="1" applyNumberFormat="1" applyFont="1" applyAlignment="1">
      <alignment horizontal="center"/>
    </xf>
    <xf numFmtId="14" fontId="16" fillId="0" borderId="11" xfId="1" applyNumberFormat="1" applyFont="1" applyAlignment="1">
      <alignment horizontal="center"/>
    </xf>
    <xf numFmtId="0" fontId="9" fillId="0" borderId="11" xfId="13" applyFont="1"/>
    <xf numFmtId="0" fontId="31" fillId="0" borderId="73" xfId="13" applyFont="1" applyBorder="1" applyAlignment="1">
      <alignment horizontal="center" vertical="center" wrapText="1"/>
    </xf>
    <xf numFmtId="0" fontId="9" fillId="0" borderId="72" xfId="13" applyFont="1" applyBorder="1" applyAlignment="1">
      <alignment horizontal="center"/>
    </xf>
    <xf numFmtId="0" fontId="9" fillId="0" borderId="11" xfId="13" applyFont="1" applyAlignment="1">
      <alignment horizontal="center"/>
    </xf>
    <xf numFmtId="0" fontId="9" fillId="0" borderId="11" xfId="13" applyFont="1" applyAlignment="1">
      <alignment horizontal="left"/>
    </xf>
    <xf numFmtId="174" fontId="9" fillId="0" borderId="11" xfId="13" applyNumberFormat="1" applyFont="1" applyAlignment="1">
      <alignment horizontal="center" vertical="center"/>
    </xf>
    <xf numFmtId="0" fontId="9" fillId="0" borderId="11" xfId="13" applyFont="1" applyAlignment="1">
      <alignment horizontal="center" vertical="center"/>
    </xf>
    <xf numFmtId="174" fontId="8" fillId="0" borderId="11" xfId="13" applyNumberFormat="1" applyFont="1"/>
    <xf numFmtId="174" fontId="9" fillId="0" borderId="11" xfId="13" applyNumberFormat="1" applyFont="1"/>
    <xf numFmtId="0" fontId="8" fillId="0" borderId="11" xfId="13" applyFont="1"/>
    <xf numFmtId="0" fontId="31" fillId="0" borderId="0" xfId="0" applyFont="1" applyAlignment="1">
      <alignment horizontal="left" vertical="center"/>
    </xf>
    <xf numFmtId="0" fontId="31" fillId="0" borderId="11" xfId="13" applyFont="1" applyAlignment="1">
      <alignment horizontal="left"/>
    </xf>
    <xf numFmtId="0" fontId="9" fillId="0" borderId="11" xfId="13" applyFont="1" applyAlignment="1">
      <alignment horizontal="right" vertical="center"/>
    </xf>
    <xf numFmtId="0" fontId="31" fillId="0" borderId="0" xfId="0" applyFont="1" applyAlignment="1">
      <alignment horizontal="left"/>
    </xf>
    <xf numFmtId="0" fontId="9" fillId="0" borderId="11" xfId="13" applyFont="1" applyAlignment="1">
      <alignment horizontal="right"/>
    </xf>
    <xf numFmtId="174" fontId="9" fillId="0" borderId="11" xfId="13" applyNumberFormat="1" applyFont="1" applyAlignment="1">
      <alignment horizontal="right"/>
    </xf>
    <xf numFmtId="0" fontId="8" fillId="0" borderId="11" xfId="13" applyFont="1" applyAlignment="1">
      <alignment horizontal="left"/>
    </xf>
    <xf numFmtId="174" fontId="8" fillId="0" borderId="11" xfId="13" applyNumberFormat="1" applyFont="1" applyAlignment="1">
      <alignment horizontal="right"/>
    </xf>
    <xf numFmtId="0" fontId="41" fillId="0" borderId="11" xfId="13" applyFont="1"/>
    <xf numFmtId="173" fontId="9" fillId="0" borderId="11" xfId="13" applyNumberFormat="1" applyFont="1" applyAlignment="1">
      <alignment horizontal="right"/>
    </xf>
    <xf numFmtId="0" fontId="8" fillId="0" borderId="15" xfId="13" applyFont="1" applyBorder="1" applyAlignment="1">
      <alignment horizontal="center" vertical="center" wrapText="1"/>
    </xf>
    <xf numFmtId="49" fontId="8" fillId="0" borderId="15" xfId="13" applyNumberFormat="1" applyFont="1" applyBorder="1" applyAlignment="1">
      <alignment horizontal="center" vertical="center" wrapText="1"/>
    </xf>
    <xf numFmtId="174" fontId="8" fillId="0" borderId="15" xfId="13" applyNumberFormat="1" applyFont="1" applyBorder="1" applyAlignment="1">
      <alignment horizontal="center" vertical="center" wrapText="1"/>
    </xf>
    <xf numFmtId="0" fontId="8" fillId="2" borderId="15" xfId="13" applyFont="1" applyFill="1" applyBorder="1" applyAlignment="1">
      <alignment horizontal="center" vertical="center" wrapText="1"/>
    </xf>
    <xf numFmtId="0" fontId="9" fillId="0" borderId="17" xfId="13" applyFont="1" applyBorder="1" applyAlignment="1">
      <alignment horizontal="center" vertical="center"/>
    </xf>
    <xf numFmtId="0" fontId="9" fillId="0" borderId="17" xfId="13" applyFont="1" applyBorder="1" applyAlignment="1">
      <alignment horizontal="center" vertical="center" wrapText="1"/>
    </xf>
    <xf numFmtId="1" fontId="9" fillId="0" borderId="17" xfId="13" applyNumberFormat="1" applyFont="1" applyBorder="1" applyAlignment="1">
      <alignment horizontal="center" vertical="center"/>
    </xf>
    <xf numFmtId="1" fontId="9" fillId="0" borderId="17" xfId="13" applyNumberFormat="1" applyFont="1" applyBorder="1" applyAlignment="1">
      <alignment vertical="center" wrapText="1"/>
    </xf>
    <xf numFmtId="173" fontId="9" fillId="0" borderId="17" xfId="13" applyNumberFormat="1" applyFont="1" applyBorder="1" applyAlignment="1">
      <alignment horizontal="center" vertical="center" wrapText="1"/>
    </xf>
    <xf numFmtId="2" fontId="9" fillId="0" borderId="17" xfId="13" applyNumberFormat="1" applyFont="1" applyBorder="1" applyAlignment="1">
      <alignment horizontal="center" vertical="center"/>
    </xf>
    <xf numFmtId="173" fontId="9" fillId="0" borderId="17" xfId="13" applyNumberFormat="1" applyFont="1" applyBorder="1" applyAlignment="1">
      <alignment horizontal="center" vertical="center"/>
    </xf>
    <xf numFmtId="166" fontId="40" fillId="0" borderId="90" xfId="15" applyNumberFormat="1" applyFont="1" applyFill="1" applyBorder="1" applyAlignment="1">
      <alignment horizontal="center" vertical="center"/>
    </xf>
    <xf numFmtId="166" fontId="40" fillId="0" borderId="90" xfId="1" applyNumberFormat="1" applyFont="1" applyBorder="1" applyAlignment="1">
      <alignment horizontal="center" vertical="center"/>
    </xf>
    <xf numFmtId="4" fontId="9" fillId="0" borderId="17" xfId="13" applyNumberFormat="1" applyFont="1" applyBorder="1" applyAlignment="1">
      <alignment horizontal="center" vertical="center"/>
    </xf>
    <xf numFmtId="175" fontId="9" fillId="0" borderId="17" xfId="13" applyNumberFormat="1" applyFont="1" applyBorder="1" applyAlignment="1">
      <alignment horizontal="center" vertical="center"/>
    </xf>
    <xf numFmtId="165" fontId="9" fillId="0" borderId="17" xfId="14" applyFont="1" applyBorder="1" applyAlignment="1">
      <alignment horizontal="center" vertical="center"/>
    </xf>
    <xf numFmtId="165" fontId="9" fillId="0" borderId="17" xfId="14" applyFont="1" applyBorder="1" applyAlignment="1">
      <alignment horizontal="right" vertical="center" wrapText="1"/>
    </xf>
    <xf numFmtId="175" fontId="9" fillId="0" borderId="69" xfId="13" applyNumberFormat="1" applyFont="1" applyBorder="1" applyAlignment="1">
      <alignment horizontal="center" vertical="center"/>
    </xf>
    <xf numFmtId="169" fontId="40" fillId="0" borderId="2" xfId="1" applyNumberFormat="1" applyFont="1" applyBorder="1" applyAlignment="1">
      <alignment horizontal="center" vertical="center"/>
    </xf>
    <xf numFmtId="0" fontId="9" fillId="0" borderId="16" xfId="13" applyFont="1" applyBorder="1" applyAlignment="1">
      <alignment horizontal="center" vertical="center"/>
    </xf>
    <xf numFmtId="0" fontId="9" fillId="0" borderId="16" xfId="13" applyFont="1" applyBorder="1" applyAlignment="1">
      <alignment horizontal="left" vertical="center"/>
    </xf>
    <xf numFmtId="2" fontId="9" fillId="0" borderId="16" xfId="13" applyNumberFormat="1" applyFont="1" applyBorder="1" applyAlignment="1">
      <alignment horizontal="center" vertical="center"/>
    </xf>
    <xf numFmtId="166" fontId="9" fillId="0" borderId="16" xfId="13" applyNumberFormat="1" applyFont="1" applyBorder="1" applyAlignment="1">
      <alignment horizontal="center" vertical="center"/>
    </xf>
    <xf numFmtId="177" fontId="9" fillId="0" borderId="16" xfId="13" applyNumberFormat="1" applyFont="1" applyBorder="1" applyAlignment="1">
      <alignment horizontal="center" vertical="center"/>
    </xf>
    <xf numFmtId="1" fontId="9" fillId="0" borderId="16" xfId="13" applyNumberFormat="1" applyFont="1" applyBorder="1" applyAlignment="1">
      <alignment horizontal="center" vertical="center"/>
    </xf>
    <xf numFmtId="175" fontId="9" fillId="0" borderId="16" xfId="13" applyNumberFormat="1" applyFont="1" applyBorder="1" applyAlignment="1">
      <alignment horizontal="center" vertical="center"/>
    </xf>
    <xf numFmtId="0" fontId="9" fillId="0" borderId="70" xfId="13" applyFont="1" applyBorder="1" applyAlignment="1">
      <alignment horizontal="center" vertical="center"/>
    </xf>
    <xf numFmtId="0" fontId="9" fillId="0" borderId="71" xfId="13" applyFont="1" applyBorder="1" applyAlignment="1">
      <alignment horizontal="center" vertical="center"/>
    </xf>
    <xf numFmtId="0" fontId="31" fillId="0" borderId="11" xfId="13" applyFont="1"/>
    <xf numFmtId="0" fontId="31" fillId="0" borderId="11" xfId="13" applyFont="1" applyAlignment="1">
      <alignment horizontal="left" vertical="center"/>
    </xf>
    <xf numFmtId="166" fontId="9" fillId="0" borderId="11" xfId="13" applyNumberFormat="1" applyFont="1" applyAlignment="1">
      <alignment horizontal="center" vertical="center"/>
    </xf>
    <xf numFmtId="2" fontId="8" fillId="0" borderId="11" xfId="13" applyNumberFormat="1" applyFont="1" applyAlignment="1">
      <alignment horizontal="left" vertical="center"/>
    </xf>
    <xf numFmtId="175" fontId="8" fillId="0" borderId="11" xfId="13" applyNumberFormat="1" applyFont="1" applyAlignment="1">
      <alignment horizontal="left" vertical="center"/>
    </xf>
    <xf numFmtId="173" fontId="9" fillId="0" borderId="11" xfId="13" applyNumberFormat="1" applyFont="1"/>
    <xf numFmtId="0" fontId="41" fillId="0" borderId="11" xfId="13" applyFont="1" applyAlignment="1">
      <alignment horizontal="center" vertical="center"/>
    </xf>
    <xf numFmtId="0" fontId="31" fillId="0" borderId="11" xfId="13" applyFont="1" applyAlignment="1">
      <alignment horizontal="center" vertical="center"/>
    </xf>
    <xf numFmtId="166" fontId="9" fillId="0" borderId="6" xfId="13" applyNumberFormat="1" applyFont="1" applyBorder="1" applyAlignment="1">
      <alignment horizontal="center" vertical="center"/>
    </xf>
    <xf numFmtId="2" fontId="8" fillId="0" borderId="7" xfId="13" applyNumberFormat="1" applyFont="1" applyBorder="1" applyAlignment="1">
      <alignment horizontal="left" vertical="center"/>
    </xf>
    <xf numFmtId="3" fontId="8" fillId="0" borderId="7" xfId="13" applyNumberFormat="1" applyFont="1" applyBorder="1" applyAlignment="1">
      <alignment horizontal="center" vertical="center"/>
    </xf>
    <xf numFmtId="174" fontId="8" fillId="0" borderId="7" xfId="13" applyNumberFormat="1" applyFont="1" applyBorder="1" applyAlignment="1">
      <alignment horizontal="left" vertical="center"/>
    </xf>
    <xf numFmtId="174" fontId="8" fillId="0" borderId="18" xfId="13" applyNumberFormat="1" applyFont="1" applyBorder="1" applyAlignment="1">
      <alignment horizontal="left" vertical="center"/>
    </xf>
    <xf numFmtId="174" fontId="8" fillId="0" borderId="8" xfId="13" applyNumberFormat="1" applyFont="1" applyBorder="1" applyAlignment="1">
      <alignment horizontal="left" vertical="center"/>
    </xf>
    <xf numFmtId="173" fontId="8" fillId="0" borderId="8" xfId="13" applyNumberFormat="1" applyFont="1" applyBorder="1"/>
    <xf numFmtId="0" fontId="9" fillId="0" borderId="11" xfId="13" applyFont="1" applyAlignment="1">
      <alignment horizontal="left" vertical="center"/>
    </xf>
    <xf numFmtId="4" fontId="9" fillId="0" borderId="11" xfId="13" applyNumberFormat="1" applyFont="1"/>
    <xf numFmtId="182" fontId="30" fillId="0" borderId="11" xfId="11" applyNumberFormat="1" applyFont="1" applyBorder="1" applyAlignment="1">
      <alignment horizontal="right" vertical="center"/>
    </xf>
    <xf numFmtId="165" fontId="30" fillId="0" borderId="11" xfId="16" applyFont="1" applyBorder="1" applyAlignment="1">
      <alignment horizontal="center"/>
    </xf>
    <xf numFmtId="2" fontId="9" fillId="0" borderId="11" xfId="13" applyNumberFormat="1" applyFont="1" applyAlignment="1">
      <alignment horizontal="center" vertical="center"/>
    </xf>
    <xf numFmtId="0" fontId="8" fillId="0" borderId="11" xfId="13" applyFont="1" applyAlignment="1">
      <alignment horizontal="center" vertical="center"/>
    </xf>
    <xf numFmtId="0" fontId="8" fillId="0" borderId="11" xfId="13" applyFont="1" applyAlignment="1">
      <alignment horizontal="right"/>
    </xf>
    <xf numFmtId="0" fontId="8" fillId="0" borderId="11" xfId="13" quotePrefix="1" applyFont="1" applyAlignment="1">
      <alignment horizontal="center" vertical="center"/>
    </xf>
    <xf numFmtId="176" fontId="9" fillId="0" borderId="11" xfId="13" applyNumberFormat="1" applyFont="1" applyAlignment="1">
      <alignment horizontal="center" vertical="center"/>
    </xf>
    <xf numFmtId="0" fontId="16" fillId="0" borderId="11" xfId="1" applyFont="1" applyAlignment="1">
      <alignment horizontal="center" wrapText="1"/>
    </xf>
    <xf numFmtId="0" fontId="16" fillId="0" borderId="11" xfId="1" applyFont="1" applyAlignment="1">
      <alignment horizontal="center"/>
    </xf>
    <xf numFmtId="165" fontId="40" fillId="0" borderId="11" xfId="16" applyFont="1" applyBorder="1"/>
    <xf numFmtId="14" fontId="31" fillId="0" borderId="11" xfId="13" applyNumberFormat="1" applyFont="1" applyAlignment="1">
      <alignment horizontal="center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175" fontId="10" fillId="0" borderId="69" xfId="0" applyNumberFormat="1" applyFont="1" applyBorder="1" applyAlignment="1">
      <alignment horizontal="center" vertical="center"/>
    </xf>
    <xf numFmtId="169" fontId="24" fillId="0" borderId="2" xfId="1" applyNumberFormat="1" applyFont="1" applyBorder="1" applyAlignment="1">
      <alignment horizontal="center" vertical="center"/>
    </xf>
    <xf numFmtId="0" fontId="35" fillId="0" borderId="91" xfId="1" applyFont="1" applyBorder="1" applyAlignment="1">
      <alignment horizontal="center" vertical="center"/>
    </xf>
    <xf numFmtId="0" fontId="35" fillId="0" borderId="92" xfId="1" applyFont="1" applyBorder="1" applyAlignment="1">
      <alignment horizontal="center" vertical="center"/>
    </xf>
    <xf numFmtId="0" fontId="35" fillId="0" borderId="93" xfId="1" applyFont="1" applyBorder="1" applyAlignment="1">
      <alignment horizontal="center" vertical="center"/>
    </xf>
    <xf numFmtId="0" fontId="8" fillId="0" borderId="12" xfId="13" applyFont="1" applyBorder="1" applyAlignment="1">
      <alignment horizontal="center" vertical="center"/>
    </xf>
    <xf numFmtId="0" fontId="8" fillId="0" borderId="13" xfId="13" applyFont="1" applyBorder="1" applyAlignment="1">
      <alignment horizontal="center" vertical="center"/>
    </xf>
    <xf numFmtId="0" fontId="40" fillId="0" borderId="13" xfId="13" applyFont="1" applyBorder="1"/>
    <xf numFmtId="0" fontId="40" fillId="0" borderId="14" xfId="13" applyFont="1" applyBorder="1"/>
    <xf numFmtId="0" fontId="8" fillId="2" borderId="12" xfId="13" applyFont="1" applyFill="1" applyBorder="1" applyAlignment="1">
      <alignment horizontal="center" vertical="center"/>
    </xf>
    <xf numFmtId="0" fontId="8" fillId="2" borderId="13" xfId="13" applyFont="1" applyFill="1" applyBorder="1" applyAlignment="1">
      <alignment horizontal="center" vertical="center"/>
    </xf>
    <xf numFmtId="0" fontId="8" fillId="2" borderId="14" xfId="13" applyFont="1" applyFill="1" applyBorder="1" applyAlignment="1">
      <alignment horizontal="center" vertical="center"/>
    </xf>
    <xf numFmtId="175" fontId="10" fillId="0" borderId="86" xfId="0" applyNumberFormat="1" applyFont="1" applyBorder="1" applyAlignment="1">
      <alignment horizontal="center" vertical="center"/>
    </xf>
    <xf numFmtId="175" fontId="10" fillId="0" borderId="88" xfId="0" applyNumberFormat="1" applyFont="1" applyBorder="1" applyAlignment="1">
      <alignment horizontal="center" vertical="center"/>
    </xf>
    <xf numFmtId="169" fontId="24" fillId="0" borderId="9" xfId="1" applyNumberFormat="1" applyFont="1" applyBorder="1" applyAlignment="1">
      <alignment horizontal="center" vertical="center"/>
    </xf>
    <xf numFmtId="169" fontId="24" fillId="0" borderId="3" xfId="1" applyNumberFormat="1" applyFont="1" applyBorder="1" applyAlignment="1">
      <alignment horizontal="center" vertical="center"/>
    </xf>
    <xf numFmtId="175" fontId="10" fillId="0" borderId="87" xfId="0" applyNumberFormat="1" applyFont="1" applyBorder="1" applyAlignment="1">
      <alignment horizontal="center" vertical="center"/>
    </xf>
    <xf numFmtId="169" fontId="24" fillId="0" borderId="10" xfId="1" applyNumberFormat="1" applyFont="1" applyBorder="1" applyAlignment="1">
      <alignment horizontal="center" vertical="center"/>
    </xf>
    <xf numFmtId="0" fontId="23" fillId="0" borderId="89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/>
    <xf numFmtId="0" fontId="20" fillId="0" borderId="24" xfId="1" applyFont="1" applyBorder="1" applyAlignment="1">
      <alignment horizontal="center" vertical="center" wrapText="1"/>
    </xf>
    <xf numFmtId="0" fontId="20" fillId="0" borderId="38" xfId="1" applyFont="1" applyBorder="1" applyAlignment="1">
      <alignment horizontal="center" vertical="center" wrapText="1"/>
    </xf>
    <xf numFmtId="0" fontId="20" fillId="0" borderId="25" xfId="1" applyFont="1" applyBorder="1" applyAlignment="1">
      <alignment horizontal="center" vertical="center" wrapText="1"/>
    </xf>
    <xf numFmtId="0" fontId="20" fillId="0" borderId="39" xfId="1" applyFont="1" applyBorder="1" applyAlignment="1">
      <alignment horizontal="center" vertical="center" wrapText="1"/>
    </xf>
    <xf numFmtId="0" fontId="20" fillId="0" borderId="26" xfId="1" applyFont="1" applyBorder="1" applyAlignment="1">
      <alignment horizontal="center" vertical="center" wrapText="1"/>
    </xf>
    <xf numFmtId="0" fontId="20" fillId="0" borderId="40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 wrapText="1"/>
    </xf>
    <xf numFmtId="0" fontId="20" fillId="0" borderId="28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42" xfId="1" applyFont="1" applyBorder="1" applyAlignment="1">
      <alignment horizontal="center" vertical="center" wrapText="1"/>
    </xf>
    <xf numFmtId="0" fontId="20" fillId="0" borderId="36" xfId="1" applyFont="1" applyBorder="1" applyAlignment="1">
      <alignment horizontal="center" vertical="center" wrapText="1"/>
    </xf>
    <xf numFmtId="0" fontId="20" fillId="0" borderId="37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32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35" xfId="1" applyFont="1" applyBorder="1" applyAlignment="1">
      <alignment horizontal="center" vertical="center" wrapText="1"/>
    </xf>
    <xf numFmtId="0" fontId="30" fillId="7" borderId="75" xfId="0" applyFont="1" applyFill="1" applyBorder="1" applyAlignment="1">
      <alignment horizontal="center" vertical="center"/>
    </xf>
    <xf numFmtId="0" fontId="30" fillId="7" borderId="77" xfId="0" applyFont="1" applyFill="1" applyBorder="1" applyAlignment="1">
      <alignment horizontal="center" vertical="center"/>
    </xf>
    <xf numFmtId="0" fontId="30" fillId="7" borderId="76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/>
    </xf>
    <xf numFmtId="0" fontId="30" fillId="7" borderId="56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/>
    </xf>
    <xf numFmtId="0" fontId="30" fillId="7" borderId="78" xfId="0" applyFont="1" applyFill="1" applyBorder="1" applyAlignment="1">
      <alignment horizontal="center" vertical="center"/>
    </xf>
    <xf numFmtId="0" fontId="30" fillId="7" borderId="82" xfId="0" applyFont="1" applyFill="1" applyBorder="1" applyAlignment="1">
      <alignment horizontal="center" vertical="center"/>
    </xf>
    <xf numFmtId="0" fontId="30" fillId="7" borderId="79" xfId="0" applyFont="1" applyFill="1" applyBorder="1" applyAlignment="1">
      <alignment horizontal="center" vertical="center" wrapText="1"/>
    </xf>
    <xf numFmtId="0" fontId="30" fillId="7" borderId="80" xfId="0" applyFont="1" applyFill="1" applyBorder="1" applyAlignment="1">
      <alignment horizontal="center" vertical="center" wrapText="1"/>
    </xf>
    <xf numFmtId="0" fontId="30" fillId="7" borderId="81" xfId="0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 wrapText="1"/>
    </xf>
    <xf numFmtId="0" fontId="30" fillId="7" borderId="56" xfId="0" applyFont="1" applyFill="1" applyBorder="1" applyAlignment="1">
      <alignment horizontal="center" vertical="center" wrapText="1"/>
    </xf>
    <xf numFmtId="0" fontId="30" fillId="7" borderId="57" xfId="0" applyFont="1" applyFill="1" applyBorder="1" applyAlignment="1">
      <alignment horizontal="center" vertical="center" wrapText="1"/>
    </xf>
    <xf numFmtId="0" fontId="10" fillId="0" borderId="101" xfId="0" applyFont="1" applyBorder="1"/>
    <xf numFmtId="0" fontId="10" fillId="0" borderId="101" xfId="0" applyFont="1" applyBorder="1" applyAlignment="1">
      <alignment horizontal="right"/>
    </xf>
    <xf numFmtId="0" fontId="1" fillId="0" borderId="0" xfId="0" applyFont="1"/>
    <xf numFmtId="0" fontId="10" fillId="0" borderId="10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4" fontId="16" fillId="0" borderId="101" xfId="1" applyNumberFormat="1" applyFont="1" applyBorder="1" applyAlignment="1">
      <alignment horizontal="center"/>
    </xf>
    <xf numFmtId="173" fontId="10" fillId="0" borderId="101" xfId="0" applyNumberFormat="1" applyFont="1" applyBorder="1" applyAlignment="1">
      <alignment horizontal="right"/>
    </xf>
    <xf numFmtId="174" fontId="0" fillId="0" borderId="0" xfId="0" applyNumberFormat="1"/>
    <xf numFmtId="14" fontId="0" fillId="0" borderId="0" xfId="0" applyNumberFormat="1"/>
    <xf numFmtId="173" fontId="0" fillId="0" borderId="0" xfId="0" applyNumberFormat="1"/>
  </cellXfs>
  <cellStyles count="17">
    <cellStyle name="Comma" xfId="7" builtinId="3"/>
    <cellStyle name="Currency" xfId="16" builtinId="4"/>
    <cellStyle name="Hipervínculo 2" xfId="8" xr:uid="{126EE8DE-9E8C-491F-B6D7-B035BCA7087B}"/>
    <cellStyle name="Millares [0] 2" xfId="3" xr:uid="{E8FC50CD-C687-442B-8854-6C97FCF22C88}"/>
    <cellStyle name="Millares 2" xfId="2" xr:uid="{C3221BD8-C7C2-4FCD-A711-8B835A95B0A2}"/>
    <cellStyle name="Millares 3" xfId="15" xr:uid="{C59A4FAB-79DA-4B1C-84F3-541D80F6AF98}"/>
    <cellStyle name="Moneda 2" xfId="10" xr:uid="{9B7F0A43-09F3-4F7D-A708-C619239AA66D}"/>
    <cellStyle name="Moneda 3" xfId="11" xr:uid="{8A41130C-38DA-4563-A594-6A5C664110E3}"/>
    <cellStyle name="Moneda 3 2" xfId="12" xr:uid="{D4F7B629-1891-4CDA-95C0-EAB108AEAD3D}"/>
    <cellStyle name="Moneda 4" xfId="14" xr:uid="{621D3D09-396B-488B-A486-05B9C0D66D1C}"/>
    <cellStyle name="Normal" xfId="0" builtinId="0"/>
    <cellStyle name="Normal 2" xfId="1" xr:uid="{E04DBB8A-F177-47ED-BE16-60DB5C5237F6}"/>
    <cellStyle name="Normal 2 3 3" xfId="5" xr:uid="{B97EB2DC-0DF5-47DE-939F-F09B9D6419DE}"/>
    <cellStyle name="Normal 3" xfId="6" xr:uid="{AA5A3D53-1C12-4644-A4F6-CC536EF987C2}"/>
    <cellStyle name="Normal 4" xfId="9" xr:uid="{394F3D20-85C1-4FC6-8D00-7762E59D82CB}"/>
    <cellStyle name="Normal 5" xfId="13" xr:uid="{DB9342C6-6AAC-45CA-8C07-ECC87BA46F84}"/>
    <cellStyle name="Percent" xfId="4" builtinId="5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/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Up">
          <fgColor theme="7" tint="0.39994506668294322"/>
          <bgColor auto="1"/>
        </patternFill>
      </fill>
    </dxf>
    <dxf>
      <fill>
        <patternFill patternType="lightUp">
          <fgColor theme="5" tint="0.59996337778862885"/>
        </patternFill>
      </fill>
    </dxf>
    <dxf>
      <fill>
        <patternFill patternType="lightVertical">
          <fgColor rgb="FFCCCCFF"/>
          <bgColor auto="1"/>
        </patternFill>
      </fill>
    </dxf>
    <dxf>
      <fill>
        <patternFill patternType="lightUp">
          <fgColor rgb="FFFFCCCC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Vertical">
          <fgColor rgb="FFCCCCFF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Up">
          <fgColor rgb="FFFFCCCC"/>
        </patternFill>
      </fill>
    </dxf>
    <dxf>
      <fill>
        <patternFill patternType="lightUp">
          <fgColor rgb="FFFFCCCC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Vertical">
          <fgColor rgb="FFCCCCFF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Up">
          <fgColor rgb="FFFFCCCC"/>
        </patternFill>
      </fill>
    </dxf>
    <dxf>
      <fill>
        <patternFill patternType="lightUp">
          <fgColor theme="7" tint="0.39994506668294322"/>
          <bgColor auto="1"/>
        </patternFill>
      </fill>
    </dxf>
    <dxf>
      <fill>
        <patternFill patternType="lightUp">
          <fgColor theme="5" tint="0.59996337778862885"/>
        </patternFill>
      </fill>
    </dxf>
    <dxf>
      <fill>
        <patternFill patternType="lightHorizontal">
          <fgColor theme="9" tint="0.59996337778862885"/>
          <bgColor auto="1"/>
        </patternFill>
      </fill>
    </dxf>
    <dxf>
      <fill>
        <patternFill patternType="lightUp">
          <f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lightUp">
          <fgColor theme="0" tint="-0.24994659260841701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3.jpg"/><Relationship Id="rId7" Type="http://schemas.openxmlformats.org/officeDocument/2006/relationships/image" Target="../media/image16.jpeg"/><Relationship Id="rId12" Type="http://schemas.openxmlformats.org/officeDocument/2006/relationships/image" Target="../media/image21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5.jpeg"/><Relationship Id="rId11" Type="http://schemas.openxmlformats.org/officeDocument/2006/relationships/image" Target="../media/image20.jpg"/><Relationship Id="rId5" Type="http://schemas.openxmlformats.org/officeDocument/2006/relationships/image" Target="../media/image5.jpeg"/><Relationship Id="rId10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18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13" Type="http://schemas.openxmlformats.org/officeDocument/2006/relationships/image" Target="../media/image5.jpeg"/><Relationship Id="rId3" Type="http://schemas.openxmlformats.org/officeDocument/2006/relationships/image" Target="../media/image24.jpeg"/><Relationship Id="rId7" Type="http://schemas.openxmlformats.org/officeDocument/2006/relationships/image" Target="../media/image1.jpeg"/><Relationship Id="rId12" Type="http://schemas.openxmlformats.org/officeDocument/2006/relationships/image" Target="../media/image4.jpeg"/><Relationship Id="rId2" Type="http://schemas.openxmlformats.org/officeDocument/2006/relationships/image" Target="../media/image23.jpeg"/><Relationship Id="rId1" Type="http://schemas.openxmlformats.org/officeDocument/2006/relationships/image" Target="../media/image22.jpg"/><Relationship Id="rId6" Type="http://schemas.openxmlformats.org/officeDocument/2006/relationships/image" Target="../media/image27.jpeg"/><Relationship Id="rId11" Type="http://schemas.openxmlformats.org/officeDocument/2006/relationships/image" Target="../media/image30.jpeg"/><Relationship Id="rId5" Type="http://schemas.openxmlformats.org/officeDocument/2006/relationships/image" Target="../media/image26.jpeg"/><Relationship Id="rId15" Type="http://schemas.openxmlformats.org/officeDocument/2006/relationships/image" Target="../media/image31.jpeg"/><Relationship Id="rId10" Type="http://schemas.openxmlformats.org/officeDocument/2006/relationships/image" Target="../media/image29.jpeg"/><Relationship Id="rId4" Type="http://schemas.openxmlformats.org/officeDocument/2006/relationships/image" Target="../media/image25.jpeg"/><Relationship Id="rId9" Type="http://schemas.openxmlformats.org/officeDocument/2006/relationships/image" Target="../media/image28.jpeg"/><Relationship Id="rId14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123826</xdr:colOff>
      <xdr:row>38</xdr:row>
      <xdr:rowOff>154042</xdr:rowOff>
    </xdr:from>
    <xdr:to>
      <xdr:col>5</xdr:col>
      <xdr:colOff>1390650</xdr:colOff>
      <xdr:row>38</xdr:row>
      <xdr:rowOff>606932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96175BA-503C-46FF-ABF3-090D84A06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144" y="10596906"/>
          <a:ext cx="1266824" cy="452890"/>
        </a:xfrm>
        <a:prstGeom prst="rect">
          <a:avLst/>
        </a:prstGeom>
      </xdr:spPr>
    </xdr:pic>
    <xdr:clientData/>
  </xdr:twoCellAnchor>
  <xdr:oneCellAnchor>
    <xdr:from>
      <xdr:col>5</xdr:col>
      <xdr:colOff>123826</xdr:colOff>
      <xdr:row>39</xdr:row>
      <xdr:rowOff>154042</xdr:rowOff>
    </xdr:from>
    <xdr:ext cx="1266824" cy="452890"/>
    <xdr:pic>
      <xdr:nvPicPr>
        <xdr:cNvPr id="22" name="Imagen 21">
          <a:extLst>
            <a:ext uri="{FF2B5EF4-FFF2-40B4-BE49-F238E27FC236}">
              <a16:creationId xmlns:a16="http://schemas.microsoft.com/office/drawing/2014/main" id="{2D7A2431-578E-4953-8F86-8424B660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17927692"/>
          <a:ext cx="1266824" cy="452890"/>
        </a:xfrm>
        <a:prstGeom prst="rect">
          <a:avLst/>
        </a:prstGeom>
      </xdr:spPr>
    </xdr:pic>
    <xdr:clientData/>
  </xdr:oneCellAnchor>
  <xdr:oneCellAnchor>
    <xdr:from>
      <xdr:col>5</xdr:col>
      <xdr:colOff>123826</xdr:colOff>
      <xdr:row>41</xdr:row>
      <xdr:rowOff>154042</xdr:rowOff>
    </xdr:from>
    <xdr:ext cx="1266824" cy="452890"/>
    <xdr:pic>
      <xdr:nvPicPr>
        <xdr:cNvPr id="23" name="Imagen 22">
          <a:extLst>
            <a:ext uri="{FF2B5EF4-FFF2-40B4-BE49-F238E27FC236}">
              <a16:creationId xmlns:a16="http://schemas.microsoft.com/office/drawing/2014/main" id="{928DC850-2009-470E-A48F-38941078F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18661117"/>
          <a:ext cx="1266824" cy="452890"/>
        </a:xfrm>
        <a:prstGeom prst="rect">
          <a:avLst/>
        </a:prstGeom>
      </xdr:spPr>
    </xdr:pic>
    <xdr:clientData/>
  </xdr:oneCellAnchor>
  <xdr:twoCellAnchor editAs="oneCell">
    <xdr:from>
      <xdr:col>5</xdr:col>
      <xdr:colOff>114300</xdr:colOff>
      <xdr:row>42</xdr:row>
      <xdr:rowOff>203864</xdr:rowOff>
    </xdr:from>
    <xdr:to>
      <xdr:col>5</xdr:col>
      <xdr:colOff>1400175</xdr:colOff>
      <xdr:row>42</xdr:row>
      <xdr:rowOff>561498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A7DF134-E28A-4612-8483-E92BC0BC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9444364"/>
          <a:ext cx="1285875" cy="357634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44</xdr:row>
      <xdr:rowOff>203864</xdr:rowOff>
    </xdr:from>
    <xdr:ext cx="1285875" cy="357634"/>
    <xdr:pic>
      <xdr:nvPicPr>
        <xdr:cNvPr id="25" name="Imagen 24">
          <a:extLst>
            <a:ext uri="{FF2B5EF4-FFF2-40B4-BE49-F238E27FC236}">
              <a16:creationId xmlns:a16="http://schemas.microsoft.com/office/drawing/2014/main" id="{D22EF669-B5ED-4F47-B3BE-99959BE9D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20177789"/>
          <a:ext cx="1285875" cy="357634"/>
        </a:xfrm>
        <a:prstGeom prst="rect">
          <a:avLst/>
        </a:prstGeom>
      </xdr:spPr>
    </xdr:pic>
    <xdr:clientData/>
  </xdr:oneCellAnchor>
  <xdr:twoCellAnchor editAs="oneCell">
    <xdr:from>
      <xdr:col>1</xdr:col>
      <xdr:colOff>8283</xdr:colOff>
      <xdr:row>2</xdr:row>
      <xdr:rowOff>0</xdr:rowOff>
    </xdr:from>
    <xdr:to>
      <xdr:col>3</xdr:col>
      <xdr:colOff>1629957</xdr:colOff>
      <xdr:row>9</xdr:row>
      <xdr:rowOff>56030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5E8D9B2A-E0FD-46EA-90F4-B32219FD77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" b="11766"/>
        <a:stretch/>
      </xdr:blipFill>
      <xdr:spPr>
        <a:xfrm>
          <a:off x="389283" y="0"/>
          <a:ext cx="2344453" cy="1255059"/>
        </a:xfrm>
        <a:prstGeom prst="rect">
          <a:avLst/>
        </a:prstGeom>
      </xdr:spPr>
    </xdr:pic>
    <xdr:clientData/>
  </xdr:twoCellAnchor>
  <xdr:oneCellAnchor>
    <xdr:from>
      <xdr:col>5</xdr:col>
      <xdr:colOff>623267</xdr:colOff>
      <xdr:row>32</xdr:row>
      <xdr:rowOff>173936</xdr:rowOff>
    </xdr:from>
    <xdr:ext cx="327162" cy="359878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2715D053-FEA5-4567-8205-552D935CE9AF}"/>
            </a:ext>
          </a:extLst>
        </xdr:cNvPr>
        <xdr:cNvSpPr/>
      </xdr:nvSpPr>
      <xdr:spPr>
        <a:xfrm>
          <a:off x="6643067" y="6212786"/>
          <a:ext cx="327162" cy="359878"/>
        </a:xfrm>
        <a:prstGeom prst="corner">
          <a:avLst>
            <a:gd name="adj1" fmla="val 18750"/>
            <a:gd name="adj2" fmla="val 18750"/>
          </a:avLst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5</xdr:col>
      <xdr:colOff>228600</xdr:colOff>
      <xdr:row>50</xdr:row>
      <xdr:rowOff>58830</xdr:rowOff>
    </xdr:from>
    <xdr:to>
      <xdr:col>5</xdr:col>
      <xdr:colOff>1256685</xdr:colOff>
      <xdr:row>50</xdr:row>
      <xdr:rowOff>696243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9C36F86F-28C0-4982-8F33-053E587B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5012" y="8183095"/>
          <a:ext cx="1028085" cy="637413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51</xdr:row>
      <xdr:rowOff>58830</xdr:rowOff>
    </xdr:from>
    <xdr:ext cx="1028085" cy="637413"/>
    <xdr:pic>
      <xdr:nvPicPr>
        <xdr:cNvPr id="39" name="Imagen 38">
          <a:extLst>
            <a:ext uri="{FF2B5EF4-FFF2-40B4-BE49-F238E27FC236}">
              <a16:creationId xmlns:a16="http://schemas.microsoft.com/office/drawing/2014/main" id="{16D97675-EC61-4602-BB17-7819731B8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5012" y="8911477"/>
          <a:ext cx="1028085" cy="637413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53</xdr:row>
      <xdr:rowOff>58830</xdr:rowOff>
    </xdr:from>
    <xdr:ext cx="1028085" cy="637413"/>
    <xdr:pic>
      <xdr:nvPicPr>
        <xdr:cNvPr id="40" name="Imagen 39">
          <a:extLst>
            <a:ext uri="{FF2B5EF4-FFF2-40B4-BE49-F238E27FC236}">
              <a16:creationId xmlns:a16="http://schemas.microsoft.com/office/drawing/2014/main" id="{7C378A76-5ED7-4A59-9B98-F4B29FC98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5012" y="10368242"/>
          <a:ext cx="1028085" cy="637413"/>
        </a:xfrm>
        <a:prstGeom prst="rect">
          <a:avLst/>
        </a:prstGeom>
      </xdr:spPr>
    </xdr:pic>
    <xdr:clientData/>
  </xdr:oneCellAnchor>
  <xdr:twoCellAnchor editAs="oneCell">
    <xdr:from>
      <xdr:col>5</xdr:col>
      <xdr:colOff>114300</xdr:colOff>
      <xdr:row>46</xdr:row>
      <xdr:rowOff>73104</xdr:rowOff>
    </xdr:from>
    <xdr:to>
      <xdr:col>5</xdr:col>
      <xdr:colOff>1409700</xdr:colOff>
      <xdr:row>46</xdr:row>
      <xdr:rowOff>664940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8B2ADC4-C2AF-4BD7-827B-93F3BC603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8580179"/>
          <a:ext cx="1295400" cy="591836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47</xdr:row>
      <xdr:rowOff>73104</xdr:rowOff>
    </xdr:from>
    <xdr:ext cx="1295400" cy="591836"/>
    <xdr:pic>
      <xdr:nvPicPr>
        <xdr:cNvPr id="42" name="Imagen 41">
          <a:extLst>
            <a:ext uri="{FF2B5EF4-FFF2-40B4-BE49-F238E27FC236}">
              <a16:creationId xmlns:a16="http://schemas.microsoft.com/office/drawing/2014/main" id="{36881D8E-4A70-4AA0-B78F-C73A39865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9313604"/>
          <a:ext cx="1295400" cy="591836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48</xdr:row>
      <xdr:rowOff>73104</xdr:rowOff>
    </xdr:from>
    <xdr:ext cx="1295400" cy="591836"/>
    <xdr:pic>
      <xdr:nvPicPr>
        <xdr:cNvPr id="43" name="Imagen 42">
          <a:extLst>
            <a:ext uri="{FF2B5EF4-FFF2-40B4-BE49-F238E27FC236}">
              <a16:creationId xmlns:a16="http://schemas.microsoft.com/office/drawing/2014/main" id="{39D520AD-3269-4ED6-B4D3-477CC19BC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20047029"/>
          <a:ext cx="1295400" cy="591836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52</xdr:row>
      <xdr:rowOff>58830</xdr:rowOff>
    </xdr:from>
    <xdr:ext cx="1028085" cy="637413"/>
    <xdr:pic>
      <xdr:nvPicPr>
        <xdr:cNvPr id="3" name="Imagen 2">
          <a:extLst>
            <a:ext uri="{FF2B5EF4-FFF2-40B4-BE49-F238E27FC236}">
              <a16:creationId xmlns:a16="http://schemas.microsoft.com/office/drawing/2014/main" id="{7B0CB04C-B757-48F8-A899-46896ABCE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5012" y="9639859"/>
          <a:ext cx="1028085" cy="637413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49</xdr:row>
      <xdr:rowOff>73104</xdr:rowOff>
    </xdr:from>
    <xdr:ext cx="1295400" cy="591836"/>
    <xdr:pic>
      <xdr:nvPicPr>
        <xdr:cNvPr id="5" name="Imagen 4">
          <a:extLst>
            <a:ext uri="{FF2B5EF4-FFF2-40B4-BE49-F238E27FC236}">
              <a16:creationId xmlns:a16="http://schemas.microsoft.com/office/drawing/2014/main" id="{6340FA91-B519-4FC5-AE8E-FD9CB415E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0712" y="12567663"/>
          <a:ext cx="1295400" cy="591836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45</xdr:row>
      <xdr:rowOff>203864</xdr:rowOff>
    </xdr:from>
    <xdr:ext cx="1285875" cy="357634"/>
    <xdr:pic>
      <xdr:nvPicPr>
        <xdr:cNvPr id="13" name="Imagen 12">
          <a:extLst>
            <a:ext uri="{FF2B5EF4-FFF2-40B4-BE49-F238E27FC236}">
              <a16:creationId xmlns:a16="http://schemas.microsoft.com/office/drawing/2014/main" id="{B94410FD-0EF5-4129-9215-2F83C5BB3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0712" y="11241658"/>
          <a:ext cx="1285875" cy="357634"/>
        </a:xfrm>
        <a:prstGeom prst="rect">
          <a:avLst/>
        </a:prstGeom>
      </xdr:spPr>
    </xdr:pic>
    <xdr:clientData/>
  </xdr:oneCellAnchor>
  <xdr:oneCellAnchor>
    <xdr:from>
      <xdr:col>5</xdr:col>
      <xdr:colOff>123826</xdr:colOff>
      <xdr:row>40</xdr:row>
      <xdr:rowOff>154042</xdr:rowOff>
    </xdr:from>
    <xdr:ext cx="1266824" cy="452890"/>
    <xdr:pic>
      <xdr:nvPicPr>
        <xdr:cNvPr id="14" name="Imagen 13">
          <a:extLst>
            <a:ext uri="{FF2B5EF4-FFF2-40B4-BE49-F238E27FC236}">
              <a16:creationId xmlns:a16="http://schemas.microsoft.com/office/drawing/2014/main" id="{CD4904D8-C9F8-4E30-8DF6-D081C94D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0238" y="10463454"/>
          <a:ext cx="1266824" cy="45289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43</xdr:row>
      <xdr:rowOff>203864</xdr:rowOff>
    </xdr:from>
    <xdr:ext cx="1285875" cy="357634"/>
    <xdr:pic>
      <xdr:nvPicPr>
        <xdr:cNvPr id="16" name="Imagen 15">
          <a:extLst>
            <a:ext uri="{FF2B5EF4-FFF2-40B4-BE49-F238E27FC236}">
              <a16:creationId xmlns:a16="http://schemas.microsoft.com/office/drawing/2014/main" id="{2958C71B-02D1-4714-BC28-E5D391445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0712" y="12698423"/>
          <a:ext cx="1285875" cy="357634"/>
        </a:xfrm>
        <a:prstGeom prst="rect">
          <a:avLst/>
        </a:prstGeom>
      </xdr:spPr>
    </xdr:pic>
    <xdr:clientData/>
  </xdr:oneCellAnchor>
  <xdr:oneCellAnchor>
    <xdr:from>
      <xdr:col>5</xdr:col>
      <xdr:colOff>231961</xdr:colOff>
      <xdr:row>33</xdr:row>
      <xdr:rowOff>66675</xdr:rowOff>
    </xdr:from>
    <xdr:ext cx="1035459" cy="616345"/>
    <xdr:pic>
      <xdr:nvPicPr>
        <xdr:cNvPr id="2" name="Imagen 1">
          <a:extLst>
            <a:ext uri="{FF2B5EF4-FFF2-40B4-BE49-F238E27FC236}">
              <a16:creationId xmlns:a16="http://schemas.microsoft.com/office/drawing/2014/main" id="{12ADA2D1-2715-40EA-987E-6CDC2BAEC9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11" b="12684"/>
        <a:stretch/>
      </xdr:blipFill>
      <xdr:spPr>
        <a:xfrm rot="10800000">
          <a:off x="3937186" y="5372100"/>
          <a:ext cx="1035459" cy="616345"/>
        </a:xfrm>
        <a:prstGeom prst="rect">
          <a:avLst/>
        </a:prstGeom>
      </xdr:spPr>
    </xdr:pic>
    <xdr:clientData/>
  </xdr:oneCellAnchor>
  <xdr:oneCellAnchor>
    <xdr:from>
      <xdr:col>5</xdr:col>
      <xdr:colOff>254374</xdr:colOff>
      <xdr:row>34</xdr:row>
      <xdr:rowOff>59089</xdr:rowOff>
    </xdr:from>
    <xdr:ext cx="963706" cy="595568"/>
    <xdr:pic>
      <xdr:nvPicPr>
        <xdr:cNvPr id="4" name="Imagen 3">
          <a:extLst>
            <a:ext uri="{FF2B5EF4-FFF2-40B4-BE49-F238E27FC236}">
              <a16:creationId xmlns:a16="http://schemas.microsoft.com/office/drawing/2014/main" id="{7A181FF7-1C90-43D7-9F7C-2AA837AF54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17" b="10933"/>
        <a:stretch/>
      </xdr:blipFill>
      <xdr:spPr>
        <a:xfrm>
          <a:off x="3959599" y="6097939"/>
          <a:ext cx="963706" cy="595568"/>
        </a:xfrm>
        <a:prstGeom prst="rect">
          <a:avLst/>
        </a:prstGeom>
      </xdr:spPr>
    </xdr:pic>
    <xdr:clientData/>
  </xdr:oneCellAnchor>
  <xdr:oneCellAnchor>
    <xdr:from>
      <xdr:col>5</xdr:col>
      <xdr:colOff>62193</xdr:colOff>
      <xdr:row>37</xdr:row>
      <xdr:rowOff>247650</xdr:rowOff>
    </xdr:from>
    <xdr:ext cx="1367118" cy="254265"/>
    <xdr:pic>
      <xdr:nvPicPr>
        <xdr:cNvPr id="6" name="Imagen 5">
          <a:extLst>
            <a:ext uri="{FF2B5EF4-FFF2-40B4-BE49-F238E27FC236}">
              <a16:creationId xmlns:a16="http://schemas.microsoft.com/office/drawing/2014/main" id="{7C123B10-2753-415B-A07F-F74AB3D093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08" b="37644"/>
        <a:stretch/>
      </xdr:blipFill>
      <xdr:spPr>
        <a:xfrm>
          <a:off x="3767418" y="9220200"/>
          <a:ext cx="1367118" cy="254265"/>
        </a:xfrm>
        <a:prstGeom prst="rect">
          <a:avLst/>
        </a:prstGeom>
      </xdr:spPr>
    </xdr:pic>
    <xdr:clientData/>
  </xdr:oneCellAnchor>
  <xdr:oneCellAnchor>
    <xdr:from>
      <xdr:col>5</xdr:col>
      <xdr:colOff>269501</xdr:colOff>
      <xdr:row>35</xdr:row>
      <xdr:rowOff>95251</xdr:rowOff>
    </xdr:from>
    <xdr:ext cx="970461" cy="570860"/>
    <xdr:pic>
      <xdr:nvPicPr>
        <xdr:cNvPr id="7" name="Imagen 6">
          <a:extLst>
            <a:ext uri="{FF2B5EF4-FFF2-40B4-BE49-F238E27FC236}">
              <a16:creationId xmlns:a16="http://schemas.microsoft.com/office/drawing/2014/main" id="{6A199097-F8E9-468E-908A-F26BE681D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723" b="15748"/>
        <a:stretch/>
      </xdr:blipFill>
      <xdr:spPr>
        <a:xfrm>
          <a:off x="3974726" y="6867526"/>
          <a:ext cx="970461" cy="570860"/>
        </a:xfrm>
        <a:prstGeom prst="rect">
          <a:avLst/>
        </a:prstGeom>
      </xdr:spPr>
    </xdr:pic>
    <xdr:clientData/>
  </xdr:oneCellAnchor>
  <xdr:twoCellAnchor editAs="oneCell">
    <xdr:from>
      <xdr:col>5</xdr:col>
      <xdr:colOff>76200</xdr:colOff>
      <xdr:row>36</xdr:row>
      <xdr:rowOff>190500</xdr:rowOff>
    </xdr:from>
    <xdr:to>
      <xdr:col>5</xdr:col>
      <xdr:colOff>1417317</xdr:colOff>
      <xdr:row>36</xdr:row>
      <xdr:rowOff>609599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AB04034-0E02-4E32-A0DC-C0ED0BBDC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09" b="29228"/>
        <a:stretch/>
      </xdr:blipFill>
      <xdr:spPr>
        <a:xfrm>
          <a:off x="3781425" y="8429625"/>
          <a:ext cx="1341117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123825</xdr:rowOff>
    </xdr:from>
    <xdr:to>
      <xdr:col>15</xdr:col>
      <xdr:colOff>76200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35F650B-C7EC-4801-A5EA-D633B5776900}"/>
            </a:ext>
          </a:extLst>
        </xdr:cNvPr>
        <xdr:cNvSpPr txBox="1">
          <a:spLocks noChangeArrowheads="1"/>
        </xdr:cNvSpPr>
      </xdr:nvSpPr>
      <xdr:spPr bwMode="auto">
        <a:xfrm>
          <a:off x="9886950" y="5905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118</xdr:row>
      <xdr:rowOff>123825</xdr:rowOff>
    </xdr:from>
    <xdr:to>
      <xdr:col>15</xdr:col>
      <xdr:colOff>76200</xdr:colOff>
      <xdr:row>120</xdr:row>
      <xdr:rowOff>19048</xdr:rowOff>
    </xdr:to>
    <xdr:sp macro="" textlink="">
      <xdr:nvSpPr>
        <xdr:cNvPr id="3" name="Text Box 339">
          <a:extLst>
            <a:ext uri="{FF2B5EF4-FFF2-40B4-BE49-F238E27FC236}">
              <a16:creationId xmlns:a16="http://schemas.microsoft.com/office/drawing/2014/main" id="{721CC4E6-39D8-4E79-87C3-D8A3E32888FA}"/>
            </a:ext>
          </a:extLst>
        </xdr:cNvPr>
        <xdr:cNvSpPr txBox="1">
          <a:spLocks noChangeArrowheads="1"/>
        </xdr:cNvSpPr>
      </xdr:nvSpPr>
      <xdr:spPr bwMode="auto">
        <a:xfrm>
          <a:off x="9886950" y="21174075"/>
          <a:ext cx="76200" cy="20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76200</xdr:colOff>
      <xdr:row>31</xdr:row>
      <xdr:rowOff>46543</xdr:rowOff>
    </xdr:to>
    <xdr:sp macro="" textlink="">
      <xdr:nvSpPr>
        <xdr:cNvPr id="4" name="Text Box 349">
          <a:extLst>
            <a:ext uri="{FF2B5EF4-FFF2-40B4-BE49-F238E27FC236}">
              <a16:creationId xmlns:a16="http://schemas.microsoft.com/office/drawing/2014/main" id="{DF885580-5222-44AC-93DD-BC5E74DC2F9F}"/>
            </a:ext>
          </a:extLst>
        </xdr:cNvPr>
        <xdr:cNvSpPr txBox="1">
          <a:spLocks noChangeArrowheads="1"/>
        </xdr:cNvSpPr>
      </xdr:nvSpPr>
      <xdr:spPr bwMode="auto">
        <a:xfrm>
          <a:off x="9886950" y="7610475"/>
          <a:ext cx="76200" cy="217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35719</xdr:rowOff>
    </xdr:from>
    <xdr:to>
      <xdr:col>3</xdr:col>
      <xdr:colOff>1820574</xdr:colOff>
      <xdr:row>11</xdr:row>
      <xdr:rowOff>97085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D1B078-2EB5-45D6-97B7-5D349547F4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119" t="37880" r="38664" b="38364"/>
        <a:stretch/>
      </xdr:blipFill>
      <xdr:spPr>
        <a:xfrm>
          <a:off x="381000" y="188119"/>
          <a:ext cx="2963574" cy="1718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380999</xdr:colOff>
      <xdr:row>0</xdr:row>
      <xdr:rowOff>0</xdr:rowOff>
    </xdr:from>
    <xdr:ext cx="2311836" cy="1401856"/>
    <xdr:pic>
      <xdr:nvPicPr>
        <xdr:cNvPr id="2" name="Imagen 1">
          <a:extLst>
            <a:ext uri="{FF2B5EF4-FFF2-40B4-BE49-F238E27FC236}">
              <a16:creationId xmlns:a16="http://schemas.microsoft.com/office/drawing/2014/main" id="{0D7548F2-FB97-4778-8491-885CC5642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9" y="0"/>
          <a:ext cx="2311836" cy="1401856"/>
        </a:xfrm>
        <a:prstGeom prst="rect">
          <a:avLst/>
        </a:prstGeom>
      </xdr:spPr>
    </xdr:pic>
    <xdr:clientData/>
  </xdr:oneCellAnchor>
  <xdr:oneCellAnchor>
    <xdr:from>
      <xdr:col>5</xdr:col>
      <xdr:colOff>266701</xdr:colOff>
      <xdr:row>29</xdr:row>
      <xdr:rowOff>76199</xdr:rowOff>
    </xdr:from>
    <xdr:ext cx="1036722" cy="867135"/>
    <xdr:pic>
      <xdr:nvPicPr>
        <xdr:cNvPr id="3" name="Imagen 2">
          <a:extLst>
            <a:ext uri="{FF2B5EF4-FFF2-40B4-BE49-F238E27FC236}">
              <a16:creationId xmlns:a16="http://schemas.microsoft.com/office/drawing/2014/main" id="{C6CBD4ED-1F11-46B5-A979-974896AD2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6" y="5600699"/>
          <a:ext cx="1036722" cy="867135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30</xdr:row>
      <xdr:rowOff>52522</xdr:rowOff>
    </xdr:from>
    <xdr:ext cx="1152525" cy="890855"/>
    <xdr:pic>
      <xdr:nvPicPr>
        <xdr:cNvPr id="4" name="Imagen 3">
          <a:extLst>
            <a:ext uri="{FF2B5EF4-FFF2-40B4-BE49-F238E27FC236}">
              <a16:creationId xmlns:a16="http://schemas.microsoft.com/office/drawing/2014/main" id="{69F73CB3-0584-47EC-8C02-C22536652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5767522"/>
          <a:ext cx="1152525" cy="89085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380999</xdr:colOff>
      <xdr:row>0</xdr:row>
      <xdr:rowOff>0</xdr:rowOff>
    </xdr:from>
    <xdr:ext cx="2311836" cy="1401856"/>
    <xdr:pic>
      <xdr:nvPicPr>
        <xdr:cNvPr id="2" name="Imagen 1">
          <a:extLst>
            <a:ext uri="{FF2B5EF4-FFF2-40B4-BE49-F238E27FC236}">
              <a16:creationId xmlns:a16="http://schemas.microsoft.com/office/drawing/2014/main" id="{55272CE6-AF4C-4A0D-A0C6-2EEECB7A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9" y="0"/>
          <a:ext cx="2311836" cy="1401856"/>
        </a:xfrm>
        <a:prstGeom prst="rect">
          <a:avLst/>
        </a:prstGeom>
      </xdr:spPr>
    </xdr:pic>
    <xdr:clientData/>
  </xdr:oneCellAnchor>
  <xdr:oneCellAnchor>
    <xdr:from>
      <xdr:col>5</xdr:col>
      <xdr:colOff>266701</xdr:colOff>
      <xdr:row>29</xdr:row>
      <xdr:rowOff>76199</xdr:rowOff>
    </xdr:from>
    <xdr:ext cx="1036722" cy="867135"/>
    <xdr:pic>
      <xdr:nvPicPr>
        <xdr:cNvPr id="3" name="Imagen 2">
          <a:extLst>
            <a:ext uri="{FF2B5EF4-FFF2-40B4-BE49-F238E27FC236}">
              <a16:creationId xmlns:a16="http://schemas.microsoft.com/office/drawing/2014/main" id="{DE747D24-6994-4F16-84B1-BBD369A3A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6" y="5419724"/>
          <a:ext cx="1036722" cy="867135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30</xdr:row>
      <xdr:rowOff>52522</xdr:rowOff>
    </xdr:from>
    <xdr:ext cx="1152525" cy="890855"/>
    <xdr:pic>
      <xdr:nvPicPr>
        <xdr:cNvPr id="4" name="Imagen 3">
          <a:extLst>
            <a:ext uri="{FF2B5EF4-FFF2-40B4-BE49-F238E27FC236}">
              <a16:creationId xmlns:a16="http://schemas.microsoft.com/office/drawing/2014/main" id="{8C260609-EEEA-4CA1-83CB-F29B4A1C5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6405697"/>
          <a:ext cx="1152525" cy="89085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123826</xdr:colOff>
      <xdr:row>37</xdr:row>
      <xdr:rowOff>154042</xdr:rowOff>
    </xdr:from>
    <xdr:to>
      <xdr:col>5</xdr:col>
      <xdr:colOff>1390650</xdr:colOff>
      <xdr:row>37</xdr:row>
      <xdr:rowOff>606932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464B9E-9012-41F1-A545-AF9218223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6" y="10593442"/>
          <a:ext cx="1266824" cy="452890"/>
        </a:xfrm>
        <a:prstGeom prst="rect">
          <a:avLst/>
        </a:prstGeom>
      </xdr:spPr>
    </xdr:pic>
    <xdr:clientData/>
  </xdr:twoCellAnchor>
  <xdr:oneCellAnchor>
    <xdr:from>
      <xdr:col>5</xdr:col>
      <xdr:colOff>123826</xdr:colOff>
      <xdr:row>38</xdr:row>
      <xdr:rowOff>154042</xdr:rowOff>
    </xdr:from>
    <xdr:ext cx="1266824" cy="452890"/>
    <xdr:pic>
      <xdr:nvPicPr>
        <xdr:cNvPr id="3" name="Imagen 2">
          <a:extLst>
            <a:ext uri="{FF2B5EF4-FFF2-40B4-BE49-F238E27FC236}">
              <a16:creationId xmlns:a16="http://schemas.microsoft.com/office/drawing/2014/main" id="{1E07CFAF-6ECE-472B-98C0-F19467C1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6" y="11326867"/>
          <a:ext cx="1266824" cy="452890"/>
        </a:xfrm>
        <a:prstGeom prst="rect">
          <a:avLst/>
        </a:prstGeom>
      </xdr:spPr>
    </xdr:pic>
    <xdr:clientData/>
  </xdr:oneCellAnchor>
  <xdr:oneCellAnchor>
    <xdr:from>
      <xdr:col>5</xdr:col>
      <xdr:colOff>123826</xdr:colOff>
      <xdr:row>40</xdr:row>
      <xdr:rowOff>154042</xdr:rowOff>
    </xdr:from>
    <xdr:ext cx="1266824" cy="452890"/>
    <xdr:pic>
      <xdr:nvPicPr>
        <xdr:cNvPr id="4" name="Imagen 3">
          <a:extLst>
            <a:ext uri="{FF2B5EF4-FFF2-40B4-BE49-F238E27FC236}">
              <a16:creationId xmlns:a16="http://schemas.microsoft.com/office/drawing/2014/main" id="{57569BB3-691B-4776-B84C-D1439269E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6" y="12793717"/>
          <a:ext cx="1266824" cy="452890"/>
        </a:xfrm>
        <a:prstGeom prst="rect">
          <a:avLst/>
        </a:prstGeom>
      </xdr:spPr>
    </xdr:pic>
    <xdr:clientData/>
  </xdr:oneCellAnchor>
  <xdr:twoCellAnchor editAs="oneCell">
    <xdr:from>
      <xdr:col>5</xdr:col>
      <xdr:colOff>114300</xdr:colOff>
      <xdr:row>41</xdr:row>
      <xdr:rowOff>203864</xdr:rowOff>
    </xdr:from>
    <xdr:to>
      <xdr:col>5</xdr:col>
      <xdr:colOff>1400175</xdr:colOff>
      <xdr:row>41</xdr:row>
      <xdr:rowOff>561498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4356ED-02C8-4A78-A45B-30684D01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3576964"/>
          <a:ext cx="1285875" cy="357634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43</xdr:row>
      <xdr:rowOff>203864</xdr:rowOff>
    </xdr:from>
    <xdr:ext cx="1285875" cy="357634"/>
    <xdr:pic>
      <xdr:nvPicPr>
        <xdr:cNvPr id="6" name="Imagen 5">
          <a:extLst>
            <a:ext uri="{FF2B5EF4-FFF2-40B4-BE49-F238E27FC236}">
              <a16:creationId xmlns:a16="http://schemas.microsoft.com/office/drawing/2014/main" id="{FB3B426A-6CC1-4883-BE97-7BAC593F5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5043814"/>
          <a:ext cx="1285875" cy="357634"/>
        </a:xfrm>
        <a:prstGeom prst="rect">
          <a:avLst/>
        </a:prstGeom>
      </xdr:spPr>
    </xdr:pic>
    <xdr:clientData/>
  </xdr:oneCellAnchor>
  <xdr:twoCellAnchor editAs="oneCell">
    <xdr:from>
      <xdr:col>1</xdr:col>
      <xdr:colOff>8283</xdr:colOff>
      <xdr:row>0</xdr:row>
      <xdr:rowOff>0</xdr:rowOff>
    </xdr:from>
    <xdr:to>
      <xdr:col>3</xdr:col>
      <xdr:colOff>1725207</xdr:colOff>
      <xdr:row>7</xdr:row>
      <xdr:rowOff>56030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51E552-5BA9-4131-AF86-DF44C5A52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" b="11766"/>
        <a:stretch/>
      </xdr:blipFill>
      <xdr:spPr>
        <a:xfrm>
          <a:off x="389283" y="0"/>
          <a:ext cx="2345574" cy="1275230"/>
        </a:xfrm>
        <a:prstGeom prst="rect">
          <a:avLst/>
        </a:prstGeom>
      </xdr:spPr>
    </xdr:pic>
    <xdr:clientData/>
  </xdr:twoCellAnchor>
  <xdr:oneCellAnchor>
    <xdr:from>
      <xdr:col>5</xdr:col>
      <xdr:colOff>623267</xdr:colOff>
      <xdr:row>31</xdr:row>
      <xdr:rowOff>173936</xdr:rowOff>
    </xdr:from>
    <xdr:ext cx="327162" cy="359878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5EBE95DD-0129-403F-A0CA-6CA9DBA44075}"/>
            </a:ext>
          </a:extLst>
        </xdr:cNvPr>
        <xdr:cNvSpPr/>
      </xdr:nvSpPr>
      <xdr:spPr>
        <a:xfrm>
          <a:off x="5976317" y="6212786"/>
          <a:ext cx="327162" cy="359878"/>
        </a:xfrm>
        <a:prstGeom prst="corner">
          <a:avLst>
            <a:gd name="adj1" fmla="val 18750"/>
            <a:gd name="adj2" fmla="val 18750"/>
          </a:avLst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648115</xdr:colOff>
      <xdr:row>30</xdr:row>
      <xdr:rowOff>171658</xdr:rowOff>
    </xdr:from>
    <xdr:ext cx="329232" cy="36215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2BC9FB6-D62D-451A-8E22-7804FBE149CD}"/>
            </a:ext>
          </a:extLst>
        </xdr:cNvPr>
        <xdr:cNvSpPr/>
      </xdr:nvSpPr>
      <xdr:spPr>
        <a:xfrm>
          <a:off x="6001165" y="5477083"/>
          <a:ext cx="329232" cy="362155"/>
        </a:xfrm>
        <a:prstGeom prst="corner">
          <a:avLst>
            <a:gd name="adj1" fmla="val 10710"/>
            <a:gd name="adj2" fmla="val 10710"/>
          </a:avLst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5</xdr:col>
      <xdr:colOff>228600</xdr:colOff>
      <xdr:row>49</xdr:row>
      <xdr:rowOff>58830</xdr:rowOff>
    </xdr:from>
    <xdr:to>
      <xdr:col>5</xdr:col>
      <xdr:colOff>1256685</xdr:colOff>
      <xdr:row>49</xdr:row>
      <xdr:rowOff>696243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6DC9D55-E448-471E-B944-DE0417DFC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19299330"/>
          <a:ext cx="1028085" cy="637413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50</xdr:row>
      <xdr:rowOff>58830</xdr:rowOff>
    </xdr:from>
    <xdr:ext cx="1028085" cy="637413"/>
    <xdr:pic>
      <xdr:nvPicPr>
        <xdr:cNvPr id="11" name="Imagen 10">
          <a:extLst>
            <a:ext uri="{FF2B5EF4-FFF2-40B4-BE49-F238E27FC236}">
              <a16:creationId xmlns:a16="http://schemas.microsoft.com/office/drawing/2014/main" id="{268D5F4A-1587-4852-90C8-6FB93B63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20032755"/>
          <a:ext cx="1028085" cy="637413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52</xdr:row>
      <xdr:rowOff>58830</xdr:rowOff>
    </xdr:from>
    <xdr:ext cx="1028085" cy="637413"/>
    <xdr:pic>
      <xdr:nvPicPr>
        <xdr:cNvPr id="12" name="Imagen 11">
          <a:extLst>
            <a:ext uri="{FF2B5EF4-FFF2-40B4-BE49-F238E27FC236}">
              <a16:creationId xmlns:a16="http://schemas.microsoft.com/office/drawing/2014/main" id="{83CF1232-AB81-4091-9947-34C11EBB1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21499605"/>
          <a:ext cx="1028085" cy="637413"/>
        </a:xfrm>
        <a:prstGeom prst="rect">
          <a:avLst/>
        </a:prstGeom>
      </xdr:spPr>
    </xdr:pic>
    <xdr:clientData/>
  </xdr:oneCellAnchor>
  <xdr:twoCellAnchor editAs="oneCell">
    <xdr:from>
      <xdr:col>5</xdr:col>
      <xdr:colOff>114300</xdr:colOff>
      <xdr:row>45</xdr:row>
      <xdr:rowOff>73104</xdr:rowOff>
    </xdr:from>
    <xdr:to>
      <xdr:col>5</xdr:col>
      <xdr:colOff>1409700</xdr:colOff>
      <xdr:row>45</xdr:row>
      <xdr:rowOff>664940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E519B97-50DF-4F5B-A785-5F88FA2D2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6379904"/>
          <a:ext cx="1295400" cy="591836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46</xdr:row>
      <xdr:rowOff>73104</xdr:rowOff>
    </xdr:from>
    <xdr:ext cx="1295400" cy="591836"/>
    <xdr:pic>
      <xdr:nvPicPr>
        <xdr:cNvPr id="14" name="Imagen 13">
          <a:extLst>
            <a:ext uri="{FF2B5EF4-FFF2-40B4-BE49-F238E27FC236}">
              <a16:creationId xmlns:a16="http://schemas.microsoft.com/office/drawing/2014/main" id="{4A351A0A-CDC9-4E99-8AF6-5DA02B332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7113329"/>
          <a:ext cx="1295400" cy="591836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47</xdr:row>
      <xdr:rowOff>73104</xdr:rowOff>
    </xdr:from>
    <xdr:ext cx="1295400" cy="591836"/>
    <xdr:pic>
      <xdr:nvPicPr>
        <xdr:cNvPr id="15" name="Imagen 14">
          <a:extLst>
            <a:ext uri="{FF2B5EF4-FFF2-40B4-BE49-F238E27FC236}">
              <a16:creationId xmlns:a16="http://schemas.microsoft.com/office/drawing/2014/main" id="{61ADCA93-A795-4B8D-9DE8-CC93C3828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7846754"/>
          <a:ext cx="1295400" cy="591836"/>
        </a:xfrm>
        <a:prstGeom prst="rect">
          <a:avLst/>
        </a:prstGeom>
      </xdr:spPr>
    </xdr:pic>
    <xdr:clientData/>
  </xdr:oneCellAnchor>
  <xdr:oneCellAnchor>
    <xdr:from>
      <xdr:col>5</xdr:col>
      <xdr:colOff>600855</xdr:colOff>
      <xdr:row>32</xdr:row>
      <xdr:rowOff>127955</xdr:rowOff>
    </xdr:from>
    <xdr:ext cx="430086" cy="473094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1EA3886A-0F5A-43DC-9BFC-23E6743A2984}"/>
            </a:ext>
          </a:extLst>
        </xdr:cNvPr>
        <xdr:cNvSpPr/>
      </xdr:nvSpPr>
      <xdr:spPr>
        <a:xfrm>
          <a:off x="5953905" y="6900230"/>
          <a:ext cx="430086" cy="473094"/>
        </a:xfrm>
        <a:prstGeom prst="corner">
          <a:avLst>
            <a:gd name="adj1" fmla="val 18750"/>
            <a:gd name="adj2" fmla="val 18750"/>
          </a:avLst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228600</xdr:colOff>
      <xdr:row>51</xdr:row>
      <xdr:rowOff>58830</xdr:rowOff>
    </xdr:from>
    <xdr:ext cx="1028085" cy="637413"/>
    <xdr:pic>
      <xdr:nvPicPr>
        <xdr:cNvPr id="17" name="Imagen 16">
          <a:extLst>
            <a:ext uri="{FF2B5EF4-FFF2-40B4-BE49-F238E27FC236}">
              <a16:creationId xmlns:a16="http://schemas.microsoft.com/office/drawing/2014/main" id="{6FF6BB2A-715B-45F9-97E2-5B965BC2D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20766180"/>
          <a:ext cx="1028085" cy="637413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48</xdr:row>
      <xdr:rowOff>73104</xdr:rowOff>
    </xdr:from>
    <xdr:ext cx="1295400" cy="591836"/>
    <xdr:pic>
      <xdr:nvPicPr>
        <xdr:cNvPr id="18" name="Imagen 17">
          <a:extLst>
            <a:ext uri="{FF2B5EF4-FFF2-40B4-BE49-F238E27FC236}">
              <a16:creationId xmlns:a16="http://schemas.microsoft.com/office/drawing/2014/main" id="{11A7001C-ED72-4020-B09E-45C6728F6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8580179"/>
          <a:ext cx="1295400" cy="591836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44</xdr:row>
      <xdr:rowOff>203864</xdr:rowOff>
    </xdr:from>
    <xdr:ext cx="1285875" cy="357634"/>
    <xdr:pic>
      <xdr:nvPicPr>
        <xdr:cNvPr id="19" name="Imagen 18">
          <a:extLst>
            <a:ext uri="{FF2B5EF4-FFF2-40B4-BE49-F238E27FC236}">
              <a16:creationId xmlns:a16="http://schemas.microsoft.com/office/drawing/2014/main" id="{5978E504-4DBB-4CCD-AF5C-4AE0761B1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5777239"/>
          <a:ext cx="1285875" cy="357634"/>
        </a:xfrm>
        <a:prstGeom prst="rect">
          <a:avLst/>
        </a:prstGeom>
      </xdr:spPr>
    </xdr:pic>
    <xdr:clientData/>
  </xdr:oneCellAnchor>
  <xdr:oneCellAnchor>
    <xdr:from>
      <xdr:col>5</xdr:col>
      <xdr:colOff>123826</xdr:colOff>
      <xdr:row>39</xdr:row>
      <xdr:rowOff>154042</xdr:rowOff>
    </xdr:from>
    <xdr:ext cx="1266824" cy="452890"/>
    <xdr:pic>
      <xdr:nvPicPr>
        <xdr:cNvPr id="20" name="Imagen 19">
          <a:extLst>
            <a:ext uri="{FF2B5EF4-FFF2-40B4-BE49-F238E27FC236}">
              <a16:creationId xmlns:a16="http://schemas.microsoft.com/office/drawing/2014/main" id="{42E8C459-DA11-4F6E-8568-459B0AC9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6" y="12060292"/>
          <a:ext cx="1266824" cy="45289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42</xdr:row>
      <xdr:rowOff>203864</xdr:rowOff>
    </xdr:from>
    <xdr:ext cx="1285875" cy="357634"/>
    <xdr:pic>
      <xdr:nvPicPr>
        <xdr:cNvPr id="21" name="Imagen 20">
          <a:extLst>
            <a:ext uri="{FF2B5EF4-FFF2-40B4-BE49-F238E27FC236}">
              <a16:creationId xmlns:a16="http://schemas.microsoft.com/office/drawing/2014/main" id="{1FB7A571-E0FE-4BCE-8709-B1931584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4310389"/>
          <a:ext cx="1285875" cy="357634"/>
        </a:xfrm>
        <a:prstGeom prst="rect">
          <a:avLst/>
        </a:prstGeom>
      </xdr:spPr>
    </xdr:pic>
    <xdr:clientData/>
  </xdr:oneCellAnchor>
  <xdr:twoCellAnchor editAs="oneCell">
    <xdr:from>
      <xdr:col>5</xdr:col>
      <xdr:colOff>214745</xdr:colOff>
      <xdr:row>53</xdr:row>
      <xdr:rowOff>57150</xdr:rowOff>
    </xdr:from>
    <xdr:to>
      <xdr:col>5</xdr:col>
      <xdr:colOff>1363088</xdr:colOff>
      <xdr:row>53</xdr:row>
      <xdr:rowOff>681472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8BD1015-C9BC-491C-A899-8EC256286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90" b="15051"/>
        <a:stretch/>
      </xdr:blipFill>
      <xdr:spPr>
        <a:xfrm>
          <a:off x="5567795" y="22231350"/>
          <a:ext cx="1148343" cy="624322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200026</xdr:colOff>
      <xdr:row>54</xdr:row>
      <xdr:rowOff>55469</xdr:rowOff>
    </xdr:from>
    <xdr:to>
      <xdr:col>5</xdr:col>
      <xdr:colOff>1268117</xdr:colOff>
      <xdr:row>54</xdr:row>
      <xdr:rowOff>674595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1781FA9-B6F4-4EC6-8576-1FF779263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06" b="12837"/>
        <a:stretch/>
      </xdr:blipFill>
      <xdr:spPr>
        <a:xfrm>
          <a:off x="5553076" y="22963094"/>
          <a:ext cx="1068091" cy="619126"/>
        </a:xfrm>
        <a:prstGeom prst="rect">
          <a:avLst/>
        </a:prstGeom>
      </xdr:spPr>
    </xdr:pic>
    <xdr:clientData/>
  </xdr:twoCellAnchor>
  <xdr:oneCellAnchor>
    <xdr:from>
      <xdr:col>5</xdr:col>
      <xdr:colOff>200026</xdr:colOff>
      <xdr:row>55</xdr:row>
      <xdr:rowOff>55469</xdr:rowOff>
    </xdr:from>
    <xdr:ext cx="1068091" cy="619126"/>
    <xdr:pic>
      <xdr:nvPicPr>
        <xdr:cNvPr id="24" name="Imagen 23">
          <a:extLst>
            <a:ext uri="{FF2B5EF4-FFF2-40B4-BE49-F238E27FC236}">
              <a16:creationId xmlns:a16="http://schemas.microsoft.com/office/drawing/2014/main" id="{B1C9B4C2-7E97-4BC8-8453-A056B7EC7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06" b="12837"/>
        <a:stretch/>
      </xdr:blipFill>
      <xdr:spPr>
        <a:xfrm>
          <a:off x="5553076" y="23696519"/>
          <a:ext cx="1068091" cy="619126"/>
        </a:xfrm>
        <a:prstGeom prst="rect">
          <a:avLst/>
        </a:prstGeom>
      </xdr:spPr>
    </xdr:pic>
    <xdr:clientData/>
  </xdr:oneCellAnchor>
  <xdr:oneCellAnchor>
    <xdr:from>
      <xdr:col>5</xdr:col>
      <xdr:colOff>200026</xdr:colOff>
      <xdr:row>56</xdr:row>
      <xdr:rowOff>55469</xdr:rowOff>
    </xdr:from>
    <xdr:ext cx="1068091" cy="619126"/>
    <xdr:pic>
      <xdr:nvPicPr>
        <xdr:cNvPr id="25" name="Imagen 24">
          <a:extLst>
            <a:ext uri="{FF2B5EF4-FFF2-40B4-BE49-F238E27FC236}">
              <a16:creationId xmlns:a16="http://schemas.microsoft.com/office/drawing/2014/main" id="{E6B4520E-52DF-43A4-9306-7EC47462E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06" b="12837"/>
        <a:stretch/>
      </xdr:blipFill>
      <xdr:spPr>
        <a:xfrm>
          <a:off x="5553076" y="24429944"/>
          <a:ext cx="1068091" cy="619126"/>
        </a:xfrm>
        <a:prstGeom prst="rect">
          <a:avLst/>
        </a:prstGeom>
      </xdr:spPr>
    </xdr:pic>
    <xdr:clientData/>
  </xdr:oneCellAnchor>
  <xdr:oneCellAnchor>
    <xdr:from>
      <xdr:col>5</xdr:col>
      <xdr:colOff>200026</xdr:colOff>
      <xdr:row>57</xdr:row>
      <xdr:rowOff>55469</xdr:rowOff>
    </xdr:from>
    <xdr:ext cx="1068091" cy="619126"/>
    <xdr:pic>
      <xdr:nvPicPr>
        <xdr:cNvPr id="26" name="Imagen 25">
          <a:extLst>
            <a:ext uri="{FF2B5EF4-FFF2-40B4-BE49-F238E27FC236}">
              <a16:creationId xmlns:a16="http://schemas.microsoft.com/office/drawing/2014/main" id="{AAD13A4F-516B-4C62-9EB2-073B8E207D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06" b="12837"/>
        <a:stretch/>
      </xdr:blipFill>
      <xdr:spPr>
        <a:xfrm>
          <a:off x="5553076" y="25163369"/>
          <a:ext cx="1068091" cy="619126"/>
        </a:xfrm>
        <a:prstGeom prst="rect">
          <a:avLst/>
        </a:prstGeom>
      </xdr:spPr>
    </xdr:pic>
    <xdr:clientData/>
  </xdr:oneCellAnchor>
  <xdr:oneCellAnchor>
    <xdr:from>
      <xdr:col>5</xdr:col>
      <xdr:colOff>352425</xdr:colOff>
      <xdr:row>58</xdr:row>
      <xdr:rowOff>66675</xdr:rowOff>
    </xdr:from>
    <xdr:ext cx="784412" cy="627530"/>
    <xdr:pic>
      <xdr:nvPicPr>
        <xdr:cNvPr id="27" name="Imagen 26">
          <a:extLst>
            <a:ext uri="{FF2B5EF4-FFF2-40B4-BE49-F238E27FC236}">
              <a16:creationId xmlns:a16="http://schemas.microsoft.com/office/drawing/2014/main" id="{8F3F18B2-DECB-415F-A43F-90FD7CEFE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25908000"/>
          <a:ext cx="784412" cy="627530"/>
        </a:xfrm>
        <a:prstGeom prst="rect">
          <a:avLst/>
        </a:prstGeom>
      </xdr:spPr>
    </xdr:pic>
    <xdr:clientData/>
  </xdr:oneCellAnchor>
  <xdr:oneCellAnchor>
    <xdr:from>
      <xdr:col>5</xdr:col>
      <xdr:colOff>352425</xdr:colOff>
      <xdr:row>59</xdr:row>
      <xdr:rowOff>66675</xdr:rowOff>
    </xdr:from>
    <xdr:ext cx="784412" cy="627530"/>
    <xdr:pic>
      <xdr:nvPicPr>
        <xdr:cNvPr id="28" name="Imagen 27">
          <a:extLst>
            <a:ext uri="{FF2B5EF4-FFF2-40B4-BE49-F238E27FC236}">
              <a16:creationId xmlns:a16="http://schemas.microsoft.com/office/drawing/2014/main" id="{5F592658-2CAC-4144-946E-6597BE598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26641425"/>
          <a:ext cx="784412" cy="627530"/>
        </a:xfrm>
        <a:prstGeom prst="rect">
          <a:avLst/>
        </a:prstGeom>
      </xdr:spPr>
    </xdr:pic>
    <xdr:clientData/>
  </xdr:oneCellAnchor>
  <xdr:oneCellAnchor>
    <xdr:from>
      <xdr:col>5</xdr:col>
      <xdr:colOff>352425</xdr:colOff>
      <xdr:row>60</xdr:row>
      <xdr:rowOff>66675</xdr:rowOff>
    </xdr:from>
    <xdr:ext cx="784412" cy="627530"/>
    <xdr:pic>
      <xdr:nvPicPr>
        <xdr:cNvPr id="29" name="Imagen 28">
          <a:extLst>
            <a:ext uri="{FF2B5EF4-FFF2-40B4-BE49-F238E27FC236}">
              <a16:creationId xmlns:a16="http://schemas.microsoft.com/office/drawing/2014/main" id="{DB2CD4F0-0026-4FA9-86AF-507901BE6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27374850"/>
          <a:ext cx="784412" cy="627530"/>
        </a:xfrm>
        <a:prstGeom prst="rect">
          <a:avLst/>
        </a:prstGeom>
      </xdr:spPr>
    </xdr:pic>
    <xdr:clientData/>
  </xdr:oneCellAnchor>
  <xdr:oneCellAnchor>
    <xdr:from>
      <xdr:col>5</xdr:col>
      <xdr:colOff>238125</xdr:colOff>
      <xdr:row>61</xdr:row>
      <xdr:rowOff>84044</xdr:rowOff>
    </xdr:from>
    <xdr:ext cx="986119" cy="584465"/>
    <xdr:pic>
      <xdr:nvPicPr>
        <xdr:cNvPr id="30" name="Imagen 29">
          <a:extLst>
            <a:ext uri="{FF2B5EF4-FFF2-40B4-BE49-F238E27FC236}">
              <a16:creationId xmlns:a16="http://schemas.microsoft.com/office/drawing/2014/main" id="{143E8C84-AC24-45B4-A49E-D829303EF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83" b="11431"/>
        <a:stretch/>
      </xdr:blipFill>
      <xdr:spPr>
        <a:xfrm>
          <a:off x="5591175" y="28125644"/>
          <a:ext cx="986119" cy="584465"/>
        </a:xfrm>
        <a:prstGeom prst="rect">
          <a:avLst/>
        </a:prstGeom>
      </xdr:spPr>
    </xdr:pic>
    <xdr:clientData/>
  </xdr:oneCellAnchor>
  <xdr:oneCellAnchor>
    <xdr:from>
      <xdr:col>5</xdr:col>
      <xdr:colOff>238125</xdr:colOff>
      <xdr:row>62</xdr:row>
      <xdr:rowOff>84044</xdr:rowOff>
    </xdr:from>
    <xdr:ext cx="986119" cy="584465"/>
    <xdr:pic>
      <xdr:nvPicPr>
        <xdr:cNvPr id="31" name="Imagen 30">
          <a:extLst>
            <a:ext uri="{FF2B5EF4-FFF2-40B4-BE49-F238E27FC236}">
              <a16:creationId xmlns:a16="http://schemas.microsoft.com/office/drawing/2014/main" id="{A2B94A8C-23A6-498A-8D96-0B0FBD0AD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83" b="11431"/>
        <a:stretch/>
      </xdr:blipFill>
      <xdr:spPr>
        <a:xfrm>
          <a:off x="5591175" y="28859069"/>
          <a:ext cx="986119" cy="584465"/>
        </a:xfrm>
        <a:prstGeom prst="rect">
          <a:avLst/>
        </a:prstGeom>
      </xdr:spPr>
    </xdr:pic>
    <xdr:clientData/>
  </xdr:oneCellAnchor>
  <xdr:oneCellAnchor>
    <xdr:from>
      <xdr:col>5</xdr:col>
      <xdr:colOff>238125</xdr:colOff>
      <xdr:row>63</xdr:row>
      <xdr:rowOff>84044</xdr:rowOff>
    </xdr:from>
    <xdr:ext cx="986119" cy="584465"/>
    <xdr:pic>
      <xdr:nvPicPr>
        <xdr:cNvPr id="32" name="Imagen 31">
          <a:extLst>
            <a:ext uri="{FF2B5EF4-FFF2-40B4-BE49-F238E27FC236}">
              <a16:creationId xmlns:a16="http://schemas.microsoft.com/office/drawing/2014/main" id="{EDC98C14-757E-4218-9422-3A20F6958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83" b="11431"/>
        <a:stretch/>
      </xdr:blipFill>
      <xdr:spPr>
        <a:xfrm>
          <a:off x="5591175" y="29592494"/>
          <a:ext cx="986119" cy="584465"/>
        </a:xfrm>
        <a:prstGeom prst="rect">
          <a:avLst/>
        </a:prstGeom>
      </xdr:spPr>
    </xdr:pic>
    <xdr:clientData/>
  </xdr:oneCellAnchor>
  <xdr:oneCellAnchor>
    <xdr:from>
      <xdr:col>5</xdr:col>
      <xdr:colOff>219075</xdr:colOff>
      <xdr:row>64</xdr:row>
      <xdr:rowOff>74764</xdr:rowOff>
    </xdr:from>
    <xdr:ext cx="1000125" cy="591986"/>
    <xdr:pic>
      <xdr:nvPicPr>
        <xdr:cNvPr id="33" name="Imagen 32">
          <a:extLst>
            <a:ext uri="{FF2B5EF4-FFF2-40B4-BE49-F238E27FC236}">
              <a16:creationId xmlns:a16="http://schemas.microsoft.com/office/drawing/2014/main" id="{3670704E-BB82-4995-811B-EF37E729C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21" b="12990"/>
        <a:stretch/>
      </xdr:blipFill>
      <xdr:spPr>
        <a:xfrm>
          <a:off x="5572125" y="30316639"/>
          <a:ext cx="1000125" cy="591986"/>
        </a:xfrm>
        <a:prstGeom prst="rect">
          <a:avLst/>
        </a:prstGeom>
      </xdr:spPr>
    </xdr:pic>
    <xdr:clientData/>
  </xdr:oneCellAnchor>
  <xdr:oneCellAnchor>
    <xdr:from>
      <xdr:col>5</xdr:col>
      <xdr:colOff>219075</xdr:colOff>
      <xdr:row>65</xdr:row>
      <xdr:rowOff>74764</xdr:rowOff>
    </xdr:from>
    <xdr:ext cx="1000125" cy="591986"/>
    <xdr:pic>
      <xdr:nvPicPr>
        <xdr:cNvPr id="34" name="Imagen 33">
          <a:extLst>
            <a:ext uri="{FF2B5EF4-FFF2-40B4-BE49-F238E27FC236}">
              <a16:creationId xmlns:a16="http://schemas.microsoft.com/office/drawing/2014/main" id="{8A96A32F-EA57-4C68-A903-1DF009039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21" b="12990"/>
        <a:stretch/>
      </xdr:blipFill>
      <xdr:spPr>
        <a:xfrm>
          <a:off x="5572125" y="31050064"/>
          <a:ext cx="1000125" cy="591986"/>
        </a:xfrm>
        <a:prstGeom prst="rect">
          <a:avLst/>
        </a:prstGeom>
      </xdr:spPr>
    </xdr:pic>
    <xdr:clientData/>
  </xdr:oneCellAnchor>
  <xdr:oneCellAnchor>
    <xdr:from>
      <xdr:col>5</xdr:col>
      <xdr:colOff>176893</xdr:colOff>
      <xdr:row>33</xdr:row>
      <xdr:rowOff>274907</xdr:rowOff>
    </xdr:from>
    <xdr:ext cx="1183821" cy="193716"/>
    <xdr:pic>
      <xdr:nvPicPr>
        <xdr:cNvPr id="35" name="Imagen 9">
          <a:extLst>
            <a:ext uri="{FF2B5EF4-FFF2-40B4-BE49-F238E27FC236}">
              <a16:creationId xmlns:a16="http://schemas.microsoft.com/office/drawing/2014/main" id="{0F39B25C-ECB7-4E19-B60E-A4F5B151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66" b="40651"/>
        <a:stretch>
          <a:fillRect/>
        </a:stretch>
      </xdr:blipFill>
      <xdr:spPr bwMode="auto">
        <a:xfrm>
          <a:off x="5529943" y="7780607"/>
          <a:ext cx="1183821" cy="193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176893</xdr:colOff>
      <xdr:row>34</xdr:row>
      <xdr:rowOff>274907</xdr:rowOff>
    </xdr:from>
    <xdr:ext cx="1183821" cy="193716"/>
    <xdr:pic>
      <xdr:nvPicPr>
        <xdr:cNvPr id="36" name="Imagen 9">
          <a:extLst>
            <a:ext uri="{FF2B5EF4-FFF2-40B4-BE49-F238E27FC236}">
              <a16:creationId xmlns:a16="http://schemas.microsoft.com/office/drawing/2014/main" id="{0A60DD43-4B07-4A51-9FAF-2A4F6897E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66" b="40651"/>
        <a:stretch>
          <a:fillRect/>
        </a:stretch>
      </xdr:blipFill>
      <xdr:spPr bwMode="auto">
        <a:xfrm>
          <a:off x="5529943" y="8514032"/>
          <a:ext cx="1183821" cy="193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517072</xdr:colOff>
      <xdr:row>35</xdr:row>
      <xdr:rowOff>12247</xdr:rowOff>
    </xdr:from>
    <xdr:ext cx="466725" cy="733426"/>
    <xdr:pic>
      <xdr:nvPicPr>
        <xdr:cNvPr id="37" name="image16.png">
          <a:extLst>
            <a:ext uri="{FF2B5EF4-FFF2-40B4-BE49-F238E27FC236}">
              <a16:creationId xmlns:a16="http://schemas.microsoft.com/office/drawing/2014/main" id="{BB3507B3-546C-47F5-9241-69D3963CD0C6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870122" y="8984797"/>
          <a:ext cx="466725" cy="733426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36</xdr:row>
      <xdr:rowOff>136072</xdr:rowOff>
    </xdr:from>
    <xdr:ext cx="466725" cy="504825"/>
    <xdr:pic>
      <xdr:nvPicPr>
        <xdr:cNvPr id="38" name="image16.png">
          <a:extLst>
            <a:ext uri="{FF2B5EF4-FFF2-40B4-BE49-F238E27FC236}">
              <a16:creationId xmlns:a16="http://schemas.microsoft.com/office/drawing/2014/main" id="{1EA0EF32-6493-41CA-821F-086E800FD74F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848350" y="9842047"/>
          <a:ext cx="466725" cy="5048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552450</xdr:colOff>
      <xdr:row>32</xdr:row>
      <xdr:rowOff>95251</xdr:rowOff>
    </xdr:from>
    <xdr:ext cx="476250" cy="523874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572250" y="6134101"/>
          <a:ext cx="476250" cy="523874"/>
        </a:xfrm>
        <a:prstGeom prst="corner">
          <a:avLst>
            <a:gd name="adj1" fmla="val 18750"/>
            <a:gd name="adj2" fmla="val 18750"/>
          </a:avLst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609600</xdr:colOff>
      <xdr:row>34</xdr:row>
      <xdr:rowOff>180975</xdr:rowOff>
    </xdr:from>
    <xdr:ext cx="395081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629400" y="6953250"/>
          <a:ext cx="395081" cy="419100"/>
        </a:xfrm>
        <a:prstGeom prst="frame">
          <a:avLst>
            <a:gd name="adj1" fmla="val 12500"/>
          </a:avLst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623267</xdr:colOff>
      <xdr:row>31</xdr:row>
      <xdr:rowOff>173936</xdr:rowOff>
    </xdr:from>
    <xdr:ext cx="327162" cy="359878"/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DEAF47E2-511F-4240-813D-623376F8D138}"/>
            </a:ext>
          </a:extLst>
        </xdr:cNvPr>
        <xdr:cNvSpPr/>
      </xdr:nvSpPr>
      <xdr:spPr>
        <a:xfrm>
          <a:off x="6644724" y="6286501"/>
          <a:ext cx="327162" cy="359878"/>
        </a:xfrm>
        <a:prstGeom prst="corner">
          <a:avLst>
            <a:gd name="adj1" fmla="val 18750"/>
            <a:gd name="adj2" fmla="val 18750"/>
          </a:avLst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419100</xdr:colOff>
      <xdr:row>33</xdr:row>
      <xdr:rowOff>161925</xdr:rowOff>
    </xdr:from>
    <xdr:ext cx="685800" cy="381000"/>
    <xdr:pic>
      <xdr:nvPicPr>
        <xdr:cNvPr id="3" name="image21.jpg">
          <a:extLst>
            <a:ext uri="{FF2B5EF4-FFF2-40B4-BE49-F238E27FC236}">
              <a16:creationId xmlns:a16="http://schemas.microsoft.com/office/drawing/2014/main" id="{274D94DA-A300-49B4-8343-E037811978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38900" y="6934200"/>
          <a:ext cx="685800" cy="381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219076</xdr:colOff>
      <xdr:row>35</xdr:row>
      <xdr:rowOff>202941</xdr:rowOff>
    </xdr:from>
    <xdr:to>
      <xdr:col>5</xdr:col>
      <xdr:colOff>1343026</xdr:colOff>
      <xdr:row>35</xdr:row>
      <xdr:rowOff>557688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E3DFA2C-2334-F393-7568-C9D39C69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6" y="8442066"/>
          <a:ext cx="1123950" cy="354747"/>
        </a:xfrm>
        <a:prstGeom prst="rect">
          <a:avLst/>
        </a:prstGeom>
      </xdr:spPr>
    </xdr:pic>
    <xdr:clientData/>
  </xdr:twoCellAnchor>
  <xdr:oneCellAnchor>
    <xdr:from>
      <xdr:col>5</xdr:col>
      <xdr:colOff>219076</xdr:colOff>
      <xdr:row>36</xdr:row>
      <xdr:rowOff>202941</xdr:rowOff>
    </xdr:from>
    <xdr:ext cx="1123950" cy="354747"/>
    <xdr:pic>
      <xdr:nvPicPr>
        <xdr:cNvPr id="33" name="Imagen 32">
          <a:extLst>
            <a:ext uri="{FF2B5EF4-FFF2-40B4-BE49-F238E27FC236}">
              <a16:creationId xmlns:a16="http://schemas.microsoft.com/office/drawing/2014/main" id="{E2A43469-FAA6-40CC-A43D-DD212D6A4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6" y="8442066"/>
          <a:ext cx="1123950" cy="354747"/>
        </a:xfrm>
        <a:prstGeom prst="rect">
          <a:avLst/>
        </a:prstGeom>
      </xdr:spPr>
    </xdr:pic>
    <xdr:clientData/>
  </xdr:oneCellAnchor>
  <xdr:twoCellAnchor editAs="oneCell">
    <xdr:from>
      <xdr:col>5</xdr:col>
      <xdr:colOff>47625</xdr:colOff>
      <xdr:row>37</xdr:row>
      <xdr:rowOff>257555</xdr:rowOff>
    </xdr:from>
    <xdr:to>
      <xdr:col>5</xdr:col>
      <xdr:colOff>1419225</xdr:colOff>
      <xdr:row>37</xdr:row>
      <xdr:rowOff>482154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18492BA-1355-1670-0340-3CA192253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9963530"/>
          <a:ext cx="1371600" cy="224599"/>
        </a:xfrm>
        <a:prstGeom prst="rect">
          <a:avLst/>
        </a:prstGeom>
      </xdr:spPr>
    </xdr:pic>
    <xdr:clientData/>
  </xdr:twoCellAnchor>
  <xdr:oneCellAnchor>
    <xdr:from>
      <xdr:col>5</xdr:col>
      <xdr:colOff>47625</xdr:colOff>
      <xdr:row>38</xdr:row>
      <xdr:rowOff>257555</xdr:rowOff>
    </xdr:from>
    <xdr:ext cx="1371600" cy="224599"/>
    <xdr:pic>
      <xdr:nvPicPr>
        <xdr:cNvPr id="36" name="Imagen 35">
          <a:extLst>
            <a:ext uri="{FF2B5EF4-FFF2-40B4-BE49-F238E27FC236}">
              <a16:creationId xmlns:a16="http://schemas.microsoft.com/office/drawing/2014/main" id="{A9FE70EA-B1C5-4935-BE9D-36C7EDFB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9963530"/>
          <a:ext cx="1371600" cy="224599"/>
        </a:xfrm>
        <a:prstGeom prst="rect">
          <a:avLst/>
        </a:prstGeom>
      </xdr:spPr>
    </xdr:pic>
    <xdr:clientData/>
  </xdr:oneCellAnchor>
  <xdr:twoCellAnchor editAs="oneCell">
    <xdr:from>
      <xdr:col>5</xdr:col>
      <xdr:colOff>152400</xdr:colOff>
      <xdr:row>39</xdr:row>
      <xdr:rowOff>74895</xdr:rowOff>
    </xdr:from>
    <xdr:to>
      <xdr:col>5</xdr:col>
      <xdr:colOff>1323975</xdr:colOff>
      <xdr:row>39</xdr:row>
      <xdr:rowOff>673130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24D240E-847E-5BDF-B124-8145E14EF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11247720"/>
          <a:ext cx="1171575" cy="598235"/>
        </a:xfrm>
        <a:prstGeom prst="rect">
          <a:avLst/>
        </a:prstGeom>
      </xdr:spPr>
    </xdr:pic>
    <xdr:clientData/>
  </xdr:twoCellAnchor>
  <xdr:oneCellAnchor>
    <xdr:from>
      <xdr:col>5</xdr:col>
      <xdr:colOff>152400</xdr:colOff>
      <xdr:row>40</xdr:row>
      <xdr:rowOff>74895</xdr:rowOff>
    </xdr:from>
    <xdr:ext cx="1171575" cy="598235"/>
    <xdr:pic>
      <xdr:nvPicPr>
        <xdr:cNvPr id="39" name="Imagen 38">
          <a:extLst>
            <a:ext uri="{FF2B5EF4-FFF2-40B4-BE49-F238E27FC236}">
              <a16:creationId xmlns:a16="http://schemas.microsoft.com/office/drawing/2014/main" id="{18258D13-76DD-4BAD-A37A-DCC44C007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11247720"/>
          <a:ext cx="1171575" cy="598235"/>
        </a:xfrm>
        <a:prstGeom prst="rect">
          <a:avLst/>
        </a:prstGeom>
      </xdr:spPr>
    </xdr:pic>
    <xdr:clientData/>
  </xdr:oneCellAnchor>
  <xdr:twoCellAnchor editAs="oneCell">
    <xdr:from>
      <xdr:col>5</xdr:col>
      <xdr:colOff>247650</xdr:colOff>
      <xdr:row>41</xdr:row>
      <xdr:rowOff>53648</xdr:rowOff>
    </xdr:from>
    <xdr:to>
      <xdr:col>5</xdr:col>
      <xdr:colOff>1276350</xdr:colOff>
      <xdr:row>41</xdr:row>
      <xdr:rowOff>689513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3BD9857-D220-D57F-3D46-617A6C0D9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2693323"/>
          <a:ext cx="1028700" cy="635865"/>
        </a:xfrm>
        <a:prstGeom prst="rect">
          <a:avLst/>
        </a:prstGeom>
      </xdr:spPr>
    </xdr:pic>
    <xdr:clientData/>
  </xdr:twoCellAnchor>
  <xdr:oneCellAnchor>
    <xdr:from>
      <xdr:col>5</xdr:col>
      <xdr:colOff>247650</xdr:colOff>
      <xdr:row>42</xdr:row>
      <xdr:rowOff>53648</xdr:rowOff>
    </xdr:from>
    <xdr:ext cx="1028700" cy="635865"/>
    <xdr:pic>
      <xdr:nvPicPr>
        <xdr:cNvPr id="44" name="Imagen 43">
          <a:extLst>
            <a:ext uri="{FF2B5EF4-FFF2-40B4-BE49-F238E27FC236}">
              <a16:creationId xmlns:a16="http://schemas.microsoft.com/office/drawing/2014/main" id="{9B5557D9-CF3F-48DD-814F-49E3DC60E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3426748"/>
          <a:ext cx="1028700" cy="635865"/>
        </a:xfrm>
        <a:prstGeom prst="rect">
          <a:avLst/>
        </a:prstGeom>
      </xdr:spPr>
    </xdr:pic>
    <xdr:clientData/>
  </xdr:oneCellAnchor>
  <xdr:twoCellAnchor editAs="oneCell">
    <xdr:from>
      <xdr:col>5</xdr:col>
      <xdr:colOff>154870</xdr:colOff>
      <xdr:row>43</xdr:row>
      <xdr:rowOff>125429</xdr:rowOff>
    </xdr:from>
    <xdr:to>
      <xdr:col>5</xdr:col>
      <xdr:colOff>1314450</xdr:colOff>
      <xdr:row>43</xdr:row>
      <xdr:rowOff>631118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ED2075AA-3D64-5239-D789-62EFCE4D1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501615" y="14638434"/>
          <a:ext cx="505689" cy="1159580"/>
        </a:xfrm>
        <a:prstGeom prst="rect">
          <a:avLst/>
        </a:prstGeom>
      </xdr:spPr>
    </xdr:pic>
    <xdr:clientData/>
  </xdr:twoCellAnchor>
  <xdr:oneCellAnchor>
    <xdr:from>
      <xdr:col>5</xdr:col>
      <xdr:colOff>154870</xdr:colOff>
      <xdr:row>45</xdr:row>
      <xdr:rowOff>125429</xdr:rowOff>
    </xdr:from>
    <xdr:ext cx="1159580" cy="505689"/>
    <xdr:pic>
      <xdr:nvPicPr>
        <xdr:cNvPr id="50" name="Imagen 49">
          <a:extLst>
            <a:ext uri="{FF2B5EF4-FFF2-40B4-BE49-F238E27FC236}">
              <a16:creationId xmlns:a16="http://schemas.microsoft.com/office/drawing/2014/main" id="{BF82A99C-FD7C-47E1-805C-75C7AB17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501615" y="14638434"/>
          <a:ext cx="505689" cy="1159580"/>
        </a:xfrm>
        <a:prstGeom prst="rect">
          <a:avLst/>
        </a:prstGeom>
      </xdr:spPr>
    </xdr:pic>
    <xdr:clientData/>
  </xdr:oneCellAnchor>
  <xdr:twoCellAnchor editAs="oneCell">
    <xdr:from>
      <xdr:col>5</xdr:col>
      <xdr:colOff>123826</xdr:colOff>
      <xdr:row>52</xdr:row>
      <xdr:rowOff>154042</xdr:rowOff>
    </xdr:from>
    <xdr:to>
      <xdr:col>5</xdr:col>
      <xdr:colOff>1390650</xdr:colOff>
      <xdr:row>52</xdr:row>
      <xdr:rowOff>606932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12AE40E7-DA71-5565-ED96-9D9F99F0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17194267"/>
          <a:ext cx="1266824" cy="452890"/>
        </a:xfrm>
        <a:prstGeom prst="rect">
          <a:avLst/>
        </a:prstGeom>
      </xdr:spPr>
    </xdr:pic>
    <xdr:clientData/>
  </xdr:twoCellAnchor>
  <xdr:oneCellAnchor>
    <xdr:from>
      <xdr:col>5</xdr:col>
      <xdr:colOff>123826</xdr:colOff>
      <xdr:row>53</xdr:row>
      <xdr:rowOff>154042</xdr:rowOff>
    </xdr:from>
    <xdr:ext cx="1266824" cy="452890"/>
    <xdr:pic>
      <xdr:nvPicPr>
        <xdr:cNvPr id="53" name="Imagen 52">
          <a:extLst>
            <a:ext uri="{FF2B5EF4-FFF2-40B4-BE49-F238E27FC236}">
              <a16:creationId xmlns:a16="http://schemas.microsoft.com/office/drawing/2014/main" id="{46E6D2E1-0AE7-43EB-A319-E6BFF0A4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17194267"/>
          <a:ext cx="1266824" cy="452890"/>
        </a:xfrm>
        <a:prstGeom prst="rect">
          <a:avLst/>
        </a:prstGeom>
      </xdr:spPr>
    </xdr:pic>
    <xdr:clientData/>
  </xdr:oneCellAnchor>
  <xdr:oneCellAnchor>
    <xdr:from>
      <xdr:col>5</xdr:col>
      <xdr:colOff>123826</xdr:colOff>
      <xdr:row>54</xdr:row>
      <xdr:rowOff>154042</xdr:rowOff>
    </xdr:from>
    <xdr:ext cx="1266824" cy="452890"/>
    <xdr:pic>
      <xdr:nvPicPr>
        <xdr:cNvPr id="54" name="Imagen 53">
          <a:extLst>
            <a:ext uri="{FF2B5EF4-FFF2-40B4-BE49-F238E27FC236}">
              <a16:creationId xmlns:a16="http://schemas.microsoft.com/office/drawing/2014/main" id="{A1B8A58A-296F-4177-8058-64138C9DB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17194267"/>
          <a:ext cx="1266824" cy="452890"/>
        </a:xfrm>
        <a:prstGeom prst="rect">
          <a:avLst/>
        </a:prstGeom>
      </xdr:spPr>
    </xdr:pic>
    <xdr:clientData/>
  </xdr:oneCellAnchor>
  <xdr:twoCellAnchor editAs="oneCell">
    <xdr:from>
      <xdr:col>5</xdr:col>
      <xdr:colOff>114300</xdr:colOff>
      <xdr:row>55</xdr:row>
      <xdr:rowOff>203864</xdr:rowOff>
    </xdr:from>
    <xdr:to>
      <xdr:col>5</xdr:col>
      <xdr:colOff>1400175</xdr:colOff>
      <xdr:row>55</xdr:row>
      <xdr:rowOff>561498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C5160516-841B-FCA3-376D-52F792AF8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9444364"/>
          <a:ext cx="1285875" cy="357634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56</xdr:row>
      <xdr:rowOff>203864</xdr:rowOff>
    </xdr:from>
    <xdr:ext cx="1285875" cy="357634"/>
    <xdr:pic>
      <xdr:nvPicPr>
        <xdr:cNvPr id="57" name="Imagen 56">
          <a:extLst>
            <a:ext uri="{FF2B5EF4-FFF2-40B4-BE49-F238E27FC236}">
              <a16:creationId xmlns:a16="http://schemas.microsoft.com/office/drawing/2014/main" id="{73DD6F75-0086-4707-BB24-E1DC679B3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9444364"/>
          <a:ext cx="1285875" cy="357634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57</xdr:row>
      <xdr:rowOff>203864</xdr:rowOff>
    </xdr:from>
    <xdr:ext cx="1285875" cy="357634"/>
    <xdr:pic>
      <xdr:nvPicPr>
        <xdr:cNvPr id="58" name="Imagen 57">
          <a:extLst>
            <a:ext uri="{FF2B5EF4-FFF2-40B4-BE49-F238E27FC236}">
              <a16:creationId xmlns:a16="http://schemas.microsoft.com/office/drawing/2014/main" id="{4A1A067A-315E-4583-A096-E60342CAE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9444364"/>
          <a:ext cx="1285875" cy="357634"/>
        </a:xfrm>
        <a:prstGeom prst="rect">
          <a:avLst/>
        </a:prstGeom>
      </xdr:spPr>
    </xdr:pic>
    <xdr:clientData/>
  </xdr:oneCellAnchor>
  <xdr:twoCellAnchor editAs="oneCell">
    <xdr:from>
      <xdr:col>5</xdr:col>
      <xdr:colOff>352426</xdr:colOff>
      <xdr:row>60</xdr:row>
      <xdr:rowOff>68837</xdr:rowOff>
    </xdr:from>
    <xdr:to>
      <xdr:col>5</xdr:col>
      <xdr:colOff>1171576</xdr:colOff>
      <xdr:row>60</xdr:row>
      <xdr:rowOff>681771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36721C56-7D80-9CE0-F404-64A3B1537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6" y="22976462"/>
          <a:ext cx="819150" cy="612934"/>
        </a:xfrm>
        <a:prstGeom prst="rect">
          <a:avLst/>
        </a:prstGeom>
      </xdr:spPr>
    </xdr:pic>
    <xdr:clientData/>
  </xdr:twoCellAnchor>
  <xdr:oneCellAnchor>
    <xdr:from>
      <xdr:col>5</xdr:col>
      <xdr:colOff>352426</xdr:colOff>
      <xdr:row>61</xdr:row>
      <xdr:rowOff>68837</xdr:rowOff>
    </xdr:from>
    <xdr:ext cx="819150" cy="612934"/>
    <xdr:pic>
      <xdr:nvPicPr>
        <xdr:cNvPr id="68" name="Imagen 67">
          <a:extLst>
            <a:ext uri="{FF2B5EF4-FFF2-40B4-BE49-F238E27FC236}">
              <a16:creationId xmlns:a16="http://schemas.microsoft.com/office/drawing/2014/main" id="{75B66DBC-8E27-4329-A8C0-A2B054F4E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6" y="22976462"/>
          <a:ext cx="819150" cy="612934"/>
        </a:xfrm>
        <a:prstGeom prst="rect">
          <a:avLst/>
        </a:prstGeom>
      </xdr:spPr>
    </xdr:pic>
    <xdr:clientData/>
  </xdr:oneCellAnchor>
  <xdr:twoCellAnchor editAs="oneCell">
    <xdr:from>
      <xdr:col>5</xdr:col>
      <xdr:colOff>336177</xdr:colOff>
      <xdr:row>62</xdr:row>
      <xdr:rowOff>77096</xdr:rowOff>
    </xdr:from>
    <xdr:to>
      <xdr:col>5</xdr:col>
      <xdr:colOff>1120588</xdr:colOff>
      <xdr:row>62</xdr:row>
      <xdr:rowOff>704624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30D2EE9F-C282-EBC4-67AB-DFC9E79AD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736" y="24225772"/>
          <a:ext cx="784411" cy="627528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224117</xdr:colOff>
      <xdr:row>63</xdr:row>
      <xdr:rowOff>53684</xdr:rowOff>
    </xdr:from>
    <xdr:to>
      <xdr:col>5</xdr:col>
      <xdr:colOff>1311088</xdr:colOff>
      <xdr:row>63</xdr:row>
      <xdr:rowOff>680051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CD179366-769D-466C-BBE0-269DCB8FD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1676" y="24930743"/>
          <a:ext cx="1086971" cy="626367"/>
        </a:xfrm>
        <a:prstGeom prst="rect">
          <a:avLst/>
        </a:prstGeom>
      </xdr:spPr>
    </xdr:pic>
    <xdr:clientData/>
  </xdr:twoCellAnchor>
  <xdr:oneCellAnchor>
    <xdr:from>
      <xdr:col>5</xdr:col>
      <xdr:colOff>648115</xdr:colOff>
      <xdr:row>30</xdr:row>
      <xdr:rowOff>171658</xdr:rowOff>
    </xdr:from>
    <xdr:ext cx="329232" cy="36215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1FA41BB-4C2E-4D70-8747-90D22E85C4F5}"/>
            </a:ext>
          </a:extLst>
        </xdr:cNvPr>
        <xdr:cNvSpPr/>
      </xdr:nvSpPr>
      <xdr:spPr>
        <a:xfrm>
          <a:off x="6669572" y="5547071"/>
          <a:ext cx="329232" cy="362155"/>
        </a:xfrm>
        <a:prstGeom prst="corner">
          <a:avLst>
            <a:gd name="adj1" fmla="val 10710"/>
            <a:gd name="adj2" fmla="val 10710"/>
          </a:avLst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5</xdr:col>
      <xdr:colOff>228600</xdr:colOff>
      <xdr:row>46</xdr:row>
      <xdr:rowOff>47624</xdr:rowOff>
    </xdr:from>
    <xdr:to>
      <xdr:col>5</xdr:col>
      <xdr:colOff>1256685</xdr:colOff>
      <xdr:row>46</xdr:row>
      <xdr:rowOff>685037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9030E68-4099-2435-49B2-C87D74A59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16354424"/>
          <a:ext cx="1028085" cy="637413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47</xdr:row>
      <xdr:rowOff>47624</xdr:rowOff>
    </xdr:from>
    <xdr:ext cx="1028085" cy="637413"/>
    <xdr:pic>
      <xdr:nvPicPr>
        <xdr:cNvPr id="16" name="Imagen 15">
          <a:extLst>
            <a:ext uri="{FF2B5EF4-FFF2-40B4-BE49-F238E27FC236}">
              <a16:creationId xmlns:a16="http://schemas.microsoft.com/office/drawing/2014/main" id="{D0CEDFAD-4CB8-4774-A9E7-BBBDFE80E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16354424"/>
          <a:ext cx="1028085" cy="637413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48</xdr:row>
      <xdr:rowOff>47624</xdr:rowOff>
    </xdr:from>
    <xdr:ext cx="1028085" cy="637413"/>
    <xdr:pic>
      <xdr:nvPicPr>
        <xdr:cNvPr id="17" name="Imagen 16">
          <a:extLst>
            <a:ext uri="{FF2B5EF4-FFF2-40B4-BE49-F238E27FC236}">
              <a16:creationId xmlns:a16="http://schemas.microsoft.com/office/drawing/2014/main" id="{45478AA3-9278-47AC-B976-C918B394D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16354424"/>
          <a:ext cx="1028085" cy="637413"/>
        </a:xfrm>
        <a:prstGeom prst="rect">
          <a:avLst/>
        </a:prstGeom>
      </xdr:spPr>
    </xdr:pic>
    <xdr:clientData/>
  </xdr:oneCellAnchor>
  <xdr:twoCellAnchor editAs="oneCell">
    <xdr:from>
      <xdr:col>5</xdr:col>
      <xdr:colOff>114300</xdr:colOff>
      <xdr:row>49</xdr:row>
      <xdr:rowOff>73104</xdr:rowOff>
    </xdr:from>
    <xdr:to>
      <xdr:col>5</xdr:col>
      <xdr:colOff>1409700</xdr:colOff>
      <xdr:row>49</xdr:row>
      <xdr:rowOff>664940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3469C6A-B26F-CCB0-C217-F9482F0B1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8580179"/>
          <a:ext cx="1295400" cy="591836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50</xdr:row>
      <xdr:rowOff>73104</xdr:rowOff>
    </xdr:from>
    <xdr:ext cx="1295400" cy="591836"/>
    <xdr:pic>
      <xdr:nvPicPr>
        <xdr:cNvPr id="20" name="Imagen 19">
          <a:extLst>
            <a:ext uri="{FF2B5EF4-FFF2-40B4-BE49-F238E27FC236}">
              <a16:creationId xmlns:a16="http://schemas.microsoft.com/office/drawing/2014/main" id="{5618A5F6-E2F4-4626-A284-69D54B29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8580179"/>
          <a:ext cx="1295400" cy="591836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51</xdr:row>
      <xdr:rowOff>73104</xdr:rowOff>
    </xdr:from>
    <xdr:ext cx="1295400" cy="591836"/>
    <xdr:pic>
      <xdr:nvPicPr>
        <xdr:cNvPr id="21" name="Imagen 20">
          <a:extLst>
            <a:ext uri="{FF2B5EF4-FFF2-40B4-BE49-F238E27FC236}">
              <a16:creationId xmlns:a16="http://schemas.microsoft.com/office/drawing/2014/main" id="{3CBD479B-1788-421F-BCD2-B04ECEE25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8580179"/>
          <a:ext cx="1295400" cy="591836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0</xdr:row>
      <xdr:rowOff>0</xdr:rowOff>
    </xdr:from>
    <xdr:to>
      <xdr:col>3</xdr:col>
      <xdr:colOff>188200</xdr:colOff>
      <xdr:row>9</xdr:row>
      <xdr:rowOff>43543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E8F0A6F-F42A-46D5-880C-6A57EEB662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" b="11766"/>
        <a:stretch/>
      </xdr:blipFill>
      <xdr:spPr>
        <a:xfrm>
          <a:off x="381000" y="0"/>
          <a:ext cx="2867446" cy="160564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285751</xdr:colOff>
      <xdr:row>58</xdr:row>
      <xdr:rowOff>73182</xdr:rowOff>
    </xdr:from>
    <xdr:to>
      <xdr:col>5</xdr:col>
      <xdr:colOff>1306287</xdr:colOff>
      <xdr:row>58</xdr:row>
      <xdr:rowOff>676574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F4F3CBC-455F-49BB-A3FF-735296815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1" y="25181082"/>
          <a:ext cx="1020536" cy="603392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285751</xdr:colOff>
      <xdr:row>59</xdr:row>
      <xdr:rowOff>73182</xdr:rowOff>
    </xdr:from>
    <xdr:to>
      <xdr:col>5</xdr:col>
      <xdr:colOff>1306287</xdr:colOff>
      <xdr:row>59</xdr:row>
      <xdr:rowOff>676574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19B6076-F360-43B7-9F6F-5AA093575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1" y="25181082"/>
          <a:ext cx="1020536" cy="603392"/>
        </a:xfrm>
        <a:prstGeom prst="rect">
          <a:avLst/>
        </a:prstGeom>
      </xdr:spPr>
    </xdr:pic>
    <xdr:clientData/>
  </xdr:twoCellAnchor>
  <xdr:oneCellAnchor>
    <xdr:from>
      <xdr:col>5</xdr:col>
      <xdr:colOff>154870</xdr:colOff>
      <xdr:row>44</xdr:row>
      <xdr:rowOff>125429</xdr:rowOff>
    </xdr:from>
    <xdr:ext cx="1159580" cy="505689"/>
    <xdr:pic>
      <xdr:nvPicPr>
        <xdr:cNvPr id="6" name="Imagen 5">
          <a:extLst>
            <a:ext uri="{FF2B5EF4-FFF2-40B4-BE49-F238E27FC236}">
              <a16:creationId xmlns:a16="http://schemas.microsoft.com/office/drawing/2014/main" id="{5FC4F959-71C4-4FB6-AB40-25ED3AAA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917994" y="16276734"/>
          <a:ext cx="505689" cy="115958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17318</xdr:colOff>
      <xdr:row>0</xdr:row>
      <xdr:rowOff>0</xdr:rowOff>
    </xdr:from>
    <xdr:to>
      <xdr:col>3</xdr:col>
      <xdr:colOff>720618</xdr:colOff>
      <xdr:row>4</xdr:row>
      <xdr:rowOff>2020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E016C7-816C-4959-84E1-B0F6308E2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" b="11766"/>
        <a:stretch/>
      </xdr:blipFill>
      <xdr:spPr>
        <a:xfrm>
          <a:off x="450273" y="0"/>
          <a:ext cx="3093209" cy="17338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11206</xdr:colOff>
      <xdr:row>0</xdr:row>
      <xdr:rowOff>0</xdr:rowOff>
    </xdr:from>
    <xdr:ext cx="1479280" cy="1118989"/>
    <xdr:pic>
      <xdr:nvPicPr>
        <xdr:cNvPr id="4" name="1 Imagen" descr="PEDREGAL_24-F14-Model.jpg">
          <a:extLst>
            <a:ext uri="{FF2B5EF4-FFF2-40B4-BE49-F238E27FC236}">
              <a16:creationId xmlns:a16="http://schemas.microsoft.com/office/drawing/2014/main" id="{FB850AC3-F9DD-46CA-8B60-343E8710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39001" y="-180145"/>
          <a:ext cx="1118989" cy="147928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BB3F8-C948-4DA8-868D-EA98FAB3FD53}" name="Table1" displayName="Table1" ref="A1:K2" totalsRowShown="0" headerRowDxfId="0">
  <autoFilter ref="A1:K2" xr:uid="{96EBB3F8-C948-4DA8-868D-EA98FAB3FD53}"/>
  <tableColumns count="11">
    <tableColumn id="1" xr3:uid="{1C2CCE26-03FF-485A-87AD-C453D13ED065}" name="PROYECTO">
      <calculatedColumnFormula>F19</calculatedColumnFormula>
    </tableColumn>
    <tableColumn id="2" xr3:uid="{B0B421B7-A836-46D5-AB8E-D7D3283305BC}" name="PEDIDO">
      <calculatedColumnFormula>D14</calculatedColumnFormula>
    </tableColumn>
    <tableColumn id="3" xr3:uid="{CFE003CA-FFB6-4680-BE21-DC069822E1D9}" name="Column1"/>
    <tableColumn id="4" xr3:uid="{9B9944BE-AD6C-4E07-B37B-E545DF9B7955}" name="CLAN">
      <calculatedColumnFormula>F20</calculatedColumnFormula>
    </tableColumn>
    <tableColumn id="5" xr3:uid="{25F73F43-0387-4A3C-8004-F52C5FBD803C}" name="FAMILIA">
      <calculatedColumnFormula>D15</calculatedColumnFormula>
    </tableColumn>
    <tableColumn id="6" xr3:uid="{EDB57A59-C303-4F71-B4BD-B8631C1D913A}" name="PROVEEDOR">
      <calculatedColumnFormula>F6</calculatedColumnFormula>
    </tableColumn>
    <tableColumn id="7" xr3:uid="{A294F311-EFBC-4B59-984A-987DCAA460AD}" name="FECHA DE APROBACION">
      <calculatedColumnFormula>E58</calculatedColumnFormula>
    </tableColumn>
    <tableColumn id="8" xr3:uid="{E615E5C6-2347-47A0-858E-D038632F1B09}" name="LUGAR DE ENTREGA">
      <calculatedColumnFormula>F22</calculatedColumnFormula>
    </tableColumn>
    <tableColumn id="9" xr3:uid="{B949A75F-6161-4369-9944-309E5D7D85FD}" name="CONCEPTO">
      <calculatedColumnFormula>D16</calculatedColumnFormula>
    </tableColumn>
    <tableColumn id="10" xr3:uid="{8E1BD4E8-1B65-49AF-A212-1BAB785297E3}" name="SITUACIONES ESPECIALES">
      <calculatedColumnFormula>O61</calculatedColumnFormula>
    </tableColumn>
    <tableColumn id="11" xr3:uid="{84825D6B-CB02-479E-9EB6-353E40A2BB85}" name="IMPORTE">
      <calculatedColumnFormula>P66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briela@heg.com.mx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abriela@heg.com.m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gabriela@heg.com.m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gabriela@heg.com.mx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A111-19FC-4811-83B4-F48F8E468AF8}">
  <sheetPr>
    <tabColor rgb="FFFFFF00"/>
    <pageSetUpPr fitToPage="1"/>
  </sheetPr>
  <dimension ref="A1:U1001"/>
  <sheetViews>
    <sheetView tabSelected="1" topLeftCell="A3" zoomScaleNormal="100" zoomScaleSheetLayoutView="85" workbookViewId="0">
      <selection activeCell="I10" sqref="I10"/>
    </sheetView>
  </sheetViews>
  <sheetFormatPr defaultColWidth="14.42578125" defaultRowHeight="15" customHeight="1" x14ac:dyDescent="0.25"/>
  <cols>
    <col min="1" max="1" width="12.42578125" customWidth="1"/>
    <col min="2" max="2" width="10.85546875" customWidth="1"/>
    <col min="3" max="3" width="30.7109375" hidden="1" customWidth="1"/>
    <col min="4" max="5" width="30.7109375" customWidth="1"/>
    <col min="6" max="6" width="22.42578125" customWidth="1"/>
    <col min="7" max="7" width="24" customWidth="1"/>
    <col min="8" max="8" width="20.28515625" customWidth="1"/>
    <col min="9" max="9" width="13.7109375" customWidth="1"/>
    <col min="10" max="10" width="25.28515625" customWidth="1"/>
    <col min="11" max="11" width="16.28515625" customWidth="1"/>
    <col min="12" max="12" width="10.42578125" customWidth="1"/>
    <col min="13" max="14" width="11.85546875" customWidth="1"/>
    <col min="15" max="15" width="10.7109375" customWidth="1"/>
    <col min="16" max="16" width="20.7109375" customWidth="1"/>
    <col min="17" max="17" width="3.5703125" customWidth="1"/>
    <col min="18" max="18" width="15.7109375" customWidth="1"/>
    <col min="19" max="20" width="15.7109375" style="263" customWidth="1"/>
    <col min="21" max="21" width="25.7109375" style="263" customWidth="1"/>
  </cols>
  <sheetData>
    <row r="1" spans="1:11" ht="15" hidden="1" customHeight="1" x14ac:dyDescent="0.25">
      <c r="A1" s="694" t="s">
        <v>319</v>
      </c>
      <c r="B1" s="694" t="s">
        <v>60</v>
      </c>
      <c r="C1" t="s">
        <v>323</v>
      </c>
      <c r="D1" s="694" t="s">
        <v>320</v>
      </c>
      <c r="E1" s="694" t="s">
        <v>311</v>
      </c>
      <c r="F1" s="694" t="s">
        <v>61</v>
      </c>
      <c r="G1" s="694" t="s">
        <v>318</v>
      </c>
      <c r="H1" s="694" t="s">
        <v>321</v>
      </c>
      <c r="I1" s="694" t="s">
        <v>313</v>
      </c>
      <c r="J1" s="694" t="s">
        <v>322</v>
      </c>
      <c r="K1" s="694" t="s">
        <v>95</v>
      </c>
    </row>
    <row r="2" spans="1:11" ht="15" hidden="1" customHeight="1" x14ac:dyDescent="0.25">
      <c r="A2" t="str">
        <f>F19</f>
        <v>00266 GRAND HYATT CANCUN</v>
      </c>
      <c r="B2" t="str">
        <f>D14</f>
        <v>317 A</v>
      </c>
      <c r="D2" t="str">
        <f>F20</f>
        <v>MATERIALES</v>
      </c>
      <c r="E2" t="str">
        <f>D15</f>
        <v>AL</v>
      </c>
      <c r="F2" s="699" t="str">
        <f>F6</f>
        <v>ALUBIN DE MEXICO, S. A. DE C. V.</v>
      </c>
      <c r="G2" s="700">
        <f>E58</f>
        <v>45971</v>
      </c>
      <c r="H2" t="str">
        <f>F22</f>
        <v>TLATILCO 112</v>
      </c>
      <c r="I2" t="str">
        <f>D16</f>
        <v>PERFILES DE ALUMINIO</v>
      </c>
      <c r="J2" t="str">
        <f>O61</f>
        <v>AMORTIZACION S/FACT. 1757 100% ANTICIPO</v>
      </c>
      <c r="K2" s="701">
        <f>P66</f>
        <v>0</v>
      </c>
    </row>
    <row r="3" spans="1:11" x14ac:dyDescent="0.25">
      <c r="C3" s="8"/>
    </row>
    <row r="4" spans="1:11" ht="13.5" customHeight="1" x14ac:dyDescent="0.25">
      <c r="B4" s="9"/>
      <c r="C4" s="10"/>
      <c r="D4" s="11"/>
      <c r="F4" s="12" t="s">
        <v>289</v>
      </c>
    </row>
    <row r="5" spans="1:11" ht="13.5" customHeight="1" thickBot="1" x14ac:dyDescent="0.3">
      <c r="B5" s="9"/>
      <c r="C5" s="10"/>
      <c r="D5" s="12"/>
      <c r="F5" s="11"/>
    </row>
    <row r="6" spans="1:11" ht="13.5" customHeight="1" thickBot="1" x14ac:dyDescent="0.3">
      <c r="B6" s="9"/>
      <c r="C6" s="10"/>
      <c r="D6" s="12"/>
      <c r="E6" s="695" t="s">
        <v>315</v>
      </c>
      <c r="F6" s="13" t="s">
        <v>63</v>
      </c>
    </row>
    <row r="7" spans="1:11" ht="13.5" customHeight="1" x14ac:dyDescent="0.25">
      <c r="B7" s="9"/>
      <c r="C7" s="10"/>
      <c r="D7" s="12"/>
      <c r="F7" s="14" t="s">
        <v>64</v>
      </c>
    </row>
    <row r="8" spans="1:11" ht="13.5" customHeight="1" x14ac:dyDescent="0.25">
      <c r="B8" s="9"/>
      <c r="C8" s="10"/>
      <c r="D8" s="12"/>
      <c r="F8" s="14" t="s">
        <v>65</v>
      </c>
    </row>
    <row r="9" spans="1:11" ht="13.5" customHeight="1" x14ac:dyDescent="0.25">
      <c r="B9" s="9"/>
      <c r="C9" s="10"/>
      <c r="D9" s="12"/>
      <c r="F9" s="14" t="s">
        <v>66</v>
      </c>
    </row>
    <row r="10" spans="1:11" ht="13.5" customHeight="1" x14ac:dyDescent="0.25">
      <c r="B10" s="9"/>
      <c r="C10" s="10"/>
      <c r="D10" s="12"/>
      <c r="F10" s="14" t="s">
        <v>67</v>
      </c>
    </row>
    <row r="11" spans="1:11" ht="13.5" customHeight="1" x14ac:dyDescent="0.25">
      <c r="B11" s="12"/>
      <c r="C11" s="8"/>
      <c r="D11" s="12"/>
      <c r="F11" s="14" t="s">
        <v>68</v>
      </c>
    </row>
    <row r="12" spans="1:11" ht="13.5" customHeight="1" x14ac:dyDescent="0.25">
      <c r="B12" s="9"/>
      <c r="C12" s="10"/>
      <c r="D12" s="15"/>
      <c r="F12" s="14" t="s">
        <v>69</v>
      </c>
    </row>
    <row r="13" spans="1:11" ht="13.5" customHeight="1" thickBot="1" x14ac:dyDescent="0.3">
      <c r="B13" s="15"/>
      <c r="C13" s="16"/>
      <c r="D13" s="15"/>
      <c r="F13" s="14" t="s">
        <v>70</v>
      </c>
    </row>
    <row r="14" spans="1:11" ht="13.5" customHeight="1" thickBot="1" x14ac:dyDescent="0.3">
      <c r="B14" s="15" t="s">
        <v>316</v>
      </c>
      <c r="C14" s="16"/>
      <c r="D14" s="692" t="s">
        <v>310</v>
      </c>
      <c r="F14" s="12"/>
    </row>
    <row r="15" spans="1:11" ht="13.5" customHeight="1" thickBot="1" x14ac:dyDescent="0.3">
      <c r="B15" s="261" t="s">
        <v>317</v>
      </c>
      <c r="C15" s="16"/>
      <c r="D15" s="692" t="s">
        <v>312</v>
      </c>
      <c r="F15" s="12" t="s">
        <v>72</v>
      </c>
    </row>
    <row r="16" spans="1:11" ht="13.5" customHeight="1" thickBot="1" x14ac:dyDescent="0.3">
      <c r="B16" s="261" t="s">
        <v>2</v>
      </c>
      <c r="C16" s="16"/>
      <c r="D16" s="692" t="s">
        <v>314</v>
      </c>
      <c r="F16" s="12"/>
    </row>
    <row r="17" spans="2:21" ht="13.5" customHeight="1" x14ac:dyDescent="0.25">
      <c r="B17" s="262" t="s">
        <v>244</v>
      </c>
      <c r="C17" s="16"/>
      <c r="D17" s="15"/>
      <c r="F17" s="12" t="s">
        <v>73</v>
      </c>
    </row>
    <row r="18" spans="2:21" ht="13.5" customHeight="1" thickBot="1" x14ac:dyDescent="0.3">
      <c r="B18" s="477" t="s">
        <v>291</v>
      </c>
      <c r="C18" s="10"/>
      <c r="D18" s="9"/>
      <c r="E18" s="19"/>
      <c r="F18" s="11"/>
    </row>
    <row r="19" spans="2:21" ht="13.5" customHeight="1" thickBot="1" x14ac:dyDescent="0.3">
      <c r="B19" s="18"/>
      <c r="C19" s="10"/>
      <c r="D19" s="9"/>
      <c r="E19" s="693" t="s">
        <v>0</v>
      </c>
      <c r="F19" s="15" t="s">
        <v>11</v>
      </c>
    </row>
    <row r="20" spans="2:21" ht="13.5" customHeight="1" thickBot="1" x14ac:dyDescent="0.3">
      <c r="C20" s="10"/>
      <c r="D20" s="9"/>
      <c r="E20" s="693" t="s">
        <v>74</v>
      </c>
      <c r="F20" s="15" t="s">
        <v>75</v>
      </c>
      <c r="G20" s="14"/>
      <c r="H20" s="12"/>
      <c r="I20" s="12"/>
      <c r="J20" s="15"/>
      <c r="K20" s="12"/>
      <c r="L20" s="12"/>
      <c r="M20" s="12"/>
      <c r="N20" s="12"/>
      <c r="O20" s="12"/>
      <c r="P20" s="21"/>
      <c r="Q20" s="21"/>
      <c r="R20" s="19"/>
      <c r="S20" s="19"/>
      <c r="T20" s="19"/>
      <c r="U20" s="9"/>
    </row>
    <row r="21" spans="2:21" ht="13.5" customHeight="1" thickBot="1" x14ac:dyDescent="0.3">
      <c r="C21" s="10"/>
      <c r="D21" s="17"/>
      <c r="E21" s="12"/>
      <c r="F21" s="15"/>
      <c r="G21" s="14"/>
      <c r="H21" s="12"/>
      <c r="I21" s="12"/>
      <c r="J21" s="15"/>
      <c r="K21" s="12"/>
      <c r="L21" s="12"/>
      <c r="M21" s="15"/>
      <c r="N21" s="12"/>
      <c r="O21" s="12"/>
      <c r="P21" s="21"/>
      <c r="Q21" s="21"/>
      <c r="R21" s="19"/>
      <c r="S21" s="19"/>
      <c r="T21" s="19"/>
      <c r="U21" s="9"/>
    </row>
    <row r="22" spans="2:21" ht="13.5" customHeight="1" thickBot="1" x14ac:dyDescent="0.3">
      <c r="B22" s="9"/>
      <c r="C22" s="10"/>
      <c r="D22" s="17"/>
      <c r="E22" s="693" t="s">
        <v>76</v>
      </c>
      <c r="F22" s="17" t="s">
        <v>77</v>
      </c>
      <c r="G22" s="14"/>
      <c r="H22" s="12"/>
      <c r="I22" s="12"/>
      <c r="J22" s="15"/>
      <c r="K22" s="12"/>
      <c r="L22" s="12"/>
      <c r="M22" s="12"/>
      <c r="N22" s="12"/>
      <c r="O22" s="12"/>
      <c r="P22" s="21"/>
      <c r="Q22" s="21"/>
      <c r="R22" s="19"/>
      <c r="S22" s="19"/>
      <c r="T22" s="19"/>
      <c r="U22" s="9"/>
    </row>
    <row r="23" spans="2:21" ht="13.5" customHeight="1" x14ac:dyDescent="0.25">
      <c r="B23" s="9"/>
      <c r="C23" s="10"/>
      <c r="D23" s="17"/>
      <c r="E23" s="20"/>
      <c r="F23" s="17" t="s">
        <v>78</v>
      </c>
      <c r="G23" s="14"/>
      <c r="H23" s="12"/>
      <c r="I23" s="12"/>
      <c r="J23" s="15"/>
      <c r="K23" s="12"/>
      <c r="L23" s="12"/>
      <c r="M23" s="12"/>
      <c r="N23" s="12"/>
      <c r="O23" s="12"/>
      <c r="P23" s="21"/>
      <c r="Q23" s="21"/>
      <c r="R23" s="19"/>
      <c r="S23" s="19"/>
      <c r="T23" s="19"/>
      <c r="U23" s="9"/>
    </row>
    <row r="24" spans="2:21" ht="13.5" customHeight="1" x14ac:dyDescent="0.25">
      <c r="B24" s="9"/>
      <c r="C24" s="10"/>
      <c r="D24" s="17"/>
      <c r="E24" s="12"/>
      <c r="F24" s="17" t="s">
        <v>79</v>
      </c>
      <c r="G24" s="12"/>
      <c r="H24" s="12"/>
      <c r="I24" s="12"/>
      <c r="J24" s="12"/>
      <c r="K24" s="21"/>
      <c r="L24" s="12"/>
      <c r="M24" s="12"/>
      <c r="N24" s="12"/>
      <c r="O24" s="12"/>
      <c r="P24" s="21"/>
      <c r="Q24" s="21"/>
      <c r="R24" s="19"/>
      <c r="S24" s="19"/>
      <c r="T24" s="19"/>
      <c r="U24" s="9"/>
    </row>
    <row r="25" spans="2:21" ht="13.5" customHeight="1" x14ac:dyDescent="0.25">
      <c r="B25" s="9"/>
      <c r="C25" s="10"/>
      <c r="D25" s="17"/>
      <c r="E25" s="12"/>
      <c r="F25" s="17" t="s">
        <v>80</v>
      </c>
      <c r="G25" s="12"/>
      <c r="H25" s="12"/>
      <c r="I25" s="12"/>
      <c r="J25" s="15"/>
      <c r="K25" s="22"/>
      <c r="L25" s="12"/>
      <c r="M25" s="12"/>
      <c r="N25" s="12"/>
      <c r="O25" s="12"/>
      <c r="P25" s="21"/>
      <c r="Q25" s="21"/>
      <c r="R25" s="19"/>
      <c r="S25" s="19"/>
      <c r="T25" s="19"/>
      <c r="U25" s="9"/>
    </row>
    <row r="26" spans="2:21" ht="13.5" customHeight="1" x14ac:dyDescent="0.25">
      <c r="B26" s="9"/>
      <c r="C26" s="10"/>
      <c r="D26" s="17"/>
      <c r="E26" s="12"/>
      <c r="F26" s="15"/>
      <c r="G26" s="14"/>
      <c r="H26" s="12"/>
      <c r="I26" s="12"/>
      <c r="J26" s="12"/>
      <c r="K26" s="15"/>
      <c r="L26" s="22"/>
      <c r="M26" s="12"/>
      <c r="N26" s="12"/>
      <c r="O26" s="12"/>
      <c r="P26" s="12"/>
      <c r="Q26" s="12"/>
      <c r="R26" s="19"/>
      <c r="S26" s="19"/>
      <c r="T26" s="19"/>
      <c r="U26" s="9"/>
    </row>
    <row r="27" spans="2:21" ht="13.5" customHeight="1" x14ac:dyDescent="0.25">
      <c r="B27" s="9"/>
      <c r="C27" s="10"/>
      <c r="D27" s="9"/>
      <c r="E27" s="21" t="s">
        <v>81</v>
      </c>
      <c r="F27" s="17" t="s">
        <v>82</v>
      </c>
      <c r="G27" s="14"/>
      <c r="H27" s="15"/>
      <c r="I27" s="12"/>
      <c r="J27" s="12"/>
      <c r="K27" s="15"/>
      <c r="L27" s="21"/>
      <c r="M27" s="12"/>
      <c r="N27" s="12"/>
      <c r="O27" s="12"/>
      <c r="P27" s="12"/>
      <c r="Q27" s="12"/>
      <c r="R27" s="19"/>
      <c r="S27" s="19"/>
      <c r="T27" s="19"/>
      <c r="U27" s="9"/>
    </row>
    <row r="28" spans="2:21" ht="13.5" customHeight="1" x14ac:dyDescent="0.25">
      <c r="B28" s="9"/>
      <c r="C28" s="10"/>
      <c r="D28" s="9"/>
      <c r="E28" s="19"/>
      <c r="F28" s="17" t="s">
        <v>83</v>
      </c>
      <c r="G28" s="12"/>
      <c r="H28" s="12"/>
      <c r="I28" s="12"/>
      <c r="J28" s="12"/>
      <c r="K28" s="15"/>
      <c r="L28" s="21"/>
      <c r="M28" s="23"/>
      <c r="N28" s="20" t="s">
        <v>84</v>
      </c>
      <c r="O28" s="12"/>
      <c r="P28" s="24">
        <v>4.95</v>
      </c>
      <c r="Q28" s="24"/>
      <c r="R28" s="19"/>
      <c r="S28" s="19"/>
      <c r="T28" s="19"/>
      <c r="U28" s="9"/>
    </row>
    <row r="29" spans="2:21" ht="13.5" customHeight="1" x14ac:dyDescent="0.25">
      <c r="B29" s="9"/>
      <c r="C29" s="9"/>
      <c r="D29" s="9"/>
      <c r="E29" s="19"/>
      <c r="F29" s="11"/>
      <c r="G29" s="12"/>
      <c r="H29" s="12"/>
      <c r="I29" s="12"/>
      <c r="J29" s="12"/>
      <c r="K29" s="15"/>
      <c r="L29" s="21"/>
      <c r="M29" s="23"/>
      <c r="N29" s="20" t="s">
        <v>85</v>
      </c>
      <c r="O29" s="12"/>
      <c r="P29" s="24">
        <v>3.95</v>
      </c>
      <c r="Q29" s="24"/>
      <c r="R29" s="19"/>
      <c r="S29" s="19"/>
      <c r="T29" s="19"/>
      <c r="U29" s="9"/>
    </row>
    <row r="30" spans="2:21" ht="13.5" customHeight="1" thickBot="1" x14ac:dyDescent="0.3">
      <c r="B30" s="9"/>
      <c r="C30" s="9"/>
      <c r="D30" s="17" t="s">
        <v>86</v>
      </c>
      <c r="E30" s="19"/>
      <c r="F30" s="11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9"/>
      <c r="S30" s="19"/>
      <c r="T30" s="19"/>
      <c r="U30" s="9"/>
    </row>
    <row r="31" spans="2:21" ht="20.25" customHeight="1" thickTop="1" thickBot="1" x14ac:dyDescent="0.3">
      <c r="B31" s="632" t="s">
        <v>87</v>
      </c>
      <c r="C31" s="633"/>
      <c r="D31" s="633"/>
      <c r="E31" s="633"/>
      <c r="F31" s="633"/>
      <c r="G31" s="633"/>
      <c r="H31" s="633"/>
      <c r="I31" s="633"/>
      <c r="J31" s="633"/>
      <c r="K31" s="634"/>
      <c r="L31" s="632" t="str">
        <f>B14</f>
        <v>PEDIDO:</v>
      </c>
      <c r="M31" s="633"/>
      <c r="N31" s="633"/>
      <c r="O31" s="633"/>
      <c r="P31" s="634"/>
      <c r="Q31" s="12"/>
      <c r="R31" s="635" t="s">
        <v>137</v>
      </c>
      <c r="S31" s="636"/>
      <c r="T31" s="636"/>
      <c r="U31" s="637"/>
    </row>
    <row r="32" spans="2:21" ht="30" customHeight="1" thickTop="1" thickBot="1" x14ac:dyDescent="0.3">
      <c r="B32" s="548" t="s">
        <v>88</v>
      </c>
      <c r="C32" s="549" t="s">
        <v>89</v>
      </c>
      <c r="D32" s="548" t="s">
        <v>90</v>
      </c>
      <c r="E32" s="548" t="s">
        <v>16</v>
      </c>
      <c r="F32" s="548" t="s">
        <v>91</v>
      </c>
      <c r="G32" s="548" t="s">
        <v>24</v>
      </c>
      <c r="H32" s="548" t="s">
        <v>92</v>
      </c>
      <c r="I32" s="548" t="s">
        <v>18</v>
      </c>
      <c r="J32" s="548" t="s">
        <v>19</v>
      </c>
      <c r="K32" s="550" t="s">
        <v>17</v>
      </c>
      <c r="L32" s="550" t="s">
        <v>93</v>
      </c>
      <c r="M32" s="550" t="s">
        <v>94</v>
      </c>
      <c r="N32" s="548" t="s">
        <v>26</v>
      </c>
      <c r="O32" s="548" t="s">
        <v>27</v>
      </c>
      <c r="P32" s="550" t="s">
        <v>95</v>
      </c>
      <c r="Q32" s="12"/>
      <c r="R32" s="481" t="s">
        <v>131</v>
      </c>
      <c r="S32" s="481" t="s">
        <v>130</v>
      </c>
      <c r="T32" s="481" t="s">
        <v>97</v>
      </c>
      <c r="U32" s="481" t="s">
        <v>23</v>
      </c>
    </row>
    <row r="33" spans="2:21" ht="57.75" customHeight="1" thickTop="1" x14ac:dyDescent="0.25">
      <c r="B33" s="32">
        <v>1</v>
      </c>
      <c r="C33" s="33"/>
      <c r="D33" s="34" t="s">
        <v>28</v>
      </c>
      <c r="E33" s="35" t="s">
        <v>29</v>
      </c>
      <c r="F33" s="36"/>
      <c r="G33" s="37">
        <v>3.66</v>
      </c>
      <c r="H33" s="36" t="s">
        <v>5</v>
      </c>
      <c r="I33" s="38">
        <v>1.641</v>
      </c>
      <c r="J33" s="38">
        <v>0</v>
      </c>
      <c r="K33" s="39" t="s">
        <v>6</v>
      </c>
      <c r="L33" s="37">
        <v>88</v>
      </c>
      <c r="M33" s="37">
        <f t="shared" ref="M33:M54" si="0">L33*G33</f>
        <v>322.08000000000004</v>
      </c>
      <c r="N33" s="40">
        <f t="shared" ref="N33:N54" si="1">M33*I33</f>
        <v>528.5332800000001</v>
      </c>
      <c r="O33" s="40">
        <f t="shared" ref="O33:O54" si="2">M33*J33</f>
        <v>0</v>
      </c>
      <c r="P33" s="41">
        <f t="shared" ref="P33:P54" si="3">($P$28*N33)+($P$29*O33)</f>
        <v>2616.2397360000004</v>
      </c>
      <c r="Q33" s="12"/>
      <c r="R33" s="280">
        <f t="shared" ref="R33" si="4">+N33</f>
        <v>528.5332800000001</v>
      </c>
      <c r="S33" s="281">
        <f t="shared" ref="S33:S38" si="5">(500-$R33)</f>
        <v>-28.533280000000104</v>
      </c>
      <c r="T33" s="281">
        <f t="shared" ref="T33" si="6">$S33/$I33/$G33</f>
        <v>-4.7507484107718048</v>
      </c>
      <c r="U33" s="282"/>
    </row>
    <row r="34" spans="2:21" ht="57.75" customHeight="1" x14ac:dyDescent="0.25">
      <c r="B34" s="32">
        <f t="shared" ref="B34:B54" si="7">B33+1</f>
        <v>2</v>
      </c>
      <c r="C34" s="487"/>
      <c r="D34" s="34" t="s">
        <v>280</v>
      </c>
      <c r="E34" s="35" t="s">
        <v>281</v>
      </c>
      <c r="F34" s="36"/>
      <c r="G34" s="37">
        <v>6.1</v>
      </c>
      <c r="H34" s="36" t="s">
        <v>5</v>
      </c>
      <c r="I34" s="38">
        <v>0.70599999999999996</v>
      </c>
      <c r="J34" s="38">
        <v>0.45760000000000001</v>
      </c>
      <c r="K34" s="39" t="s">
        <v>39</v>
      </c>
      <c r="L34" s="37">
        <v>76</v>
      </c>
      <c r="M34" s="492">
        <f t="shared" si="0"/>
        <v>463.59999999999997</v>
      </c>
      <c r="N34" s="40">
        <f t="shared" si="1"/>
        <v>327.30159999999995</v>
      </c>
      <c r="O34" s="40">
        <f t="shared" si="2"/>
        <v>212.14336</v>
      </c>
      <c r="P34" s="41">
        <f t="shared" si="3"/>
        <v>2458.1091919999999</v>
      </c>
      <c r="Q34" s="12"/>
      <c r="R34" s="503">
        <f>+N34</f>
        <v>327.30159999999995</v>
      </c>
      <c r="S34" s="281">
        <f t="shared" si="5"/>
        <v>172.69840000000005</v>
      </c>
      <c r="T34" s="281">
        <f>$S34/$I34/$G34</f>
        <v>40.100868434495908</v>
      </c>
      <c r="U34" s="282"/>
    </row>
    <row r="35" spans="2:21" ht="57.75" customHeight="1" x14ac:dyDescent="0.25">
      <c r="B35" s="32">
        <f t="shared" si="7"/>
        <v>3</v>
      </c>
      <c r="C35" s="487"/>
      <c r="D35" s="34" t="s">
        <v>282</v>
      </c>
      <c r="E35" s="35" t="s">
        <v>283</v>
      </c>
      <c r="F35" s="36"/>
      <c r="G35" s="37">
        <v>6.1</v>
      </c>
      <c r="H35" s="36" t="s">
        <v>5</v>
      </c>
      <c r="I35" s="38">
        <v>0.59299999999999997</v>
      </c>
      <c r="J35" s="38">
        <v>0.38779999999999998</v>
      </c>
      <c r="K35" s="39" t="s">
        <v>39</v>
      </c>
      <c r="L35" s="37">
        <v>21</v>
      </c>
      <c r="M35" s="492">
        <f t="shared" si="0"/>
        <v>128.1</v>
      </c>
      <c r="N35" s="40">
        <f t="shared" si="1"/>
        <v>75.96329999999999</v>
      </c>
      <c r="O35" s="40">
        <f t="shared" si="2"/>
        <v>49.677179999999993</v>
      </c>
      <c r="P35" s="41">
        <f t="shared" si="3"/>
        <v>572.2431959999999</v>
      </c>
      <c r="Q35" s="12"/>
      <c r="R35" s="503">
        <f t="shared" ref="R35:R37" si="8">+N35</f>
        <v>75.96329999999999</v>
      </c>
      <c r="S35" s="281">
        <f t="shared" si="5"/>
        <v>424.0367</v>
      </c>
      <c r="T35" s="281">
        <f t="shared" ref="T35:T37" si="9">$S35/$I35/$G35</f>
        <v>117.22464268929866</v>
      </c>
      <c r="U35" s="546"/>
    </row>
    <row r="36" spans="2:21" ht="57.75" customHeight="1" x14ac:dyDescent="0.25">
      <c r="B36" s="32">
        <f t="shared" si="7"/>
        <v>4</v>
      </c>
      <c r="C36" s="487"/>
      <c r="D36" s="34" t="s">
        <v>284</v>
      </c>
      <c r="E36" s="35" t="s">
        <v>285</v>
      </c>
      <c r="F36" s="36"/>
      <c r="G36" s="37">
        <v>6.1</v>
      </c>
      <c r="H36" s="36" t="s">
        <v>5</v>
      </c>
      <c r="I36" s="38">
        <v>0.222</v>
      </c>
      <c r="J36" s="38">
        <v>0.1343</v>
      </c>
      <c r="K36" s="39" t="s">
        <v>39</v>
      </c>
      <c r="L36" s="37">
        <v>21</v>
      </c>
      <c r="M36" s="492">
        <f t="shared" si="0"/>
        <v>128.1</v>
      </c>
      <c r="N36" s="40">
        <f t="shared" si="1"/>
        <v>28.438199999999998</v>
      </c>
      <c r="O36" s="40">
        <f t="shared" si="2"/>
        <v>17.20383</v>
      </c>
      <c r="P36" s="41">
        <f t="shared" si="3"/>
        <v>208.72421850000001</v>
      </c>
      <c r="Q36" s="12"/>
      <c r="R36" s="503">
        <f t="shared" si="8"/>
        <v>28.438199999999998</v>
      </c>
      <c r="S36" s="281">
        <f t="shared" si="5"/>
        <v>471.56180000000001</v>
      </c>
      <c r="T36" s="281">
        <f t="shared" si="9"/>
        <v>348.22168069709056</v>
      </c>
      <c r="U36" s="282"/>
    </row>
    <row r="37" spans="2:21" ht="57.75" customHeight="1" x14ac:dyDescent="0.25">
      <c r="B37" s="32">
        <f t="shared" si="7"/>
        <v>5</v>
      </c>
      <c r="C37" s="487"/>
      <c r="D37" s="34" t="s">
        <v>286</v>
      </c>
      <c r="E37" s="35" t="s">
        <v>287</v>
      </c>
      <c r="F37" s="36"/>
      <c r="G37" s="37">
        <v>6.1</v>
      </c>
      <c r="H37" s="36" t="s">
        <v>5</v>
      </c>
      <c r="I37" s="38">
        <v>0.41699999999999998</v>
      </c>
      <c r="J37" s="38">
        <v>0.26</v>
      </c>
      <c r="K37" s="39" t="s">
        <v>39</v>
      </c>
      <c r="L37" s="37">
        <v>9</v>
      </c>
      <c r="M37" s="492">
        <f t="shared" si="0"/>
        <v>54.9</v>
      </c>
      <c r="N37" s="40">
        <f t="shared" si="1"/>
        <v>22.8933</v>
      </c>
      <c r="O37" s="40">
        <f t="shared" si="2"/>
        <v>14.274000000000001</v>
      </c>
      <c r="P37" s="41">
        <f t="shared" si="3"/>
        <v>169.70413500000001</v>
      </c>
      <c r="Q37" s="12"/>
      <c r="R37" s="503">
        <f t="shared" si="8"/>
        <v>22.8933</v>
      </c>
      <c r="S37" s="281">
        <f t="shared" si="5"/>
        <v>477.10669999999999</v>
      </c>
      <c r="T37" s="281">
        <f t="shared" si="9"/>
        <v>187.56406022722805</v>
      </c>
      <c r="U37" s="282"/>
    </row>
    <row r="38" spans="2:21" ht="57.75" customHeight="1" x14ac:dyDescent="0.25">
      <c r="B38" s="32">
        <f t="shared" si="7"/>
        <v>6</v>
      </c>
      <c r="C38" s="487"/>
      <c r="D38" s="34" t="s">
        <v>288</v>
      </c>
      <c r="E38" s="35" t="s">
        <v>47</v>
      </c>
      <c r="F38" s="36"/>
      <c r="G38" s="37">
        <v>6.1</v>
      </c>
      <c r="H38" s="36" t="s">
        <v>5</v>
      </c>
      <c r="I38" s="38">
        <v>0.27500000000000002</v>
      </c>
      <c r="J38" s="38">
        <v>0.17249999999999999</v>
      </c>
      <c r="K38" s="39" t="s">
        <v>39</v>
      </c>
      <c r="L38" s="37">
        <v>17</v>
      </c>
      <c r="M38" s="492">
        <f t="shared" si="0"/>
        <v>103.69999999999999</v>
      </c>
      <c r="N38" s="40">
        <f t="shared" si="1"/>
        <v>28.517499999999998</v>
      </c>
      <c r="O38" s="40">
        <f t="shared" si="2"/>
        <v>17.888249999999996</v>
      </c>
      <c r="P38" s="41">
        <f t="shared" si="3"/>
        <v>211.82021249999997</v>
      </c>
      <c r="Q38" s="12"/>
      <c r="R38" s="482">
        <f>+N38</f>
        <v>28.517499999999998</v>
      </c>
      <c r="S38" s="281">
        <f t="shared" si="5"/>
        <v>471.48250000000002</v>
      </c>
      <c r="T38" s="281">
        <f>$S38/$I38/$G38</f>
        <v>281.06259314456037</v>
      </c>
      <c r="U38" s="282"/>
    </row>
    <row r="39" spans="2:21" ht="57.75" customHeight="1" x14ac:dyDescent="0.25">
      <c r="B39" s="32">
        <f t="shared" si="7"/>
        <v>7</v>
      </c>
      <c r="C39" s="33"/>
      <c r="D39" s="34" t="s">
        <v>46</v>
      </c>
      <c r="E39" s="35" t="s">
        <v>47</v>
      </c>
      <c r="F39" s="36"/>
      <c r="G39" s="37">
        <v>3.8</v>
      </c>
      <c r="H39" s="36" t="s">
        <v>5</v>
      </c>
      <c r="I39" s="38">
        <v>0.91600000000000004</v>
      </c>
      <c r="J39" s="38">
        <v>0.33900000000000002</v>
      </c>
      <c r="K39" s="39" t="s">
        <v>39</v>
      </c>
      <c r="L39" s="37">
        <v>65</v>
      </c>
      <c r="M39" s="37">
        <f t="shared" ref="M39:M49" si="10">L39*G39</f>
        <v>247</v>
      </c>
      <c r="N39" s="40">
        <f t="shared" ref="N39:N49" si="11">M39*I39</f>
        <v>226.25200000000001</v>
      </c>
      <c r="O39" s="40">
        <f t="shared" ref="O39:O49" si="12">M39*J39</f>
        <v>83.733000000000004</v>
      </c>
      <c r="P39" s="41">
        <f t="shared" ref="P39:P49" si="13">($P$28*N39)+($P$29*O39)</f>
        <v>1450.6927500000002</v>
      </c>
      <c r="Q39" s="12"/>
      <c r="R39" s="638">
        <f>+N39+N40+N41+N42</f>
        <v>630.39120000000003</v>
      </c>
      <c r="S39" s="639">
        <f>(500-$R39)</f>
        <v>-130.39120000000003</v>
      </c>
      <c r="T39" s="639">
        <f>$S39/$I42/$G42</f>
        <v>-22.959430905761376</v>
      </c>
      <c r="U39" s="629"/>
    </row>
    <row r="40" spans="2:21" ht="57.75" customHeight="1" x14ac:dyDescent="0.25">
      <c r="B40" s="32">
        <f t="shared" si="7"/>
        <v>8</v>
      </c>
      <c r="C40" s="33"/>
      <c r="D40" s="34" t="s">
        <v>46</v>
      </c>
      <c r="E40" s="35" t="s">
        <v>47</v>
      </c>
      <c r="F40" s="36"/>
      <c r="G40" s="37">
        <v>5.2</v>
      </c>
      <c r="H40" s="36" t="s">
        <v>5</v>
      </c>
      <c r="I40" s="38">
        <v>0.91600000000000004</v>
      </c>
      <c r="J40" s="38">
        <v>0.33900000000000002</v>
      </c>
      <c r="K40" s="39" t="s">
        <v>39</v>
      </c>
      <c r="L40" s="37">
        <v>26</v>
      </c>
      <c r="M40" s="37">
        <f t="shared" si="10"/>
        <v>135.20000000000002</v>
      </c>
      <c r="N40" s="40">
        <f t="shared" si="11"/>
        <v>123.84320000000002</v>
      </c>
      <c r="O40" s="40">
        <f t="shared" si="12"/>
        <v>45.832800000000006</v>
      </c>
      <c r="P40" s="41">
        <f t="shared" si="13"/>
        <v>794.06340000000023</v>
      </c>
      <c r="Q40" s="12"/>
      <c r="R40" s="638"/>
      <c r="S40" s="639"/>
      <c r="T40" s="639"/>
      <c r="U40" s="630"/>
    </row>
    <row r="41" spans="2:21" ht="57.75" customHeight="1" x14ac:dyDescent="0.25">
      <c r="B41" s="32">
        <f t="shared" si="7"/>
        <v>9</v>
      </c>
      <c r="C41" s="33"/>
      <c r="D41" s="34" t="s">
        <v>46</v>
      </c>
      <c r="E41" s="35" t="s">
        <v>47</v>
      </c>
      <c r="F41" s="36"/>
      <c r="G41" s="37">
        <v>5.6</v>
      </c>
      <c r="H41" s="36" t="s">
        <v>5</v>
      </c>
      <c r="I41" s="38">
        <v>0.91600000000000004</v>
      </c>
      <c r="J41" s="38">
        <v>0.33900000000000002</v>
      </c>
      <c r="K41" s="39" t="s">
        <v>39</v>
      </c>
      <c r="L41" s="37">
        <v>17</v>
      </c>
      <c r="M41" s="37">
        <f t="shared" si="10"/>
        <v>95.199999999999989</v>
      </c>
      <c r="N41" s="40">
        <f t="shared" si="11"/>
        <v>87.203199999999995</v>
      </c>
      <c r="O41" s="40">
        <f t="shared" si="12"/>
        <v>32.272799999999997</v>
      </c>
      <c r="P41" s="41">
        <f t="shared" si="13"/>
        <v>559.13340000000005</v>
      </c>
      <c r="Q41" s="12"/>
      <c r="R41" s="638"/>
      <c r="S41" s="639"/>
      <c r="T41" s="639"/>
      <c r="U41" s="630"/>
    </row>
    <row r="42" spans="2:21" ht="57.75" customHeight="1" x14ac:dyDescent="0.25">
      <c r="B42" s="32">
        <f t="shared" si="7"/>
        <v>10</v>
      </c>
      <c r="C42" s="33"/>
      <c r="D42" s="34" t="s">
        <v>46</v>
      </c>
      <c r="E42" s="35" t="s">
        <v>47</v>
      </c>
      <c r="F42" s="36"/>
      <c r="G42" s="37">
        <v>6.2</v>
      </c>
      <c r="H42" s="36" t="s">
        <v>5</v>
      </c>
      <c r="I42" s="38">
        <v>0.91600000000000004</v>
      </c>
      <c r="J42" s="38">
        <v>0.33900000000000002</v>
      </c>
      <c r="K42" s="39" t="s">
        <v>39</v>
      </c>
      <c r="L42" s="37">
        <v>34</v>
      </c>
      <c r="M42" s="37">
        <f t="shared" si="10"/>
        <v>210.8</v>
      </c>
      <c r="N42" s="40">
        <f t="shared" si="11"/>
        <v>193.09280000000001</v>
      </c>
      <c r="O42" s="40">
        <f t="shared" si="12"/>
        <v>71.461200000000005</v>
      </c>
      <c r="P42" s="41">
        <f t="shared" si="13"/>
        <v>1238.0811000000001</v>
      </c>
      <c r="Q42" s="12"/>
      <c r="R42" s="638"/>
      <c r="S42" s="639"/>
      <c r="T42" s="639"/>
      <c r="U42" s="631"/>
    </row>
    <row r="43" spans="2:21" ht="57.75" customHeight="1" x14ac:dyDescent="0.25">
      <c r="B43" s="32">
        <f t="shared" si="7"/>
        <v>11</v>
      </c>
      <c r="C43" s="33"/>
      <c r="D43" s="34" t="s">
        <v>48</v>
      </c>
      <c r="E43" s="35" t="s">
        <v>49</v>
      </c>
      <c r="F43" s="36"/>
      <c r="G43" s="37">
        <v>3.8</v>
      </c>
      <c r="H43" s="36" t="s">
        <v>5</v>
      </c>
      <c r="I43" s="38">
        <v>0.81</v>
      </c>
      <c r="J43" s="38">
        <v>0.28999999999999998</v>
      </c>
      <c r="K43" s="39" t="s">
        <v>39</v>
      </c>
      <c r="L43" s="37">
        <v>65</v>
      </c>
      <c r="M43" s="37">
        <f t="shared" si="10"/>
        <v>247</v>
      </c>
      <c r="N43" s="40">
        <f t="shared" si="11"/>
        <v>200.07000000000002</v>
      </c>
      <c r="O43" s="40">
        <f t="shared" si="12"/>
        <v>71.63</v>
      </c>
      <c r="P43" s="41">
        <f t="shared" si="13"/>
        <v>1273.2850000000001</v>
      </c>
      <c r="Q43" s="12"/>
      <c r="R43" s="638">
        <f>+N43+N44+N45+N46</f>
        <v>557.44200000000012</v>
      </c>
      <c r="S43" s="639">
        <f>(500-$R43)</f>
        <v>-57.442000000000121</v>
      </c>
      <c r="T43" s="639">
        <f>$S43/$I46/$G46</f>
        <v>-11.438072481083257</v>
      </c>
      <c r="U43" s="629"/>
    </row>
    <row r="44" spans="2:21" ht="57.75" customHeight="1" x14ac:dyDescent="0.25">
      <c r="B44" s="32">
        <f t="shared" si="7"/>
        <v>12</v>
      </c>
      <c r="C44" s="33"/>
      <c r="D44" s="34" t="s">
        <v>48</v>
      </c>
      <c r="E44" s="35" t="s">
        <v>49</v>
      </c>
      <c r="F44" s="36"/>
      <c r="G44" s="37">
        <v>5.2</v>
      </c>
      <c r="H44" s="36" t="s">
        <v>5</v>
      </c>
      <c r="I44" s="38">
        <v>0.81</v>
      </c>
      <c r="J44" s="38">
        <v>0.28999999999999998</v>
      </c>
      <c r="K44" s="39" t="s">
        <v>39</v>
      </c>
      <c r="L44" s="37">
        <v>26</v>
      </c>
      <c r="M44" s="37">
        <f t="shared" si="10"/>
        <v>135.20000000000002</v>
      </c>
      <c r="N44" s="40">
        <f t="shared" si="11"/>
        <v>109.51200000000001</v>
      </c>
      <c r="O44" s="40">
        <f t="shared" si="12"/>
        <v>39.208000000000006</v>
      </c>
      <c r="P44" s="41">
        <f t="shared" si="13"/>
        <v>696.95600000000013</v>
      </c>
      <c r="Q44" s="12"/>
      <c r="R44" s="638"/>
      <c r="S44" s="639"/>
      <c r="T44" s="639"/>
      <c r="U44" s="630"/>
    </row>
    <row r="45" spans="2:21" ht="57.75" customHeight="1" x14ac:dyDescent="0.25">
      <c r="B45" s="32">
        <f t="shared" si="7"/>
        <v>13</v>
      </c>
      <c r="C45" s="33"/>
      <c r="D45" s="34" t="s">
        <v>48</v>
      </c>
      <c r="E45" s="35" t="s">
        <v>49</v>
      </c>
      <c r="F45" s="36"/>
      <c r="G45" s="37">
        <v>5.6</v>
      </c>
      <c r="H45" s="36" t="s">
        <v>5</v>
      </c>
      <c r="I45" s="38">
        <v>0.81</v>
      </c>
      <c r="J45" s="38">
        <v>0.28999999999999998</v>
      </c>
      <c r="K45" s="39" t="s">
        <v>39</v>
      </c>
      <c r="L45" s="37">
        <v>17</v>
      </c>
      <c r="M45" s="37">
        <f t="shared" si="10"/>
        <v>95.199999999999989</v>
      </c>
      <c r="N45" s="40">
        <f t="shared" si="11"/>
        <v>77.111999999999995</v>
      </c>
      <c r="O45" s="40">
        <f t="shared" si="12"/>
        <v>27.607999999999993</v>
      </c>
      <c r="P45" s="41">
        <f t="shared" si="13"/>
        <v>490.75599999999997</v>
      </c>
      <c r="Q45" s="12"/>
      <c r="R45" s="638"/>
      <c r="S45" s="639"/>
      <c r="T45" s="639"/>
      <c r="U45" s="630"/>
    </row>
    <row r="46" spans="2:21" ht="57.75" customHeight="1" x14ac:dyDescent="0.25">
      <c r="B46" s="32">
        <f t="shared" si="7"/>
        <v>14</v>
      </c>
      <c r="C46" s="33"/>
      <c r="D46" s="34" t="s">
        <v>48</v>
      </c>
      <c r="E46" s="35" t="s">
        <v>49</v>
      </c>
      <c r="F46" s="36"/>
      <c r="G46" s="37">
        <v>6.2</v>
      </c>
      <c r="H46" s="36" t="s">
        <v>5</v>
      </c>
      <c r="I46" s="38">
        <v>0.81</v>
      </c>
      <c r="J46" s="38">
        <v>0.28999999999999998</v>
      </c>
      <c r="K46" s="39" t="s">
        <v>39</v>
      </c>
      <c r="L46" s="37">
        <v>34</v>
      </c>
      <c r="M46" s="37">
        <f t="shared" si="10"/>
        <v>210.8</v>
      </c>
      <c r="N46" s="40">
        <f t="shared" si="11"/>
        <v>170.74800000000002</v>
      </c>
      <c r="O46" s="40">
        <f t="shared" si="12"/>
        <v>61.131999999999998</v>
      </c>
      <c r="P46" s="41">
        <f t="shared" si="13"/>
        <v>1086.674</v>
      </c>
      <c r="Q46" s="12"/>
      <c r="R46" s="638"/>
      <c r="S46" s="639"/>
      <c r="T46" s="639"/>
      <c r="U46" s="631"/>
    </row>
    <row r="47" spans="2:21" ht="57.75" customHeight="1" x14ac:dyDescent="0.25">
      <c r="B47" s="32">
        <f t="shared" si="7"/>
        <v>15</v>
      </c>
      <c r="C47" s="33"/>
      <c r="D47" s="34" t="s">
        <v>126</v>
      </c>
      <c r="E47" s="35" t="s">
        <v>127</v>
      </c>
      <c r="F47" s="36"/>
      <c r="G47" s="37">
        <v>3.8</v>
      </c>
      <c r="H47" s="36" t="s">
        <v>5</v>
      </c>
      <c r="I47" s="38">
        <v>0.88800000000000001</v>
      </c>
      <c r="J47" s="38">
        <v>0.34</v>
      </c>
      <c r="K47" s="39" t="s">
        <v>39</v>
      </c>
      <c r="L47" s="37">
        <v>65</v>
      </c>
      <c r="M47" s="37">
        <f t="shared" si="10"/>
        <v>247</v>
      </c>
      <c r="N47" s="40">
        <f t="shared" si="11"/>
        <v>219.33600000000001</v>
      </c>
      <c r="O47" s="40">
        <f t="shared" si="12"/>
        <v>83.98</v>
      </c>
      <c r="P47" s="41">
        <f t="shared" si="13"/>
        <v>1417.4342000000001</v>
      </c>
      <c r="Q47" s="12"/>
      <c r="R47" s="638">
        <f>+N47+N48+N49+N50</f>
        <v>611.12160000000006</v>
      </c>
      <c r="S47" s="639">
        <f>(500-$R47)</f>
        <v>-111.12160000000006</v>
      </c>
      <c r="T47" s="639">
        <f>$S47/$I50/$G50</f>
        <v>-20.18337692531242</v>
      </c>
      <c r="U47" s="629"/>
    </row>
    <row r="48" spans="2:21" ht="57.75" customHeight="1" x14ac:dyDescent="0.25">
      <c r="B48" s="32">
        <f t="shared" si="7"/>
        <v>16</v>
      </c>
      <c r="C48" s="33"/>
      <c r="D48" s="34" t="s">
        <v>126</v>
      </c>
      <c r="E48" s="35" t="s">
        <v>127</v>
      </c>
      <c r="F48" s="36"/>
      <c r="G48" s="37">
        <v>5.2</v>
      </c>
      <c r="H48" s="36" t="s">
        <v>5</v>
      </c>
      <c r="I48" s="38">
        <v>0.88800000000000001</v>
      </c>
      <c r="J48" s="38">
        <v>0.34</v>
      </c>
      <c r="K48" s="39" t="s">
        <v>39</v>
      </c>
      <c r="L48" s="37">
        <v>26</v>
      </c>
      <c r="M48" s="37">
        <f t="shared" si="10"/>
        <v>135.20000000000002</v>
      </c>
      <c r="N48" s="40">
        <f t="shared" si="11"/>
        <v>120.05760000000002</v>
      </c>
      <c r="O48" s="40">
        <f t="shared" si="12"/>
        <v>45.968000000000011</v>
      </c>
      <c r="P48" s="41">
        <f t="shared" si="13"/>
        <v>775.85872000000018</v>
      </c>
      <c r="Q48" s="12"/>
      <c r="R48" s="638"/>
      <c r="S48" s="639"/>
      <c r="T48" s="639"/>
      <c r="U48" s="630"/>
    </row>
    <row r="49" spans="2:21" ht="57.75" customHeight="1" x14ac:dyDescent="0.25">
      <c r="B49" s="32">
        <f t="shared" si="7"/>
        <v>17</v>
      </c>
      <c r="C49" s="33"/>
      <c r="D49" s="34" t="s">
        <v>126</v>
      </c>
      <c r="E49" s="35" t="s">
        <v>127</v>
      </c>
      <c r="F49" s="36"/>
      <c r="G49" s="37">
        <v>5.6</v>
      </c>
      <c r="H49" s="36" t="s">
        <v>5</v>
      </c>
      <c r="I49" s="38">
        <v>0.88800000000000001</v>
      </c>
      <c r="J49" s="38">
        <v>0.34</v>
      </c>
      <c r="K49" s="39" t="s">
        <v>39</v>
      </c>
      <c r="L49" s="37">
        <v>17</v>
      </c>
      <c r="M49" s="37">
        <f t="shared" si="10"/>
        <v>95.199999999999989</v>
      </c>
      <c r="N49" s="40">
        <f t="shared" si="11"/>
        <v>84.537599999999998</v>
      </c>
      <c r="O49" s="40">
        <f t="shared" si="12"/>
        <v>32.367999999999995</v>
      </c>
      <c r="P49" s="41">
        <f t="shared" si="13"/>
        <v>546.31471999999997</v>
      </c>
      <c r="Q49" s="12"/>
      <c r="R49" s="638"/>
      <c r="S49" s="639"/>
      <c r="T49" s="639"/>
      <c r="U49" s="630"/>
    </row>
    <row r="50" spans="2:21" ht="57.75" customHeight="1" x14ac:dyDescent="0.25">
      <c r="B50" s="32">
        <f t="shared" si="7"/>
        <v>18</v>
      </c>
      <c r="C50" s="33"/>
      <c r="D50" s="34" t="s">
        <v>126</v>
      </c>
      <c r="E50" s="35" t="s">
        <v>127</v>
      </c>
      <c r="F50" s="36"/>
      <c r="G50" s="37">
        <v>6.2</v>
      </c>
      <c r="H50" s="36" t="s">
        <v>5</v>
      </c>
      <c r="I50" s="38">
        <v>0.88800000000000001</v>
      </c>
      <c r="J50" s="38">
        <v>0.34</v>
      </c>
      <c r="K50" s="39" t="s">
        <v>39</v>
      </c>
      <c r="L50" s="37">
        <v>34</v>
      </c>
      <c r="M50" s="37">
        <f t="shared" ref="M50" si="14">L50*G50</f>
        <v>210.8</v>
      </c>
      <c r="N50" s="40">
        <f t="shared" ref="N50" si="15">M50*I50</f>
        <v>187.19040000000001</v>
      </c>
      <c r="O50" s="40">
        <f t="shared" ref="O50" si="16">M50*J50</f>
        <v>71.672000000000011</v>
      </c>
      <c r="P50" s="41">
        <f t="shared" ref="P50" si="17">($P$28*N50)+($P$29*O50)</f>
        <v>1209.6968800000002</v>
      </c>
      <c r="Q50" s="12"/>
      <c r="R50" s="638"/>
      <c r="S50" s="639"/>
      <c r="T50" s="639"/>
      <c r="U50" s="631"/>
    </row>
    <row r="51" spans="2:21" ht="57.75" customHeight="1" x14ac:dyDescent="0.25">
      <c r="B51" s="32">
        <f t="shared" si="7"/>
        <v>19</v>
      </c>
      <c r="C51" s="33"/>
      <c r="D51" s="34" t="s">
        <v>124</v>
      </c>
      <c r="E51" s="35" t="s">
        <v>125</v>
      </c>
      <c r="F51" s="36"/>
      <c r="G51" s="37">
        <v>3.8</v>
      </c>
      <c r="H51" s="36" t="s">
        <v>5</v>
      </c>
      <c r="I51" s="38">
        <v>2.109</v>
      </c>
      <c r="J51" s="38">
        <v>0.70199999999999996</v>
      </c>
      <c r="K51" s="39" t="s">
        <v>39</v>
      </c>
      <c r="L51" s="37">
        <v>65</v>
      </c>
      <c r="M51" s="37">
        <f t="shared" si="0"/>
        <v>247</v>
      </c>
      <c r="N51" s="40">
        <f t="shared" si="1"/>
        <v>520.923</v>
      </c>
      <c r="O51" s="40">
        <f t="shared" si="2"/>
        <v>173.39399999999998</v>
      </c>
      <c r="P51" s="41">
        <f t="shared" si="3"/>
        <v>3263.4751500000002</v>
      </c>
      <c r="Q51" s="12"/>
      <c r="R51" s="638">
        <f>+N51+N52+N53+N54</f>
        <v>1264.9782</v>
      </c>
      <c r="S51" s="639">
        <f>(500-$R51)</f>
        <v>-764.97820000000002</v>
      </c>
      <c r="T51" s="639">
        <f>$S51/$I54/$G54</f>
        <v>-58.503357347160403</v>
      </c>
      <c r="U51" s="629"/>
    </row>
    <row r="52" spans="2:21" ht="57.75" customHeight="1" x14ac:dyDescent="0.25">
      <c r="B52" s="32">
        <f t="shared" si="7"/>
        <v>20</v>
      </c>
      <c r="C52" s="33"/>
      <c r="D52" s="34" t="s">
        <v>124</v>
      </c>
      <c r="E52" s="35" t="s">
        <v>125</v>
      </c>
      <c r="F52" s="36"/>
      <c r="G52" s="37">
        <v>5.2</v>
      </c>
      <c r="H52" s="36" t="s">
        <v>5</v>
      </c>
      <c r="I52" s="38">
        <v>2.109</v>
      </c>
      <c r="J52" s="38">
        <v>0.70199999999999996</v>
      </c>
      <c r="K52" s="39" t="s">
        <v>39</v>
      </c>
      <c r="L52" s="37">
        <v>9</v>
      </c>
      <c r="M52" s="37">
        <f t="shared" si="0"/>
        <v>46.800000000000004</v>
      </c>
      <c r="N52" s="40">
        <f t="shared" si="1"/>
        <v>98.701200000000014</v>
      </c>
      <c r="O52" s="40">
        <f t="shared" si="2"/>
        <v>32.8536</v>
      </c>
      <c r="P52" s="41">
        <f t="shared" si="3"/>
        <v>618.34266000000002</v>
      </c>
      <c r="Q52" s="12"/>
      <c r="R52" s="638"/>
      <c r="S52" s="639"/>
      <c r="T52" s="639"/>
      <c r="U52" s="630"/>
    </row>
    <row r="53" spans="2:21" ht="57.75" customHeight="1" x14ac:dyDescent="0.25">
      <c r="B53" s="32">
        <f t="shared" si="7"/>
        <v>21</v>
      </c>
      <c r="C53" s="33"/>
      <c r="D53" s="34" t="s">
        <v>124</v>
      </c>
      <c r="E53" s="35" t="s">
        <v>125</v>
      </c>
      <c r="F53" s="36"/>
      <c r="G53" s="37">
        <v>5.6</v>
      </c>
      <c r="H53" s="36" t="s">
        <v>5</v>
      </c>
      <c r="I53" s="38">
        <v>2.109</v>
      </c>
      <c r="J53" s="38">
        <v>0.70199999999999996</v>
      </c>
      <c r="K53" s="39" t="s">
        <v>39</v>
      </c>
      <c r="L53" s="37">
        <v>17</v>
      </c>
      <c r="M53" s="37">
        <f t="shared" ref="M53" si="18">L53*G53</f>
        <v>95.199999999999989</v>
      </c>
      <c r="N53" s="40">
        <f t="shared" ref="N53" si="19">M53*I53</f>
        <v>200.77679999999998</v>
      </c>
      <c r="O53" s="40">
        <f t="shared" ref="O53" si="20">M53*J53</f>
        <v>66.830399999999983</v>
      </c>
      <c r="P53" s="41">
        <f t="shared" ref="P53" si="21">($P$28*N53)+($P$29*O53)</f>
        <v>1257.8252399999999</v>
      </c>
      <c r="Q53" s="12"/>
      <c r="R53" s="638"/>
      <c r="S53" s="639"/>
      <c r="T53" s="639"/>
      <c r="U53" s="630"/>
    </row>
    <row r="54" spans="2:21" ht="57.75" customHeight="1" x14ac:dyDescent="0.25">
      <c r="B54" s="32">
        <f t="shared" si="7"/>
        <v>22</v>
      </c>
      <c r="C54" s="33"/>
      <c r="D54" s="34" t="s">
        <v>124</v>
      </c>
      <c r="E54" s="35" t="s">
        <v>125</v>
      </c>
      <c r="F54" s="36"/>
      <c r="G54" s="37">
        <v>6.2</v>
      </c>
      <c r="H54" s="36" t="s">
        <v>5</v>
      </c>
      <c r="I54" s="38">
        <v>2.109</v>
      </c>
      <c r="J54" s="38">
        <v>0.70199999999999996</v>
      </c>
      <c r="K54" s="39" t="s">
        <v>39</v>
      </c>
      <c r="L54" s="37">
        <v>34</v>
      </c>
      <c r="M54" s="37">
        <f t="shared" si="0"/>
        <v>210.8</v>
      </c>
      <c r="N54" s="40">
        <f t="shared" si="1"/>
        <v>444.5772</v>
      </c>
      <c r="O54" s="40">
        <f t="shared" si="2"/>
        <v>147.98159999999999</v>
      </c>
      <c r="P54" s="41">
        <f t="shared" si="3"/>
        <v>2785.1844600000004</v>
      </c>
      <c r="Q54" s="12"/>
      <c r="R54" s="638"/>
      <c r="S54" s="639"/>
      <c r="T54" s="639"/>
      <c r="U54" s="631"/>
    </row>
    <row r="55" spans="2:21" ht="13.5" customHeight="1" thickBot="1" x14ac:dyDescent="0.3">
      <c r="B55" s="43"/>
      <c r="C55" s="44"/>
      <c r="D55" s="43"/>
      <c r="E55" s="43"/>
      <c r="F55" s="45"/>
      <c r="G55" s="46"/>
      <c r="H55" s="43"/>
      <c r="I55" s="47"/>
      <c r="J55" s="48"/>
      <c r="K55" s="47"/>
      <c r="L55" s="49"/>
      <c r="M55" s="46"/>
      <c r="N55" s="50"/>
      <c r="O55" s="50"/>
      <c r="P55" s="50"/>
      <c r="Q55" s="42"/>
      <c r="R55" s="283"/>
      <c r="S55" s="284"/>
      <c r="T55" s="284"/>
      <c r="U55" s="285"/>
    </row>
    <row r="56" spans="2:21" ht="13.5" customHeight="1" thickTop="1" thickBot="1" x14ac:dyDescent="0.3">
      <c r="B56" s="19"/>
      <c r="C56" s="8"/>
      <c r="D56" s="51"/>
      <c r="E56" s="52"/>
      <c r="F56" s="12"/>
      <c r="G56" s="12"/>
      <c r="H56" s="12"/>
      <c r="I56" s="53"/>
      <c r="J56" s="53"/>
      <c r="K56" s="54"/>
      <c r="L56" s="54"/>
      <c r="M56" s="54"/>
      <c r="N56" s="54"/>
      <c r="O56" s="55"/>
      <c r="P56" s="56"/>
      <c r="Q56" s="56"/>
      <c r="R56" s="19"/>
      <c r="S56" s="19"/>
      <c r="T56" s="19"/>
    </row>
    <row r="57" spans="2:21" ht="13.5" customHeight="1" thickBot="1" x14ac:dyDescent="0.3">
      <c r="B57" s="19"/>
      <c r="C57" s="57"/>
      <c r="D57" s="58"/>
      <c r="E57" s="551" t="s">
        <v>240</v>
      </c>
      <c r="G57" s="12"/>
      <c r="H57" s="12"/>
      <c r="I57" s="53"/>
      <c r="J57" s="59" t="s">
        <v>98</v>
      </c>
      <c r="K57" s="60"/>
      <c r="L57" s="61">
        <f>SUM(L33:L56)</f>
        <v>783</v>
      </c>
      <c r="M57" s="62">
        <f>SUM(M33:M56)</f>
        <v>3864.88</v>
      </c>
      <c r="N57" s="62">
        <f>SUM(N33:N56)</f>
        <v>4075.5801800000004</v>
      </c>
      <c r="O57" s="63">
        <f>SUM(O33:O56)</f>
        <v>1399.1120199999998</v>
      </c>
      <c r="P57" s="64">
        <f>SUM(P33:P56)</f>
        <v>25700.614369999996</v>
      </c>
      <c r="Q57" s="65"/>
      <c r="R57" s="19"/>
      <c r="S57" s="19"/>
      <c r="T57" s="19"/>
    </row>
    <row r="58" spans="2:21" ht="13.5" customHeight="1" thickBot="1" x14ac:dyDescent="0.3">
      <c r="B58" s="19"/>
      <c r="C58" s="57"/>
      <c r="D58" s="58"/>
      <c r="E58" s="697">
        <v>45971</v>
      </c>
      <c r="H58" s="12"/>
      <c r="I58" s="53"/>
      <c r="J58" s="452"/>
      <c r="K58" s="453"/>
      <c r="L58" s="454"/>
      <c r="M58" s="455"/>
      <c r="N58" s="455"/>
      <c r="O58" s="455"/>
      <c r="P58" s="456"/>
      <c r="Q58" s="65"/>
      <c r="R58" s="19"/>
      <c r="S58" s="19"/>
      <c r="T58" s="19"/>
    </row>
    <row r="59" spans="2:21" ht="13.5" customHeight="1" x14ac:dyDescent="0.25">
      <c r="E59" s="696" t="s">
        <v>318</v>
      </c>
      <c r="H59" s="12"/>
      <c r="I59" s="70"/>
      <c r="J59" s="53"/>
      <c r="K59" s="54"/>
      <c r="L59" s="54"/>
      <c r="M59" s="54"/>
      <c r="N59" s="54"/>
      <c r="O59" s="12"/>
      <c r="P59" s="56"/>
      <c r="Q59" s="56"/>
      <c r="R59" s="19"/>
      <c r="S59" s="19"/>
      <c r="T59" s="19"/>
    </row>
    <row r="60" spans="2:21" ht="13.5" customHeight="1" x14ac:dyDescent="0.25">
      <c r="H60" s="15"/>
      <c r="I60" s="73"/>
      <c r="J60" s="21"/>
      <c r="K60" s="73"/>
      <c r="L60" s="21"/>
      <c r="M60" s="21"/>
      <c r="N60" s="21"/>
      <c r="O60" s="20" t="s">
        <v>104</v>
      </c>
      <c r="P60" s="74">
        <f>(N57*P28)+(O57*P29)</f>
        <v>25700.614370000003</v>
      </c>
      <c r="Q60" s="74"/>
      <c r="R60" s="19"/>
      <c r="S60" s="19"/>
      <c r="T60" s="19"/>
    </row>
    <row r="61" spans="2:21" ht="13.5" customHeight="1" x14ac:dyDescent="0.25">
      <c r="H61" s="12"/>
      <c r="I61" s="73"/>
      <c r="J61" s="21"/>
      <c r="K61" s="73"/>
      <c r="L61" s="21"/>
      <c r="M61" s="21"/>
      <c r="N61" s="21"/>
      <c r="O61" s="78" t="s">
        <v>106</v>
      </c>
      <c r="P61" s="79">
        <f>+P60*1</f>
        <v>25700.614370000003</v>
      </c>
      <c r="Q61" s="74"/>
      <c r="R61" s="19"/>
      <c r="S61" s="19"/>
      <c r="T61" s="19"/>
    </row>
    <row r="62" spans="2:21" ht="13.5" customHeight="1" x14ac:dyDescent="0.25">
      <c r="H62" s="12"/>
      <c r="I62" s="73"/>
      <c r="J62" s="21"/>
      <c r="K62" s="73"/>
      <c r="L62" s="21"/>
      <c r="M62" s="21"/>
      <c r="N62" s="21"/>
      <c r="O62" s="20" t="s">
        <v>96</v>
      </c>
      <c r="P62" s="74">
        <f>+P60-P61</f>
        <v>0</v>
      </c>
      <c r="Q62" s="74"/>
      <c r="R62" s="19"/>
      <c r="S62" s="19"/>
      <c r="T62" s="19"/>
    </row>
    <row r="63" spans="2:21" ht="13.5" customHeight="1" x14ac:dyDescent="0.25">
      <c r="H63" s="82"/>
      <c r="I63" s="83" t="s">
        <v>57</v>
      </c>
      <c r="K63" s="73"/>
      <c r="L63" s="21"/>
      <c r="M63" s="21"/>
      <c r="N63" s="21"/>
      <c r="O63" s="84" t="s">
        <v>107</v>
      </c>
      <c r="P63" s="85">
        <f>+P62*0.16</f>
        <v>0</v>
      </c>
      <c r="Q63" s="85"/>
      <c r="R63" s="19"/>
      <c r="S63" s="19"/>
      <c r="T63" s="19"/>
    </row>
    <row r="64" spans="2:21" ht="13.5" customHeight="1" x14ac:dyDescent="0.25">
      <c r="H64" s="82"/>
      <c r="I64" s="3" t="s">
        <v>58</v>
      </c>
      <c r="K64" s="73"/>
      <c r="L64" s="21"/>
      <c r="M64" s="21"/>
      <c r="N64" s="21"/>
      <c r="O64" s="84" t="s">
        <v>7</v>
      </c>
      <c r="P64" s="85">
        <f>+P62+P63</f>
        <v>0</v>
      </c>
      <c r="Q64" s="85"/>
      <c r="R64" s="19"/>
      <c r="S64" s="19"/>
      <c r="T64" s="19"/>
    </row>
    <row r="65" spans="3:20" ht="13.5" customHeight="1" thickBot="1" x14ac:dyDescent="0.3">
      <c r="H65" s="82"/>
      <c r="I65" s="2" t="s">
        <v>8</v>
      </c>
      <c r="K65" s="73"/>
      <c r="L65" s="21"/>
      <c r="M65" s="21"/>
      <c r="N65" s="21"/>
      <c r="O65" s="20"/>
      <c r="P65" s="74"/>
      <c r="Q65" s="74"/>
      <c r="R65" s="19"/>
      <c r="S65" s="19"/>
      <c r="T65" s="19"/>
    </row>
    <row r="66" spans="3:20" ht="13.5" customHeight="1" thickBot="1" x14ac:dyDescent="0.3">
      <c r="H66" s="82"/>
      <c r="I66" s="2" t="s">
        <v>9</v>
      </c>
      <c r="K66" s="73"/>
      <c r="L66" s="21"/>
      <c r="M66" s="21"/>
      <c r="N66" s="21"/>
      <c r="O66" s="84" t="s">
        <v>109</v>
      </c>
      <c r="P66" s="698">
        <f>+P64*20</f>
        <v>0</v>
      </c>
      <c r="Q66" s="24"/>
      <c r="R66" s="19"/>
      <c r="S66" s="19"/>
      <c r="T66" s="19"/>
    </row>
    <row r="67" spans="3:20" ht="13.5" customHeight="1" x14ac:dyDescent="0.25">
      <c r="C67" s="8"/>
      <c r="H67" s="12"/>
      <c r="I67" s="87" t="s">
        <v>10</v>
      </c>
      <c r="K67" s="12"/>
      <c r="L67" s="21"/>
      <c r="M67" s="21"/>
      <c r="N67" s="21"/>
      <c r="O67" s="12"/>
      <c r="P67" s="21"/>
      <c r="Q67" s="21"/>
      <c r="R67" s="19"/>
      <c r="S67" s="19"/>
      <c r="T67" s="19"/>
    </row>
    <row r="68" spans="3:20" ht="13.5" customHeight="1" x14ac:dyDescent="0.25">
      <c r="C68" s="8"/>
      <c r="H68" s="12"/>
      <c r="I68" s="53"/>
      <c r="J68" s="15"/>
      <c r="K68" s="12"/>
      <c r="L68" s="21"/>
      <c r="M68" s="21"/>
      <c r="N68" s="21"/>
      <c r="O68" s="12"/>
      <c r="P68" s="21"/>
      <c r="Q68" s="21"/>
      <c r="R68" s="19"/>
      <c r="S68" s="19"/>
      <c r="T68" s="19"/>
    </row>
    <row r="69" spans="3:20" ht="15.75" customHeight="1" x14ac:dyDescent="0.25">
      <c r="C69" s="8"/>
    </row>
    <row r="70" spans="3:20" ht="15.75" customHeight="1" x14ac:dyDescent="0.25">
      <c r="C70" s="8"/>
    </row>
    <row r="71" spans="3:20" ht="15.75" customHeight="1" x14ac:dyDescent="0.25">
      <c r="C71" s="8"/>
    </row>
    <row r="72" spans="3:20" ht="15.75" customHeight="1" x14ac:dyDescent="0.25">
      <c r="C72" s="8"/>
    </row>
    <row r="73" spans="3:20" ht="15.75" customHeight="1" x14ac:dyDescent="0.25">
      <c r="C73" s="8"/>
    </row>
    <row r="74" spans="3:20" ht="15.75" customHeight="1" x14ac:dyDescent="0.25">
      <c r="C74" s="8"/>
    </row>
    <row r="75" spans="3:20" ht="15.75" customHeight="1" x14ac:dyDescent="0.25">
      <c r="C75" s="8"/>
    </row>
    <row r="76" spans="3:20" ht="15.75" customHeight="1" x14ac:dyDescent="0.25">
      <c r="C76" s="8"/>
    </row>
    <row r="77" spans="3:20" ht="15.75" customHeight="1" x14ac:dyDescent="0.25">
      <c r="C77" s="8"/>
    </row>
    <row r="78" spans="3:20" ht="15.75" customHeight="1" x14ac:dyDescent="0.25">
      <c r="C78" s="8"/>
    </row>
    <row r="79" spans="3:20" ht="15.75" customHeight="1" x14ac:dyDescent="0.25">
      <c r="C79" s="8"/>
    </row>
    <row r="80" spans="3:20" ht="15.75" customHeight="1" x14ac:dyDescent="0.25">
      <c r="C80" s="8"/>
    </row>
    <row r="81" spans="3:3" ht="15.75" customHeight="1" x14ac:dyDescent="0.25">
      <c r="C81" s="8"/>
    </row>
    <row r="82" spans="3:3" ht="15.75" customHeight="1" x14ac:dyDescent="0.25">
      <c r="C82" s="8"/>
    </row>
    <row r="83" spans="3:3" ht="15.75" customHeight="1" x14ac:dyDescent="0.25">
      <c r="C83" s="8"/>
    </row>
    <row r="84" spans="3:3" ht="15.75" customHeight="1" x14ac:dyDescent="0.25">
      <c r="C84" s="8"/>
    </row>
    <row r="85" spans="3:3" ht="15.75" customHeight="1" x14ac:dyDescent="0.25">
      <c r="C85" s="8"/>
    </row>
    <row r="86" spans="3:3" ht="15.75" customHeight="1" x14ac:dyDescent="0.25">
      <c r="C86" s="8"/>
    </row>
    <row r="87" spans="3:3" ht="15.75" customHeight="1" x14ac:dyDescent="0.25">
      <c r="C87" s="8"/>
    </row>
    <row r="88" spans="3:3" ht="15.75" customHeight="1" x14ac:dyDescent="0.25">
      <c r="C88" s="8"/>
    </row>
    <row r="89" spans="3:3" ht="15.75" customHeight="1" x14ac:dyDescent="0.25">
      <c r="C89" s="8"/>
    </row>
    <row r="90" spans="3:3" ht="15.75" customHeight="1" x14ac:dyDescent="0.25">
      <c r="C90" s="8"/>
    </row>
    <row r="91" spans="3:3" ht="15.75" customHeight="1" x14ac:dyDescent="0.25">
      <c r="C91" s="8"/>
    </row>
    <row r="92" spans="3:3" ht="15.75" customHeight="1" x14ac:dyDescent="0.25">
      <c r="C92" s="8"/>
    </row>
    <row r="93" spans="3:3" ht="15.75" customHeight="1" x14ac:dyDescent="0.25">
      <c r="C93" s="8"/>
    </row>
    <row r="94" spans="3:3" ht="15.75" customHeight="1" x14ac:dyDescent="0.25">
      <c r="C94" s="8"/>
    </row>
    <row r="95" spans="3:3" ht="15.75" customHeight="1" x14ac:dyDescent="0.25">
      <c r="C95" s="8"/>
    </row>
    <row r="96" spans="3:3" ht="15.75" customHeight="1" x14ac:dyDescent="0.25">
      <c r="C96" s="8"/>
    </row>
    <row r="97" spans="3:3" ht="15.75" customHeight="1" x14ac:dyDescent="0.25">
      <c r="C97" s="8"/>
    </row>
    <row r="98" spans="3:3" ht="15.75" customHeight="1" x14ac:dyDescent="0.25">
      <c r="C98" s="8"/>
    </row>
    <row r="99" spans="3:3" ht="15.75" customHeight="1" x14ac:dyDescent="0.25">
      <c r="C99" s="8"/>
    </row>
    <row r="100" spans="3:3" ht="15.75" customHeight="1" x14ac:dyDescent="0.25">
      <c r="C100" s="8"/>
    </row>
    <row r="101" spans="3:3" ht="15.75" customHeight="1" x14ac:dyDescent="0.25">
      <c r="C101" s="8"/>
    </row>
    <row r="102" spans="3:3" ht="15.75" customHeight="1" x14ac:dyDescent="0.25">
      <c r="C102" s="8"/>
    </row>
    <row r="103" spans="3:3" ht="15.75" customHeight="1" x14ac:dyDescent="0.25">
      <c r="C103" s="8"/>
    </row>
    <row r="104" spans="3:3" ht="15.75" customHeight="1" x14ac:dyDescent="0.25">
      <c r="C104" s="8"/>
    </row>
    <row r="105" spans="3:3" ht="15.75" customHeight="1" x14ac:dyDescent="0.25">
      <c r="C105" s="8"/>
    </row>
    <row r="106" spans="3:3" ht="15.75" customHeight="1" x14ac:dyDescent="0.25">
      <c r="C106" s="8"/>
    </row>
    <row r="107" spans="3:3" ht="15.75" customHeight="1" x14ac:dyDescent="0.25">
      <c r="C107" s="8"/>
    </row>
    <row r="108" spans="3:3" ht="15.75" customHeight="1" x14ac:dyDescent="0.25">
      <c r="C108" s="8"/>
    </row>
    <row r="109" spans="3:3" ht="15.75" customHeight="1" x14ac:dyDescent="0.25">
      <c r="C109" s="8"/>
    </row>
    <row r="110" spans="3:3" ht="15.75" customHeight="1" x14ac:dyDescent="0.25">
      <c r="C110" s="8"/>
    </row>
    <row r="111" spans="3:3" ht="15.75" customHeight="1" x14ac:dyDescent="0.25">
      <c r="C111" s="8"/>
    </row>
    <row r="112" spans="3:3" ht="15.75" customHeight="1" x14ac:dyDescent="0.25">
      <c r="C112" s="8"/>
    </row>
    <row r="113" spans="3:3" ht="15.75" customHeight="1" x14ac:dyDescent="0.25">
      <c r="C113" s="8"/>
    </row>
    <row r="114" spans="3:3" ht="15.75" customHeight="1" x14ac:dyDescent="0.25">
      <c r="C114" s="8"/>
    </row>
    <row r="115" spans="3:3" ht="15.75" customHeight="1" x14ac:dyDescent="0.25">
      <c r="C115" s="8"/>
    </row>
    <row r="116" spans="3:3" ht="15.75" customHeight="1" x14ac:dyDescent="0.25">
      <c r="C116" s="8"/>
    </row>
    <row r="117" spans="3:3" ht="15.75" customHeight="1" x14ac:dyDescent="0.25">
      <c r="C117" s="8"/>
    </row>
    <row r="118" spans="3:3" ht="15.75" customHeight="1" x14ac:dyDescent="0.25">
      <c r="C118" s="8"/>
    </row>
    <row r="119" spans="3:3" ht="15.75" customHeight="1" x14ac:dyDescent="0.25">
      <c r="C119" s="8"/>
    </row>
    <row r="120" spans="3:3" ht="15.75" customHeight="1" x14ac:dyDescent="0.25">
      <c r="C120" s="8"/>
    </row>
    <row r="121" spans="3:3" ht="15.75" customHeight="1" x14ac:dyDescent="0.25">
      <c r="C121" s="8"/>
    </row>
    <row r="122" spans="3:3" ht="15.75" customHeight="1" x14ac:dyDescent="0.25">
      <c r="C122" s="8"/>
    </row>
    <row r="123" spans="3:3" ht="15.75" customHeight="1" x14ac:dyDescent="0.25">
      <c r="C123" s="8"/>
    </row>
    <row r="124" spans="3:3" ht="15.75" customHeight="1" x14ac:dyDescent="0.25">
      <c r="C124" s="8"/>
    </row>
    <row r="125" spans="3:3" ht="15.75" customHeight="1" x14ac:dyDescent="0.25">
      <c r="C125" s="8"/>
    </row>
    <row r="126" spans="3:3" ht="15.75" customHeight="1" x14ac:dyDescent="0.25">
      <c r="C126" s="8"/>
    </row>
    <row r="127" spans="3:3" ht="15.75" customHeight="1" x14ac:dyDescent="0.25">
      <c r="C127" s="8"/>
    </row>
    <row r="128" spans="3:3" ht="15.75" customHeight="1" x14ac:dyDescent="0.25">
      <c r="C128" s="8"/>
    </row>
    <row r="129" spans="3:3" ht="15.75" customHeight="1" x14ac:dyDescent="0.25">
      <c r="C129" s="8"/>
    </row>
    <row r="130" spans="3:3" ht="15.75" customHeight="1" x14ac:dyDescent="0.25">
      <c r="C130" s="8"/>
    </row>
    <row r="131" spans="3:3" ht="15.75" customHeight="1" x14ac:dyDescent="0.25">
      <c r="C131" s="8"/>
    </row>
    <row r="132" spans="3:3" ht="15.75" customHeight="1" x14ac:dyDescent="0.25">
      <c r="C132" s="8"/>
    </row>
    <row r="133" spans="3:3" ht="15.75" customHeight="1" x14ac:dyDescent="0.25">
      <c r="C133" s="8"/>
    </row>
    <row r="134" spans="3:3" ht="15.75" customHeight="1" x14ac:dyDescent="0.25">
      <c r="C134" s="8"/>
    </row>
    <row r="135" spans="3:3" ht="15.75" customHeight="1" x14ac:dyDescent="0.25">
      <c r="C135" s="8"/>
    </row>
    <row r="136" spans="3:3" ht="15.75" customHeight="1" x14ac:dyDescent="0.25">
      <c r="C136" s="8"/>
    </row>
    <row r="137" spans="3:3" ht="15.75" customHeight="1" x14ac:dyDescent="0.25">
      <c r="C137" s="8"/>
    </row>
    <row r="138" spans="3:3" ht="15.75" customHeight="1" x14ac:dyDescent="0.25">
      <c r="C138" s="8"/>
    </row>
    <row r="139" spans="3:3" ht="15.75" customHeight="1" x14ac:dyDescent="0.25">
      <c r="C139" s="8"/>
    </row>
    <row r="140" spans="3:3" ht="15.75" customHeight="1" x14ac:dyDescent="0.25">
      <c r="C140" s="8"/>
    </row>
    <row r="141" spans="3:3" ht="15.75" customHeight="1" x14ac:dyDescent="0.25">
      <c r="C141" s="8"/>
    </row>
    <row r="142" spans="3:3" ht="15.75" customHeight="1" x14ac:dyDescent="0.25">
      <c r="C142" s="8"/>
    </row>
    <row r="143" spans="3:3" ht="15.75" customHeight="1" x14ac:dyDescent="0.25">
      <c r="C143" s="8"/>
    </row>
    <row r="144" spans="3:3" ht="15.75" customHeight="1" x14ac:dyDescent="0.25">
      <c r="C144" s="8"/>
    </row>
    <row r="145" spans="3:3" ht="15.75" customHeight="1" x14ac:dyDescent="0.25">
      <c r="C145" s="8"/>
    </row>
    <row r="146" spans="3:3" ht="15.75" customHeight="1" x14ac:dyDescent="0.25">
      <c r="C146" s="8"/>
    </row>
    <row r="147" spans="3:3" ht="15.75" customHeight="1" x14ac:dyDescent="0.25">
      <c r="C147" s="8"/>
    </row>
    <row r="148" spans="3:3" ht="15.75" customHeight="1" x14ac:dyDescent="0.25">
      <c r="C148" s="8"/>
    </row>
    <row r="149" spans="3:3" ht="15.75" customHeight="1" x14ac:dyDescent="0.25">
      <c r="C149" s="8"/>
    </row>
    <row r="150" spans="3:3" ht="15.75" customHeight="1" x14ac:dyDescent="0.25">
      <c r="C150" s="8"/>
    </row>
    <row r="151" spans="3:3" ht="15.75" customHeight="1" x14ac:dyDescent="0.25">
      <c r="C151" s="8"/>
    </row>
    <row r="152" spans="3:3" ht="15.75" customHeight="1" x14ac:dyDescent="0.25">
      <c r="C152" s="8"/>
    </row>
    <row r="153" spans="3:3" ht="15.75" customHeight="1" x14ac:dyDescent="0.25">
      <c r="C153" s="8"/>
    </row>
    <row r="154" spans="3:3" ht="15.75" customHeight="1" x14ac:dyDescent="0.25">
      <c r="C154" s="8"/>
    </row>
    <row r="155" spans="3:3" ht="15.75" customHeight="1" x14ac:dyDescent="0.25">
      <c r="C155" s="8"/>
    </row>
    <row r="156" spans="3:3" ht="15.75" customHeight="1" x14ac:dyDescent="0.25">
      <c r="C156" s="8"/>
    </row>
    <row r="157" spans="3:3" ht="15.75" customHeight="1" x14ac:dyDescent="0.25">
      <c r="C157" s="8"/>
    </row>
    <row r="158" spans="3:3" ht="15.75" customHeight="1" x14ac:dyDescent="0.25">
      <c r="C158" s="8"/>
    </row>
    <row r="159" spans="3:3" ht="15.75" customHeight="1" x14ac:dyDescent="0.25">
      <c r="C159" s="8"/>
    </row>
    <row r="160" spans="3:3" ht="15.75" customHeight="1" x14ac:dyDescent="0.25">
      <c r="C160" s="8"/>
    </row>
    <row r="161" spans="3:3" ht="15.75" customHeight="1" x14ac:dyDescent="0.25">
      <c r="C161" s="8"/>
    </row>
    <row r="162" spans="3:3" ht="15.75" customHeight="1" x14ac:dyDescent="0.25">
      <c r="C162" s="8"/>
    </row>
    <row r="163" spans="3:3" ht="15.75" customHeight="1" x14ac:dyDescent="0.25">
      <c r="C163" s="8"/>
    </row>
    <row r="164" spans="3:3" ht="15.75" customHeight="1" x14ac:dyDescent="0.25">
      <c r="C164" s="8"/>
    </row>
    <row r="165" spans="3:3" ht="15.75" customHeight="1" x14ac:dyDescent="0.25">
      <c r="C165" s="8"/>
    </row>
    <row r="166" spans="3:3" ht="15.75" customHeight="1" x14ac:dyDescent="0.25">
      <c r="C166" s="8"/>
    </row>
    <row r="167" spans="3:3" ht="15.75" customHeight="1" x14ac:dyDescent="0.25">
      <c r="C167" s="8"/>
    </row>
    <row r="168" spans="3:3" ht="15.75" customHeight="1" x14ac:dyDescent="0.25">
      <c r="C168" s="8"/>
    </row>
    <row r="169" spans="3:3" ht="15.75" customHeight="1" x14ac:dyDescent="0.25">
      <c r="C169" s="8"/>
    </row>
    <row r="170" spans="3:3" ht="15.75" customHeight="1" x14ac:dyDescent="0.25">
      <c r="C170" s="8"/>
    </row>
    <row r="171" spans="3:3" ht="15.75" customHeight="1" x14ac:dyDescent="0.25">
      <c r="C171" s="8"/>
    </row>
    <row r="172" spans="3:3" ht="15.75" customHeight="1" x14ac:dyDescent="0.25">
      <c r="C172" s="8"/>
    </row>
    <row r="173" spans="3:3" ht="15.75" customHeight="1" x14ac:dyDescent="0.25">
      <c r="C173" s="8"/>
    </row>
    <row r="174" spans="3:3" ht="15.75" customHeight="1" x14ac:dyDescent="0.25">
      <c r="C174" s="8"/>
    </row>
    <row r="175" spans="3:3" ht="15.75" customHeight="1" x14ac:dyDescent="0.25">
      <c r="C175" s="8"/>
    </row>
    <row r="176" spans="3:3" ht="15.75" customHeight="1" x14ac:dyDescent="0.25">
      <c r="C176" s="8"/>
    </row>
    <row r="177" spans="3:3" ht="15.75" customHeight="1" x14ac:dyDescent="0.25">
      <c r="C177" s="8"/>
    </row>
    <row r="178" spans="3:3" ht="15.75" customHeight="1" x14ac:dyDescent="0.25">
      <c r="C178" s="8"/>
    </row>
    <row r="179" spans="3:3" ht="15.75" customHeight="1" x14ac:dyDescent="0.25">
      <c r="C179" s="8"/>
    </row>
    <row r="180" spans="3:3" ht="15.75" customHeight="1" x14ac:dyDescent="0.25">
      <c r="C180" s="8"/>
    </row>
    <row r="181" spans="3:3" ht="15.75" customHeight="1" x14ac:dyDescent="0.25">
      <c r="C181" s="8"/>
    </row>
    <row r="182" spans="3:3" ht="15.75" customHeight="1" x14ac:dyDescent="0.25">
      <c r="C182" s="8"/>
    </row>
    <row r="183" spans="3:3" ht="15.75" customHeight="1" x14ac:dyDescent="0.25">
      <c r="C183" s="8"/>
    </row>
    <row r="184" spans="3:3" ht="15.75" customHeight="1" x14ac:dyDescent="0.25">
      <c r="C184" s="8"/>
    </row>
    <row r="185" spans="3:3" ht="15.75" customHeight="1" x14ac:dyDescent="0.25">
      <c r="C185" s="8"/>
    </row>
    <row r="186" spans="3:3" ht="15.75" customHeight="1" x14ac:dyDescent="0.25">
      <c r="C186" s="8"/>
    </row>
    <row r="187" spans="3:3" ht="15.75" customHeight="1" x14ac:dyDescent="0.25">
      <c r="C187" s="8"/>
    </row>
    <row r="188" spans="3:3" ht="15.75" customHeight="1" x14ac:dyDescent="0.25">
      <c r="C188" s="8"/>
    </row>
    <row r="189" spans="3:3" ht="15.75" customHeight="1" x14ac:dyDescent="0.25">
      <c r="C189" s="8"/>
    </row>
    <row r="190" spans="3:3" ht="15.75" customHeight="1" x14ac:dyDescent="0.25">
      <c r="C190" s="8"/>
    </row>
    <row r="191" spans="3:3" ht="15.75" customHeight="1" x14ac:dyDescent="0.25">
      <c r="C191" s="8"/>
    </row>
    <row r="192" spans="3:3" ht="15.75" customHeight="1" x14ac:dyDescent="0.25">
      <c r="C192" s="8"/>
    </row>
    <row r="193" spans="3:3" ht="15.75" customHeight="1" x14ac:dyDescent="0.25">
      <c r="C193" s="8"/>
    </row>
    <row r="194" spans="3:3" ht="15.75" customHeight="1" x14ac:dyDescent="0.25">
      <c r="C194" s="8"/>
    </row>
    <row r="195" spans="3:3" ht="15.75" customHeight="1" x14ac:dyDescent="0.25">
      <c r="C195" s="8"/>
    </row>
    <row r="196" spans="3:3" ht="15.75" customHeight="1" x14ac:dyDescent="0.25">
      <c r="C196" s="8"/>
    </row>
    <row r="197" spans="3:3" ht="15.75" customHeight="1" x14ac:dyDescent="0.25">
      <c r="C197" s="8"/>
    </row>
    <row r="198" spans="3:3" ht="15.75" customHeight="1" x14ac:dyDescent="0.25">
      <c r="C198" s="8"/>
    </row>
    <row r="199" spans="3:3" ht="15.75" customHeight="1" x14ac:dyDescent="0.25">
      <c r="C199" s="8"/>
    </row>
    <row r="200" spans="3:3" ht="15.75" customHeight="1" x14ac:dyDescent="0.25">
      <c r="C200" s="8"/>
    </row>
    <row r="201" spans="3:3" ht="15.75" customHeight="1" x14ac:dyDescent="0.25">
      <c r="C201" s="8"/>
    </row>
    <row r="202" spans="3:3" ht="15.75" customHeight="1" x14ac:dyDescent="0.25">
      <c r="C202" s="8"/>
    </row>
    <row r="203" spans="3:3" ht="15.75" customHeight="1" x14ac:dyDescent="0.25">
      <c r="C203" s="8"/>
    </row>
    <row r="204" spans="3:3" ht="15.75" customHeight="1" x14ac:dyDescent="0.25">
      <c r="C204" s="8"/>
    </row>
    <row r="205" spans="3:3" ht="15.75" customHeight="1" x14ac:dyDescent="0.25">
      <c r="C205" s="8"/>
    </row>
    <row r="206" spans="3:3" ht="15.75" customHeight="1" x14ac:dyDescent="0.25">
      <c r="C206" s="8"/>
    </row>
    <row r="207" spans="3:3" ht="15.75" customHeight="1" x14ac:dyDescent="0.25">
      <c r="C207" s="8"/>
    </row>
    <row r="208" spans="3:3" ht="15.75" customHeight="1" x14ac:dyDescent="0.25">
      <c r="C208" s="8"/>
    </row>
    <row r="209" spans="3:3" ht="15.75" customHeight="1" x14ac:dyDescent="0.25">
      <c r="C209" s="8"/>
    </row>
    <row r="210" spans="3:3" ht="15.75" customHeight="1" x14ac:dyDescent="0.25">
      <c r="C210" s="8"/>
    </row>
    <row r="211" spans="3:3" ht="15.75" customHeight="1" x14ac:dyDescent="0.25">
      <c r="C211" s="8"/>
    </row>
    <row r="212" spans="3:3" ht="15.75" customHeight="1" x14ac:dyDescent="0.25">
      <c r="C212" s="8"/>
    </row>
    <row r="213" spans="3:3" ht="15.75" customHeight="1" x14ac:dyDescent="0.25">
      <c r="C213" s="8"/>
    </row>
    <row r="214" spans="3:3" ht="15.75" customHeight="1" x14ac:dyDescent="0.25">
      <c r="C214" s="8"/>
    </row>
    <row r="215" spans="3:3" ht="15.75" customHeight="1" x14ac:dyDescent="0.25">
      <c r="C215" s="8"/>
    </row>
    <row r="216" spans="3:3" ht="15.75" customHeight="1" x14ac:dyDescent="0.25">
      <c r="C216" s="8"/>
    </row>
    <row r="217" spans="3:3" ht="15.75" customHeight="1" x14ac:dyDescent="0.25">
      <c r="C217" s="8"/>
    </row>
    <row r="218" spans="3:3" ht="15.75" customHeight="1" x14ac:dyDescent="0.25">
      <c r="C218" s="8"/>
    </row>
    <row r="219" spans="3:3" ht="15.75" customHeight="1" x14ac:dyDescent="0.25">
      <c r="C219" s="8"/>
    </row>
    <row r="220" spans="3:3" ht="15.75" customHeight="1" x14ac:dyDescent="0.25">
      <c r="C220" s="8"/>
    </row>
    <row r="221" spans="3:3" ht="15.75" customHeight="1" x14ac:dyDescent="0.25">
      <c r="C221" s="8"/>
    </row>
    <row r="222" spans="3:3" ht="15.75" customHeight="1" x14ac:dyDescent="0.25">
      <c r="C222" s="8"/>
    </row>
    <row r="223" spans="3:3" ht="15.75" customHeight="1" x14ac:dyDescent="0.25">
      <c r="C223" s="8"/>
    </row>
    <row r="224" spans="3:3" ht="15.75" customHeight="1" x14ac:dyDescent="0.25">
      <c r="C224" s="8"/>
    </row>
    <row r="225" spans="3:3" ht="15.75" customHeight="1" x14ac:dyDescent="0.25">
      <c r="C225" s="8"/>
    </row>
    <row r="226" spans="3:3" ht="15.75" customHeight="1" x14ac:dyDescent="0.25">
      <c r="C226" s="8"/>
    </row>
    <row r="227" spans="3:3" ht="15.75" customHeight="1" x14ac:dyDescent="0.25">
      <c r="C227" s="8"/>
    </row>
    <row r="228" spans="3:3" ht="15.75" customHeight="1" x14ac:dyDescent="0.25">
      <c r="C228" s="8"/>
    </row>
    <row r="229" spans="3:3" ht="15.75" customHeight="1" x14ac:dyDescent="0.25">
      <c r="C229" s="8"/>
    </row>
    <row r="230" spans="3:3" ht="15.75" customHeight="1" x14ac:dyDescent="0.25">
      <c r="C230" s="8"/>
    </row>
    <row r="231" spans="3:3" ht="15.75" customHeight="1" x14ac:dyDescent="0.25">
      <c r="C231" s="8"/>
    </row>
    <row r="232" spans="3:3" ht="15.75" customHeight="1" x14ac:dyDescent="0.25">
      <c r="C232" s="8"/>
    </row>
    <row r="233" spans="3:3" ht="15.75" customHeight="1" x14ac:dyDescent="0.25">
      <c r="C233" s="8"/>
    </row>
    <row r="234" spans="3:3" ht="15.75" customHeight="1" x14ac:dyDescent="0.25">
      <c r="C234" s="8"/>
    </row>
    <row r="235" spans="3:3" ht="15.75" customHeight="1" x14ac:dyDescent="0.25">
      <c r="C235" s="8"/>
    </row>
    <row r="236" spans="3:3" ht="15.75" customHeight="1" x14ac:dyDescent="0.25">
      <c r="C236" s="8"/>
    </row>
    <row r="237" spans="3:3" ht="15.75" customHeight="1" x14ac:dyDescent="0.25">
      <c r="C237" s="8"/>
    </row>
    <row r="238" spans="3:3" ht="15.75" customHeight="1" x14ac:dyDescent="0.25">
      <c r="C238" s="8"/>
    </row>
    <row r="239" spans="3:3" ht="15.75" customHeight="1" x14ac:dyDescent="0.25">
      <c r="C239" s="8"/>
    </row>
    <row r="240" spans="3:3" ht="15.75" customHeight="1" x14ac:dyDescent="0.25">
      <c r="C240" s="8"/>
    </row>
    <row r="241" spans="3:3" ht="15.75" customHeight="1" x14ac:dyDescent="0.25">
      <c r="C241" s="8"/>
    </row>
    <row r="242" spans="3:3" ht="15.75" customHeight="1" x14ac:dyDescent="0.25">
      <c r="C242" s="8"/>
    </row>
    <row r="243" spans="3:3" ht="15.75" customHeight="1" x14ac:dyDescent="0.25">
      <c r="C243" s="8"/>
    </row>
    <row r="244" spans="3:3" ht="15.75" customHeight="1" x14ac:dyDescent="0.25">
      <c r="C244" s="8"/>
    </row>
    <row r="245" spans="3:3" ht="15.75" customHeight="1" x14ac:dyDescent="0.25">
      <c r="C245" s="8"/>
    </row>
    <row r="246" spans="3:3" ht="15.75" customHeight="1" x14ac:dyDescent="0.25">
      <c r="C246" s="8"/>
    </row>
    <row r="247" spans="3:3" ht="15.75" customHeight="1" x14ac:dyDescent="0.25">
      <c r="C247" s="8"/>
    </row>
    <row r="248" spans="3:3" ht="15.75" customHeight="1" x14ac:dyDescent="0.25">
      <c r="C248" s="8"/>
    </row>
    <row r="249" spans="3:3" ht="15.75" customHeight="1" x14ac:dyDescent="0.25">
      <c r="C249" s="8"/>
    </row>
    <row r="250" spans="3:3" ht="15.75" customHeight="1" x14ac:dyDescent="0.25">
      <c r="C250" s="8"/>
    </row>
    <row r="251" spans="3:3" ht="15.75" customHeight="1" x14ac:dyDescent="0.25">
      <c r="C251" s="8"/>
    </row>
    <row r="252" spans="3:3" ht="15.75" customHeight="1" x14ac:dyDescent="0.25">
      <c r="C252" s="8"/>
    </row>
    <row r="253" spans="3:3" ht="15.75" customHeight="1" x14ac:dyDescent="0.25">
      <c r="C253" s="8"/>
    </row>
    <row r="254" spans="3:3" ht="15.75" customHeight="1" x14ac:dyDescent="0.25">
      <c r="C254" s="8"/>
    </row>
    <row r="255" spans="3:3" ht="15.75" customHeight="1" x14ac:dyDescent="0.25">
      <c r="C255" s="8"/>
    </row>
    <row r="256" spans="3:3" ht="15.75" customHeight="1" x14ac:dyDescent="0.25">
      <c r="C256" s="8"/>
    </row>
    <row r="257" spans="3:3" ht="15.75" customHeight="1" x14ac:dyDescent="0.25">
      <c r="C257" s="8"/>
    </row>
    <row r="258" spans="3:3" ht="15.75" customHeight="1" x14ac:dyDescent="0.25">
      <c r="C258" s="8"/>
    </row>
    <row r="259" spans="3:3" ht="15.75" customHeight="1" x14ac:dyDescent="0.25">
      <c r="C259" s="8"/>
    </row>
    <row r="260" spans="3:3" ht="15.75" customHeight="1" x14ac:dyDescent="0.25">
      <c r="C260" s="8"/>
    </row>
    <row r="261" spans="3:3" ht="15.75" customHeight="1" x14ac:dyDescent="0.25">
      <c r="C261" s="8"/>
    </row>
    <row r="262" spans="3:3" ht="15.75" customHeight="1" x14ac:dyDescent="0.25">
      <c r="C262" s="8"/>
    </row>
    <row r="263" spans="3:3" ht="15.75" customHeight="1" x14ac:dyDescent="0.25">
      <c r="C263" s="8"/>
    </row>
    <row r="264" spans="3:3" ht="15.75" customHeight="1" x14ac:dyDescent="0.25">
      <c r="C264" s="8"/>
    </row>
    <row r="265" spans="3:3" ht="15.75" customHeight="1" x14ac:dyDescent="0.25">
      <c r="C265" s="8"/>
    </row>
    <row r="266" spans="3:3" ht="15.75" customHeight="1" x14ac:dyDescent="0.25">
      <c r="C266" s="8"/>
    </row>
    <row r="267" spans="3:3" ht="15.75" customHeight="1" x14ac:dyDescent="0.25">
      <c r="C267" s="8"/>
    </row>
    <row r="268" spans="3:3" ht="15.75" customHeight="1" x14ac:dyDescent="0.25">
      <c r="C268" s="8"/>
    </row>
    <row r="269" spans="3:3" ht="15.75" customHeight="1" x14ac:dyDescent="0.25">
      <c r="C269" s="8"/>
    </row>
    <row r="270" spans="3:3" ht="15.75" customHeight="1" x14ac:dyDescent="0.25">
      <c r="C270" s="8"/>
    </row>
    <row r="271" spans="3:3" ht="15.75" customHeight="1" x14ac:dyDescent="0.25">
      <c r="C271" s="8"/>
    </row>
    <row r="272" spans="3:3" ht="15.75" customHeight="1" x14ac:dyDescent="0.25">
      <c r="C272" s="8"/>
    </row>
    <row r="273" spans="3:3" ht="15.75" customHeight="1" x14ac:dyDescent="0.25">
      <c r="C273" s="8"/>
    </row>
    <row r="274" spans="3:3" ht="15.75" customHeight="1" x14ac:dyDescent="0.25">
      <c r="C274" s="8"/>
    </row>
    <row r="275" spans="3:3" ht="15.75" customHeight="1" x14ac:dyDescent="0.25">
      <c r="C275" s="8"/>
    </row>
    <row r="276" spans="3:3" ht="15.75" customHeight="1" x14ac:dyDescent="0.25">
      <c r="C276" s="8"/>
    </row>
    <row r="277" spans="3:3" ht="15.75" customHeight="1" x14ac:dyDescent="0.25">
      <c r="C277" s="8"/>
    </row>
    <row r="278" spans="3:3" ht="15.75" customHeight="1" x14ac:dyDescent="0.25">
      <c r="C278" s="8"/>
    </row>
    <row r="279" spans="3:3" ht="15.75" customHeight="1" x14ac:dyDescent="0.25">
      <c r="C279" s="8"/>
    </row>
    <row r="280" spans="3:3" ht="15.75" customHeight="1" x14ac:dyDescent="0.25">
      <c r="C280" s="8"/>
    </row>
    <row r="281" spans="3:3" ht="15.75" customHeight="1" x14ac:dyDescent="0.25">
      <c r="C281" s="8"/>
    </row>
    <row r="282" spans="3:3" ht="15.75" customHeight="1" x14ac:dyDescent="0.25">
      <c r="C282" s="8"/>
    </row>
    <row r="283" spans="3:3" ht="15.75" customHeight="1" x14ac:dyDescent="0.25">
      <c r="C283" s="8"/>
    </row>
    <row r="284" spans="3:3" ht="15.75" customHeight="1" x14ac:dyDescent="0.25">
      <c r="C284" s="8"/>
    </row>
    <row r="285" spans="3:3" ht="15.75" customHeight="1" x14ac:dyDescent="0.25">
      <c r="C285" s="8"/>
    </row>
    <row r="286" spans="3:3" ht="15.75" customHeight="1" x14ac:dyDescent="0.25">
      <c r="C286" s="8"/>
    </row>
    <row r="287" spans="3:3" ht="15.75" customHeight="1" x14ac:dyDescent="0.25">
      <c r="C287" s="8"/>
    </row>
    <row r="288" spans="3:3" ht="15.75" customHeight="1" x14ac:dyDescent="0.25">
      <c r="C288" s="8"/>
    </row>
    <row r="289" spans="3:3" ht="15.75" customHeight="1" x14ac:dyDescent="0.25">
      <c r="C289" s="8"/>
    </row>
    <row r="290" spans="3:3" ht="15.75" customHeight="1" x14ac:dyDescent="0.25">
      <c r="C290" s="8"/>
    </row>
    <row r="291" spans="3:3" ht="15.75" customHeight="1" x14ac:dyDescent="0.25">
      <c r="C291" s="8"/>
    </row>
    <row r="292" spans="3:3" ht="15.75" customHeight="1" x14ac:dyDescent="0.25">
      <c r="C292" s="8"/>
    </row>
    <row r="293" spans="3:3" ht="15.75" customHeight="1" x14ac:dyDescent="0.25">
      <c r="C293" s="8"/>
    </row>
    <row r="294" spans="3:3" ht="15.75" customHeight="1" x14ac:dyDescent="0.25">
      <c r="C294" s="8"/>
    </row>
    <row r="295" spans="3:3" ht="15.75" customHeight="1" x14ac:dyDescent="0.25">
      <c r="C295" s="8"/>
    </row>
    <row r="296" spans="3:3" ht="15.75" customHeight="1" x14ac:dyDescent="0.25">
      <c r="C296" s="8"/>
    </row>
    <row r="297" spans="3:3" ht="15.75" customHeight="1" x14ac:dyDescent="0.25">
      <c r="C297" s="8"/>
    </row>
    <row r="298" spans="3:3" ht="15.75" customHeight="1" x14ac:dyDescent="0.25">
      <c r="C298" s="8"/>
    </row>
    <row r="299" spans="3:3" ht="15.75" customHeight="1" x14ac:dyDescent="0.25">
      <c r="C299" s="8"/>
    </row>
    <row r="300" spans="3:3" ht="15.75" customHeight="1" x14ac:dyDescent="0.25">
      <c r="C300" s="8"/>
    </row>
    <row r="301" spans="3:3" ht="15.75" customHeight="1" x14ac:dyDescent="0.25">
      <c r="C301" s="8"/>
    </row>
    <row r="302" spans="3:3" ht="15.75" customHeight="1" x14ac:dyDescent="0.25">
      <c r="C302" s="8"/>
    </row>
    <row r="303" spans="3:3" ht="15.75" customHeight="1" x14ac:dyDescent="0.25">
      <c r="C303" s="8"/>
    </row>
    <row r="304" spans="3:3" ht="15.75" customHeight="1" x14ac:dyDescent="0.25">
      <c r="C304" s="8"/>
    </row>
    <row r="305" spans="3:3" ht="15.75" customHeight="1" x14ac:dyDescent="0.25">
      <c r="C305" s="8"/>
    </row>
    <row r="306" spans="3:3" ht="15.75" customHeight="1" x14ac:dyDescent="0.25">
      <c r="C306" s="8"/>
    </row>
    <row r="307" spans="3:3" ht="15.75" customHeight="1" x14ac:dyDescent="0.25">
      <c r="C307" s="8"/>
    </row>
    <row r="308" spans="3:3" ht="15.75" customHeight="1" x14ac:dyDescent="0.25">
      <c r="C308" s="8"/>
    </row>
    <row r="309" spans="3:3" ht="15.75" customHeight="1" x14ac:dyDescent="0.25">
      <c r="C309" s="8"/>
    </row>
    <row r="310" spans="3:3" ht="15.75" customHeight="1" x14ac:dyDescent="0.25">
      <c r="C310" s="8"/>
    </row>
    <row r="311" spans="3:3" ht="15.75" customHeight="1" x14ac:dyDescent="0.25">
      <c r="C311" s="8"/>
    </row>
    <row r="312" spans="3:3" ht="15.75" customHeight="1" x14ac:dyDescent="0.25">
      <c r="C312" s="8"/>
    </row>
    <row r="313" spans="3:3" ht="15.75" customHeight="1" x14ac:dyDescent="0.25">
      <c r="C313" s="8"/>
    </row>
    <row r="314" spans="3:3" ht="15.75" customHeight="1" x14ac:dyDescent="0.25">
      <c r="C314" s="8"/>
    </row>
    <row r="315" spans="3:3" ht="15.75" customHeight="1" x14ac:dyDescent="0.25">
      <c r="C315" s="8"/>
    </row>
    <row r="316" spans="3:3" ht="15.75" customHeight="1" x14ac:dyDescent="0.25">
      <c r="C316" s="8"/>
    </row>
    <row r="317" spans="3:3" ht="15.75" customHeight="1" x14ac:dyDescent="0.25">
      <c r="C317" s="8"/>
    </row>
    <row r="318" spans="3:3" ht="15.75" customHeight="1" x14ac:dyDescent="0.25">
      <c r="C318" s="8"/>
    </row>
    <row r="319" spans="3:3" ht="15.75" customHeight="1" x14ac:dyDescent="0.25">
      <c r="C319" s="8"/>
    </row>
    <row r="320" spans="3:3" ht="15.75" customHeight="1" x14ac:dyDescent="0.25">
      <c r="C320" s="8"/>
    </row>
    <row r="321" spans="3:3" ht="15.75" customHeight="1" x14ac:dyDescent="0.25">
      <c r="C321" s="8"/>
    </row>
    <row r="322" spans="3:3" ht="15.75" customHeight="1" x14ac:dyDescent="0.25">
      <c r="C322" s="8"/>
    </row>
    <row r="323" spans="3:3" ht="15.75" customHeight="1" x14ac:dyDescent="0.25">
      <c r="C323" s="8"/>
    </row>
    <row r="324" spans="3:3" ht="15.75" customHeight="1" x14ac:dyDescent="0.25">
      <c r="C324" s="8"/>
    </row>
    <row r="325" spans="3:3" ht="15.75" customHeight="1" x14ac:dyDescent="0.25">
      <c r="C325" s="8"/>
    </row>
    <row r="326" spans="3:3" ht="15.75" customHeight="1" x14ac:dyDescent="0.25">
      <c r="C326" s="8"/>
    </row>
    <row r="327" spans="3:3" ht="15.75" customHeight="1" x14ac:dyDescent="0.25">
      <c r="C327" s="8"/>
    </row>
    <row r="328" spans="3:3" ht="15.75" customHeight="1" x14ac:dyDescent="0.25">
      <c r="C328" s="8"/>
    </row>
    <row r="329" spans="3:3" ht="15.75" customHeight="1" x14ac:dyDescent="0.25">
      <c r="C329" s="8"/>
    </row>
    <row r="330" spans="3:3" ht="15.75" customHeight="1" x14ac:dyDescent="0.25">
      <c r="C330" s="8"/>
    </row>
    <row r="331" spans="3:3" ht="15.75" customHeight="1" x14ac:dyDescent="0.25">
      <c r="C331" s="8"/>
    </row>
    <row r="332" spans="3:3" ht="15.75" customHeight="1" x14ac:dyDescent="0.25">
      <c r="C332" s="8"/>
    </row>
    <row r="333" spans="3:3" ht="15.75" customHeight="1" x14ac:dyDescent="0.25">
      <c r="C333" s="8"/>
    </row>
    <row r="334" spans="3:3" ht="15.75" customHeight="1" x14ac:dyDescent="0.25">
      <c r="C334" s="8"/>
    </row>
    <row r="335" spans="3:3" ht="15.75" customHeight="1" x14ac:dyDescent="0.25">
      <c r="C335" s="8"/>
    </row>
    <row r="336" spans="3:3" ht="15.75" customHeight="1" x14ac:dyDescent="0.25">
      <c r="C336" s="8"/>
    </row>
    <row r="337" spans="3:3" ht="15.75" customHeight="1" x14ac:dyDescent="0.25">
      <c r="C337" s="8"/>
    </row>
    <row r="338" spans="3:3" ht="15.75" customHeight="1" x14ac:dyDescent="0.25">
      <c r="C338" s="8"/>
    </row>
    <row r="339" spans="3:3" ht="15.75" customHeight="1" x14ac:dyDescent="0.25">
      <c r="C339" s="8"/>
    </row>
    <row r="340" spans="3:3" ht="15.75" customHeight="1" x14ac:dyDescent="0.25">
      <c r="C340" s="8"/>
    </row>
    <row r="341" spans="3:3" ht="15.75" customHeight="1" x14ac:dyDescent="0.25">
      <c r="C341" s="8"/>
    </row>
    <row r="342" spans="3:3" ht="15.75" customHeight="1" x14ac:dyDescent="0.25">
      <c r="C342" s="8"/>
    </row>
    <row r="343" spans="3:3" ht="15.75" customHeight="1" x14ac:dyDescent="0.25">
      <c r="C343" s="8"/>
    </row>
    <row r="344" spans="3:3" ht="15.75" customHeight="1" x14ac:dyDescent="0.25">
      <c r="C344" s="8"/>
    </row>
    <row r="345" spans="3:3" ht="15.75" customHeight="1" x14ac:dyDescent="0.25">
      <c r="C345" s="8"/>
    </row>
    <row r="346" spans="3:3" ht="15.75" customHeight="1" x14ac:dyDescent="0.25">
      <c r="C346" s="8"/>
    </row>
    <row r="347" spans="3:3" ht="15.75" customHeight="1" x14ac:dyDescent="0.25">
      <c r="C347" s="8"/>
    </row>
    <row r="348" spans="3:3" ht="15.75" customHeight="1" x14ac:dyDescent="0.25">
      <c r="C348" s="8"/>
    </row>
    <row r="349" spans="3:3" ht="15.75" customHeight="1" x14ac:dyDescent="0.25">
      <c r="C349" s="8"/>
    </row>
    <row r="350" spans="3:3" ht="15.75" customHeight="1" x14ac:dyDescent="0.25">
      <c r="C350" s="8"/>
    </row>
    <row r="351" spans="3:3" ht="15.75" customHeight="1" x14ac:dyDescent="0.25">
      <c r="C351" s="8"/>
    </row>
    <row r="352" spans="3:3" ht="15.75" customHeight="1" x14ac:dyDescent="0.25">
      <c r="C352" s="8"/>
    </row>
    <row r="353" spans="3:3" ht="15.75" customHeight="1" x14ac:dyDescent="0.25">
      <c r="C353" s="8"/>
    </row>
    <row r="354" spans="3:3" ht="15.75" customHeight="1" x14ac:dyDescent="0.25">
      <c r="C354" s="8"/>
    </row>
    <row r="355" spans="3:3" ht="15.75" customHeight="1" x14ac:dyDescent="0.25">
      <c r="C355" s="8"/>
    </row>
    <row r="356" spans="3:3" ht="15.75" customHeight="1" x14ac:dyDescent="0.25">
      <c r="C356" s="8"/>
    </row>
    <row r="357" spans="3:3" ht="15.75" customHeight="1" x14ac:dyDescent="0.25">
      <c r="C357" s="8"/>
    </row>
    <row r="358" spans="3:3" ht="15.75" customHeight="1" x14ac:dyDescent="0.25">
      <c r="C358" s="8"/>
    </row>
    <row r="359" spans="3:3" ht="15.75" customHeight="1" x14ac:dyDescent="0.25">
      <c r="C359" s="8"/>
    </row>
    <row r="360" spans="3:3" ht="15.75" customHeight="1" x14ac:dyDescent="0.25">
      <c r="C360" s="8"/>
    </row>
    <row r="361" spans="3:3" ht="15.75" customHeight="1" x14ac:dyDescent="0.25">
      <c r="C361" s="8"/>
    </row>
    <row r="362" spans="3:3" ht="15.75" customHeight="1" x14ac:dyDescent="0.25">
      <c r="C362" s="8"/>
    </row>
    <row r="363" spans="3:3" ht="15.75" customHeight="1" x14ac:dyDescent="0.25">
      <c r="C363" s="8"/>
    </row>
    <row r="364" spans="3:3" ht="15.75" customHeight="1" x14ac:dyDescent="0.25">
      <c r="C364" s="8"/>
    </row>
    <row r="365" spans="3:3" ht="15.75" customHeight="1" x14ac:dyDescent="0.25">
      <c r="C365" s="8"/>
    </row>
    <row r="366" spans="3:3" ht="15.75" customHeight="1" x14ac:dyDescent="0.25">
      <c r="C366" s="8"/>
    </row>
    <row r="367" spans="3:3" ht="15.75" customHeight="1" x14ac:dyDescent="0.25">
      <c r="C367" s="8"/>
    </row>
    <row r="368" spans="3:3" ht="15.75" customHeight="1" x14ac:dyDescent="0.25">
      <c r="C368" s="8"/>
    </row>
    <row r="369" spans="3:3" ht="15.75" customHeight="1" x14ac:dyDescent="0.25">
      <c r="C369" s="8"/>
    </row>
    <row r="370" spans="3:3" ht="15.75" customHeight="1" x14ac:dyDescent="0.25">
      <c r="C370" s="8"/>
    </row>
    <row r="371" spans="3:3" ht="15.75" customHeight="1" x14ac:dyDescent="0.25">
      <c r="C371" s="8"/>
    </row>
    <row r="372" spans="3:3" ht="15.75" customHeight="1" x14ac:dyDescent="0.25">
      <c r="C372" s="8"/>
    </row>
    <row r="373" spans="3:3" ht="15.75" customHeight="1" x14ac:dyDescent="0.25">
      <c r="C373" s="8"/>
    </row>
    <row r="374" spans="3:3" ht="15.75" customHeight="1" x14ac:dyDescent="0.25">
      <c r="C374" s="8"/>
    </row>
    <row r="375" spans="3:3" ht="15.75" customHeight="1" x14ac:dyDescent="0.25">
      <c r="C375" s="8"/>
    </row>
    <row r="376" spans="3:3" ht="15.75" customHeight="1" x14ac:dyDescent="0.25">
      <c r="C376" s="8"/>
    </row>
    <row r="377" spans="3:3" ht="15.75" customHeight="1" x14ac:dyDescent="0.25">
      <c r="C377" s="8"/>
    </row>
    <row r="378" spans="3:3" ht="15.75" customHeight="1" x14ac:dyDescent="0.25">
      <c r="C378" s="8"/>
    </row>
    <row r="379" spans="3:3" ht="15.75" customHeight="1" x14ac:dyDescent="0.25">
      <c r="C379" s="8"/>
    </row>
    <row r="380" spans="3:3" ht="15.75" customHeight="1" x14ac:dyDescent="0.25">
      <c r="C380" s="8"/>
    </row>
    <row r="381" spans="3:3" ht="15.75" customHeight="1" x14ac:dyDescent="0.25">
      <c r="C381" s="8"/>
    </row>
    <row r="382" spans="3:3" ht="15.75" customHeight="1" x14ac:dyDescent="0.25">
      <c r="C382" s="8"/>
    </row>
    <row r="383" spans="3:3" ht="15.75" customHeight="1" x14ac:dyDescent="0.25">
      <c r="C383" s="8"/>
    </row>
    <row r="384" spans="3:3" ht="15.75" customHeight="1" x14ac:dyDescent="0.25">
      <c r="C384" s="8"/>
    </row>
    <row r="385" spans="3:3" ht="15.75" customHeight="1" x14ac:dyDescent="0.25">
      <c r="C385" s="8"/>
    </row>
    <row r="386" spans="3:3" ht="15.75" customHeight="1" x14ac:dyDescent="0.25">
      <c r="C386" s="8"/>
    </row>
    <row r="387" spans="3:3" ht="15.75" customHeight="1" x14ac:dyDescent="0.25">
      <c r="C387" s="8"/>
    </row>
    <row r="388" spans="3:3" ht="15.75" customHeight="1" x14ac:dyDescent="0.25">
      <c r="C388" s="8"/>
    </row>
    <row r="389" spans="3:3" ht="15.75" customHeight="1" x14ac:dyDescent="0.25">
      <c r="C389" s="8"/>
    </row>
    <row r="390" spans="3:3" ht="15.75" customHeight="1" x14ac:dyDescent="0.25">
      <c r="C390" s="8"/>
    </row>
    <row r="391" spans="3:3" ht="15.75" customHeight="1" x14ac:dyDescent="0.25">
      <c r="C391" s="8"/>
    </row>
    <row r="392" spans="3:3" ht="15.75" customHeight="1" x14ac:dyDescent="0.25">
      <c r="C392" s="8"/>
    </row>
    <row r="393" spans="3:3" ht="15.75" customHeight="1" x14ac:dyDescent="0.25">
      <c r="C393" s="8"/>
    </row>
    <row r="394" spans="3:3" ht="15.75" customHeight="1" x14ac:dyDescent="0.25">
      <c r="C394" s="8"/>
    </row>
    <row r="395" spans="3:3" ht="15.75" customHeight="1" x14ac:dyDescent="0.25">
      <c r="C395" s="8"/>
    </row>
    <row r="396" spans="3:3" ht="15.75" customHeight="1" x14ac:dyDescent="0.25">
      <c r="C396" s="8"/>
    </row>
    <row r="397" spans="3:3" ht="15.75" customHeight="1" x14ac:dyDescent="0.25">
      <c r="C397" s="8"/>
    </row>
    <row r="398" spans="3:3" ht="15.75" customHeight="1" x14ac:dyDescent="0.25">
      <c r="C398" s="8"/>
    </row>
    <row r="399" spans="3:3" ht="15.75" customHeight="1" x14ac:dyDescent="0.25">
      <c r="C399" s="8"/>
    </row>
    <row r="400" spans="3:3" ht="15.75" customHeight="1" x14ac:dyDescent="0.25">
      <c r="C400" s="8"/>
    </row>
    <row r="401" spans="3:3" ht="15.75" customHeight="1" x14ac:dyDescent="0.25">
      <c r="C401" s="8"/>
    </row>
    <row r="402" spans="3:3" ht="15.75" customHeight="1" x14ac:dyDescent="0.25">
      <c r="C402" s="8"/>
    </row>
    <row r="403" spans="3:3" ht="15.75" customHeight="1" x14ac:dyDescent="0.25">
      <c r="C403" s="8"/>
    </row>
    <row r="404" spans="3:3" ht="15.75" customHeight="1" x14ac:dyDescent="0.25">
      <c r="C404" s="8"/>
    </row>
    <row r="405" spans="3:3" ht="15.75" customHeight="1" x14ac:dyDescent="0.25">
      <c r="C405" s="8"/>
    </row>
    <row r="406" spans="3:3" ht="15.75" customHeight="1" x14ac:dyDescent="0.25">
      <c r="C406" s="8"/>
    </row>
    <row r="407" spans="3:3" ht="15.75" customHeight="1" x14ac:dyDescent="0.25">
      <c r="C407" s="8"/>
    </row>
    <row r="408" spans="3:3" ht="15.75" customHeight="1" x14ac:dyDescent="0.25">
      <c r="C408" s="8"/>
    </row>
    <row r="409" spans="3:3" ht="15.75" customHeight="1" x14ac:dyDescent="0.25">
      <c r="C409" s="8"/>
    </row>
    <row r="410" spans="3:3" ht="15.75" customHeight="1" x14ac:dyDescent="0.25">
      <c r="C410" s="8"/>
    </row>
    <row r="411" spans="3:3" ht="15.75" customHeight="1" x14ac:dyDescent="0.25">
      <c r="C411" s="8"/>
    </row>
    <row r="412" spans="3:3" ht="15.75" customHeight="1" x14ac:dyDescent="0.25">
      <c r="C412" s="8"/>
    </row>
    <row r="413" spans="3:3" ht="15.75" customHeight="1" x14ac:dyDescent="0.25">
      <c r="C413" s="8"/>
    </row>
    <row r="414" spans="3:3" ht="15.75" customHeight="1" x14ac:dyDescent="0.25">
      <c r="C414" s="8"/>
    </row>
    <row r="415" spans="3:3" ht="15.75" customHeight="1" x14ac:dyDescent="0.25">
      <c r="C415" s="8"/>
    </row>
    <row r="416" spans="3:3" ht="15.75" customHeight="1" x14ac:dyDescent="0.25">
      <c r="C416" s="8"/>
    </row>
    <row r="417" spans="3:3" ht="15.75" customHeight="1" x14ac:dyDescent="0.25">
      <c r="C417" s="8"/>
    </row>
    <row r="418" spans="3:3" ht="15.75" customHeight="1" x14ac:dyDescent="0.25">
      <c r="C418" s="8"/>
    </row>
    <row r="419" spans="3:3" ht="15.75" customHeight="1" x14ac:dyDescent="0.25">
      <c r="C419" s="8"/>
    </row>
    <row r="420" spans="3:3" ht="15.75" customHeight="1" x14ac:dyDescent="0.25">
      <c r="C420" s="8"/>
    </row>
    <row r="421" spans="3:3" ht="15.75" customHeight="1" x14ac:dyDescent="0.25">
      <c r="C421" s="8"/>
    </row>
    <row r="422" spans="3:3" ht="15.75" customHeight="1" x14ac:dyDescent="0.25">
      <c r="C422" s="8"/>
    </row>
    <row r="423" spans="3:3" ht="15.75" customHeight="1" x14ac:dyDescent="0.25">
      <c r="C423" s="8"/>
    </row>
    <row r="424" spans="3:3" ht="15.75" customHeight="1" x14ac:dyDescent="0.25">
      <c r="C424" s="8"/>
    </row>
    <row r="425" spans="3:3" ht="15.75" customHeight="1" x14ac:dyDescent="0.25">
      <c r="C425" s="8"/>
    </row>
    <row r="426" spans="3:3" ht="15.75" customHeight="1" x14ac:dyDescent="0.25">
      <c r="C426" s="8"/>
    </row>
    <row r="427" spans="3:3" ht="15.75" customHeight="1" x14ac:dyDescent="0.25">
      <c r="C427" s="8"/>
    </row>
    <row r="428" spans="3:3" ht="15.75" customHeight="1" x14ac:dyDescent="0.25">
      <c r="C428" s="8"/>
    </row>
    <row r="429" spans="3:3" ht="15.75" customHeight="1" x14ac:dyDescent="0.25">
      <c r="C429" s="8"/>
    </row>
    <row r="430" spans="3:3" ht="15.75" customHeight="1" x14ac:dyDescent="0.25">
      <c r="C430" s="8"/>
    </row>
    <row r="431" spans="3:3" ht="15.75" customHeight="1" x14ac:dyDescent="0.25">
      <c r="C431" s="8"/>
    </row>
    <row r="432" spans="3:3" ht="15.75" customHeight="1" x14ac:dyDescent="0.25">
      <c r="C432" s="8"/>
    </row>
    <row r="433" spans="3:3" ht="15.75" customHeight="1" x14ac:dyDescent="0.25">
      <c r="C433" s="8"/>
    </row>
    <row r="434" spans="3:3" ht="15.75" customHeight="1" x14ac:dyDescent="0.25">
      <c r="C434" s="8"/>
    </row>
    <row r="435" spans="3:3" ht="15.75" customHeight="1" x14ac:dyDescent="0.25">
      <c r="C435" s="8"/>
    </row>
    <row r="436" spans="3:3" ht="15.75" customHeight="1" x14ac:dyDescent="0.25">
      <c r="C436" s="8"/>
    </row>
    <row r="437" spans="3:3" ht="15.75" customHeight="1" x14ac:dyDescent="0.25">
      <c r="C437" s="8"/>
    </row>
    <row r="438" spans="3:3" ht="15.75" customHeight="1" x14ac:dyDescent="0.25">
      <c r="C438" s="8"/>
    </row>
    <row r="439" spans="3:3" ht="15.75" customHeight="1" x14ac:dyDescent="0.25">
      <c r="C439" s="8"/>
    </row>
    <row r="440" spans="3:3" ht="15.75" customHeight="1" x14ac:dyDescent="0.25">
      <c r="C440" s="8"/>
    </row>
    <row r="441" spans="3:3" ht="15.75" customHeight="1" x14ac:dyDescent="0.25">
      <c r="C441" s="8"/>
    </row>
    <row r="442" spans="3:3" ht="15.75" customHeight="1" x14ac:dyDescent="0.25">
      <c r="C442" s="8"/>
    </row>
    <row r="443" spans="3:3" ht="15.75" customHeight="1" x14ac:dyDescent="0.25">
      <c r="C443" s="8"/>
    </row>
    <row r="444" spans="3:3" ht="15.75" customHeight="1" x14ac:dyDescent="0.25">
      <c r="C444" s="8"/>
    </row>
    <row r="445" spans="3:3" ht="15.75" customHeight="1" x14ac:dyDescent="0.25">
      <c r="C445" s="8"/>
    </row>
    <row r="446" spans="3:3" ht="15.75" customHeight="1" x14ac:dyDescent="0.25">
      <c r="C446" s="8"/>
    </row>
    <row r="447" spans="3:3" ht="15.75" customHeight="1" x14ac:dyDescent="0.25">
      <c r="C447" s="8"/>
    </row>
    <row r="448" spans="3:3" ht="15.75" customHeight="1" x14ac:dyDescent="0.25">
      <c r="C448" s="8"/>
    </row>
    <row r="449" spans="3:3" ht="15.75" customHeight="1" x14ac:dyDescent="0.25">
      <c r="C449" s="8"/>
    </row>
    <row r="450" spans="3:3" ht="15.75" customHeight="1" x14ac:dyDescent="0.25">
      <c r="C450" s="8"/>
    </row>
    <row r="451" spans="3:3" ht="15.75" customHeight="1" x14ac:dyDescent="0.25">
      <c r="C451" s="8"/>
    </row>
    <row r="452" spans="3:3" ht="15.75" customHeight="1" x14ac:dyDescent="0.25">
      <c r="C452" s="8"/>
    </row>
    <row r="453" spans="3:3" ht="15.75" customHeight="1" x14ac:dyDescent="0.25">
      <c r="C453" s="8"/>
    </row>
    <row r="454" spans="3:3" ht="15.75" customHeight="1" x14ac:dyDescent="0.25">
      <c r="C454" s="8"/>
    </row>
    <row r="455" spans="3:3" ht="15.75" customHeight="1" x14ac:dyDescent="0.25">
      <c r="C455" s="8"/>
    </row>
    <row r="456" spans="3:3" ht="15.75" customHeight="1" x14ac:dyDescent="0.25">
      <c r="C456" s="8"/>
    </row>
    <row r="457" spans="3:3" ht="15.75" customHeight="1" x14ac:dyDescent="0.25">
      <c r="C457" s="8"/>
    </row>
    <row r="458" spans="3:3" ht="15.75" customHeight="1" x14ac:dyDescent="0.25">
      <c r="C458" s="8"/>
    </row>
    <row r="459" spans="3:3" ht="15.75" customHeight="1" x14ac:dyDescent="0.25">
      <c r="C459" s="8"/>
    </row>
    <row r="460" spans="3:3" ht="15.75" customHeight="1" x14ac:dyDescent="0.25">
      <c r="C460" s="8"/>
    </row>
    <row r="461" spans="3:3" ht="15.75" customHeight="1" x14ac:dyDescent="0.25">
      <c r="C461" s="8"/>
    </row>
    <row r="462" spans="3:3" ht="15.75" customHeight="1" x14ac:dyDescent="0.25">
      <c r="C462" s="8"/>
    </row>
    <row r="463" spans="3:3" ht="15.75" customHeight="1" x14ac:dyDescent="0.25">
      <c r="C463" s="8"/>
    </row>
    <row r="464" spans="3:3" ht="15.75" customHeight="1" x14ac:dyDescent="0.25">
      <c r="C464" s="8"/>
    </row>
    <row r="465" spans="3:3" ht="15.75" customHeight="1" x14ac:dyDescent="0.25">
      <c r="C465" s="8"/>
    </row>
    <row r="466" spans="3:3" ht="15.75" customHeight="1" x14ac:dyDescent="0.25">
      <c r="C466" s="8"/>
    </row>
    <row r="467" spans="3:3" ht="15.75" customHeight="1" x14ac:dyDescent="0.25">
      <c r="C467" s="8"/>
    </row>
    <row r="468" spans="3:3" ht="15.75" customHeight="1" x14ac:dyDescent="0.25">
      <c r="C468" s="8"/>
    </row>
    <row r="469" spans="3:3" ht="15.75" customHeight="1" x14ac:dyDescent="0.25">
      <c r="C469" s="8"/>
    </row>
    <row r="470" spans="3:3" ht="15.75" customHeight="1" x14ac:dyDescent="0.25">
      <c r="C470" s="8"/>
    </row>
    <row r="471" spans="3:3" ht="15.75" customHeight="1" x14ac:dyDescent="0.25">
      <c r="C471" s="8"/>
    </row>
    <row r="472" spans="3:3" ht="15.75" customHeight="1" x14ac:dyDescent="0.25">
      <c r="C472" s="8"/>
    </row>
    <row r="473" spans="3:3" ht="15.75" customHeight="1" x14ac:dyDescent="0.25">
      <c r="C473" s="8"/>
    </row>
    <row r="474" spans="3:3" ht="15.75" customHeight="1" x14ac:dyDescent="0.25">
      <c r="C474" s="8"/>
    </row>
    <row r="475" spans="3:3" ht="15.75" customHeight="1" x14ac:dyDescent="0.25">
      <c r="C475" s="8"/>
    </row>
    <row r="476" spans="3:3" ht="15.75" customHeight="1" x14ac:dyDescent="0.25">
      <c r="C476" s="8"/>
    </row>
    <row r="477" spans="3:3" ht="15.75" customHeight="1" x14ac:dyDescent="0.25">
      <c r="C477" s="8"/>
    </row>
    <row r="478" spans="3:3" ht="15.75" customHeight="1" x14ac:dyDescent="0.25">
      <c r="C478" s="8"/>
    </row>
    <row r="479" spans="3:3" ht="15.75" customHeight="1" x14ac:dyDescent="0.25">
      <c r="C479" s="8"/>
    </row>
    <row r="480" spans="3:3" ht="15.75" customHeight="1" x14ac:dyDescent="0.25">
      <c r="C480" s="8"/>
    </row>
    <row r="481" spans="3:3" ht="15.75" customHeight="1" x14ac:dyDescent="0.25">
      <c r="C481" s="8"/>
    </row>
    <row r="482" spans="3:3" ht="15.75" customHeight="1" x14ac:dyDescent="0.25">
      <c r="C482" s="8"/>
    </row>
    <row r="483" spans="3:3" ht="15.75" customHeight="1" x14ac:dyDescent="0.25">
      <c r="C483" s="8"/>
    </row>
    <row r="484" spans="3:3" ht="15.75" customHeight="1" x14ac:dyDescent="0.25">
      <c r="C484" s="8"/>
    </row>
    <row r="485" spans="3:3" ht="15.75" customHeight="1" x14ac:dyDescent="0.25">
      <c r="C485" s="8"/>
    </row>
    <row r="486" spans="3:3" ht="15.75" customHeight="1" x14ac:dyDescent="0.25">
      <c r="C486" s="8"/>
    </row>
    <row r="487" spans="3:3" ht="15.75" customHeight="1" x14ac:dyDescent="0.25">
      <c r="C487" s="8"/>
    </row>
    <row r="488" spans="3:3" ht="15.75" customHeight="1" x14ac:dyDescent="0.25">
      <c r="C488" s="8"/>
    </row>
    <row r="489" spans="3:3" ht="15.75" customHeight="1" x14ac:dyDescent="0.25">
      <c r="C489" s="8"/>
    </row>
    <row r="490" spans="3:3" ht="15.75" customHeight="1" x14ac:dyDescent="0.25">
      <c r="C490" s="8"/>
    </row>
    <row r="491" spans="3:3" ht="15.75" customHeight="1" x14ac:dyDescent="0.25">
      <c r="C491" s="8"/>
    </row>
    <row r="492" spans="3:3" ht="15.75" customHeight="1" x14ac:dyDescent="0.25">
      <c r="C492" s="8"/>
    </row>
    <row r="493" spans="3:3" ht="15.75" customHeight="1" x14ac:dyDescent="0.25">
      <c r="C493" s="8"/>
    </row>
    <row r="494" spans="3:3" ht="15.75" customHeight="1" x14ac:dyDescent="0.25">
      <c r="C494" s="8"/>
    </row>
    <row r="495" spans="3:3" ht="15.75" customHeight="1" x14ac:dyDescent="0.25">
      <c r="C495" s="8"/>
    </row>
    <row r="496" spans="3:3" ht="15.75" customHeight="1" x14ac:dyDescent="0.25">
      <c r="C496" s="8"/>
    </row>
    <row r="497" spans="3:3" ht="15.75" customHeight="1" x14ac:dyDescent="0.25">
      <c r="C497" s="8"/>
    </row>
    <row r="498" spans="3:3" ht="15.75" customHeight="1" x14ac:dyDescent="0.25">
      <c r="C498" s="8"/>
    </row>
    <row r="499" spans="3:3" ht="15.75" customHeight="1" x14ac:dyDescent="0.25">
      <c r="C499" s="8"/>
    </row>
    <row r="500" spans="3:3" ht="15.75" customHeight="1" x14ac:dyDescent="0.25">
      <c r="C500" s="8"/>
    </row>
    <row r="501" spans="3:3" ht="15.75" customHeight="1" x14ac:dyDescent="0.25">
      <c r="C501" s="8"/>
    </row>
    <row r="502" spans="3:3" ht="15.75" customHeight="1" x14ac:dyDescent="0.25">
      <c r="C502" s="8"/>
    </row>
    <row r="503" spans="3:3" ht="15.75" customHeight="1" x14ac:dyDescent="0.25">
      <c r="C503" s="8"/>
    </row>
    <row r="504" spans="3:3" ht="15.75" customHeight="1" x14ac:dyDescent="0.25">
      <c r="C504" s="8"/>
    </row>
    <row r="505" spans="3:3" ht="15.75" customHeight="1" x14ac:dyDescent="0.25">
      <c r="C505" s="8"/>
    </row>
    <row r="506" spans="3:3" ht="15.75" customHeight="1" x14ac:dyDescent="0.25">
      <c r="C506" s="8"/>
    </row>
    <row r="507" spans="3:3" ht="15.75" customHeight="1" x14ac:dyDescent="0.25">
      <c r="C507" s="8"/>
    </row>
    <row r="508" spans="3:3" ht="15.75" customHeight="1" x14ac:dyDescent="0.25">
      <c r="C508" s="8"/>
    </row>
    <row r="509" spans="3:3" ht="15.75" customHeight="1" x14ac:dyDescent="0.25">
      <c r="C509" s="8"/>
    </row>
    <row r="510" spans="3:3" ht="15.75" customHeight="1" x14ac:dyDescent="0.25">
      <c r="C510" s="8"/>
    </row>
    <row r="511" spans="3:3" ht="15.75" customHeight="1" x14ac:dyDescent="0.25">
      <c r="C511" s="8"/>
    </row>
    <row r="512" spans="3:3" ht="15.75" customHeight="1" x14ac:dyDescent="0.25">
      <c r="C512" s="8"/>
    </row>
    <row r="513" spans="3:3" ht="15.75" customHeight="1" x14ac:dyDescent="0.25">
      <c r="C513" s="8"/>
    </row>
    <row r="514" spans="3:3" ht="15.75" customHeight="1" x14ac:dyDescent="0.25">
      <c r="C514" s="8"/>
    </row>
    <row r="515" spans="3:3" ht="15.75" customHeight="1" x14ac:dyDescent="0.25">
      <c r="C515" s="8"/>
    </row>
    <row r="516" spans="3:3" ht="15.75" customHeight="1" x14ac:dyDescent="0.25">
      <c r="C516" s="8"/>
    </row>
    <row r="517" spans="3:3" ht="15.75" customHeight="1" x14ac:dyDescent="0.25">
      <c r="C517" s="8"/>
    </row>
    <row r="518" spans="3:3" ht="15.75" customHeight="1" x14ac:dyDescent="0.25">
      <c r="C518" s="8"/>
    </row>
    <row r="519" spans="3:3" ht="15.75" customHeight="1" x14ac:dyDescent="0.25">
      <c r="C519" s="8"/>
    </row>
    <row r="520" spans="3:3" ht="15.75" customHeight="1" x14ac:dyDescent="0.25">
      <c r="C520" s="8"/>
    </row>
    <row r="521" spans="3:3" ht="15.75" customHeight="1" x14ac:dyDescent="0.25">
      <c r="C521" s="8"/>
    </row>
    <row r="522" spans="3:3" ht="15.75" customHeight="1" x14ac:dyDescent="0.25">
      <c r="C522" s="8"/>
    </row>
    <row r="523" spans="3:3" ht="15.75" customHeight="1" x14ac:dyDescent="0.25">
      <c r="C523" s="8"/>
    </row>
    <row r="524" spans="3:3" ht="15.75" customHeight="1" x14ac:dyDescent="0.25">
      <c r="C524" s="8"/>
    </row>
    <row r="525" spans="3:3" ht="15.75" customHeight="1" x14ac:dyDescent="0.25">
      <c r="C525" s="8"/>
    </row>
    <row r="526" spans="3:3" ht="15.75" customHeight="1" x14ac:dyDescent="0.25">
      <c r="C526" s="8"/>
    </row>
    <row r="527" spans="3:3" ht="15.75" customHeight="1" x14ac:dyDescent="0.25">
      <c r="C527" s="8"/>
    </row>
    <row r="528" spans="3:3" ht="15.75" customHeight="1" x14ac:dyDescent="0.25">
      <c r="C528" s="8"/>
    </row>
    <row r="529" spans="3:3" ht="15.75" customHeight="1" x14ac:dyDescent="0.25">
      <c r="C529" s="8"/>
    </row>
    <row r="530" spans="3:3" ht="15.75" customHeight="1" x14ac:dyDescent="0.25">
      <c r="C530" s="8"/>
    </row>
    <row r="531" spans="3:3" ht="15.75" customHeight="1" x14ac:dyDescent="0.25">
      <c r="C531" s="8"/>
    </row>
    <row r="532" spans="3:3" ht="15.75" customHeight="1" x14ac:dyDescent="0.25">
      <c r="C532" s="8"/>
    </row>
    <row r="533" spans="3:3" ht="15.75" customHeight="1" x14ac:dyDescent="0.25">
      <c r="C533" s="8"/>
    </row>
    <row r="534" spans="3:3" ht="15.75" customHeight="1" x14ac:dyDescent="0.25">
      <c r="C534" s="8"/>
    </row>
    <row r="535" spans="3:3" ht="15.75" customHeight="1" x14ac:dyDescent="0.25">
      <c r="C535" s="8"/>
    </row>
    <row r="536" spans="3:3" ht="15.75" customHeight="1" x14ac:dyDescent="0.25">
      <c r="C536" s="8"/>
    </row>
    <row r="537" spans="3:3" ht="15.75" customHeight="1" x14ac:dyDescent="0.25">
      <c r="C537" s="8"/>
    </row>
    <row r="538" spans="3:3" ht="15.75" customHeight="1" x14ac:dyDescent="0.25">
      <c r="C538" s="8"/>
    </row>
    <row r="539" spans="3:3" ht="15.75" customHeight="1" x14ac:dyDescent="0.25">
      <c r="C539" s="8"/>
    </row>
    <row r="540" spans="3:3" ht="15.75" customHeight="1" x14ac:dyDescent="0.25">
      <c r="C540" s="8"/>
    </row>
    <row r="541" spans="3:3" ht="15.75" customHeight="1" x14ac:dyDescent="0.25">
      <c r="C541" s="8"/>
    </row>
    <row r="542" spans="3:3" ht="15.75" customHeight="1" x14ac:dyDescent="0.25">
      <c r="C542" s="8"/>
    </row>
    <row r="543" spans="3:3" ht="15.75" customHeight="1" x14ac:dyDescent="0.25">
      <c r="C543" s="8"/>
    </row>
    <row r="544" spans="3:3" ht="15.75" customHeight="1" x14ac:dyDescent="0.25">
      <c r="C544" s="8"/>
    </row>
    <row r="545" spans="3:3" ht="15.75" customHeight="1" x14ac:dyDescent="0.25">
      <c r="C545" s="8"/>
    </row>
    <row r="546" spans="3:3" ht="15.75" customHeight="1" x14ac:dyDescent="0.25">
      <c r="C546" s="8"/>
    </row>
    <row r="547" spans="3:3" ht="15.75" customHeight="1" x14ac:dyDescent="0.25">
      <c r="C547" s="8"/>
    </row>
    <row r="548" spans="3:3" ht="15.75" customHeight="1" x14ac:dyDescent="0.25">
      <c r="C548" s="8"/>
    </row>
    <row r="549" spans="3:3" ht="15.75" customHeight="1" x14ac:dyDescent="0.25">
      <c r="C549" s="8"/>
    </row>
    <row r="550" spans="3:3" ht="15.75" customHeight="1" x14ac:dyDescent="0.25">
      <c r="C550" s="8"/>
    </row>
    <row r="551" spans="3:3" ht="15.75" customHeight="1" x14ac:dyDescent="0.25">
      <c r="C551" s="8"/>
    </row>
    <row r="552" spans="3:3" ht="15.75" customHeight="1" x14ac:dyDescent="0.25">
      <c r="C552" s="8"/>
    </row>
    <row r="553" spans="3:3" ht="15.75" customHeight="1" x14ac:dyDescent="0.25">
      <c r="C553" s="8"/>
    </row>
    <row r="554" spans="3:3" ht="15.75" customHeight="1" x14ac:dyDescent="0.25">
      <c r="C554" s="8"/>
    </row>
    <row r="555" spans="3:3" ht="15.75" customHeight="1" x14ac:dyDescent="0.25">
      <c r="C555" s="8"/>
    </row>
    <row r="556" spans="3:3" ht="15.75" customHeight="1" x14ac:dyDescent="0.25">
      <c r="C556" s="8"/>
    </row>
    <row r="557" spans="3:3" ht="15.75" customHeight="1" x14ac:dyDescent="0.25">
      <c r="C557" s="8"/>
    </row>
    <row r="558" spans="3:3" ht="15.75" customHeight="1" x14ac:dyDescent="0.25">
      <c r="C558" s="8"/>
    </row>
    <row r="559" spans="3:3" ht="15.75" customHeight="1" x14ac:dyDescent="0.25">
      <c r="C559" s="8"/>
    </row>
    <row r="560" spans="3:3" ht="15.75" customHeight="1" x14ac:dyDescent="0.25">
      <c r="C560" s="8"/>
    </row>
    <row r="561" spans="3:3" ht="15.75" customHeight="1" x14ac:dyDescent="0.25">
      <c r="C561" s="8"/>
    </row>
    <row r="562" spans="3:3" ht="15.75" customHeight="1" x14ac:dyDescent="0.25">
      <c r="C562" s="8"/>
    </row>
    <row r="563" spans="3:3" ht="15.75" customHeight="1" x14ac:dyDescent="0.25">
      <c r="C563" s="8"/>
    </row>
    <row r="564" spans="3:3" ht="15.75" customHeight="1" x14ac:dyDescent="0.25">
      <c r="C564" s="8"/>
    </row>
    <row r="565" spans="3:3" ht="15.75" customHeight="1" x14ac:dyDescent="0.25">
      <c r="C565" s="8"/>
    </row>
    <row r="566" spans="3:3" ht="15.75" customHeight="1" x14ac:dyDescent="0.25">
      <c r="C566" s="8"/>
    </row>
    <row r="567" spans="3:3" ht="15.75" customHeight="1" x14ac:dyDescent="0.25">
      <c r="C567" s="8"/>
    </row>
    <row r="568" spans="3:3" ht="15.75" customHeight="1" x14ac:dyDescent="0.25">
      <c r="C568" s="8"/>
    </row>
    <row r="569" spans="3:3" ht="15.75" customHeight="1" x14ac:dyDescent="0.25">
      <c r="C569" s="8"/>
    </row>
    <row r="570" spans="3:3" ht="15.75" customHeight="1" x14ac:dyDescent="0.25">
      <c r="C570" s="8"/>
    </row>
    <row r="571" spans="3:3" ht="15.75" customHeight="1" x14ac:dyDescent="0.25">
      <c r="C571" s="8"/>
    </row>
    <row r="572" spans="3:3" ht="15.75" customHeight="1" x14ac:dyDescent="0.25">
      <c r="C572" s="8"/>
    </row>
    <row r="573" spans="3:3" ht="15.75" customHeight="1" x14ac:dyDescent="0.25">
      <c r="C573" s="8"/>
    </row>
    <row r="574" spans="3:3" ht="15.75" customHeight="1" x14ac:dyDescent="0.25">
      <c r="C574" s="8"/>
    </row>
    <row r="575" spans="3:3" ht="15.75" customHeight="1" x14ac:dyDescent="0.25">
      <c r="C575" s="8"/>
    </row>
    <row r="576" spans="3:3" ht="15.75" customHeight="1" x14ac:dyDescent="0.25">
      <c r="C576" s="8"/>
    </row>
    <row r="577" spans="3:3" ht="15.75" customHeight="1" x14ac:dyDescent="0.25">
      <c r="C577" s="8"/>
    </row>
    <row r="578" spans="3:3" ht="15.75" customHeight="1" x14ac:dyDescent="0.25">
      <c r="C578" s="8"/>
    </row>
    <row r="579" spans="3:3" ht="15.75" customHeight="1" x14ac:dyDescent="0.25">
      <c r="C579" s="8"/>
    </row>
    <row r="580" spans="3:3" ht="15.75" customHeight="1" x14ac:dyDescent="0.25">
      <c r="C580" s="8"/>
    </row>
    <row r="581" spans="3:3" ht="15.75" customHeight="1" x14ac:dyDescent="0.25">
      <c r="C581" s="8"/>
    </row>
    <row r="582" spans="3:3" ht="15.75" customHeight="1" x14ac:dyDescent="0.25">
      <c r="C582" s="8"/>
    </row>
    <row r="583" spans="3:3" ht="15.75" customHeight="1" x14ac:dyDescent="0.25">
      <c r="C583" s="8"/>
    </row>
    <row r="584" spans="3:3" ht="15.75" customHeight="1" x14ac:dyDescent="0.25">
      <c r="C584" s="8"/>
    </row>
    <row r="585" spans="3:3" ht="15.75" customHeight="1" x14ac:dyDescent="0.25">
      <c r="C585" s="8"/>
    </row>
    <row r="586" spans="3:3" ht="15.75" customHeight="1" x14ac:dyDescent="0.25">
      <c r="C586" s="8"/>
    </row>
    <row r="587" spans="3:3" ht="15.75" customHeight="1" x14ac:dyDescent="0.25">
      <c r="C587" s="8"/>
    </row>
    <row r="588" spans="3:3" ht="15.75" customHeight="1" x14ac:dyDescent="0.25">
      <c r="C588" s="8"/>
    </row>
    <row r="589" spans="3:3" ht="15.75" customHeight="1" x14ac:dyDescent="0.25">
      <c r="C589" s="8"/>
    </row>
    <row r="590" spans="3:3" ht="15.75" customHeight="1" x14ac:dyDescent="0.25">
      <c r="C590" s="8"/>
    </row>
    <row r="591" spans="3:3" ht="15.75" customHeight="1" x14ac:dyDescent="0.25">
      <c r="C591" s="8"/>
    </row>
    <row r="592" spans="3:3" ht="15.75" customHeight="1" x14ac:dyDescent="0.25">
      <c r="C592" s="8"/>
    </row>
    <row r="593" spans="3:3" ht="15.75" customHeight="1" x14ac:dyDescent="0.25">
      <c r="C593" s="8"/>
    </row>
    <row r="594" spans="3:3" ht="15.75" customHeight="1" x14ac:dyDescent="0.25">
      <c r="C594" s="8"/>
    </row>
    <row r="595" spans="3:3" ht="15.75" customHeight="1" x14ac:dyDescent="0.25">
      <c r="C595" s="8"/>
    </row>
    <row r="596" spans="3:3" ht="15.75" customHeight="1" x14ac:dyDescent="0.25">
      <c r="C596" s="8"/>
    </row>
    <row r="597" spans="3:3" ht="15.75" customHeight="1" x14ac:dyDescent="0.25">
      <c r="C597" s="8"/>
    </row>
    <row r="598" spans="3:3" ht="15.75" customHeight="1" x14ac:dyDescent="0.25">
      <c r="C598" s="8"/>
    </row>
    <row r="599" spans="3:3" ht="15.75" customHeight="1" x14ac:dyDescent="0.25">
      <c r="C599" s="8"/>
    </row>
    <row r="600" spans="3:3" ht="15.75" customHeight="1" x14ac:dyDescent="0.25">
      <c r="C600" s="8"/>
    </row>
    <row r="601" spans="3:3" ht="15.75" customHeight="1" x14ac:dyDescent="0.25">
      <c r="C601" s="8"/>
    </row>
    <row r="602" spans="3:3" ht="15.75" customHeight="1" x14ac:dyDescent="0.25">
      <c r="C602" s="8"/>
    </row>
    <row r="603" spans="3:3" ht="15.75" customHeight="1" x14ac:dyDescent="0.25">
      <c r="C603" s="8"/>
    </row>
    <row r="604" spans="3:3" ht="15.75" customHeight="1" x14ac:dyDescent="0.25">
      <c r="C604" s="8"/>
    </row>
    <row r="605" spans="3:3" ht="15.75" customHeight="1" x14ac:dyDescent="0.25">
      <c r="C605" s="8"/>
    </row>
    <row r="606" spans="3:3" ht="15.75" customHeight="1" x14ac:dyDescent="0.25">
      <c r="C606" s="8"/>
    </row>
    <row r="607" spans="3:3" ht="15.75" customHeight="1" x14ac:dyDescent="0.25">
      <c r="C607" s="8"/>
    </row>
    <row r="608" spans="3:3" ht="15.75" customHeight="1" x14ac:dyDescent="0.25">
      <c r="C608" s="8"/>
    </row>
    <row r="609" spans="3:3" ht="15.75" customHeight="1" x14ac:dyDescent="0.25">
      <c r="C609" s="8"/>
    </row>
    <row r="610" spans="3:3" ht="15.75" customHeight="1" x14ac:dyDescent="0.25">
      <c r="C610" s="8"/>
    </row>
    <row r="611" spans="3:3" ht="15.75" customHeight="1" x14ac:dyDescent="0.25">
      <c r="C611" s="8"/>
    </row>
    <row r="612" spans="3:3" ht="15.75" customHeight="1" x14ac:dyDescent="0.25">
      <c r="C612" s="8"/>
    </row>
    <row r="613" spans="3:3" ht="15.75" customHeight="1" x14ac:dyDescent="0.25">
      <c r="C613" s="8"/>
    </row>
    <row r="614" spans="3:3" ht="15.75" customHeight="1" x14ac:dyDescent="0.25">
      <c r="C614" s="8"/>
    </row>
    <row r="615" spans="3:3" ht="15.75" customHeight="1" x14ac:dyDescent="0.25">
      <c r="C615" s="8"/>
    </row>
    <row r="616" spans="3:3" ht="15.75" customHeight="1" x14ac:dyDescent="0.25">
      <c r="C616" s="8"/>
    </row>
    <row r="617" spans="3:3" ht="15.75" customHeight="1" x14ac:dyDescent="0.25">
      <c r="C617" s="8"/>
    </row>
    <row r="618" spans="3:3" ht="15.75" customHeight="1" x14ac:dyDescent="0.25">
      <c r="C618" s="8"/>
    </row>
    <row r="619" spans="3:3" ht="15.75" customHeight="1" x14ac:dyDescent="0.25">
      <c r="C619" s="8"/>
    </row>
    <row r="620" spans="3:3" ht="15.75" customHeight="1" x14ac:dyDescent="0.25">
      <c r="C620" s="8"/>
    </row>
    <row r="621" spans="3:3" ht="15.75" customHeight="1" x14ac:dyDescent="0.25">
      <c r="C621" s="8"/>
    </row>
    <row r="622" spans="3:3" ht="15.75" customHeight="1" x14ac:dyDescent="0.25">
      <c r="C622" s="8"/>
    </row>
    <row r="623" spans="3:3" ht="15.75" customHeight="1" x14ac:dyDescent="0.25">
      <c r="C623" s="8"/>
    </row>
    <row r="624" spans="3:3" ht="15.75" customHeight="1" x14ac:dyDescent="0.25">
      <c r="C624" s="8"/>
    </row>
    <row r="625" spans="3:3" ht="15.75" customHeight="1" x14ac:dyDescent="0.25">
      <c r="C625" s="8"/>
    </row>
    <row r="626" spans="3:3" ht="15.75" customHeight="1" x14ac:dyDescent="0.25">
      <c r="C626" s="8"/>
    </row>
    <row r="627" spans="3:3" ht="15.75" customHeight="1" x14ac:dyDescent="0.25">
      <c r="C627" s="8"/>
    </row>
    <row r="628" spans="3:3" ht="15.75" customHeight="1" x14ac:dyDescent="0.25">
      <c r="C628" s="8"/>
    </row>
    <row r="629" spans="3:3" ht="15.75" customHeight="1" x14ac:dyDescent="0.25">
      <c r="C629" s="8"/>
    </row>
    <row r="630" spans="3:3" ht="15.75" customHeight="1" x14ac:dyDescent="0.25">
      <c r="C630" s="8"/>
    </row>
    <row r="631" spans="3:3" ht="15.75" customHeight="1" x14ac:dyDescent="0.25">
      <c r="C631" s="8"/>
    </row>
    <row r="632" spans="3:3" ht="15.75" customHeight="1" x14ac:dyDescent="0.25">
      <c r="C632" s="8"/>
    </row>
    <row r="633" spans="3:3" ht="15.75" customHeight="1" x14ac:dyDescent="0.25">
      <c r="C633" s="8"/>
    </row>
    <row r="634" spans="3:3" ht="15.75" customHeight="1" x14ac:dyDescent="0.25">
      <c r="C634" s="8"/>
    </row>
    <row r="635" spans="3:3" ht="15.75" customHeight="1" x14ac:dyDescent="0.25">
      <c r="C635" s="8"/>
    </row>
    <row r="636" spans="3:3" ht="15.75" customHeight="1" x14ac:dyDescent="0.25">
      <c r="C636" s="8"/>
    </row>
    <row r="637" spans="3:3" ht="15.75" customHeight="1" x14ac:dyDescent="0.25">
      <c r="C637" s="8"/>
    </row>
    <row r="638" spans="3:3" ht="15.75" customHeight="1" x14ac:dyDescent="0.25">
      <c r="C638" s="8"/>
    </row>
    <row r="639" spans="3:3" ht="15.75" customHeight="1" x14ac:dyDescent="0.25">
      <c r="C639" s="8"/>
    </row>
    <row r="640" spans="3:3" ht="15.75" customHeight="1" x14ac:dyDescent="0.25">
      <c r="C640" s="8"/>
    </row>
    <row r="641" spans="3:3" ht="15.75" customHeight="1" x14ac:dyDescent="0.25">
      <c r="C641" s="8"/>
    </row>
    <row r="642" spans="3:3" ht="15.75" customHeight="1" x14ac:dyDescent="0.25">
      <c r="C642" s="8"/>
    </row>
    <row r="643" spans="3:3" ht="15.75" customHeight="1" x14ac:dyDescent="0.25">
      <c r="C643" s="8"/>
    </row>
    <row r="644" spans="3:3" ht="15.75" customHeight="1" x14ac:dyDescent="0.25">
      <c r="C644" s="8"/>
    </row>
    <row r="645" spans="3:3" ht="15.75" customHeight="1" x14ac:dyDescent="0.25">
      <c r="C645" s="8"/>
    </row>
    <row r="646" spans="3:3" ht="15.75" customHeight="1" x14ac:dyDescent="0.25">
      <c r="C646" s="8"/>
    </row>
    <row r="647" spans="3:3" ht="15.75" customHeight="1" x14ac:dyDescent="0.25">
      <c r="C647" s="8"/>
    </row>
    <row r="648" spans="3:3" ht="15.75" customHeight="1" x14ac:dyDescent="0.25">
      <c r="C648" s="8"/>
    </row>
    <row r="649" spans="3:3" ht="15.75" customHeight="1" x14ac:dyDescent="0.25">
      <c r="C649" s="8"/>
    </row>
    <row r="650" spans="3:3" ht="15.75" customHeight="1" x14ac:dyDescent="0.25">
      <c r="C650" s="8"/>
    </row>
    <row r="651" spans="3:3" ht="15.75" customHeight="1" x14ac:dyDescent="0.25">
      <c r="C651" s="8"/>
    </row>
    <row r="652" spans="3:3" ht="15.75" customHeight="1" x14ac:dyDescent="0.25">
      <c r="C652" s="8"/>
    </row>
    <row r="653" spans="3:3" ht="15.75" customHeight="1" x14ac:dyDescent="0.25">
      <c r="C653" s="8"/>
    </row>
    <row r="654" spans="3:3" ht="15.75" customHeight="1" x14ac:dyDescent="0.25">
      <c r="C654" s="8"/>
    </row>
    <row r="655" spans="3:3" ht="15.75" customHeight="1" x14ac:dyDescent="0.25">
      <c r="C655" s="8"/>
    </row>
    <row r="656" spans="3:3" ht="15.75" customHeight="1" x14ac:dyDescent="0.25">
      <c r="C656" s="8"/>
    </row>
    <row r="657" spans="3:3" ht="15.75" customHeight="1" x14ac:dyDescent="0.25">
      <c r="C657" s="8"/>
    </row>
    <row r="658" spans="3:3" ht="15.75" customHeight="1" x14ac:dyDescent="0.25">
      <c r="C658" s="8"/>
    </row>
    <row r="659" spans="3:3" ht="15.75" customHeight="1" x14ac:dyDescent="0.25">
      <c r="C659" s="8"/>
    </row>
    <row r="660" spans="3:3" ht="15.75" customHeight="1" x14ac:dyDescent="0.25">
      <c r="C660" s="8"/>
    </row>
    <row r="661" spans="3:3" ht="15.75" customHeight="1" x14ac:dyDescent="0.25">
      <c r="C661" s="8"/>
    </row>
    <row r="662" spans="3:3" ht="15.75" customHeight="1" x14ac:dyDescent="0.25">
      <c r="C662" s="8"/>
    </row>
    <row r="663" spans="3:3" ht="15.75" customHeight="1" x14ac:dyDescent="0.25">
      <c r="C663" s="8"/>
    </row>
    <row r="664" spans="3:3" ht="15.75" customHeight="1" x14ac:dyDescent="0.25">
      <c r="C664" s="8"/>
    </row>
    <row r="665" spans="3:3" ht="15.75" customHeight="1" x14ac:dyDescent="0.25">
      <c r="C665" s="8"/>
    </row>
    <row r="666" spans="3:3" ht="15.75" customHeight="1" x14ac:dyDescent="0.25">
      <c r="C666" s="8"/>
    </row>
    <row r="667" spans="3:3" ht="15.75" customHeight="1" x14ac:dyDescent="0.25">
      <c r="C667" s="8"/>
    </row>
    <row r="668" spans="3:3" ht="15.75" customHeight="1" x14ac:dyDescent="0.25">
      <c r="C668" s="8"/>
    </row>
    <row r="669" spans="3:3" ht="15.75" customHeight="1" x14ac:dyDescent="0.25">
      <c r="C669" s="8"/>
    </row>
    <row r="670" spans="3:3" ht="15.75" customHeight="1" x14ac:dyDescent="0.25">
      <c r="C670" s="8"/>
    </row>
    <row r="671" spans="3:3" ht="15.75" customHeight="1" x14ac:dyDescent="0.25">
      <c r="C671" s="8"/>
    </row>
    <row r="672" spans="3:3" ht="15.75" customHeight="1" x14ac:dyDescent="0.25">
      <c r="C672" s="8"/>
    </row>
    <row r="673" spans="3:3" ht="15.75" customHeight="1" x14ac:dyDescent="0.25">
      <c r="C673" s="8"/>
    </row>
    <row r="674" spans="3:3" ht="15.75" customHeight="1" x14ac:dyDescent="0.25">
      <c r="C674" s="8"/>
    </row>
    <row r="675" spans="3:3" ht="15.75" customHeight="1" x14ac:dyDescent="0.25">
      <c r="C675" s="8"/>
    </row>
    <row r="676" spans="3:3" ht="15.75" customHeight="1" x14ac:dyDescent="0.25">
      <c r="C676" s="8"/>
    </row>
    <row r="677" spans="3:3" ht="15.75" customHeight="1" x14ac:dyDescent="0.25">
      <c r="C677" s="8"/>
    </row>
    <row r="678" spans="3:3" ht="15.75" customHeight="1" x14ac:dyDescent="0.25">
      <c r="C678" s="8"/>
    </row>
    <row r="679" spans="3:3" ht="15.75" customHeight="1" x14ac:dyDescent="0.25">
      <c r="C679" s="8"/>
    </row>
    <row r="680" spans="3:3" ht="15.75" customHeight="1" x14ac:dyDescent="0.25">
      <c r="C680" s="8"/>
    </row>
    <row r="681" spans="3:3" ht="15.75" customHeight="1" x14ac:dyDescent="0.25">
      <c r="C681" s="8"/>
    </row>
    <row r="682" spans="3:3" ht="15.75" customHeight="1" x14ac:dyDescent="0.25">
      <c r="C682" s="8"/>
    </row>
    <row r="683" spans="3:3" ht="15.75" customHeight="1" x14ac:dyDescent="0.25">
      <c r="C683" s="8"/>
    </row>
    <row r="684" spans="3:3" ht="15.75" customHeight="1" x14ac:dyDescent="0.25">
      <c r="C684" s="8"/>
    </row>
    <row r="685" spans="3:3" ht="15.75" customHeight="1" x14ac:dyDescent="0.25">
      <c r="C685" s="8"/>
    </row>
    <row r="686" spans="3:3" ht="15.75" customHeight="1" x14ac:dyDescent="0.25">
      <c r="C686" s="8"/>
    </row>
    <row r="687" spans="3:3" ht="15.75" customHeight="1" x14ac:dyDescent="0.25">
      <c r="C687" s="8"/>
    </row>
    <row r="688" spans="3:3" ht="15.75" customHeight="1" x14ac:dyDescent="0.25">
      <c r="C688" s="8"/>
    </row>
    <row r="689" spans="3:3" ht="15.75" customHeight="1" x14ac:dyDescent="0.25">
      <c r="C689" s="8"/>
    </row>
    <row r="690" spans="3:3" ht="15.75" customHeight="1" x14ac:dyDescent="0.25">
      <c r="C690" s="8"/>
    </row>
    <row r="691" spans="3:3" ht="15.75" customHeight="1" x14ac:dyDescent="0.25">
      <c r="C691" s="8"/>
    </row>
    <row r="692" spans="3:3" ht="15.75" customHeight="1" x14ac:dyDescent="0.25">
      <c r="C692" s="8"/>
    </row>
    <row r="693" spans="3:3" ht="15.75" customHeight="1" x14ac:dyDescent="0.25">
      <c r="C693" s="8"/>
    </row>
    <row r="694" spans="3:3" ht="15.75" customHeight="1" x14ac:dyDescent="0.25">
      <c r="C694" s="8"/>
    </row>
    <row r="695" spans="3:3" ht="15.75" customHeight="1" x14ac:dyDescent="0.25">
      <c r="C695" s="8"/>
    </row>
    <row r="696" spans="3:3" ht="15.75" customHeight="1" x14ac:dyDescent="0.25">
      <c r="C696" s="8"/>
    </row>
    <row r="697" spans="3:3" ht="15.75" customHeight="1" x14ac:dyDescent="0.25">
      <c r="C697" s="8"/>
    </row>
    <row r="698" spans="3:3" ht="15.75" customHeight="1" x14ac:dyDescent="0.25">
      <c r="C698" s="8"/>
    </row>
    <row r="699" spans="3:3" ht="15.75" customHeight="1" x14ac:dyDescent="0.25">
      <c r="C699" s="8"/>
    </row>
    <row r="700" spans="3:3" ht="15.75" customHeight="1" x14ac:dyDescent="0.25">
      <c r="C700" s="8"/>
    </row>
    <row r="701" spans="3:3" ht="15.75" customHeight="1" x14ac:dyDescent="0.25">
      <c r="C701" s="8"/>
    </row>
    <row r="702" spans="3:3" ht="15.75" customHeight="1" x14ac:dyDescent="0.25">
      <c r="C702" s="8"/>
    </row>
    <row r="703" spans="3:3" ht="15.75" customHeight="1" x14ac:dyDescent="0.25">
      <c r="C703" s="8"/>
    </row>
    <row r="704" spans="3:3" ht="15.75" customHeight="1" x14ac:dyDescent="0.25">
      <c r="C704" s="8"/>
    </row>
    <row r="705" spans="3:3" ht="15.75" customHeight="1" x14ac:dyDescent="0.25">
      <c r="C705" s="8"/>
    </row>
    <row r="706" spans="3:3" ht="15.75" customHeight="1" x14ac:dyDescent="0.25">
      <c r="C706" s="8"/>
    </row>
    <row r="707" spans="3:3" ht="15.75" customHeight="1" x14ac:dyDescent="0.25">
      <c r="C707" s="8"/>
    </row>
    <row r="708" spans="3:3" ht="15.75" customHeight="1" x14ac:dyDescent="0.25">
      <c r="C708" s="8"/>
    </row>
    <row r="709" spans="3:3" ht="15.75" customHeight="1" x14ac:dyDescent="0.25">
      <c r="C709" s="8"/>
    </row>
    <row r="710" spans="3:3" ht="15.75" customHeight="1" x14ac:dyDescent="0.25">
      <c r="C710" s="8"/>
    </row>
    <row r="711" spans="3:3" ht="15.75" customHeight="1" x14ac:dyDescent="0.25">
      <c r="C711" s="8"/>
    </row>
    <row r="712" spans="3:3" ht="15.75" customHeight="1" x14ac:dyDescent="0.25">
      <c r="C712" s="8"/>
    </row>
    <row r="713" spans="3:3" ht="15.75" customHeight="1" x14ac:dyDescent="0.25">
      <c r="C713" s="8"/>
    </row>
    <row r="714" spans="3:3" ht="15.75" customHeight="1" x14ac:dyDescent="0.25">
      <c r="C714" s="8"/>
    </row>
    <row r="715" spans="3:3" ht="15.75" customHeight="1" x14ac:dyDescent="0.25">
      <c r="C715" s="8"/>
    </row>
    <row r="716" spans="3:3" ht="15.75" customHeight="1" x14ac:dyDescent="0.25">
      <c r="C716" s="8"/>
    </row>
    <row r="717" spans="3:3" ht="15.75" customHeight="1" x14ac:dyDescent="0.25">
      <c r="C717" s="8"/>
    </row>
    <row r="718" spans="3:3" ht="15.75" customHeight="1" x14ac:dyDescent="0.25">
      <c r="C718" s="8"/>
    </row>
    <row r="719" spans="3:3" ht="15.75" customHeight="1" x14ac:dyDescent="0.25">
      <c r="C719" s="8"/>
    </row>
    <row r="720" spans="3:3" ht="15.75" customHeight="1" x14ac:dyDescent="0.25">
      <c r="C720" s="8"/>
    </row>
    <row r="721" spans="3:3" ht="15.75" customHeight="1" x14ac:dyDescent="0.25">
      <c r="C721" s="8"/>
    </row>
    <row r="722" spans="3:3" ht="15.75" customHeight="1" x14ac:dyDescent="0.25">
      <c r="C722" s="8"/>
    </row>
    <row r="723" spans="3:3" ht="15.75" customHeight="1" x14ac:dyDescent="0.25">
      <c r="C723" s="8"/>
    </row>
    <row r="724" spans="3:3" ht="15.75" customHeight="1" x14ac:dyDescent="0.25">
      <c r="C724" s="8"/>
    </row>
    <row r="725" spans="3:3" ht="15.75" customHeight="1" x14ac:dyDescent="0.25">
      <c r="C725" s="8"/>
    </row>
    <row r="726" spans="3:3" ht="15.75" customHeight="1" x14ac:dyDescent="0.25">
      <c r="C726" s="8"/>
    </row>
    <row r="727" spans="3:3" ht="15.75" customHeight="1" x14ac:dyDescent="0.25">
      <c r="C727" s="8"/>
    </row>
    <row r="728" spans="3:3" ht="15.75" customHeight="1" x14ac:dyDescent="0.25">
      <c r="C728" s="8"/>
    </row>
    <row r="729" spans="3:3" ht="15.75" customHeight="1" x14ac:dyDescent="0.25">
      <c r="C729" s="8"/>
    </row>
    <row r="730" spans="3:3" ht="15.75" customHeight="1" x14ac:dyDescent="0.25">
      <c r="C730" s="8"/>
    </row>
    <row r="731" spans="3:3" ht="15.75" customHeight="1" x14ac:dyDescent="0.25">
      <c r="C731" s="8"/>
    </row>
    <row r="732" spans="3:3" ht="15.75" customHeight="1" x14ac:dyDescent="0.25">
      <c r="C732" s="8"/>
    </row>
    <row r="733" spans="3:3" ht="15.75" customHeight="1" x14ac:dyDescent="0.25">
      <c r="C733" s="8"/>
    </row>
    <row r="734" spans="3:3" ht="15.75" customHeight="1" x14ac:dyDescent="0.25">
      <c r="C734" s="8"/>
    </row>
    <row r="735" spans="3:3" ht="15.75" customHeight="1" x14ac:dyDescent="0.25">
      <c r="C735" s="8"/>
    </row>
    <row r="736" spans="3:3" ht="15.75" customHeight="1" x14ac:dyDescent="0.25">
      <c r="C736" s="8"/>
    </row>
    <row r="737" spans="3:3" ht="15.75" customHeight="1" x14ac:dyDescent="0.25">
      <c r="C737" s="8"/>
    </row>
    <row r="738" spans="3:3" ht="15.75" customHeight="1" x14ac:dyDescent="0.25">
      <c r="C738" s="8"/>
    </row>
    <row r="739" spans="3:3" ht="15.75" customHeight="1" x14ac:dyDescent="0.25">
      <c r="C739" s="8"/>
    </row>
    <row r="740" spans="3:3" ht="15.75" customHeight="1" x14ac:dyDescent="0.25">
      <c r="C740" s="8"/>
    </row>
    <row r="741" spans="3:3" ht="15.75" customHeight="1" x14ac:dyDescent="0.25">
      <c r="C741" s="8"/>
    </row>
    <row r="742" spans="3:3" ht="15.75" customHeight="1" x14ac:dyDescent="0.25">
      <c r="C742" s="8"/>
    </row>
    <row r="743" spans="3:3" ht="15.75" customHeight="1" x14ac:dyDescent="0.25">
      <c r="C743" s="8"/>
    </row>
    <row r="744" spans="3:3" ht="15.75" customHeight="1" x14ac:dyDescent="0.25">
      <c r="C744" s="8"/>
    </row>
    <row r="745" spans="3:3" ht="15.75" customHeight="1" x14ac:dyDescent="0.25">
      <c r="C745" s="8"/>
    </row>
    <row r="746" spans="3:3" ht="15.75" customHeight="1" x14ac:dyDescent="0.25">
      <c r="C746" s="8"/>
    </row>
    <row r="747" spans="3:3" ht="15.75" customHeight="1" x14ac:dyDescent="0.25">
      <c r="C747" s="8"/>
    </row>
    <row r="748" spans="3:3" ht="15.75" customHeight="1" x14ac:dyDescent="0.25">
      <c r="C748" s="8"/>
    </row>
    <row r="749" spans="3:3" ht="15.75" customHeight="1" x14ac:dyDescent="0.25">
      <c r="C749" s="8"/>
    </row>
    <row r="750" spans="3:3" ht="15.75" customHeight="1" x14ac:dyDescent="0.25">
      <c r="C750" s="8"/>
    </row>
    <row r="751" spans="3:3" ht="15.75" customHeight="1" x14ac:dyDescent="0.25">
      <c r="C751" s="8"/>
    </row>
    <row r="752" spans="3:3" ht="15.75" customHeight="1" x14ac:dyDescent="0.25">
      <c r="C752" s="8"/>
    </row>
    <row r="753" spans="3:3" ht="15.75" customHeight="1" x14ac:dyDescent="0.25">
      <c r="C753" s="8"/>
    </row>
    <row r="754" spans="3:3" ht="15.75" customHeight="1" x14ac:dyDescent="0.25">
      <c r="C754" s="8"/>
    </row>
    <row r="755" spans="3:3" ht="15.75" customHeight="1" x14ac:dyDescent="0.25">
      <c r="C755" s="8"/>
    </row>
    <row r="756" spans="3:3" ht="15.75" customHeight="1" x14ac:dyDescent="0.25">
      <c r="C756" s="8"/>
    </row>
    <row r="757" spans="3:3" ht="15.75" customHeight="1" x14ac:dyDescent="0.25">
      <c r="C757" s="8"/>
    </row>
    <row r="758" spans="3:3" ht="15.75" customHeight="1" x14ac:dyDescent="0.25">
      <c r="C758" s="8"/>
    </row>
    <row r="759" spans="3:3" ht="15.75" customHeight="1" x14ac:dyDescent="0.25">
      <c r="C759" s="8"/>
    </row>
    <row r="760" spans="3:3" ht="15.75" customHeight="1" x14ac:dyDescent="0.25">
      <c r="C760" s="8"/>
    </row>
    <row r="761" spans="3:3" ht="15.75" customHeight="1" x14ac:dyDescent="0.25">
      <c r="C761" s="8"/>
    </row>
    <row r="762" spans="3:3" ht="15.75" customHeight="1" x14ac:dyDescent="0.25">
      <c r="C762" s="8"/>
    </row>
    <row r="763" spans="3:3" ht="15.75" customHeight="1" x14ac:dyDescent="0.25">
      <c r="C763" s="8"/>
    </row>
    <row r="764" spans="3:3" ht="15.75" customHeight="1" x14ac:dyDescent="0.25">
      <c r="C764" s="8"/>
    </row>
    <row r="765" spans="3:3" ht="15.75" customHeight="1" x14ac:dyDescent="0.25">
      <c r="C765" s="8"/>
    </row>
    <row r="766" spans="3:3" ht="15.75" customHeight="1" x14ac:dyDescent="0.25">
      <c r="C766" s="8"/>
    </row>
    <row r="767" spans="3:3" ht="15.75" customHeight="1" x14ac:dyDescent="0.25">
      <c r="C767" s="8"/>
    </row>
    <row r="768" spans="3:3" ht="15.75" customHeight="1" x14ac:dyDescent="0.25">
      <c r="C768" s="8"/>
    </row>
    <row r="769" spans="3:3" ht="15.75" customHeight="1" x14ac:dyDescent="0.25">
      <c r="C769" s="8"/>
    </row>
    <row r="770" spans="3:3" ht="15.75" customHeight="1" x14ac:dyDescent="0.25">
      <c r="C770" s="8"/>
    </row>
    <row r="771" spans="3:3" ht="15.75" customHeight="1" x14ac:dyDescent="0.25">
      <c r="C771" s="8"/>
    </row>
    <row r="772" spans="3:3" ht="15.75" customHeight="1" x14ac:dyDescent="0.25">
      <c r="C772" s="8"/>
    </row>
    <row r="773" spans="3:3" ht="15.75" customHeight="1" x14ac:dyDescent="0.25">
      <c r="C773" s="8"/>
    </row>
    <row r="774" spans="3:3" ht="15.75" customHeight="1" x14ac:dyDescent="0.25">
      <c r="C774" s="8"/>
    </row>
    <row r="775" spans="3:3" ht="15.75" customHeight="1" x14ac:dyDescent="0.25">
      <c r="C775" s="8"/>
    </row>
    <row r="776" spans="3:3" ht="15.75" customHeight="1" x14ac:dyDescent="0.25">
      <c r="C776" s="8"/>
    </row>
    <row r="777" spans="3:3" ht="15.75" customHeight="1" x14ac:dyDescent="0.25">
      <c r="C777" s="8"/>
    </row>
    <row r="778" spans="3:3" ht="15.75" customHeight="1" x14ac:dyDescent="0.25">
      <c r="C778" s="8"/>
    </row>
    <row r="779" spans="3:3" ht="15.75" customHeight="1" x14ac:dyDescent="0.25">
      <c r="C779" s="8"/>
    </row>
    <row r="780" spans="3:3" ht="15.75" customHeight="1" x14ac:dyDescent="0.25">
      <c r="C780" s="8"/>
    </row>
    <row r="781" spans="3:3" ht="15.75" customHeight="1" x14ac:dyDescent="0.25">
      <c r="C781" s="8"/>
    </row>
    <row r="782" spans="3:3" ht="15.75" customHeight="1" x14ac:dyDescent="0.25">
      <c r="C782" s="8"/>
    </row>
    <row r="783" spans="3:3" ht="15.75" customHeight="1" x14ac:dyDescent="0.25">
      <c r="C783" s="8"/>
    </row>
    <row r="784" spans="3:3" ht="15.75" customHeight="1" x14ac:dyDescent="0.25">
      <c r="C784" s="8"/>
    </row>
    <row r="785" spans="3:3" ht="15.75" customHeight="1" x14ac:dyDescent="0.25">
      <c r="C785" s="8"/>
    </row>
    <row r="786" spans="3:3" ht="15.75" customHeight="1" x14ac:dyDescent="0.25">
      <c r="C786" s="8"/>
    </row>
    <row r="787" spans="3:3" ht="15.75" customHeight="1" x14ac:dyDescent="0.25">
      <c r="C787" s="8"/>
    </row>
    <row r="788" spans="3:3" ht="15.75" customHeight="1" x14ac:dyDescent="0.25">
      <c r="C788" s="8"/>
    </row>
    <row r="789" spans="3:3" ht="15.75" customHeight="1" x14ac:dyDescent="0.25">
      <c r="C789" s="8"/>
    </row>
    <row r="790" spans="3:3" ht="15.75" customHeight="1" x14ac:dyDescent="0.25">
      <c r="C790" s="8"/>
    </row>
    <row r="791" spans="3:3" ht="15.75" customHeight="1" x14ac:dyDescent="0.25">
      <c r="C791" s="8"/>
    </row>
    <row r="792" spans="3:3" ht="15.75" customHeight="1" x14ac:dyDescent="0.25">
      <c r="C792" s="8"/>
    </row>
    <row r="793" spans="3:3" ht="15.75" customHeight="1" x14ac:dyDescent="0.25">
      <c r="C793" s="8"/>
    </row>
    <row r="794" spans="3:3" ht="15.75" customHeight="1" x14ac:dyDescent="0.25">
      <c r="C794" s="8"/>
    </row>
    <row r="795" spans="3:3" ht="15.75" customHeight="1" x14ac:dyDescent="0.25">
      <c r="C795" s="8"/>
    </row>
    <row r="796" spans="3:3" ht="15.75" customHeight="1" x14ac:dyDescent="0.25">
      <c r="C796" s="8"/>
    </row>
    <row r="797" spans="3:3" ht="15.75" customHeight="1" x14ac:dyDescent="0.25">
      <c r="C797" s="8"/>
    </row>
    <row r="798" spans="3:3" ht="15.75" customHeight="1" x14ac:dyDescent="0.25">
      <c r="C798" s="8"/>
    </row>
    <row r="799" spans="3:3" ht="15.75" customHeight="1" x14ac:dyDescent="0.25">
      <c r="C799" s="8"/>
    </row>
    <row r="800" spans="3:3" ht="15.75" customHeight="1" x14ac:dyDescent="0.25">
      <c r="C800" s="8"/>
    </row>
    <row r="801" spans="3:3" ht="15.75" customHeight="1" x14ac:dyDescent="0.25">
      <c r="C801" s="8"/>
    </row>
    <row r="802" spans="3:3" ht="15.75" customHeight="1" x14ac:dyDescent="0.25">
      <c r="C802" s="8"/>
    </row>
    <row r="803" spans="3:3" ht="15.75" customHeight="1" x14ac:dyDescent="0.25">
      <c r="C803" s="8"/>
    </row>
    <row r="804" spans="3:3" ht="15.75" customHeight="1" x14ac:dyDescent="0.25">
      <c r="C804" s="8"/>
    </row>
    <row r="805" spans="3:3" ht="15.75" customHeight="1" x14ac:dyDescent="0.25">
      <c r="C805" s="8"/>
    </row>
    <row r="806" spans="3:3" ht="15.75" customHeight="1" x14ac:dyDescent="0.25">
      <c r="C806" s="8"/>
    </row>
    <row r="807" spans="3:3" ht="15.75" customHeight="1" x14ac:dyDescent="0.25">
      <c r="C807" s="8"/>
    </row>
    <row r="808" spans="3:3" ht="15.75" customHeight="1" x14ac:dyDescent="0.25">
      <c r="C808" s="8"/>
    </row>
    <row r="809" spans="3:3" ht="15.75" customHeight="1" x14ac:dyDescent="0.25">
      <c r="C809" s="8"/>
    </row>
    <row r="810" spans="3:3" ht="15.75" customHeight="1" x14ac:dyDescent="0.25">
      <c r="C810" s="8"/>
    </row>
    <row r="811" spans="3:3" ht="15.75" customHeight="1" x14ac:dyDescent="0.25">
      <c r="C811" s="8"/>
    </row>
    <row r="812" spans="3:3" ht="15.75" customHeight="1" x14ac:dyDescent="0.25">
      <c r="C812" s="8"/>
    </row>
    <row r="813" spans="3:3" ht="15.75" customHeight="1" x14ac:dyDescent="0.25">
      <c r="C813" s="8"/>
    </row>
    <row r="814" spans="3:3" ht="15.75" customHeight="1" x14ac:dyDescent="0.25">
      <c r="C814" s="8"/>
    </row>
    <row r="815" spans="3:3" ht="15.75" customHeight="1" x14ac:dyDescent="0.25">
      <c r="C815" s="8"/>
    </row>
    <row r="816" spans="3:3" ht="15.75" customHeight="1" x14ac:dyDescent="0.25">
      <c r="C816" s="8"/>
    </row>
    <row r="817" spans="3:3" ht="15.75" customHeight="1" x14ac:dyDescent="0.25">
      <c r="C817" s="8"/>
    </row>
    <row r="818" spans="3:3" ht="15.75" customHeight="1" x14ac:dyDescent="0.25">
      <c r="C818" s="8"/>
    </row>
    <row r="819" spans="3:3" ht="15.75" customHeight="1" x14ac:dyDescent="0.25">
      <c r="C819" s="8"/>
    </row>
    <row r="820" spans="3:3" ht="15.75" customHeight="1" x14ac:dyDescent="0.25">
      <c r="C820" s="8"/>
    </row>
    <row r="821" spans="3:3" ht="15.75" customHeight="1" x14ac:dyDescent="0.25">
      <c r="C821" s="8"/>
    </row>
    <row r="822" spans="3:3" ht="15.75" customHeight="1" x14ac:dyDescent="0.25">
      <c r="C822" s="8"/>
    </row>
    <row r="823" spans="3:3" ht="15.75" customHeight="1" x14ac:dyDescent="0.25">
      <c r="C823" s="8"/>
    </row>
    <row r="824" spans="3:3" ht="15.75" customHeight="1" x14ac:dyDescent="0.25">
      <c r="C824" s="8"/>
    </row>
    <row r="825" spans="3:3" ht="15.75" customHeight="1" x14ac:dyDescent="0.25">
      <c r="C825" s="8"/>
    </row>
    <row r="826" spans="3:3" ht="15.75" customHeight="1" x14ac:dyDescent="0.25">
      <c r="C826" s="8"/>
    </row>
    <row r="827" spans="3:3" ht="15.75" customHeight="1" x14ac:dyDescent="0.25">
      <c r="C827" s="8"/>
    </row>
    <row r="828" spans="3:3" ht="15.75" customHeight="1" x14ac:dyDescent="0.25">
      <c r="C828" s="8"/>
    </row>
    <row r="829" spans="3:3" ht="15.75" customHeight="1" x14ac:dyDescent="0.25">
      <c r="C829" s="8"/>
    </row>
    <row r="830" spans="3:3" ht="15.75" customHeight="1" x14ac:dyDescent="0.25">
      <c r="C830" s="8"/>
    </row>
    <row r="831" spans="3:3" ht="15.75" customHeight="1" x14ac:dyDescent="0.25">
      <c r="C831" s="8"/>
    </row>
    <row r="832" spans="3:3" ht="15.75" customHeight="1" x14ac:dyDescent="0.25">
      <c r="C832" s="8"/>
    </row>
    <row r="833" spans="3:3" ht="15.75" customHeight="1" x14ac:dyDescent="0.25">
      <c r="C833" s="8"/>
    </row>
    <row r="834" spans="3:3" ht="15.75" customHeight="1" x14ac:dyDescent="0.25">
      <c r="C834" s="8"/>
    </row>
    <row r="835" spans="3:3" ht="15.75" customHeight="1" x14ac:dyDescent="0.25">
      <c r="C835" s="8"/>
    </row>
    <row r="836" spans="3:3" ht="15.75" customHeight="1" x14ac:dyDescent="0.25">
      <c r="C836" s="8"/>
    </row>
    <row r="837" spans="3:3" ht="15.75" customHeight="1" x14ac:dyDescent="0.25">
      <c r="C837" s="8"/>
    </row>
    <row r="838" spans="3:3" ht="15.75" customHeight="1" x14ac:dyDescent="0.25">
      <c r="C838" s="8"/>
    </row>
    <row r="839" spans="3:3" ht="15.75" customHeight="1" x14ac:dyDescent="0.25">
      <c r="C839" s="8"/>
    </row>
    <row r="840" spans="3:3" ht="15.75" customHeight="1" x14ac:dyDescent="0.25">
      <c r="C840" s="8"/>
    </row>
    <row r="841" spans="3:3" ht="15.75" customHeight="1" x14ac:dyDescent="0.25">
      <c r="C841" s="8"/>
    </row>
    <row r="842" spans="3:3" ht="15.75" customHeight="1" x14ac:dyDescent="0.25">
      <c r="C842" s="8"/>
    </row>
    <row r="843" spans="3:3" ht="15.75" customHeight="1" x14ac:dyDescent="0.25">
      <c r="C843" s="8"/>
    </row>
    <row r="844" spans="3:3" ht="15.75" customHeight="1" x14ac:dyDescent="0.25">
      <c r="C844" s="8"/>
    </row>
    <row r="845" spans="3:3" ht="15.75" customHeight="1" x14ac:dyDescent="0.25">
      <c r="C845" s="8"/>
    </row>
    <row r="846" spans="3:3" ht="15.75" customHeight="1" x14ac:dyDescent="0.25">
      <c r="C846" s="8"/>
    </row>
    <row r="847" spans="3:3" ht="15.75" customHeight="1" x14ac:dyDescent="0.25">
      <c r="C847" s="8"/>
    </row>
    <row r="848" spans="3:3" ht="15.75" customHeight="1" x14ac:dyDescent="0.25">
      <c r="C848" s="8"/>
    </row>
    <row r="849" spans="3:3" ht="15.75" customHeight="1" x14ac:dyDescent="0.25">
      <c r="C849" s="8"/>
    </row>
    <row r="850" spans="3:3" ht="15.75" customHeight="1" x14ac:dyDescent="0.25">
      <c r="C850" s="8"/>
    </row>
    <row r="851" spans="3:3" ht="15.75" customHeight="1" x14ac:dyDescent="0.25">
      <c r="C851" s="8"/>
    </row>
    <row r="852" spans="3:3" ht="15.75" customHeight="1" x14ac:dyDescent="0.25">
      <c r="C852" s="8"/>
    </row>
    <row r="853" spans="3:3" ht="15.75" customHeight="1" x14ac:dyDescent="0.25">
      <c r="C853" s="8"/>
    </row>
    <row r="854" spans="3:3" ht="15.75" customHeight="1" x14ac:dyDescent="0.25">
      <c r="C854" s="8"/>
    </row>
    <row r="855" spans="3:3" ht="15.75" customHeight="1" x14ac:dyDescent="0.25">
      <c r="C855" s="8"/>
    </row>
    <row r="856" spans="3:3" ht="15.75" customHeight="1" x14ac:dyDescent="0.25">
      <c r="C856" s="8"/>
    </row>
    <row r="857" spans="3:3" ht="15.75" customHeight="1" x14ac:dyDescent="0.25">
      <c r="C857" s="8"/>
    </row>
    <row r="858" spans="3:3" ht="15.75" customHeight="1" x14ac:dyDescent="0.25">
      <c r="C858" s="8"/>
    </row>
    <row r="859" spans="3:3" ht="15.75" customHeight="1" x14ac:dyDescent="0.25">
      <c r="C859" s="8"/>
    </row>
    <row r="860" spans="3:3" ht="15.75" customHeight="1" x14ac:dyDescent="0.25">
      <c r="C860" s="8"/>
    </row>
    <row r="861" spans="3:3" ht="15.75" customHeight="1" x14ac:dyDescent="0.25">
      <c r="C861" s="8"/>
    </row>
    <row r="862" spans="3:3" ht="15.75" customHeight="1" x14ac:dyDescent="0.25">
      <c r="C862" s="8"/>
    </row>
    <row r="863" spans="3:3" ht="15.75" customHeight="1" x14ac:dyDescent="0.25">
      <c r="C863" s="8"/>
    </row>
    <row r="864" spans="3:3" ht="15.75" customHeight="1" x14ac:dyDescent="0.25">
      <c r="C864" s="8"/>
    </row>
    <row r="865" spans="3:3" ht="15.75" customHeight="1" x14ac:dyDescent="0.25">
      <c r="C865" s="8"/>
    </row>
    <row r="866" spans="3:3" ht="15.75" customHeight="1" x14ac:dyDescent="0.25">
      <c r="C866" s="8"/>
    </row>
    <row r="867" spans="3:3" ht="15.75" customHeight="1" x14ac:dyDescent="0.25">
      <c r="C867" s="8"/>
    </row>
    <row r="868" spans="3:3" ht="15.75" customHeight="1" x14ac:dyDescent="0.25">
      <c r="C868" s="8"/>
    </row>
    <row r="869" spans="3:3" ht="15.75" customHeight="1" x14ac:dyDescent="0.25">
      <c r="C869" s="8"/>
    </row>
    <row r="870" spans="3:3" ht="15.75" customHeight="1" x14ac:dyDescent="0.25">
      <c r="C870" s="8"/>
    </row>
    <row r="871" spans="3:3" ht="15.75" customHeight="1" x14ac:dyDescent="0.25">
      <c r="C871" s="8"/>
    </row>
    <row r="872" spans="3:3" ht="15.75" customHeight="1" x14ac:dyDescent="0.25">
      <c r="C872" s="8"/>
    </row>
    <row r="873" spans="3:3" ht="15.75" customHeight="1" x14ac:dyDescent="0.25">
      <c r="C873" s="8"/>
    </row>
    <row r="874" spans="3:3" ht="15.75" customHeight="1" x14ac:dyDescent="0.25">
      <c r="C874" s="8"/>
    </row>
    <row r="875" spans="3:3" ht="15.75" customHeight="1" x14ac:dyDescent="0.25">
      <c r="C875" s="8"/>
    </row>
    <row r="876" spans="3:3" ht="15.75" customHeight="1" x14ac:dyDescent="0.25">
      <c r="C876" s="8"/>
    </row>
    <row r="877" spans="3:3" ht="15.75" customHeight="1" x14ac:dyDescent="0.25">
      <c r="C877" s="8"/>
    </row>
    <row r="878" spans="3:3" ht="15.75" customHeight="1" x14ac:dyDescent="0.25">
      <c r="C878" s="8"/>
    </row>
    <row r="879" spans="3:3" ht="15.75" customHeight="1" x14ac:dyDescent="0.25">
      <c r="C879" s="8"/>
    </row>
    <row r="880" spans="3:3" ht="15.75" customHeight="1" x14ac:dyDescent="0.25">
      <c r="C880" s="8"/>
    </row>
    <row r="881" spans="3:3" ht="15.75" customHeight="1" x14ac:dyDescent="0.25">
      <c r="C881" s="8"/>
    </row>
    <row r="882" spans="3:3" ht="15.75" customHeight="1" x14ac:dyDescent="0.25">
      <c r="C882" s="8"/>
    </row>
    <row r="883" spans="3:3" ht="15.75" customHeight="1" x14ac:dyDescent="0.25">
      <c r="C883" s="8"/>
    </row>
    <row r="884" spans="3:3" ht="15.75" customHeight="1" x14ac:dyDescent="0.25">
      <c r="C884" s="8"/>
    </row>
    <row r="885" spans="3:3" ht="15.75" customHeight="1" x14ac:dyDescent="0.25">
      <c r="C885" s="8"/>
    </row>
    <row r="886" spans="3:3" ht="15.75" customHeight="1" x14ac:dyDescent="0.25">
      <c r="C886" s="8"/>
    </row>
    <row r="887" spans="3:3" ht="15.75" customHeight="1" x14ac:dyDescent="0.25">
      <c r="C887" s="8"/>
    </row>
    <row r="888" spans="3:3" ht="15.75" customHeight="1" x14ac:dyDescent="0.25">
      <c r="C888" s="8"/>
    </row>
    <row r="889" spans="3:3" ht="15.75" customHeight="1" x14ac:dyDescent="0.25">
      <c r="C889" s="8"/>
    </row>
    <row r="890" spans="3:3" ht="15.75" customHeight="1" x14ac:dyDescent="0.25">
      <c r="C890" s="8"/>
    </row>
    <row r="891" spans="3:3" ht="15.75" customHeight="1" x14ac:dyDescent="0.25">
      <c r="C891" s="8"/>
    </row>
    <row r="892" spans="3:3" ht="15.75" customHeight="1" x14ac:dyDescent="0.25">
      <c r="C892" s="8"/>
    </row>
    <row r="893" spans="3:3" ht="15.75" customHeight="1" x14ac:dyDescent="0.25">
      <c r="C893" s="8"/>
    </row>
    <row r="894" spans="3:3" ht="15.75" customHeight="1" x14ac:dyDescent="0.25">
      <c r="C894" s="8"/>
    </row>
    <row r="895" spans="3:3" ht="15.75" customHeight="1" x14ac:dyDescent="0.25">
      <c r="C895" s="8"/>
    </row>
    <row r="896" spans="3:3" ht="15.75" customHeight="1" x14ac:dyDescent="0.25">
      <c r="C896" s="8"/>
    </row>
    <row r="897" spans="3:3" ht="15.75" customHeight="1" x14ac:dyDescent="0.25">
      <c r="C897" s="8"/>
    </row>
    <row r="898" spans="3:3" ht="15.75" customHeight="1" x14ac:dyDescent="0.25">
      <c r="C898" s="8"/>
    </row>
    <row r="899" spans="3:3" ht="15.75" customHeight="1" x14ac:dyDescent="0.25">
      <c r="C899" s="8"/>
    </row>
    <row r="900" spans="3:3" ht="15.75" customHeight="1" x14ac:dyDescent="0.25">
      <c r="C900" s="8"/>
    </row>
    <row r="901" spans="3:3" ht="15.75" customHeight="1" x14ac:dyDescent="0.25">
      <c r="C901" s="8"/>
    </row>
    <row r="902" spans="3:3" ht="15.75" customHeight="1" x14ac:dyDescent="0.25">
      <c r="C902" s="8"/>
    </row>
    <row r="903" spans="3:3" ht="15.75" customHeight="1" x14ac:dyDescent="0.25">
      <c r="C903" s="8"/>
    </row>
    <row r="904" spans="3:3" ht="15.75" customHeight="1" x14ac:dyDescent="0.25">
      <c r="C904" s="8"/>
    </row>
    <row r="905" spans="3:3" ht="15.75" customHeight="1" x14ac:dyDescent="0.25">
      <c r="C905" s="8"/>
    </row>
    <row r="906" spans="3:3" ht="15.75" customHeight="1" x14ac:dyDescent="0.25">
      <c r="C906" s="8"/>
    </row>
    <row r="907" spans="3:3" ht="15.75" customHeight="1" x14ac:dyDescent="0.25">
      <c r="C907" s="8"/>
    </row>
    <row r="908" spans="3:3" ht="15.75" customHeight="1" x14ac:dyDescent="0.25">
      <c r="C908" s="8"/>
    </row>
    <row r="909" spans="3:3" ht="15.75" customHeight="1" x14ac:dyDescent="0.25">
      <c r="C909" s="8"/>
    </row>
    <row r="910" spans="3:3" ht="15.75" customHeight="1" x14ac:dyDescent="0.25">
      <c r="C910" s="8"/>
    </row>
    <row r="911" spans="3:3" ht="15.75" customHeight="1" x14ac:dyDescent="0.25">
      <c r="C911" s="8"/>
    </row>
    <row r="912" spans="3:3" ht="15.75" customHeight="1" x14ac:dyDescent="0.25">
      <c r="C912" s="8"/>
    </row>
    <row r="913" spans="3:3" ht="15.75" customHeight="1" x14ac:dyDescent="0.25">
      <c r="C913" s="8"/>
    </row>
    <row r="914" spans="3:3" ht="15.75" customHeight="1" x14ac:dyDescent="0.25">
      <c r="C914" s="8"/>
    </row>
    <row r="915" spans="3:3" ht="15.75" customHeight="1" x14ac:dyDescent="0.25">
      <c r="C915" s="8"/>
    </row>
    <row r="916" spans="3:3" ht="15.75" customHeight="1" x14ac:dyDescent="0.25">
      <c r="C916" s="8"/>
    </row>
    <row r="917" spans="3:3" ht="15.75" customHeight="1" x14ac:dyDescent="0.25">
      <c r="C917" s="8"/>
    </row>
    <row r="918" spans="3:3" ht="15.75" customHeight="1" x14ac:dyDescent="0.25">
      <c r="C918" s="8"/>
    </row>
    <row r="919" spans="3:3" ht="15.75" customHeight="1" x14ac:dyDescent="0.25">
      <c r="C919" s="8"/>
    </row>
    <row r="920" spans="3:3" ht="15.75" customHeight="1" x14ac:dyDescent="0.25">
      <c r="C920" s="8"/>
    </row>
    <row r="921" spans="3:3" ht="15.75" customHeight="1" x14ac:dyDescent="0.25">
      <c r="C921" s="8"/>
    </row>
    <row r="922" spans="3:3" ht="15.75" customHeight="1" x14ac:dyDescent="0.25">
      <c r="C922" s="8"/>
    </row>
    <row r="923" spans="3:3" ht="15.75" customHeight="1" x14ac:dyDescent="0.25">
      <c r="C923" s="8"/>
    </row>
    <row r="924" spans="3:3" ht="15.75" customHeight="1" x14ac:dyDescent="0.25">
      <c r="C924" s="8"/>
    </row>
    <row r="925" spans="3:3" ht="15.75" customHeight="1" x14ac:dyDescent="0.25">
      <c r="C925" s="8"/>
    </row>
    <row r="926" spans="3:3" ht="15.75" customHeight="1" x14ac:dyDescent="0.25">
      <c r="C926" s="8"/>
    </row>
    <row r="927" spans="3:3" ht="15.75" customHeight="1" x14ac:dyDescent="0.25">
      <c r="C927" s="8"/>
    </row>
    <row r="928" spans="3:3" ht="15.75" customHeight="1" x14ac:dyDescent="0.25">
      <c r="C928" s="8"/>
    </row>
    <row r="929" spans="3:3" ht="15.75" customHeight="1" x14ac:dyDescent="0.25">
      <c r="C929" s="8"/>
    </row>
    <row r="930" spans="3:3" ht="15.75" customHeight="1" x14ac:dyDescent="0.25">
      <c r="C930" s="8"/>
    </row>
    <row r="931" spans="3:3" ht="15.75" customHeight="1" x14ac:dyDescent="0.25">
      <c r="C931" s="8"/>
    </row>
    <row r="932" spans="3:3" ht="15.75" customHeight="1" x14ac:dyDescent="0.25">
      <c r="C932" s="8"/>
    </row>
    <row r="933" spans="3:3" ht="15.75" customHeight="1" x14ac:dyDescent="0.25">
      <c r="C933" s="8"/>
    </row>
    <row r="934" spans="3:3" ht="15.75" customHeight="1" x14ac:dyDescent="0.25">
      <c r="C934" s="8"/>
    </row>
    <row r="935" spans="3:3" ht="15.75" customHeight="1" x14ac:dyDescent="0.25">
      <c r="C935" s="8"/>
    </row>
    <row r="936" spans="3:3" ht="15.75" customHeight="1" x14ac:dyDescent="0.25">
      <c r="C936" s="8"/>
    </row>
    <row r="937" spans="3:3" ht="15.75" customHeight="1" x14ac:dyDescent="0.25">
      <c r="C937" s="8"/>
    </row>
    <row r="938" spans="3:3" ht="15.75" customHeight="1" x14ac:dyDescent="0.25">
      <c r="C938" s="8"/>
    </row>
    <row r="939" spans="3:3" ht="15.75" customHeight="1" x14ac:dyDescent="0.25">
      <c r="C939" s="8"/>
    </row>
    <row r="940" spans="3:3" ht="15.75" customHeight="1" x14ac:dyDescent="0.25">
      <c r="C940" s="8"/>
    </row>
    <row r="941" spans="3:3" ht="15.75" customHeight="1" x14ac:dyDescent="0.25">
      <c r="C941" s="8"/>
    </row>
    <row r="942" spans="3:3" ht="15.75" customHeight="1" x14ac:dyDescent="0.25">
      <c r="C942" s="8"/>
    </row>
    <row r="943" spans="3:3" ht="15.75" customHeight="1" x14ac:dyDescent="0.25">
      <c r="C943" s="8"/>
    </row>
    <row r="944" spans="3:3" ht="15.75" customHeight="1" x14ac:dyDescent="0.25">
      <c r="C944" s="8"/>
    </row>
    <row r="945" spans="3:3" ht="15.75" customHeight="1" x14ac:dyDescent="0.25">
      <c r="C945" s="8"/>
    </row>
    <row r="946" spans="3:3" ht="15.75" customHeight="1" x14ac:dyDescent="0.25">
      <c r="C946" s="8"/>
    </row>
    <row r="947" spans="3:3" ht="15.75" customHeight="1" x14ac:dyDescent="0.25">
      <c r="C947" s="8"/>
    </row>
    <row r="948" spans="3:3" ht="15.75" customHeight="1" x14ac:dyDescent="0.25">
      <c r="C948" s="8"/>
    </row>
    <row r="949" spans="3:3" ht="15.75" customHeight="1" x14ac:dyDescent="0.25">
      <c r="C949" s="8"/>
    </row>
    <row r="950" spans="3:3" ht="15.75" customHeight="1" x14ac:dyDescent="0.25">
      <c r="C950" s="8"/>
    </row>
    <row r="951" spans="3:3" ht="15.75" customHeight="1" x14ac:dyDescent="0.25">
      <c r="C951" s="8"/>
    </row>
    <row r="952" spans="3:3" ht="15.75" customHeight="1" x14ac:dyDescent="0.25">
      <c r="C952" s="8"/>
    </row>
    <row r="953" spans="3:3" ht="15.75" customHeight="1" x14ac:dyDescent="0.25">
      <c r="C953" s="8"/>
    </row>
    <row r="954" spans="3:3" ht="15.75" customHeight="1" x14ac:dyDescent="0.25">
      <c r="C954" s="8"/>
    </row>
    <row r="955" spans="3:3" ht="15.75" customHeight="1" x14ac:dyDescent="0.25">
      <c r="C955" s="8"/>
    </row>
    <row r="956" spans="3:3" ht="15.75" customHeight="1" x14ac:dyDescent="0.25">
      <c r="C956" s="8"/>
    </row>
    <row r="957" spans="3:3" ht="15.75" customHeight="1" x14ac:dyDescent="0.25">
      <c r="C957" s="8"/>
    </row>
    <row r="958" spans="3:3" ht="15.75" customHeight="1" x14ac:dyDescent="0.25">
      <c r="C958" s="8"/>
    </row>
    <row r="959" spans="3:3" ht="15.75" customHeight="1" x14ac:dyDescent="0.25">
      <c r="C959" s="8"/>
    </row>
    <row r="960" spans="3:3" ht="15.75" customHeight="1" x14ac:dyDescent="0.25">
      <c r="C960" s="8"/>
    </row>
    <row r="961" spans="3:3" ht="15.75" customHeight="1" x14ac:dyDescent="0.25">
      <c r="C961" s="8"/>
    </row>
    <row r="962" spans="3:3" ht="15.75" customHeight="1" x14ac:dyDescent="0.25">
      <c r="C962" s="8"/>
    </row>
    <row r="963" spans="3:3" ht="15.75" customHeight="1" x14ac:dyDescent="0.25">
      <c r="C963" s="8"/>
    </row>
    <row r="964" spans="3:3" ht="15.75" customHeight="1" x14ac:dyDescent="0.25">
      <c r="C964" s="8"/>
    </row>
    <row r="965" spans="3:3" ht="15.75" customHeight="1" x14ac:dyDescent="0.25">
      <c r="C965" s="8"/>
    </row>
    <row r="966" spans="3:3" ht="15.75" customHeight="1" x14ac:dyDescent="0.25">
      <c r="C966" s="8"/>
    </row>
    <row r="967" spans="3:3" ht="15.75" customHeight="1" x14ac:dyDescent="0.25">
      <c r="C967" s="8"/>
    </row>
    <row r="968" spans="3:3" ht="15.75" customHeight="1" x14ac:dyDescent="0.25">
      <c r="C968" s="8"/>
    </row>
    <row r="969" spans="3:3" ht="15.75" customHeight="1" x14ac:dyDescent="0.25"/>
    <row r="970" spans="3:3" ht="15.75" customHeight="1" x14ac:dyDescent="0.25"/>
    <row r="971" spans="3:3" ht="15.75" customHeight="1" x14ac:dyDescent="0.25"/>
    <row r="972" spans="3:3" ht="15.75" customHeight="1" x14ac:dyDescent="0.25"/>
    <row r="973" spans="3:3" ht="15.75" customHeight="1" x14ac:dyDescent="0.25"/>
    <row r="974" spans="3:3" ht="15.75" customHeight="1" x14ac:dyDescent="0.25"/>
    <row r="975" spans="3:3" ht="15.75" customHeight="1" x14ac:dyDescent="0.25"/>
    <row r="976" spans="3:3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B32:P55" xr:uid="{00000000-0009-0000-0000-000003000000}"/>
  <mergeCells count="19">
    <mergeCell ref="U47:U50"/>
    <mergeCell ref="R51:R54"/>
    <mergeCell ref="S51:S54"/>
    <mergeCell ref="R47:R50"/>
    <mergeCell ref="S47:S50"/>
    <mergeCell ref="T47:T50"/>
    <mergeCell ref="U51:U54"/>
    <mergeCell ref="T51:T54"/>
    <mergeCell ref="U39:U42"/>
    <mergeCell ref="U43:U46"/>
    <mergeCell ref="B31:K31"/>
    <mergeCell ref="L31:P31"/>
    <mergeCell ref="R31:U31"/>
    <mergeCell ref="R39:R42"/>
    <mergeCell ref="S39:S42"/>
    <mergeCell ref="T39:T42"/>
    <mergeCell ref="R43:R46"/>
    <mergeCell ref="S43:S46"/>
    <mergeCell ref="T43:T46"/>
  </mergeCells>
  <hyperlinks>
    <hyperlink ref="I67" r:id="rId1" xr:uid="{D434D7C6-5E4E-4940-BD41-934726856065}"/>
  </hyperlinks>
  <printOptions horizontalCentered="1"/>
  <pageMargins left="0.47244094488188981" right="0.47244094488188981" top="0.47244094488188981" bottom="0.47244094488188981" header="0" footer="0"/>
  <pageSetup scale="53" fitToHeight="3" orientation="landscape" r:id="rId2"/>
  <rowBreaks count="1" manualBreakCount="1">
    <brk id="57" max="16" man="1"/>
  </rowBreak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B83B-51D8-4D76-8FB9-DEB50715093F}">
  <sheetPr>
    <pageSetUpPr fitToPage="1"/>
  </sheetPr>
  <dimension ref="B2:V41"/>
  <sheetViews>
    <sheetView topLeftCell="A13" zoomScaleNormal="100" zoomScaleSheetLayoutView="85" workbookViewId="0">
      <selection activeCell="E36" sqref="E36"/>
    </sheetView>
  </sheetViews>
  <sheetFormatPr defaultColWidth="11.42578125" defaultRowHeight="12" x14ac:dyDescent="0.2"/>
  <cols>
    <col min="1" max="1" width="5.7109375" style="507" customWidth="1"/>
    <col min="2" max="2" width="6.140625" style="505" customWidth="1"/>
    <col min="3" max="3" width="11" style="505" customWidth="1"/>
    <col min="4" max="4" width="29.5703125" style="506" customWidth="1"/>
    <col min="5" max="5" width="10.7109375" style="507" customWidth="1"/>
    <col min="6" max="6" width="10.28515625" style="507" customWidth="1"/>
    <col min="7" max="7" width="20.5703125" style="507" customWidth="1"/>
    <col min="8" max="9" width="12.140625" style="507" hidden="1" customWidth="1"/>
    <col min="10" max="11" width="12.140625" style="507" customWidth="1"/>
    <col min="12" max="13" width="16.5703125" style="507" hidden="1" customWidth="1"/>
    <col min="14" max="14" width="12.28515625" style="507" customWidth="1"/>
    <col min="15" max="15" width="17.7109375" style="507" customWidth="1"/>
    <col min="16" max="17" width="11.42578125" style="507"/>
    <col min="18" max="18" width="15.5703125" style="507" customWidth="1"/>
    <col min="19" max="19" width="11.42578125" style="507"/>
    <col min="20" max="20" width="18.28515625" style="507" customWidth="1"/>
    <col min="21" max="237" width="11.42578125" style="507"/>
    <col min="238" max="238" width="4.7109375" style="507" customWidth="1"/>
    <col min="239" max="239" width="12.7109375" style="507" customWidth="1"/>
    <col min="240" max="240" width="30.42578125" style="507" customWidth="1"/>
    <col min="241" max="241" width="12.5703125" style="507" customWidth="1"/>
    <col min="242" max="242" width="10.5703125" style="507" customWidth="1"/>
    <col min="243" max="243" width="18.7109375" style="507" customWidth="1"/>
    <col min="244" max="249" width="11.7109375" style="507" customWidth="1"/>
    <col min="250" max="250" width="11" style="507" customWidth="1"/>
    <col min="251" max="251" width="15.5703125" style="507" customWidth="1"/>
    <col min="252" max="252" width="0" style="507" hidden="1" customWidth="1"/>
    <col min="253" max="253" width="18.85546875" style="507" customWidth="1"/>
    <col min="254" max="254" width="2.28515625" style="507" customWidth="1"/>
    <col min="255" max="259" width="13.7109375" style="507" customWidth="1"/>
    <col min="260" max="260" width="19.42578125" style="507" customWidth="1"/>
    <col min="261" max="261" width="13.7109375" style="507" customWidth="1"/>
    <col min="262" max="262" width="16.5703125" style="507" customWidth="1"/>
    <col min="263" max="493" width="11.42578125" style="507"/>
    <col min="494" max="494" width="4.7109375" style="507" customWidth="1"/>
    <col min="495" max="495" width="12.7109375" style="507" customWidth="1"/>
    <col min="496" max="496" width="30.42578125" style="507" customWidth="1"/>
    <col min="497" max="497" width="12.5703125" style="507" customWidth="1"/>
    <col min="498" max="498" width="10.5703125" style="507" customWidth="1"/>
    <col min="499" max="499" width="18.7109375" style="507" customWidth="1"/>
    <col min="500" max="505" width="11.7109375" style="507" customWidth="1"/>
    <col min="506" max="506" width="11" style="507" customWidth="1"/>
    <col min="507" max="507" width="15.5703125" style="507" customWidth="1"/>
    <col min="508" max="508" width="0" style="507" hidden="1" customWidth="1"/>
    <col min="509" max="509" width="18.85546875" style="507" customWidth="1"/>
    <col min="510" max="510" width="2.28515625" style="507" customWidth="1"/>
    <col min="511" max="515" width="13.7109375" style="507" customWidth="1"/>
    <col min="516" max="516" width="19.42578125" style="507" customWidth="1"/>
    <col min="517" max="517" width="13.7109375" style="507" customWidth="1"/>
    <col min="518" max="518" width="16.5703125" style="507" customWidth="1"/>
    <col min="519" max="749" width="11.42578125" style="507"/>
    <col min="750" max="750" width="4.7109375" style="507" customWidth="1"/>
    <col min="751" max="751" width="12.7109375" style="507" customWidth="1"/>
    <col min="752" max="752" width="30.42578125" style="507" customWidth="1"/>
    <col min="753" max="753" width="12.5703125" style="507" customWidth="1"/>
    <col min="754" max="754" width="10.5703125" style="507" customWidth="1"/>
    <col min="755" max="755" width="18.7109375" style="507" customWidth="1"/>
    <col min="756" max="761" width="11.7109375" style="507" customWidth="1"/>
    <col min="762" max="762" width="11" style="507" customWidth="1"/>
    <col min="763" max="763" width="15.5703125" style="507" customWidth="1"/>
    <col min="764" max="764" width="0" style="507" hidden="1" customWidth="1"/>
    <col min="765" max="765" width="18.85546875" style="507" customWidth="1"/>
    <col min="766" max="766" width="2.28515625" style="507" customWidth="1"/>
    <col min="767" max="771" width="13.7109375" style="507" customWidth="1"/>
    <col min="772" max="772" width="19.42578125" style="507" customWidth="1"/>
    <col min="773" max="773" width="13.7109375" style="507" customWidth="1"/>
    <col min="774" max="774" width="16.5703125" style="507" customWidth="1"/>
    <col min="775" max="1005" width="11.42578125" style="507"/>
    <col min="1006" max="1006" width="4.7109375" style="507" customWidth="1"/>
    <col min="1007" max="1007" width="12.7109375" style="507" customWidth="1"/>
    <col min="1008" max="1008" width="30.42578125" style="507" customWidth="1"/>
    <col min="1009" max="1009" width="12.5703125" style="507" customWidth="1"/>
    <col min="1010" max="1010" width="10.5703125" style="507" customWidth="1"/>
    <col min="1011" max="1011" width="18.7109375" style="507" customWidth="1"/>
    <col min="1012" max="1017" width="11.7109375" style="507" customWidth="1"/>
    <col min="1018" max="1018" width="11" style="507" customWidth="1"/>
    <col min="1019" max="1019" width="15.5703125" style="507" customWidth="1"/>
    <col min="1020" max="1020" width="0" style="507" hidden="1" customWidth="1"/>
    <col min="1021" max="1021" width="18.85546875" style="507" customWidth="1"/>
    <col min="1022" max="1022" width="2.28515625" style="507" customWidth="1"/>
    <col min="1023" max="1027" width="13.7109375" style="507" customWidth="1"/>
    <col min="1028" max="1028" width="19.42578125" style="507" customWidth="1"/>
    <col min="1029" max="1029" width="13.7109375" style="507" customWidth="1"/>
    <col min="1030" max="1030" width="16.5703125" style="507" customWidth="1"/>
    <col min="1031" max="1261" width="11.42578125" style="507"/>
    <col min="1262" max="1262" width="4.7109375" style="507" customWidth="1"/>
    <col min="1263" max="1263" width="12.7109375" style="507" customWidth="1"/>
    <col min="1264" max="1264" width="30.42578125" style="507" customWidth="1"/>
    <col min="1265" max="1265" width="12.5703125" style="507" customWidth="1"/>
    <col min="1266" max="1266" width="10.5703125" style="507" customWidth="1"/>
    <col min="1267" max="1267" width="18.7109375" style="507" customWidth="1"/>
    <col min="1268" max="1273" width="11.7109375" style="507" customWidth="1"/>
    <col min="1274" max="1274" width="11" style="507" customWidth="1"/>
    <col min="1275" max="1275" width="15.5703125" style="507" customWidth="1"/>
    <col min="1276" max="1276" width="0" style="507" hidden="1" customWidth="1"/>
    <col min="1277" max="1277" width="18.85546875" style="507" customWidth="1"/>
    <col min="1278" max="1278" width="2.28515625" style="507" customWidth="1"/>
    <col min="1279" max="1283" width="13.7109375" style="507" customWidth="1"/>
    <col min="1284" max="1284" width="19.42578125" style="507" customWidth="1"/>
    <col min="1285" max="1285" width="13.7109375" style="507" customWidth="1"/>
    <col min="1286" max="1286" width="16.5703125" style="507" customWidth="1"/>
    <col min="1287" max="1517" width="11.42578125" style="507"/>
    <col min="1518" max="1518" width="4.7109375" style="507" customWidth="1"/>
    <col min="1519" max="1519" width="12.7109375" style="507" customWidth="1"/>
    <col min="1520" max="1520" width="30.42578125" style="507" customWidth="1"/>
    <col min="1521" max="1521" width="12.5703125" style="507" customWidth="1"/>
    <col min="1522" max="1522" width="10.5703125" style="507" customWidth="1"/>
    <col min="1523" max="1523" width="18.7109375" style="507" customWidth="1"/>
    <col min="1524" max="1529" width="11.7109375" style="507" customWidth="1"/>
    <col min="1530" max="1530" width="11" style="507" customWidth="1"/>
    <col min="1531" max="1531" width="15.5703125" style="507" customWidth="1"/>
    <col min="1532" max="1532" width="0" style="507" hidden="1" customWidth="1"/>
    <col min="1533" max="1533" width="18.85546875" style="507" customWidth="1"/>
    <col min="1534" max="1534" width="2.28515625" style="507" customWidth="1"/>
    <col min="1535" max="1539" width="13.7109375" style="507" customWidth="1"/>
    <col min="1540" max="1540" width="19.42578125" style="507" customWidth="1"/>
    <col min="1541" max="1541" width="13.7109375" style="507" customWidth="1"/>
    <col min="1542" max="1542" width="16.5703125" style="507" customWidth="1"/>
    <col min="1543" max="1773" width="11.42578125" style="507"/>
    <col min="1774" max="1774" width="4.7109375" style="507" customWidth="1"/>
    <col min="1775" max="1775" width="12.7109375" style="507" customWidth="1"/>
    <col min="1776" max="1776" width="30.42578125" style="507" customWidth="1"/>
    <col min="1777" max="1777" width="12.5703125" style="507" customWidth="1"/>
    <col min="1778" max="1778" width="10.5703125" style="507" customWidth="1"/>
    <col min="1779" max="1779" width="18.7109375" style="507" customWidth="1"/>
    <col min="1780" max="1785" width="11.7109375" style="507" customWidth="1"/>
    <col min="1786" max="1786" width="11" style="507" customWidth="1"/>
    <col min="1787" max="1787" width="15.5703125" style="507" customWidth="1"/>
    <col min="1788" max="1788" width="0" style="507" hidden="1" customWidth="1"/>
    <col min="1789" max="1789" width="18.85546875" style="507" customWidth="1"/>
    <col min="1790" max="1790" width="2.28515625" style="507" customWidth="1"/>
    <col min="1791" max="1795" width="13.7109375" style="507" customWidth="1"/>
    <col min="1796" max="1796" width="19.42578125" style="507" customWidth="1"/>
    <col min="1797" max="1797" width="13.7109375" style="507" customWidth="1"/>
    <col min="1798" max="1798" width="16.5703125" style="507" customWidth="1"/>
    <col min="1799" max="2029" width="11.42578125" style="507"/>
    <col min="2030" max="2030" width="4.7109375" style="507" customWidth="1"/>
    <col min="2031" max="2031" width="12.7109375" style="507" customWidth="1"/>
    <col min="2032" max="2032" width="30.42578125" style="507" customWidth="1"/>
    <col min="2033" max="2033" width="12.5703125" style="507" customWidth="1"/>
    <col min="2034" max="2034" width="10.5703125" style="507" customWidth="1"/>
    <col min="2035" max="2035" width="18.7109375" style="507" customWidth="1"/>
    <col min="2036" max="2041" width="11.7109375" style="507" customWidth="1"/>
    <col min="2042" max="2042" width="11" style="507" customWidth="1"/>
    <col min="2043" max="2043" width="15.5703125" style="507" customWidth="1"/>
    <col min="2044" max="2044" width="0" style="507" hidden="1" customWidth="1"/>
    <col min="2045" max="2045" width="18.85546875" style="507" customWidth="1"/>
    <col min="2046" max="2046" width="2.28515625" style="507" customWidth="1"/>
    <col min="2047" max="2051" width="13.7109375" style="507" customWidth="1"/>
    <col min="2052" max="2052" width="19.42578125" style="507" customWidth="1"/>
    <col min="2053" max="2053" width="13.7109375" style="507" customWidth="1"/>
    <col min="2054" max="2054" width="16.5703125" style="507" customWidth="1"/>
    <col min="2055" max="2285" width="11.42578125" style="507"/>
    <col min="2286" max="2286" width="4.7109375" style="507" customWidth="1"/>
    <col min="2287" max="2287" width="12.7109375" style="507" customWidth="1"/>
    <col min="2288" max="2288" width="30.42578125" style="507" customWidth="1"/>
    <col min="2289" max="2289" width="12.5703125" style="507" customWidth="1"/>
    <col min="2290" max="2290" width="10.5703125" style="507" customWidth="1"/>
    <col min="2291" max="2291" width="18.7109375" style="507" customWidth="1"/>
    <col min="2292" max="2297" width="11.7109375" style="507" customWidth="1"/>
    <col min="2298" max="2298" width="11" style="507" customWidth="1"/>
    <col min="2299" max="2299" width="15.5703125" style="507" customWidth="1"/>
    <col min="2300" max="2300" width="0" style="507" hidden="1" customWidth="1"/>
    <col min="2301" max="2301" width="18.85546875" style="507" customWidth="1"/>
    <col min="2302" max="2302" width="2.28515625" style="507" customWidth="1"/>
    <col min="2303" max="2307" width="13.7109375" style="507" customWidth="1"/>
    <col min="2308" max="2308" width="19.42578125" style="507" customWidth="1"/>
    <col min="2309" max="2309" width="13.7109375" style="507" customWidth="1"/>
    <col min="2310" max="2310" width="16.5703125" style="507" customWidth="1"/>
    <col min="2311" max="2541" width="11.42578125" style="507"/>
    <col min="2542" max="2542" width="4.7109375" style="507" customWidth="1"/>
    <col min="2543" max="2543" width="12.7109375" style="507" customWidth="1"/>
    <col min="2544" max="2544" width="30.42578125" style="507" customWidth="1"/>
    <col min="2545" max="2545" width="12.5703125" style="507" customWidth="1"/>
    <col min="2546" max="2546" width="10.5703125" style="507" customWidth="1"/>
    <col min="2547" max="2547" width="18.7109375" style="507" customWidth="1"/>
    <col min="2548" max="2553" width="11.7109375" style="507" customWidth="1"/>
    <col min="2554" max="2554" width="11" style="507" customWidth="1"/>
    <col min="2555" max="2555" width="15.5703125" style="507" customWidth="1"/>
    <col min="2556" max="2556" width="0" style="507" hidden="1" customWidth="1"/>
    <col min="2557" max="2557" width="18.85546875" style="507" customWidth="1"/>
    <col min="2558" max="2558" width="2.28515625" style="507" customWidth="1"/>
    <col min="2559" max="2563" width="13.7109375" style="507" customWidth="1"/>
    <col min="2564" max="2564" width="19.42578125" style="507" customWidth="1"/>
    <col min="2565" max="2565" width="13.7109375" style="507" customWidth="1"/>
    <col min="2566" max="2566" width="16.5703125" style="507" customWidth="1"/>
    <col min="2567" max="2797" width="11.42578125" style="507"/>
    <col min="2798" max="2798" width="4.7109375" style="507" customWidth="1"/>
    <col min="2799" max="2799" width="12.7109375" style="507" customWidth="1"/>
    <col min="2800" max="2800" width="30.42578125" style="507" customWidth="1"/>
    <col min="2801" max="2801" width="12.5703125" style="507" customWidth="1"/>
    <col min="2802" max="2802" width="10.5703125" style="507" customWidth="1"/>
    <col min="2803" max="2803" width="18.7109375" style="507" customWidth="1"/>
    <col min="2804" max="2809" width="11.7109375" style="507" customWidth="1"/>
    <col min="2810" max="2810" width="11" style="507" customWidth="1"/>
    <col min="2811" max="2811" width="15.5703125" style="507" customWidth="1"/>
    <col min="2812" max="2812" width="0" style="507" hidden="1" customWidth="1"/>
    <col min="2813" max="2813" width="18.85546875" style="507" customWidth="1"/>
    <col min="2814" max="2814" width="2.28515625" style="507" customWidth="1"/>
    <col min="2815" max="2819" width="13.7109375" style="507" customWidth="1"/>
    <col min="2820" max="2820" width="19.42578125" style="507" customWidth="1"/>
    <col min="2821" max="2821" width="13.7109375" style="507" customWidth="1"/>
    <col min="2822" max="2822" width="16.5703125" style="507" customWidth="1"/>
    <col min="2823" max="3053" width="11.42578125" style="507"/>
    <col min="3054" max="3054" width="4.7109375" style="507" customWidth="1"/>
    <col min="3055" max="3055" width="12.7109375" style="507" customWidth="1"/>
    <col min="3056" max="3056" width="30.42578125" style="507" customWidth="1"/>
    <col min="3057" max="3057" width="12.5703125" style="507" customWidth="1"/>
    <col min="3058" max="3058" width="10.5703125" style="507" customWidth="1"/>
    <col min="3059" max="3059" width="18.7109375" style="507" customWidth="1"/>
    <col min="3060" max="3065" width="11.7109375" style="507" customWidth="1"/>
    <col min="3066" max="3066" width="11" style="507" customWidth="1"/>
    <col min="3067" max="3067" width="15.5703125" style="507" customWidth="1"/>
    <col min="3068" max="3068" width="0" style="507" hidden="1" customWidth="1"/>
    <col min="3069" max="3069" width="18.85546875" style="507" customWidth="1"/>
    <col min="3070" max="3070" width="2.28515625" style="507" customWidth="1"/>
    <col min="3071" max="3075" width="13.7109375" style="507" customWidth="1"/>
    <col min="3076" max="3076" width="19.42578125" style="507" customWidth="1"/>
    <col min="3077" max="3077" width="13.7109375" style="507" customWidth="1"/>
    <col min="3078" max="3078" width="16.5703125" style="507" customWidth="1"/>
    <col min="3079" max="3309" width="11.42578125" style="507"/>
    <col min="3310" max="3310" width="4.7109375" style="507" customWidth="1"/>
    <col min="3311" max="3311" width="12.7109375" style="507" customWidth="1"/>
    <col min="3312" max="3312" width="30.42578125" style="507" customWidth="1"/>
    <col min="3313" max="3313" width="12.5703125" style="507" customWidth="1"/>
    <col min="3314" max="3314" width="10.5703125" style="507" customWidth="1"/>
    <col min="3315" max="3315" width="18.7109375" style="507" customWidth="1"/>
    <col min="3316" max="3321" width="11.7109375" style="507" customWidth="1"/>
    <col min="3322" max="3322" width="11" style="507" customWidth="1"/>
    <col min="3323" max="3323" width="15.5703125" style="507" customWidth="1"/>
    <col min="3324" max="3324" width="0" style="507" hidden="1" customWidth="1"/>
    <col min="3325" max="3325" width="18.85546875" style="507" customWidth="1"/>
    <col min="3326" max="3326" width="2.28515625" style="507" customWidth="1"/>
    <col min="3327" max="3331" width="13.7109375" style="507" customWidth="1"/>
    <col min="3332" max="3332" width="19.42578125" style="507" customWidth="1"/>
    <col min="3333" max="3333" width="13.7109375" style="507" customWidth="1"/>
    <col min="3334" max="3334" width="16.5703125" style="507" customWidth="1"/>
    <col min="3335" max="3565" width="11.42578125" style="507"/>
    <col min="3566" max="3566" width="4.7109375" style="507" customWidth="1"/>
    <col min="3567" max="3567" width="12.7109375" style="507" customWidth="1"/>
    <col min="3568" max="3568" width="30.42578125" style="507" customWidth="1"/>
    <col min="3569" max="3569" width="12.5703125" style="507" customWidth="1"/>
    <col min="3570" max="3570" width="10.5703125" style="507" customWidth="1"/>
    <col min="3571" max="3571" width="18.7109375" style="507" customWidth="1"/>
    <col min="3572" max="3577" width="11.7109375" style="507" customWidth="1"/>
    <col min="3578" max="3578" width="11" style="507" customWidth="1"/>
    <col min="3579" max="3579" width="15.5703125" style="507" customWidth="1"/>
    <col min="3580" max="3580" width="0" style="507" hidden="1" customWidth="1"/>
    <col min="3581" max="3581" width="18.85546875" style="507" customWidth="1"/>
    <col min="3582" max="3582" width="2.28515625" style="507" customWidth="1"/>
    <col min="3583" max="3587" width="13.7109375" style="507" customWidth="1"/>
    <col min="3588" max="3588" width="19.42578125" style="507" customWidth="1"/>
    <col min="3589" max="3589" width="13.7109375" style="507" customWidth="1"/>
    <col min="3590" max="3590" width="16.5703125" style="507" customWidth="1"/>
    <col min="3591" max="3821" width="11.42578125" style="507"/>
    <col min="3822" max="3822" width="4.7109375" style="507" customWidth="1"/>
    <col min="3823" max="3823" width="12.7109375" style="507" customWidth="1"/>
    <col min="3824" max="3824" width="30.42578125" style="507" customWidth="1"/>
    <col min="3825" max="3825" width="12.5703125" style="507" customWidth="1"/>
    <col min="3826" max="3826" width="10.5703125" style="507" customWidth="1"/>
    <col min="3827" max="3827" width="18.7109375" style="507" customWidth="1"/>
    <col min="3828" max="3833" width="11.7109375" style="507" customWidth="1"/>
    <col min="3834" max="3834" width="11" style="507" customWidth="1"/>
    <col min="3835" max="3835" width="15.5703125" style="507" customWidth="1"/>
    <col min="3836" max="3836" width="0" style="507" hidden="1" customWidth="1"/>
    <col min="3837" max="3837" width="18.85546875" style="507" customWidth="1"/>
    <col min="3838" max="3838" width="2.28515625" style="507" customWidth="1"/>
    <col min="3839" max="3843" width="13.7109375" style="507" customWidth="1"/>
    <col min="3844" max="3844" width="19.42578125" style="507" customWidth="1"/>
    <col min="3845" max="3845" width="13.7109375" style="507" customWidth="1"/>
    <col min="3846" max="3846" width="16.5703125" style="507" customWidth="1"/>
    <col min="3847" max="4077" width="11.42578125" style="507"/>
    <col min="4078" max="4078" width="4.7109375" style="507" customWidth="1"/>
    <col min="4079" max="4079" width="12.7109375" style="507" customWidth="1"/>
    <col min="4080" max="4080" width="30.42578125" style="507" customWidth="1"/>
    <col min="4081" max="4081" width="12.5703125" style="507" customWidth="1"/>
    <col min="4082" max="4082" width="10.5703125" style="507" customWidth="1"/>
    <col min="4083" max="4083" width="18.7109375" style="507" customWidth="1"/>
    <col min="4084" max="4089" width="11.7109375" style="507" customWidth="1"/>
    <col min="4090" max="4090" width="11" style="507" customWidth="1"/>
    <col min="4091" max="4091" width="15.5703125" style="507" customWidth="1"/>
    <col min="4092" max="4092" width="0" style="507" hidden="1" customWidth="1"/>
    <col min="4093" max="4093" width="18.85546875" style="507" customWidth="1"/>
    <col min="4094" max="4094" width="2.28515625" style="507" customWidth="1"/>
    <col min="4095" max="4099" width="13.7109375" style="507" customWidth="1"/>
    <col min="4100" max="4100" width="19.42578125" style="507" customWidth="1"/>
    <col min="4101" max="4101" width="13.7109375" style="507" customWidth="1"/>
    <col min="4102" max="4102" width="16.5703125" style="507" customWidth="1"/>
    <col min="4103" max="4333" width="11.42578125" style="507"/>
    <col min="4334" max="4334" width="4.7109375" style="507" customWidth="1"/>
    <col min="4335" max="4335" width="12.7109375" style="507" customWidth="1"/>
    <col min="4336" max="4336" width="30.42578125" style="507" customWidth="1"/>
    <col min="4337" max="4337" width="12.5703125" style="507" customWidth="1"/>
    <col min="4338" max="4338" width="10.5703125" style="507" customWidth="1"/>
    <col min="4339" max="4339" width="18.7109375" style="507" customWidth="1"/>
    <col min="4340" max="4345" width="11.7109375" style="507" customWidth="1"/>
    <col min="4346" max="4346" width="11" style="507" customWidth="1"/>
    <col min="4347" max="4347" width="15.5703125" style="507" customWidth="1"/>
    <col min="4348" max="4348" width="0" style="507" hidden="1" customWidth="1"/>
    <col min="4349" max="4349" width="18.85546875" style="507" customWidth="1"/>
    <col min="4350" max="4350" width="2.28515625" style="507" customWidth="1"/>
    <col min="4351" max="4355" width="13.7109375" style="507" customWidth="1"/>
    <col min="4356" max="4356" width="19.42578125" style="507" customWidth="1"/>
    <col min="4357" max="4357" width="13.7109375" style="507" customWidth="1"/>
    <col min="4358" max="4358" width="16.5703125" style="507" customWidth="1"/>
    <col min="4359" max="4589" width="11.42578125" style="507"/>
    <col min="4590" max="4590" width="4.7109375" style="507" customWidth="1"/>
    <col min="4591" max="4591" width="12.7109375" style="507" customWidth="1"/>
    <col min="4592" max="4592" width="30.42578125" style="507" customWidth="1"/>
    <col min="4593" max="4593" width="12.5703125" style="507" customWidth="1"/>
    <col min="4594" max="4594" width="10.5703125" style="507" customWidth="1"/>
    <col min="4595" max="4595" width="18.7109375" style="507" customWidth="1"/>
    <col min="4596" max="4601" width="11.7109375" style="507" customWidth="1"/>
    <col min="4602" max="4602" width="11" style="507" customWidth="1"/>
    <col min="4603" max="4603" width="15.5703125" style="507" customWidth="1"/>
    <col min="4604" max="4604" width="0" style="507" hidden="1" customWidth="1"/>
    <col min="4605" max="4605" width="18.85546875" style="507" customWidth="1"/>
    <col min="4606" max="4606" width="2.28515625" style="507" customWidth="1"/>
    <col min="4607" max="4611" width="13.7109375" style="507" customWidth="1"/>
    <col min="4612" max="4612" width="19.42578125" style="507" customWidth="1"/>
    <col min="4613" max="4613" width="13.7109375" style="507" customWidth="1"/>
    <col min="4614" max="4614" width="16.5703125" style="507" customWidth="1"/>
    <col min="4615" max="4845" width="11.42578125" style="507"/>
    <col min="4846" max="4846" width="4.7109375" style="507" customWidth="1"/>
    <col min="4847" max="4847" width="12.7109375" style="507" customWidth="1"/>
    <col min="4848" max="4848" width="30.42578125" style="507" customWidth="1"/>
    <col min="4849" max="4849" width="12.5703125" style="507" customWidth="1"/>
    <col min="4850" max="4850" width="10.5703125" style="507" customWidth="1"/>
    <col min="4851" max="4851" width="18.7109375" style="507" customWidth="1"/>
    <col min="4852" max="4857" width="11.7109375" style="507" customWidth="1"/>
    <col min="4858" max="4858" width="11" style="507" customWidth="1"/>
    <col min="4859" max="4859" width="15.5703125" style="507" customWidth="1"/>
    <col min="4860" max="4860" width="0" style="507" hidden="1" customWidth="1"/>
    <col min="4861" max="4861" width="18.85546875" style="507" customWidth="1"/>
    <col min="4862" max="4862" width="2.28515625" style="507" customWidth="1"/>
    <col min="4863" max="4867" width="13.7109375" style="507" customWidth="1"/>
    <col min="4868" max="4868" width="19.42578125" style="507" customWidth="1"/>
    <col min="4869" max="4869" width="13.7109375" style="507" customWidth="1"/>
    <col min="4870" max="4870" width="16.5703125" style="507" customWidth="1"/>
    <col min="4871" max="5101" width="11.42578125" style="507"/>
    <col min="5102" max="5102" width="4.7109375" style="507" customWidth="1"/>
    <col min="5103" max="5103" width="12.7109375" style="507" customWidth="1"/>
    <col min="5104" max="5104" width="30.42578125" style="507" customWidth="1"/>
    <col min="5105" max="5105" width="12.5703125" style="507" customWidth="1"/>
    <col min="5106" max="5106" width="10.5703125" style="507" customWidth="1"/>
    <col min="5107" max="5107" width="18.7109375" style="507" customWidth="1"/>
    <col min="5108" max="5113" width="11.7109375" style="507" customWidth="1"/>
    <col min="5114" max="5114" width="11" style="507" customWidth="1"/>
    <col min="5115" max="5115" width="15.5703125" style="507" customWidth="1"/>
    <col min="5116" max="5116" width="0" style="507" hidden="1" customWidth="1"/>
    <col min="5117" max="5117" width="18.85546875" style="507" customWidth="1"/>
    <col min="5118" max="5118" width="2.28515625" style="507" customWidth="1"/>
    <col min="5119" max="5123" width="13.7109375" style="507" customWidth="1"/>
    <col min="5124" max="5124" width="19.42578125" style="507" customWidth="1"/>
    <col min="5125" max="5125" width="13.7109375" style="507" customWidth="1"/>
    <col min="5126" max="5126" width="16.5703125" style="507" customWidth="1"/>
    <col min="5127" max="5357" width="11.42578125" style="507"/>
    <col min="5358" max="5358" width="4.7109375" style="507" customWidth="1"/>
    <col min="5359" max="5359" width="12.7109375" style="507" customWidth="1"/>
    <col min="5360" max="5360" width="30.42578125" style="507" customWidth="1"/>
    <col min="5361" max="5361" width="12.5703125" style="507" customWidth="1"/>
    <col min="5362" max="5362" width="10.5703125" style="507" customWidth="1"/>
    <col min="5363" max="5363" width="18.7109375" style="507" customWidth="1"/>
    <col min="5364" max="5369" width="11.7109375" style="507" customWidth="1"/>
    <col min="5370" max="5370" width="11" style="507" customWidth="1"/>
    <col min="5371" max="5371" width="15.5703125" style="507" customWidth="1"/>
    <col min="5372" max="5372" width="0" style="507" hidden="1" customWidth="1"/>
    <col min="5373" max="5373" width="18.85546875" style="507" customWidth="1"/>
    <col min="5374" max="5374" width="2.28515625" style="507" customWidth="1"/>
    <col min="5375" max="5379" width="13.7109375" style="507" customWidth="1"/>
    <col min="5380" max="5380" width="19.42578125" style="507" customWidth="1"/>
    <col min="5381" max="5381" width="13.7109375" style="507" customWidth="1"/>
    <col min="5382" max="5382" width="16.5703125" style="507" customWidth="1"/>
    <col min="5383" max="5613" width="11.42578125" style="507"/>
    <col min="5614" max="5614" width="4.7109375" style="507" customWidth="1"/>
    <col min="5615" max="5615" width="12.7109375" style="507" customWidth="1"/>
    <col min="5616" max="5616" width="30.42578125" style="507" customWidth="1"/>
    <col min="5617" max="5617" width="12.5703125" style="507" customWidth="1"/>
    <col min="5618" max="5618" width="10.5703125" style="507" customWidth="1"/>
    <col min="5619" max="5619" width="18.7109375" style="507" customWidth="1"/>
    <col min="5620" max="5625" width="11.7109375" style="507" customWidth="1"/>
    <col min="5626" max="5626" width="11" style="507" customWidth="1"/>
    <col min="5627" max="5627" width="15.5703125" style="507" customWidth="1"/>
    <col min="5628" max="5628" width="0" style="507" hidden="1" customWidth="1"/>
    <col min="5629" max="5629" width="18.85546875" style="507" customWidth="1"/>
    <col min="5630" max="5630" width="2.28515625" style="507" customWidth="1"/>
    <col min="5631" max="5635" width="13.7109375" style="507" customWidth="1"/>
    <col min="5636" max="5636" width="19.42578125" style="507" customWidth="1"/>
    <col min="5637" max="5637" width="13.7109375" style="507" customWidth="1"/>
    <col min="5638" max="5638" width="16.5703125" style="507" customWidth="1"/>
    <col min="5639" max="5869" width="11.42578125" style="507"/>
    <col min="5870" max="5870" width="4.7109375" style="507" customWidth="1"/>
    <col min="5871" max="5871" width="12.7109375" style="507" customWidth="1"/>
    <col min="5872" max="5872" width="30.42578125" style="507" customWidth="1"/>
    <col min="5873" max="5873" width="12.5703125" style="507" customWidth="1"/>
    <col min="5874" max="5874" width="10.5703125" style="507" customWidth="1"/>
    <col min="5875" max="5875" width="18.7109375" style="507" customWidth="1"/>
    <col min="5876" max="5881" width="11.7109375" style="507" customWidth="1"/>
    <col min="5882" max="5882" width="11" style="507" customWidth="1"/>
    <col min="5883" max="5883" width="15.5703125" style="507" customWidth="1"/>
    <col min="5884" max="5884" width="0" style="507" hidden="1" customWidth="1"/>
    <col min="5885" max="5885" width="18.85546875" style="507" customWidth="1"/>
    <col min="5886" max="5886" width="2.28515625" style="507" customWidth="1"/>
    <col min="5887" max="5891" width="13.7109375" style="507" customWidth="1"/>
    <col min="5892" max="5892" width="19.42578125" style="507" customWidth="1"/>
    <col min="5893" max="5893" width="13.7109375" style="507" customWidth="1"/>
    <col min="5894" max="5894" width="16.5703125" style="507" customWidth="1"/>
    <col min="5895" max="6125" width="11.42578125" style="507"/>
    <col min="6126" max="6126" width="4.7109375" style="507" customWidth="1"/>
    <col min="6127" max="6127" width="12.7109375" style="507" customWidth="1"/>
    <col min="6128" max="6128" width="30.42578125" style="507" customWidth="1"/>
    <col min="6129" max="6129" width="12.5703125" style="507" customWidth="1"/>
    <col min="6130" max="6130" width="10.5703125" style="507" customWidth="1"/>
    <col min="6131" max="6131" width="18.7109375" style="507" customWidth="1"/>
    <col min="6132" max="6137" width="11.7109375" style="507" customWidth="1"/>
    <col min="6138" max="6138" width="11" style="507" customWidth="1"/>
    <col min="6139" max="6139" width="15.5703125" style="507" customWidth="1"/>
    <col min="6140" max="6140" width="0" style="507" hidden="1" customWidth="1"/>
    <col min="6141" max="6141" width="18.85546875" style="507" customWidth="1"/>
    <col min="6142" max="6142" width="2.28515625" style="507" customWidth="1"/>
    <col min="6143" max="6147" width="13.7109375" style="507" customWidth="1"/>
    <col min="6148" max="6148" width="19.42578125" style="507" customWidth="1"/>
    <col min="6149" max="6149" width="13.7109375" style="507" customWidth="1"/>
    <col min="6150" max="6150" width="16.5703125" style="507" customWidth="1"/>
    <col min="6151" max="6381" width="11.42578125" style="507"/>
    <col min="6382" max="6382" width="4.7109375" style="507" customWidth="1"/>
    <col min="6383" max="6383" width="12.7109375" style="507" customWidth="1"/>
    <col min="6384" max="6384" width="30.42578125" style="507" customWidth="1"/>
    <col min="6385" max="6385" width="12.5703125" style="507" customWidth="1"/>
    <col min="6386" max="6386" width="10.5703125" style="507" customWidth="1"/>
    <col min="6387" max="6387" width="18.7109375" style="507" customWidth="1"/>
    <col min="6388" max="6393" width="11.7109375" style="507" customWidth="1"/>
    <col min="6394" max="6394" width="11" style="507" customWidth="1"/>
    <col min="6395" max="6395" width="15.5703125" style="507" customWidth="1"/>
    <col min="6396" max="6396" width="0" style="507" hidden="1" customWidth="1"/>
    <col min="6397" max="6397" width="18.85546875" style="507" customWidth="1"/>
    <col min="6398" max="6398" width="2.28515625" style="507" customWidth="1"/>
    <col min="6399" max="6403" width="13.7109375" style="507" customWidth="1"/>
    <col min="6404" max="6404" width="19.42578125" style="507" customWidth="1"/>
    <col min="6405" max="6405" width="13.7109375" style="507" customWidth="1"/>
    <col min="6406" max="6406" width="16.5703125" style="507" customWidth="1"/>
    <col min="6407" max="6637" width="11.42578125" style="507"/>
    <col min="6638" max="6638" width="4.7109375" style="507" customWidth="1"/>
    <col min="6639" max="6639" width="12.7109375" style="507" customWidth="1"/>
    <col min="6640" max="6640" width="30.42578125" style="507" customWidth="1"/>
    <col min="6641" max="6641" width="12.5703125" style="507" customWidth="1"/>
    <col min="6642" max="6642" width="10.5703125" style="507" customWidth="1"/>
    <col min="6643" max="6643" width="18.7109375" style="507" customWidth="1"/>
    <col min="6644" max="6649" width="11.7109375" style="507" customWidth="1"/>
    <col min="6650" max="6650" width="11" style="507" customWidth="1"/>
    <col min="6651" max="6651" width="15.5703125" style="507" customWidth="1"/>
    <col min="6652" max="6652" width="0" style="507" hidden="1" customWidth="1"/>
    <col min="6653" max="6653" width="18.85546875" style="507" customWidth="1"/>
    <col min="6654" max="6654" width="2.28515625" style="507" customWidth="1"/>
    <col min="6655" max="6659" width="13.7109375" style="507" customWidth="1"/>
    <col min="6660" max="6660" width="19.42578125" style="507" customWidth="1"/>
    <col min="6661" max="6661" width="13.7109375" style="507" customWidth="1"/>
    <col min="6662" max="6662" width="16.5703125" style="507" customWidth="1"/>
    <col min="6663" max="6893" width="11.42578125" style="507"/>
    <col min="6894" max="6894" width="4.7109375" style="507" customWidth="1"/>
    <col min="6895" max="6895" width="12.7109375" style="507" customWidth="1"/>
    <col min="6896" max="6896" width="30.42578125" style="507" customWidth="1"/>
    <col min="6897" max="6897" width="12.5703125" style="507" customWidth="1"/>
    <col min="6898" max="6898" width="10.5703125" style="507" customWidth="1"/>
    <col min="6899" max="6899" width="18.7109375" style="507" customWidth="1"/>
    <col min="6900" max="6905" width="11.7109375" style="507" customWidth="1"/>
    <col min="6906" max="6906" width="11" style="507" customWidth="1"/>
    <col min="6907" max="6907" width="15.5703125" style="507" customWidth="1"/>
    <col min="6908" max="6908" width="0" style="507" hidden="1" customWidth="1"/>
    <col min="6909" max="6909" width="18.85546875" style="507" customWidth="1"/>
    <col min="6910" max="6910" width="2.28515625" style="507" customWidth="1"/>
    <col min="6911" max="6915" width="13.7109375" style="507" customWidth="1"/>
    <col min="6916" max="6916" width="19.42578125" style="507" customWidth="1"/>
    <col min="6917" max="6917" width="13.7109375" style="507" customWidth="1"/>
    <col min="6918" max="6918" width="16.5703125" style="507" customWidth="1"/>
    <col min="6919" max="7149" width="11.42578125" style="507"/>
    <col min="7150" max="7150" width="4.7109375" style="507" customWidth="1"/>
    <col min="7151" max="7151" width="12.7109375" style="507" customWidth="1"/>
    <col min="7152" max="7152" width="30.42578125" style="507" customWidth="1"/>
    <col min="7153" max="7153" width="12.5703125" style="507" customWidth="1"/>
    <col min="7154" max="7154" width="10.5703125" style="507" customWidth="1"/>
    <col min="7155" max="7155" width="18.7109375" style="507" customWidth="1"/>
    <col min="7156" max="7161" width="11.7109375" style="507" customWidth="1"/>
    <col min="7162" max="7162" width="11" style="507" customWidth="1"/>
    <col min="7163" max="7163" width="15.5703125" style="507" customWidth="1"/>
    <col min="7164" max="7164" width="0" style="507" hidden="1" customWidth="1"/>
    <col min="7165" max="7165" width="18.85546875" style="507" customWidth="1"/>
    <col min="7166" max="7166" width="2.28515625" style="507" customWidth="1"/>
    <col min="7167" max="7171" width="13.7109375" style="507" customWidth="1"/>
    <col min="7172" max="7172" width="19.42578125" style="507" customWidth="1"/>
    <col min="7173" max="7173" width="13.7109375" style="507" customWidth="1"/>
    <col min="7174" max="7174" width="16.5703125" style="507" customWidth="1"/>
    <col min="7175" max="7405" width="11.42578125" style="507"/>
    <col min="7406" max="7406" width="4.7109375" style="507" customWidth="1"/>
    <col min="7407" max="7407" width="12.7109375" style="507" customWidth="1"/>
    <col min="7408" max="7408" width="30.42578125" style="507" customWidth="1"/>
    <col min="7409" max="7409" width="12.5703125" style="507" customWidth="1"/>
    <col min="7410" max="7410" width="10.5703125" style="507" customWidth="1"/>
    <col min="7411" max="7411" width="18.7109375" style="507" customWidth="1"/>
    <col min="7412" max="7417" width="11.7109375" style="507" customWidth="1"/>
    <col min="7418" max="7418" width="11" style="507" customWidth="1"/>
    <col min="7419" max="7419" width="15.5703125" style="507" customWidth="1"/>
    <col min="7420" max="7420" width="0" style="507" hidden="1" customWidth="1"/>
    <col min="7421" max="7421" width="18.85546875" style="507" customWidth="1"/>
    <col min="7422" max="7422" width="2.28515625" style="507" customWidth="1"/>
    <col min="7423" max="7427" width="13.7109375" style="507" customWidth="1"/>
    <col min="7428" max="7428" width="19.42578125" style="507" customWidth="1"/>
    <col min="7429" max="7429" width="13.7109375" style="507" customWidth="1"/>
    <col min="7430" max="7430" width="16.5703125" style="507" customWidth="1"/>
    <col min="7431" max="7661" width="11.42578125" style="507"/>
    <col min="7662" max="7662" width="4.7109375" style="507" customWidth="1"/>
    <col min="7663" max="7663" width="12.7109375" style="507" customWidth="1"/>
    <col min="7664" max="7664" width="30.42578125" style="507" customWidth="1"/>
    <col min="7665" max="7665" width="12.5703125" style="507" customWidth="1"/>
    <col min="7666" max="7666" width="10.5703125" style="507" customWidth="1"/>
    <col min="7667" max="7667" width="18.7109375" style="507" customWidth="1"/>
    <col min="7668" max="7673" width="11.7109375" style="507" customWidth="1"/>
    <col min="7674" max="7674" width="11" style="507" customWidth="1"/>
    <col min="7675" max="7675" width="15.5703125" style="507" customWidth="1"/>
    <col min="7676" max="7676" width="0" style="507" hidden="1" customWidth="1"/>
    <col min="7677" max="7677" width="18.85546875" style="507" customWidth="1"/>
    <col min="7678" max="7678" width="2.28515625" style="507" customWidth="1"/>
    <col min="7679" max="7683" width="13.7109375" style="507" customWidth="1"/>
    <col min="7684" max="7684" width="19.42578125" style="507" customWidth="1"/>
    <col min="7685" max="7685" width="13.7109375" style="507" customWidth="1"/>
    <col min="7686" max="7686" width="16.5703125" style="507" customWidth="1"/>
    <col min="7687" max="7917" width="11.42578125" style="507"/>
    <col min="7918" max="7918" width="4.7109375" style="507" customWidth="1"/>
    <col min="7919" max="7919" width="12.7109375" style="507" customWidth="1"/>
    <col min="7920" max="7920" width="30.42578125" style="507" customWidth="1"/>
    <col min="7921" max="7921" width="12.5703125" style="507" customWidth="1"/>
    <col min="7922" max="7922" width="10.5703125" style="507" customWidth="1"/>
    <col min="7923" max="7923" width="18.7109375" style="507" customWidth="1"/>
    <col min="7924" max="7929" width="11.7109375" style="507" customWidth="1"/>
    <col min="7930" max="7930" width="11" style="507" customWidth="1"/>
    <col min="7931" max="7931" width="15.5703125" style="507" customWidth="1"/>
    <col min="7932" max="7932" width="0" style="507" hidden="1" customWidth="1"/>
    <col min="7933" max="7933" width="18.85546875" style="507" customWidth="1"/>
    <col min="7934" max="7934" width="2.28515625" style="507" customWidth="1"/>
    <col min="7935" max="7939" width="13.7109375" style="507" customWidth="1"/>
    <col min="7940" max="7940" width="19.42578125" style="507" customWidth="1"/>
    <col min="7941" max="7941" width="13.7109375" style="507" customWidth="1"/>
    <col min="7942" max="7942" width="16.5703125" style="507" customWidth="1"/>
    <col min="7943" max="8173" width="11.42578125" style="507"/>
    <col min="8174" max="8174" width="4.7109375" style="507" customWidth="1"/>
    <col min="8175" max="8175" width="12.7109375" style="507" customWidth="1"/>
    <col min="8176" max="8176" width="30.42578125" style="507" customWidth="1"/>
    <col min="8177" max="8177" width="12.5703125" style="507" customWidth="1"/>
    <col min="8178" max="8178" width="10.5703125" style="507" customWidth="1"/>
    <col min="8179" max="8179" width="18.7109375" style="507" customWidth="1"/>
    <col min="8180" max="8185" width="11.7109375" style="507" customWidth="1"/>
    <col min="8186" max="8186" width="11" style="507" customWidth="1"/>
    <col min="8187" max="8187" width="15.5703125" style="507" customWidth="1"/>
    <col min="8188" max="8188" width="0" style="507" hidden="1" customWidth="1"/>
    <col min="8189" max="8189" width="18.85546875" style="507" customWidth="1"/>
    <col min="8190" max="8190" width="2.28515625" style="507" customWidth="1"/>
    <col min="8191" max="8195" width="13.7109375" style="507" customWidth="1"/>
    <col min="8196" max="8196" width="19.42578125" style="507" customWidth="1"/>
    <col min="8197" max="8197" width="13.7109375" style="507" customWidth="1"/>
    <col min="8198" max="8198" width="16.5703125" style="507" customWidth="1"/>
    <col min="8199" max="8429" width="11.42578125" style="507"/>
    <col min="8430" max="8430" width="4.7109375" style="507" customWidth="1"/>
    <col min="8431" max="8431" width="12.7109375" style="507" customWidth="1"/>
    <col min="8432" max="8432" width="30.42578125" style="507" customWidth="1"/>
    <col min="8433" max="8433" width="12.5703125" style="507" customWidth="1"/>
    <col min="8434" max="8434" width="10.5703125" style="507" customWidth="1"/>
    <col min="8435" max="8435" width="18.7109375" style="507" customWidth="1"/>
    <col min="8436" max="8441" width="11.7109375" style="507" customWidth="1"/>
    <col min="8442" max="8442" width="11" style="507" customWidth="1"/>
    <col min="8443" max="8443" width="15.5703125" style="507" customWidth="1"/>
    <col min="8444" max="8444" width="0" style="507" hidden="1" customWidth="1"/>
    <col min="8445" max="8445" width="18.85546875" style="507" customWidth="1"/>
    <col min="8446" max="8446" width="2.28515625" style="507" customWidth="1"/>
    <col min="8447" max="8451" width="13.7109375" style="507" customWidth="1"/>
    <col min="8452" max="8452" width="19.42578125" style="507" customWidth="1"/>
    <col min="8453" max="8453" width="13.7109375" style="507" customWidth="1"/>
    <col min="8454" max="8454" width="16.5703125" style="507" customWidth="1"/>
    <col min="8455" max="8685" width="11.42578125" style="507"/>
    <col min="8686" max="8686" width="4.7109375" style="507" customWidth="1"/>
    <col min="8687" max="8687" width="12.7109375" style="507" customWidth="1"/>
    <col min="8688" max="8688" width="30.42578125" style="507" customWidth="1"/>
    <col min="8689" max="8689" width="12.5703125" style="507" customWidth="1"/>
    <col min="8690" max="8690" width="10.5703125" style="507" customWidth="1"/>
    <col min="8691" max="8691" width="18.7109375" style="507" customWidth="1"/>
    <col min="8692" max="8697" width="11.7109375" style="507" customWidth="1"/>
    <col min="8698" max="8698" width="11" style="507" customWidth="1"/>
    <col min="8699" max="8699" width="15.5703125" style="507" customWidth="1"/>
    <col min="8700" max="8700" width="0" style="507" hidden="1" customWidth="1"/>
    <col min="8701" max="8701" width="18.85546875" style="507" customWidth="1"/>
    <col min="8702" max="8702" width="2.28515625" style="507" customWidth="1"/>
    <col min="8703" max="8707" width="13.7109375" style="507" customWidth="1"/>
    <col min="8708" max="8708" width="19.42578125" style="507" customWidth="1"/>
    <col min="8709" max="8709" width="13.7109375" style="507" customWidth="1"/>
    <col min="8710" max="8710" width="16.5703125" style="507" customWidth="1"/>
    <col min="8711" max="8941" width="11.42578125" style="507"/>
    <col min="8942" max="8942" width="4.7109375" style="507" customWidth="1"/>
    <col min="8943" max="8943" width="12.7109375" style="507" customWidth="1"/>
    <col min="8944" max="8944" width="30.42578125" style="507" customWidth="1"/>
    <col min="8945" max="8945" width="12.5703125" style="507" customWidth="1"/>
    <col min="8946" max="8946" width="10.5703125" style="507" customWidth="1"/>
    <col min="8947" max="8947" width="18.7109375" style="507" customWidth="1"/>
    <col min="8948" max="8953" width="11.7109375" style="507" customWidth="1"/>
    <col min="8954" max="8954" width="11" style="507" customWidth="1"/>
    <col min="8955" max="8955" width="15.5703125" style="507" customWidth="1"/>
    <col min="8956" max="8956" width="0" style="507" hidden="1" customWidth="1"/>
    <col min="8957" max="8957" width="18.85546875" style="507" customWidth="1"/>
    <col min="8958" max="8958" width="2.28515625" style="507" customWidth="1"/>
    <col min="8959" max="8963" width="13.7109375" style="507" customWidth="1"/>
    <col min="8964" max="8964" width="19.42578125" style="507" customWidth="1"/>
    <col min="8965" max="8965" width="13.7109375" style="507" customWidth="1"/>
    <col min="8966" max="8966" width="16.5703125" style="507" customWidth="1"/>
    <col min="8967" max="9197" width="11.42578125" style="507"/>
    <col min="9198" max="9198" width="4.7109375" style="507" customWidth="1"/>
    <col min="9199" max="9199" width="12.7109375" style="507" customWidth="1"/>
    <col min="9200" max="9200" width="30.42578125" style="507" customWidth="1"/>
    <col min="9201" max="9201" width="12.5703125" style="507" customWidth="1"/>
    <col min="9202" max="9202" width="10.5703125" style="507" customWidth="1"/>
    <col min="9203" max="9203" width="18.7109375" style="507" customWidth="1"/>
    <col min="9204" max="9209" width="11.7109375" style="507" customWidth="1"/>
    <col min="9210" max="9210" width="11" style="507" customWidth="1"/>
    <col min="9211" max="9211" width="15.5703125" style="507" customWidth="1"/>
    <col min="9212" max="9212" width="0" style="507" hidden="1" customWidth="1"/>
    <col min="9213" max="9213" width="18.85546875" style="507" customWidth="1"/>
    <col min="9214" max="9214" width="2.28515625" style="507" customWidth="1"/>
    <col min="9215" max="9219" width="13.7109375" style="507" customWidth="1"/>
    <col min="9220" max="9220" width="19.42578125" style="507" customWidth="1"/>
    <col min="9221" max="9221" width="13.7109375" style="507" customWidth="1"/>
    <col min="9222" max="9222" width="16.5703125" style="507" customWidth="1"/>
    <col min="9223" max="9453" width="11.42578125" style="507"/>
    <col min="9454" max="9454" width="4.7109375" style="507" customWidth="1"/>
    <col min="9455" max="9455" width="12.7109375" style="507" customWidth="1"/>
    <col min="9456" max="9456" width="30.42578125" style="507" customWidth="1"/>
    <col min="9457" max="9457" width="12.5703125" style="507" customWidth="1"/>
    <col min="9458" max="9458" width="10.5703125" style="507" customWidth="1"/>
    <col min="9459" max="9459" width="18.7109375" style="507" customWidth="1"/>
    <col min="9460" max="9465" width="11.7109375" style="507" customWidth="1"/>
    <col min="9466" max="9466" width="11" style="507" customWidth="1"/>
    <col min="9467" max="9467" width="15.5703125" style="507" customWidth="1"/>
    <col min="9468" max="9468" width="0" style="507" hidden="1" customWidth="1"/>
    <col min="9469" max="9469" width="18.85546875" style="507" customWidth="1"/>
    <col min="9470" max="9470" width="2.28515625" style="507" customWidth="1"/>
    <col min="9471" max="9475" width="13.7109375" style="507" customWidth="1"/>
    <col min="9476" max="9476" width="19.42578125" style="507" customWidth="1"/>
    <col min="9477" max="9477" width="13.7109375" style="507" customWidth="1"/>
    <col min="9478" max="9478" width="16.5703125" style="507" customWidth="1"/>
    <col min="9479" max="9709" width="11.42578125" style="507"/>
    <col min="9710" max="9710" width="4.7109375" style="507" customWidth="1"/>
    <col min="9711" max="9711" width="12.7109375" style="507" customWidth="1"/>
    <col min="9712" max="9712" width="30.42578125" style="507" customWidth="1"/>
    <col min="9713" max="9713" width="12.5703125" style="507" customWidth="1"/>
    <col min="9714" max="9714" width="10.5703125" style="507" customWidth="1"/>
    <col min="9715" max="9715" width="18.7109375" style="507" customWidth="1"/>
    <col min="9716" max="9721" width="11.7109375" style="507" customWidth="1"/>
    <col min="9722" max="9722" width="11" style="507" customWidth="1"/>
    <col min="9723" max="9723" width="15.5703125" style="507" customWidth="1"/>
    <col min="9724" max="9724" width="0" style="507" hidden="1" customWidth="1"/>
    <col min="9725" max="9725" width="18.85546875" style="507" customWidth="1"/>
    <col min="9726" max="9726" width="2.28515625" style="507" customWidth="1"/>
    <col min="9727" max="9731" width="13.7109375" style="507" customWidth="1"/>
    <col min="9732" max="9732" width="19.42578125" style="507" customWidth="1"/>
    <col min="9733" max="9733" width="13.7109375" style="507" customWidth="1"/>
    <col min="9734" max="9734" width="16.5703125" style="507" customWidth="1"/>
    <col min="9735" max="9965" width="11.42578125" style="507"/>
    <col min="9966" max="9966" width="4.7109375" style="507" customWidth="1"/>
    <col min="9967" max="9967" width="12.7109375" style="507" customWidth="1"/>
    <col min="9968" max="9968" width="30.42578125" style="507" customWidth="1"/>
    <col min="9969" max="9969" width="12.5703125" style="507" customWidth="1"/>
    <col min="9970" max="9970" width="10.5703125" style="507" customWidth="1"/>
    <col min="9971" max="9971" width="18.7109375" style="507" customWidth="1"/>
    <col min="9972" max="9977" width="11.7109375" style="507" customWidth="1"/>
    <col min="9978" max="9978" width="11" style="507" customWidth="1"/>
    <col min="9979" max="9979" width="15.5703125" style="507" customWidth="1"/>
    <col min="9980" max="9980" width="0" style="507" hidden="1" customWidth="1"/>
    <col min="9981" max="9981" width="18.85546875" style="507" customWidth="1"/>
    <col min="9982" max="9982" width="2.28515625" style="507" customWidth="1"/>
    <col min="9983" max="9987" width="13.7109375" style="507" customWidth="1"/>
    <col min="9988" max="9988" width="19.42578125" style="507" customWidth="1"/>
    <col min="9989" max="9989" width="13.7109375" style="507" customWidth="1"/>
    <col min="9990" max="9990" width="16.5703125" style="507" customWidth="1"/>
    <col min="9991" max="10221" width="11.42578125" style="507"/>
    <col min="10222" max="10222" width="4.7109375" style="507" customWidth="1"/>
    <col min="10223" max="10223" width="12.7109375" style="507" customWidth="1"/>
    <col min="10224" max="10224" width="30.42578125" style="507" customWidth="1"/>
    <col min="10225" max="10225" width="12.5703125" style="507" customWidth="1"/>
    <col min="10226" max="10226" width="10.5703125" style="507" customWidth="1"/>
    <col min="10227" max="10227" width="18.7109375" style="507" customWidth="1"/>
    <col min="10228" max="10233" width="11.7109375" style="507" customWidth="1"/>
    <col min="10234" max="10234" width="11" style="507" customWidth="1"/>
    <col min="10235" max="10235" width="15.5703125" style="507" customWidth="1"/>
    <col min="10236" max="10236" width="0" style="507" hidden="1" customWidth="1"/>
    <col min="10237" max="10237" width="18.85546875" style="507" customWidth="1"/>
    <col min="10238" max="10238" width="2.28515625" style="507" customWidth="1"/>
    <col min="10239" max="10243" width="13.7109375" style="507" customWidth="1"/>
    <col min="10244" max="10244" width="19.42578125" style="507" customWidth="1"/>
    <col min="10245" max="10245" width="13.7109375" style="507" customWidth="1"/>
    <col min="10246" max="10246" width="16.5703125" style="507" customWidth="1"/>
    <col min="10247" max="10477" width="11.42578125" style="507"/>
    <col min="10478" max="10478" width="4.7109375" style="507" customWidth="1"/>
    <col min="10479" max="10479" width="12.7109375" style="507" customWidth="1"/>
    <col min="10480" max="10480" width="30.42578125" style="507" customWidth="1"/>
    <col min="10481" max="10481" width="12.5703125" style="507" customWidth="1"/>
    <col min="10482" max="10482" width="10.5703125" style="507" customWidth="1"/>
    <col min="10483" max="10483" width="18.7109375" style="507" customWidth="1"/>
    <col min="10484" max="10489" width="11.7109375" style="507" customWidth="1"/>
    <col min="10490" max="10490" width="11" style="507" customWidth="1"/>
    <col min="10491" max="10491" width="15.5703125" style="507" customWidth="1"/>
    <col min="10492" max="10492" width="0" style="507" hidden="1" customWidth="1"/>
    <col min="10493" max="10493" width="18.85546875" style="507" customWidth="1"/>
    <col min="10494" max="10494" width="2.28515625" style="507" customWidth="1"/>
    <col min="10495" max="10499" width="13.7109375" style="507" customWidth="1"/>
    <col min="10500" max="10500" width="19.42578125" style="507" customWidth="1"/>
    <col min="10501" max="10501" width="13.7109375" style="507" customWidth="1"/>
    <col min="10502" max="10502" width="16.5703125" style="507" customWidth="1"/>
    <col min="10503" max="10733" width="11.42578125" style="507"/>
    <col min="10734" max="10734" width="4.7109375" style="507" customWidth="1"/>
    <col min="10735" max="10735" width="12.7109375" style="507" customWidth="1"/>
    <col min="10736" max="10736" width="30.42578125" style="507" customWidth="1"/>
    <col min="10737" max="10737" width="12.5703125" style="507" customWidth="1"/>
    <col min="10738" max="10738" width="10.5703125" style="507" customWidth="1"/>
    <col min="10739" max="10739" width="18.7109375" style="507" customWidth="1"/>
    <col min="10740" max="10745" width="11.7109375" style="507" customWidth="1"/>
    <col min="10746" max="10746" width="11" style="507" customWidth="1"/>
    <col min="10747" max="10747" width="15.5703125" style="507" customWidth="1"/>
    <col min="10748" max="10748" width="0" style="507" hidden="1" customWidth="1"/>
    <col min="10749" max="10749" width="18.85546875" style="507" customWidth="1"/>
    <col min="10750" max="10750" width="2.28515625" style="507" customWidth="1"/>
    <col min="10751" max="10755" width="13.7109375" style="507" customWidth="1"/>
    <col min="10756" max="10756" width="19.42578125" style="507" customWidth="1"/>
    <col min="10757" max="10757" width="13.7109375" style="507" customWidth="1"/>
    <col min="10758" max="10758" width="16.5703125" style="507" customWidth="1"/>
    <col min="10759" max="10989" width="11.42578125" style="507"/>
    <col min="10990" max="10990" width="4.7109375" style="507" customWidth="1"/>
    <col min="10991" max="10991" width="12.7109375" style="507" customWidth="1"/>
    <col min="10992" max="10992" width="30.42578125" style="507" customWidth="1"/>
    <col min="10993" max="10993" width="12.5703125" style="507" customWidth="1"/>
    <col min="10994" max="10994" width="10.5703125" style="507" customWidth="1"/>
    <col min="10995" max="10995" width="18.7109375" style="507" customWidth="1"/>
    <col min="10996" max="11001" width="11.7109375" style="507" customWidth="1"/>
    <col min="11002" max="11002" width="11" style="507" customWidth="1"/>
    <col min="11003" max="11003" width="15.5703125" style="507" customWidth="1"/>
    <col min="11004" max="11004" width="0" style="507" hidden="1" customWidth="1"/>
    <col min="11005" max="11005" width="18.85546875" style="507" customWidth="1"/>
    <col min="11006" max="11006" width="2.28515625" style="507" customWidth="1"/>
    <col min="11007" max="11011" width="13.7109375" style="507" customWidth="1"/>
    <col min="11012" max="11012" width="19.42578125" style="507" customWidth="1"/>
    <col min="11013" max="11013" width="13.7109375" style="507" customWidth="1"/>
    <col min="11014" max="11014" width="16.5703125" style="507" customWidth="1"/>
    <col min="11015" max="11245" width="11.42578125" style="507"/>
    <col min="11246" max="11246" width="4.7109375" style="507" customWidth="1"/>
    <col min="11247" max="11247" width="12.7109375" style="507" customWidth="1"/>
    <col min="11248" max="11248" width="30.42578125" style="507" customWidth="1"/>
    <col min="11249" max="11249" width="12.5703125" style="507" customWidth="1"/>
    <col min="11250" max="11250" width="10.5703125" style="507" customWidth="1"/>
    <col min="11251" max="11251" width="18.7109375" style="507" customWidth="1"/>
    <col min="11252" max="11257" width="11.7109375" style="507" customWidth="1"/>
    <col min="11258" max="11258" width="11" style="507" customWidth="1"/>
    <col min="11259" max="11259" width="15.5703125" style="507" customWidth="1"/>
    <col min="11260" max="11260" width="0" style="507" hidden="1" customWidth="1"/>
    <col min="11261" max="11261" width="18.85546875" style="507" customWidth="1"/>
    <col min="11262" max="11262" width="2.28515625" style="507" customWidth="1"/>
    <col min="11263" max="11267" width="13.7109375" style="507" customWidth="1"/>
    <col min="11268" max="11268" width="19.42578125" style="507" customWidth="1"/>
    <col min="11269" max="11269" width="13.7109375" style="507" customWidth="1"/>
    <col min="11270" max="11270" width="16.5703125" style="507" customWidth="1"/>
    <col min="11271" max="11501" width="11.42578125" style="507"/>
    <col min="11502" max="11502" width="4.7109375" style="507" customWidth="1"/>
    <col min="11503" max="11503" width="12.7109375" style="507" customWidth="1"/>
    <col min="11504" max="11504" width="30.42578125" style="507" customWidth="1"/>
    <col min="11505" max="11505" width="12.5703125" style="507" customWidth="1"/>
    <col min="11506" max="11506" width="10.5703125" style="507" customWidth="1"/>
    <col min="11507" max="11507" width="18.7109375" style="507" customWidth="1"/>
    <col min="11508" max="11513" width="11.7109375" style="507" customWidth="1"/>
    <col min="11514" max="11514" width="11" style="507" customWidth="1"/>
    <col min="11515" max="11515" width="15.5703125" style="507" customWidth="1"/>
    <col min="11516" max="11516" width="0" style="507" hidden="1" customWidth="1"/>
    <col min="11517" max="11517" width="18.85546875" style="507" customWidth="1"/>
    <col min="11518" max="11518" width="2.28515625" style="507" customWidth="1"/>
    <col min="11519" max="11523" width="13.7109375" style="507" customWidth="1"/>
    <col min="11524" max="11524" width="19.42578125" style="507" customWidth="1"/>
    <col min="11525" max="11525" width="13.7109375" style="507" customWidth="1"/>
    <col min="11526" max="11526" width="16.5703125" style="507" customWidth="1"/>
    <col min="11527" max="11757" width="11.42578125" style="507"/>
    <col min="11758" max="11758" width="4.7109375" style="507" customWidth="1"/>
    <col min="11759" max="11759" width="12.7109375" style="507" customWidth="1"/>
    <col min="11760" max="11760" width="30.42578125" style="507" customWidth="1"/>
    <col min="11761" max="11761" width="12.5703125" style="507" customWidth="1"/>
    <col min="11762" max="11762" width="10.5703125" style="507" customWidth="1"/>
    <col min="11763" max="11763" width="18.7109375" style="507" customWidth="1"/>
    <col min="11764" max="11769" width="11.7109375" style="507" customWidth="1"/>
    <col min="11770" max="11770" width="11" style="507" customWidth="1"/>
    <col min="11771" max="11771" width="15.5703125" style="507" customWidth="1"/>
    <col min="11772" max="11772" width="0" style="507" hidden="1" customWidth="1"/>
    <col min="11773" max="11773" width="18.85546875" style="507" customWidth="1"/>
    <col min="11774" max="11774" width="2.28515625" style="507" customWidth="1"/>
    <col min="11775" max="11779" width="13.7109375" style="507" customWidth="1"/>
    <col min="11780" max="11780" width="19.42578125" style="507" customWidth="1"/>
    <col min="11781" max="11781" width="13.7109375" style="507" customWidth="1"/>
    <col min="11782" max="11782" width="16.5703125" style="507" customWidth="1"/>
    <col min="11783" max="12013" width="11.42578125" style="507"/>
    <col min="12014" max="12014" width="4.7109375" style="507" customWidth="1"/>
    <col min="12015" max="12015" width="12.7109375" style="507" customWidth="1"/>
    <col min="12016" max="12016" width="30.42578125" style="507" customWidth="1"/>
    <col min="12017" max="12017" width="12.5703125" style="507" customWidth="1"/>
    <col min="12018" max="12018" width="10.5703125" style="507" customWidth="1"/>
    <col min="12019" max="12019" width="18.7109375" style="507" customWidth="1"/>
    <col min="12020" max="12025" width="11.7109375" style="507" customWidth="1"/>
    <col min="12026" max="12026" width="11" style="507" customWidth="1"/>
    <col min="12027" max="12027" width="15.5703125" style="507" customWidth="1"/>
    <col min="12028" max="12028" width="0" style="507" hidden="1" customWidth="1"/>
    <col min="12029" max="12029" width="18.85546875" style="507" customWidth="1"/>
    <col min="12030" max="12030" width="2.28515625" style="507" customWidth="1"/>
    <col min="12031" max="12035" width="13.7109375" style="507" customWidth="1"/>
    <col min="12036" max="12036" width="19.42578125" style="507" customWidth="1"/>
    <col min="12037" max="12037" width="13.7109375" style="507" customWidth="1"/>
    <col min="12038" max="12038" width="16.5703125" style="507" customWidth="1"/>
    <col min="12039" max="12269" width="11.42578125" style="507"/>
    <col min="12270" max="12270" width="4.7109375" style="507" customWidth="1"/>
    <col min="12271" max="12271" width="12.7109375" style="507" customWidth="1"/>
    <col min="12272" max="12272" width="30.42578125" style="507" customWidth="1"/>
    <col min="12273" max="12273" width="12.5703125" style="507" customWidth="1"/>
    <col min="12274" max="12274" width="10.5703125" style="507" customWidth="1"/>
    <col min="12275" max="12275" width="18.7109375" style="507" customWidth="1"/>
    <col min="12276" max="12281" width="11.7109375" style="507" customWidth="1"/>
    <col min="12282" max="12282" width="11" style="507" customWidth="1"/>
    <col min="12283" max="12283" width="15.5703125" style="507" customWidth="1"/>
    <col min="12284" max="12284" width="0" style="507" hidden="1" customWidth="1"/>
    <col min="12285" max="12285" width="18.85546875" style="507" customWidth="1"/>
    <col min="12286" max="12286" width="2.28515625" style="507" customWidth="1"/>
    <col min="12287" max="12291" width="13.7109375" style="507" customWidth="1"/>
    <col min="12292" max="12292" width="19.42578125" style="507" customWidth="1"/>
    <col min="12293" max="12293" width="13.7109375" style="507" customWidth="1"/>
    <col min="12294" max="12294" width="16.5703125" style="507" customWidth="1"/>
    <col min="12295" max="12525" width="11.42578125" style="507"/>
    <col min="12526" max="12526" width="4.7109375" style="507" customWidth="1"/>
    <col min="12527" max="12527" width="12.7109375" style="507" customWidth="1"/>
    <col min="12528" max="12528" width="30.42578125" style="507" customWidth="1"/>
    <col min="12529" max="12529" width="12.5703125" style="507" customWidth="1"/>
    <col min="12530" max="12530" width="10.5703125" style="507" customWidth="1"/>
    <col min="12531" max="12531" width="18.7109375" style="507" customWidth="1"/>
    <col min="12532" max="12537" width="11.7109375" style="507" customWidth="1"/>
    <col min="12538" max="12538" width="11" style="507" customWidth="1"/>
    <col min="12539" max="12539" width="15.5703125" style="507" customWidth="1"/>
    <col min="12540" max="12540" width="0" style="507" hidden="1" customWidth="1"/>
    <col min="12541" max="12541" width="18.85546875" style="507" customWidth="1"/>
    <col min="12542" max="12542" width="2.28515625" style="507" customWidth="1"/>
    <col min="12543" max="12547" width="13.7109375" style="507" customWidth="1"/>
    <col min="12548" max="12548" width="19.42578125" style="507" customWidth="1"/>
    <col min="12549" max="12549" width="13.7109375" style="507" customWidth="1"/>
    <col min="12550" max="12550" width="16.5703125" style="507" customWidth="1"/>
    <col min="12551" max="12781" width="11.42578125" style="507"/>
    <col min="12782" max="12782" width="4.7109375" style="507" customWidth="1"/>
    <col min="12783" max="12783" width="12.7109375" style="507" customWidth="1"/>
    <col min="12784" max="12784" width="30.42578125" style="507" customWidth="1"/>
    <col min="12785" max="12785" width="12.5703125" style="507" customWidth="1"/>
    <col min="12786" max="12786" width="10.5703125" style="507" customWidth="1"/>
    <col min="12787" max="12787" width="18.7109375" style="507" customWidth="1"/>
    <col min="12788" max="12793" width="11.7109375" style="507" customWidth="1"/>
    <col min="12794" max="12794" width="11" style="507" customWidth="1"/>
    <col min="12795" max="12795" width="15.5703125" style="507" customWidth="1"/>
    <col min="12796" max="12796" width="0" style="507" hidden="1" customWidth="1"/>
    <col min="12797" max="12797" width="18.85546875" style="507" customWidth="1"/>
    <col min="12798" max="12798" width="2.28515625" style="507" customWidth="1"/>
    <col min="12799" max="12803" width="13.7109375" style="507" customWidth="1"/>
    <col min="12804" max="12804" width="19.42578125" style="507" customWidth="1"/>
    <col min="12805" max="12805" width="13.7109375" style="507" customWidth="1"/>
    <col min="12806" max="12806" width="16.5703125" style="507" customWidth="1"/>
    <col min="12807" max="13037" width="11.42578125" style="507"/>
    <col min="13038" max="13038" width="4.7109375" style="507" customWidth="1"/>
    <col min="13039" max="13039" width="12.7109375" style="507" customWidth="1"/>
    <col min="13040" max="13040" width="30.42578125" style="507" customWidth="1"/>
    <col min="13041" max="13041" width="12.5703125" style="507" customWidth="1"/>
    <col min="13042" max="13042" width="10.5703125" style="507" customWidth="1"/>
    <col min="13043" max="13043" width="18.7109375" style="507" customWidth="1"/>
    <col min="13044" max="13049" width="11.7109375" style="507" customWidth="1"/>
    <col min="13050" max="13050" width="11" style="507" customWidth="1"/>
    <col min="13051" max="13051" width="15.5703125" style="507" customWidth="1"/>
    <col min="13052" max="13052" width="0" style="507" hidden="1" customWidth="1"/>
    <col min="13053" max="13053" width="18.85546875" style="507" customWidth="1"/>
    <col min="13054" max="13054" width="2.28515625" style="507" customWidth="1"/>
    <col min="13055" max="13059" width="13.7109375" style="507" customWidth="1"/>
    <col min="13060" max="13060" width="19.42578125" style="507" customWidth="1"/>
    <col min="13061" max="13061" width="13.7109375" style="507" customWidth="1"/>
    <col min="13062" max="13062" width="16.5703125" style="507" customWidth="1"/>
    <col min="13063" max="13293" width="11.42578125" style="507"/>
    <col min="13294" max="13294" width="4.7109375" style="507" customWidth="1"/>
    <col min="13295" max="13295" width="12.7109375" style="507" customWidth="1"/>
    <col min="13296" max="13296" width="30.42578125" style="507" customWidth="1"/>
    <col min="13297" max="13297" width="12.5703125" style="507" customWidth="1"/>
    <col min="13298" max="13298" width="10.5703125" style="507" customWidth="1"/>
    <col min="13299" max="13299" width="18.7109375" style="507" customWidth="1"/>
    <col min="13300" max="13305" width="11.7109375" style="507" customWidth="1"/>
    <col min="13306" max="13306" width="11" style="507" customWidth="1"/>
    <col min="13307" max="13307" width="15.5703125" style="507" customWidth="1"/>
    <col min="13308" max="13308" width="0" style="507" hidden="1" customWidth="1"/>
    <col min="13309" max="13309" width="18.85546875" style="507" customWidth="1"/>
    <col min="13310" max="13310" width="2.28515625" style="507" customWidth="1"/>
    <col min="13311" max="13315" width="13.7109375" style="507" customWidth="1"/>
    <col min="13316" max="13316" width="19.42578125" style="507" customWidth="1"/>
    <col min="13317" max="13317" width="13.7109375" style="507" customWidth="1"/>
    <col min="13318" max="13318" width="16.5703125" style="507" customWidth="1"/>
    <col min="13319" max="13549" width="11.42578125" style="507"/>
    <col min="13550" max="13550" width="4.7109375" style="507" customWidth="1"/>
    <col min="13551" max="13551" width="12.7109375" style="507" customWidth="1"/>
    <col min="13552" max="13552" width="30.42578125" style="507" customWidth="1"/>
    <col min="13553" max="13553" width="12.5703125" style="507" customWidth="1"/>
    <col min="13554" max="13554" width="10.5703125" style="507" customWidth="1"/>
    <col min="13555" max="13555" width="18.7109375" style="507" customWidth="1"/>
    <col min="13556" max="13561" width="11.7109375" style="507" customWidth="1"/>
    <col min="13562" max="13562" width="11" style="507" customWidth="1"/>
    <col min="13563" max="13563" width="15.5703125" style="507" customWidth="1"/>
    <col min="13564" max="13564" width="0" style="507" hidden="1" customWidth="1"/>
    <col min="13565" max="13565" width="18.85546875" style="507" customWidth="1"/>
    <col min="13566" max="13566" width="2.28515625" style="507" customWidth="1"/>
    <col min="13567" max="13571" width="13.7109375" style="507" customWidth="1"/>
    <col min="13572" max="13572" width="19.42578125" style="507" customWidth="1"/>
    <col min="13573" max="13573" width="13.7109375" style="507" customWidth="1"/>
    <col min="13574" max="13574" width="16.5703125" style="507" customWidth="1"/>
    <col min="13575" max="13805" width="11.42578125" style="507"/>
    <col min="13806" max="13806" width="4.7109375" style="507" customWidth="1"/>
    <col min="13807" max="13807" width="12.7109375" style="507" customWidth="1"/>
    <col min="13808" max="13808" width="30.42578125" style="507" customWidth="1"/>
    <col min="13809" max="13809" width="12.5703125" style="507" customWidth="1"/>
    <col min="13810" max="13810" width="10.5703125" style="507" customWidth="1"/>
    <col min="13811" max="13811" width="18.7109375" style="507" customWidth="1"/>
    <col min="13812" max="13817" width="11.7109375" style="507" customWidth="1"/>
    <col min="13818" max="13818" width="11" style="507" customWidth="1"/>
    <col min="13819" max="13819" width="15.5703125" style="507" customWidth="1"/>
    <col min="13820" max="13820" width="0" style="507" hidden="1" customWidth="1"/>
    <col min="13821" max="13821" width="18.85546875" style="507" customWidth="1"/>
    <col min="13822" max="13822" width="2.28515625" style="507" customWidth="1"/>
    <col min="13823" max="13827" width="13.7109375" style="507" customWidth="1"/>
    <col min="13828" max="13828" width="19.42578125" style="507" customWidth="1"/>
    <col min="13829" max="13829" width="13.7109375" style="507" customWidth="1"/>
    <col min="13830" max="13830" width="16.5703125" style="507" customWidth="1"/>
    <col min="13831" max="14061" width="11.42578125" style="507"/>
    <col min="14062" max="14062" width="4.7109375" style="507" customWidth="1"/>
    <col min="14063" max="14063" width="12.7109375" style="507" customWidth="1"/>
    <col min="14064" max="14064" width="30.42578125" style="507" customWidth="1"/>
    <col min="14065" max="14065" width="12.5703125" style="507" customWidth="1"/>
    <col min="14066" max="14066" width="10.5703125" style="507" customWidth="1"/>
    <col min="14067" max="14067" width="18.7109375" style="507" customWidth="1"/>
    <col min="14068" max="14073" width="11.7109375" style="507" customWidth="1"/>
    <col min="14074" max="14074" width="11" style="507" customWidth="1"/>
    <col min="14075" max="14075" width="15.5703125" style="507" customWidth="1"/>
    <col min="14076" max="14076" width="0" style="507" hidden="1" customWidth="1"/>
    <col min="14077" max="14077" width="18.85546875" style="507" customWidth="1"/>
    <col min="14078" max="14078" width="2.28515625" style="507" customWidth="1"/>
    <col min="14079" max="14083" width="13.7109375" style="507" customWidth="1"/>
    <col min="14084" max="14084" width="19.42578125" style="507" customWidth="1"/>
    <col min="14085" max="14085" width="13.7109375" style="507" customWidth="1"/>
    <col min="14086" max="14086" width="16.5703125" style="507" customWidth="1"/>
    <col min="14087" max="14317" width="11.42578125" style="507"/>
    <col min="14318" max="14318" width="4.7109375" style="507" customWidth="1"/>
    <col min="14319" max="14319" width="12.7109375" style="507" customWidth="1"/>
    <col min="14320" max="14320" width="30.42578125" style="507" customWidth="1"/>
    <col min="14321" max="14321" width="12.5703125" style="507" customWidth="1"/>
    <col min="14322" max="14322" width="10.5703125" style="507" customWidth="1"/>
    <col min="14323" max="14323" width="18.7109375" style="507" customWidth="1"/>
    <col min="14324" max="14329" width="11.7109375" style="507" customWidth="1"/>
    <col min="14330" max="14330" width="11" style="507" customWidth="1"/>
    <col min="14331" max="14331" width="15.5703125" style="507" customWidth="1"/>
    <col min="14332" max="14332" width="0" style="507" hidden="1" customWidth="1"/>
    <col min="14333" max="14333" width="18.85546875" style="507" customWidth="1"/>
    <col min="14334" max="14334" width="2.28515625" style="507" customWidth="1"/>
    <col min="14335" max="14339" width="13.7109375" style="507" customWidth="1"/>
    <col min="14340" max="14340" width="19.42578125" style="507" customWidth="1"/>
    <col min="14341" max="14341" width="13.7109375" style="507" customWidth="1"/>
    <col min="14342" max="14342" width="16.5703125" style="507" customWidth="1"/>
    <col min="14343" max="14573" width="11.42578125" style="507"/>
    <col min="14574" max="14574" width="4.7109375" style="507" customWidth="1"/>
    <col min="14575" max="14575" width="12.7109375" style="507" customWidth="1"/>
    <col min="14576" max="14576" width="30.42578125" style="507" customWidth="1"/>
    <col min="14577" max="14577" width="12.5703125" style="507" customWidth="1"/>
    <col min="14578" max="14578" width="10.5703125" style="507" customWidth="1"/>
    <col min="14579" max="14579" width="18.7109375" style="507" customWidth="1"/>
    <col min="14580" max="14585" width="11.7109375" style="507" customWidth="1"/>
    <col min="14586" max="14586" width="11" style="507" customWidth="1"/>
    <col min="14587" max="14587" width="15.5703125" style="507" customWidth="1"/>
    <col min="14588" max="14588" width="0" style="507" hidden="1" customWidth="1"/>
    <col min="14589" max="14589" width="18.85546875" style="507" customWidth="1"/>
    <col min="14590" max="14590" width="2.28515625" style="507" customWidth="1"/>
    <col min="14591" max="14595" width="13.7109375" style="507" customWidth="1"/>
    <col min="14596" max="14596" width="19.42578125" style="507" customWidth="1"/>
    <col min="14597" max="14597" width="13.7109375" style="507" customWidth="1"/>
    <col min="14598" max="14598" width="16.5703125" style="507" customWidth="1"/>
    <col min="14599" max="14829" width="11.42578125" style="507"/>
    <col min="14830" max="14830" width="4.7109375" style="507" customWidth="1"/>
    <col min="14831" max="14831" width="12.7109375" style="507" customWidth="1"/>
    <col min="14832" max="14832" width="30.42578125" style="507" customWidth="1"/>
    <col min="14833" max="14833" width="12.5703125" style="507" customWidth="1"/>
    <col min="14834" max="14834" width="10.5703125" style="507" customWidth="1"/>
    <col min="14835" max="14835" width="18.7109375" style="507" customWidth="1"/>
    <col min="14836" max="14841" width="11.7109375" style="507" customWidth="1"/>
    <col min="14842" max="14842" width="11" style="507" customWidth="1"/>
    <col min="14843" max="14843" width="15.5703125" style="507" customWidth="1"/>
    <col min="14844" max="14844" width="0" style="507" hidden="1" customWidth="1"/>
    <col min="14845" max="14845" width="18.85546875" style="507" customWidth="1"/>
    <col min="14846" max="14846" width="2.28515625" style="507" customWidth="1"/>
    <col min="14847" max="14851" width="13.7109375" style="507" customWidth="1"/>
    <col min="14852" max="14852" width="19.42578125" style="507" customWidth="1"/>
    <col min="14853" max="14853" width="13.7109375" style="507" customWidth="1"/>
    <col min="14854" max="14854" width="16.5703125" style="507" customWidth="1"/>
    <col min="14855" max="15085" width="11.42578125" style="507"/>
    <col min="15086" max="15086" width="4.7109375" style="507" customWidth="1"/>
    <col min="15087" max="15087" width="12.7109375" style="507" customWidth="1"/>
    <col min="15088" max="15088" width="30.42578125" style="507" customWidth="1"/>
    <col min="15089" max="15089" width="12.5703125" style="507" customWidth="1"/>
    <col min="15090" max="15090" width="10.5703125" style="507" customWidth="1"/>
    <col min="15091" max="15091" width="18.7109375" style="507" customWidth="1"/>
    <col min="15092" max="15097" width="11.7109375" style="507" customWidth="1"/>
    <col min="15098" max="15098" width="11" style="507" customWidth="1"/>
    <col min="15099" max="15099" width="15.5703125" style="507" customWidth="1"/>
    <col min="15100" max="15100" width="0" style="507" hidden="1" customWidth="1"/>
    <col min="15101" max="15101" width="18.85546875" style="507" customWidth="1"/>
    <col min="15102" max="15102" width="2.28515625" style="507" customWidth="1"/>
    <col min="15103" max="15107" width="13.7109375" style="507" customWidth="1"/>
    <col min="15108" max="15108" width="19.42578125" style="507" customWidth="1"/>
    <col min="15109" max="15109" width="13.7109375" style="507" customWidth="1"/>
    <col min="15110" max="15110" width="16.5703125" style="507" customWidth="1"/>
    <col min="15111" max="15341" width="11.42578125" style="507"/>
    <col min="15342" max="15342" width="4.7109375" style="507" customWidth="1"/>
    <col min="15343" max="15343" width="12.7109375" style="507" customWidth="1"/>
    <col min="15344" max="15344" width="30.42578125" style="507" customWidth="1"/>
    <col min="15345" max="15345" width="12.5703125" style="507" customWidth="1"/>
    <col min="15346" max="15346" width="10.5703125" style="507" customWidth="1"/>
    <col min="15347" max="15347" width="18.7109375" style="507" customWidth="1"/>
    <col min="15348" max="15353" width="11.7109375" style="507" customWidth="1"/>
    <col min="15354" max="15354" width="11" style="507" customWidth="1"/>
    <col min="15355" max="15355" width="15.5703125" style="507" customWidth="1"/>
    <col min="15356" max="15356" width="0" style="507" hidden="1" customWidth="1"/>
    <col min="15357" max="15357" width="18.85546875" style="507" customWidth="1"/>
    <col min="15358" max="15358" width="2.28515625" style="507" customWidth="1"/>
    <col min="15359" max="15363" width="13.7109375" style="507" customWidth="1"/>
    <col min="15364" max="15364" width="19.42578125" style="507" customWidth="1"/>
    <col min="15365" max="15365" width="13.7109375" style="507" customWidth="1"/>
    <col min="15366" max="15366" width="16.5703125" style="507" customWidth="1"/>
    <col min="15367" max="15597" width="11.42578125" style="507"/>
    <col min="15598" max="15598" width="4.7109375" style="507" customWidth="1"/>
    <col min="15599" max="15599" width="12.7109375" style="507" customWidth="1"/>
    <col min="15600" max="15600" width="30.42578125" style="507" customWidth="1"/>
    <col min="15601" max="15601" width="12.5703125" style="507" customWidth="1"/>
    <col min="15602" max="15602" width="10.5703125" style="507" customWidth="1"/>
    <col min="15603" max="15603" width="18.7109375" style="507" customWidth="1"/>
    <col min="15604" max="15609" width="11.7109375" style="507" customWidth="1"/>
    <col min="15610" max="15610" width="11" style="507" customWidth="1"/>
    <col min="15611" max="15611" width="15.5703125" style="507" customWidth="1"/>
    <col min="15612" max="15612" width="0" style="507" hidden="1" customWidth="1"/>
    <col min="15613" max="15613" width="18.85546875" style="507" customWidth="1"/>
    <col min="15614" max="15614" width="2.28515625" style="507" customWidth="1"/>
    <col min="15615" max="15619" width="13.7109375" style="507" customWidth="1"/>
    <col min="15620" max="15620" width="19.42578125" style="507" customWidth="1"/>
    <col min="15621" max="15621" width="13.7109375" style="507" customWidth="1"/>
    <col min="15622" max="15622" width="16.5703125" style="507" customWidth="1"/>
    <col min="15623" max="15853" width="11.42578125" style="507"/>
    <col min="15854" max="15854" width="4.7109375" style="507" customWidth="1"/>
    <col min="15855" max="15855" width="12.7109375" style="507" customWidth="1"/>
    <col min="15856" max="15856" width="30.42578125" style="507" customWidth="1"/>
    <col min="15857" max="15857" width="12.5703125" style="507" customWidth="1"/>
    <col min="15858" max="15858" width="10.5703125" style="507" customWidth="1"/>
    <col min="15859" max="15859" width="18.7109375" style="507" customWidth="1"/>
    <col min="15860" max="15865" width="11.7109375" style="507" customWidth="1"/>
    <col min="15866" max="15866" width="11" style="507" customWidth="1"/>
    <col min="15867" max="15867" width="15.5703125" style="507" customWidth="1"/>
    <col min="15868" max="15868" width="0" style="507" hidden="1" customWidth="1"/>
    <col min="15869" max="15869" width="18.85546875" style="507" customWidth="1"/>
    <col min="15870" max="15870" width="2.28515625" style="507" customWidth="1"/>
    <col min="15871" max="15875" width="13.7109375" style="507" customWidth="1"/>
    <col min="15876" max="15876" width="19.42578125" style="507" customWidth="1"/>
    <col min="15877" max="15877" width="13.7109375" style="507" customWidth="1"/>
    <col min="15878" max="15878" width="16.5703125" style="507" customWidth="1"/>
    <col min="15879" max="16109" width="11.42578125" style="507"/>
    <col min="16110" max="16110" width="4.7109375" style="507" customWidth="1"/>
    <col min="16111" max="16111" width="12.7109375" style="507" customWidth="1"/>
    <col min="16112" max="16112" width="30.42578125" style="507" customWidth="1"/>
    <col min="16113" max="16113" width="12.5703125" style="507" customWidth="1"/>
    <col min="16114" max="16114" width="10.5703125" style="507" customWidth="1"/>
    <col min="16115" max="16115" width="18.7109375" style="507" customWidth="1"/>
    <col min="16116" max="16121" width="11.7109375" style="507" customWidth="1"/>
    <col min="16122" max="16122" width="11" style="507" customWidth="1"/>
    <col min="16123" max="16123" width="15.5703125" style="507" customWidth="1"/>
    <col min="16124" max="16124" width="0" style="507" hidden="1" customWidth="1"/>
    <col min="16125" max="16125" width="18.85546875" style="507" customWidth="1"/>
    <col min="16126" max="16126" width="2.28515625" style="507" customWidth="1"/>
    <col min="16127" max="16131" width="13.7109375" style="507" customWidth="1"/>
    <col min="16132" max="16132" width="19.42578125" style="507" customWidth="1"/>
    <col min="16133" max="16133" width="13.7109375" style="507" customWidth="1"/>
    <col min="16134" max="16134" width="16.5703125" style="507" customWidth="1"/>
    <col min="16135" max="16384" width="11.42578125" style="507"/>
  </cols>
  <sheetData>
    <row r="2" spans="2:15" x14ac:dyDescent="0.2">
      <c r="F2" s="12" t="s">
        <v>289</v>
      </c>
    </row>
    <row r="3" spans="2:15" ht="12.75" customHeight="1" x14ac:dyDescent="0.2">
      <c r="O3" s="508"/>
    </row>
    <row r="4" spans="2:15" ht="12.75" customHeight="1" x14ac:dyDescent="0.2">
      <c r="F4" s="509"/>
      <c r="H4" s="509"/>
      <c r="I4" s="509"/>
      <c r="J4" s="509"/>
      <c r="K4" s="509"/>
      <c r="L4" s="509"/>
      <c r="M4" s="509"/>
      <c r="N4" s="509"/>
    </row>
    <row r="5" spans="2:15" ht="12.75" customHeight="1" x14ac:dyDescent="0.2">
      <c r="D5" s="505"/>
      <c r="F5" s="510" t="s">
        <v>260</v>
      </c>
      <c r="H5" s="510"/>
      <c r="I5" s="510"/>
      <c r="J5" s="510"/>
      <c r="K5" s="510"/>
      <c r="L5" s="510"/>
      <c r="M5" s="510"/>
      <c r="N5" s="510"/>
    </row>
    <row r="6" spans="2:15" ht="12.75" customHeight="1" x14ac:dyDescent="0.2">
      <c r="D6" s="505"/>
      <c r="F6" s="509" t="s">
        <v>261</v>
      </c>
      <c r="H6" s="509"/>
      <c r="I6" s="509"/>
      <c r="J6" s="509"/>
      <c r="K6" s="509"/>
      <c r="L6" s="509"/>
      <c r="M6" s="509"/>
      <c r="N6" s="509"/>
    </row>
    <row r="7" spans="2:15" ht="12.75" customHeight="1" x14ac:dyDescent="0.2">
      <c r="D7" s="505"/>
      <c r="F7" s="509" t="s">
        <v>262</v>
      </c>
      <c r="H7" s="509"/>
      <c r="I7" s="509"/>
      <c r="J7" s="509"/>
      <c r="K7" s="509"/>
      <c r="L7" s="509"/>
      <c r="M7" s="509"/>
      <c r="N7" s="509"/>
    </row>
    <row r="8" spans="2:15" ht="12.75" customHeight="1" x14ac:dyDescent="0.2">
      <c r="D8" s="505"/>
      <c r="F8" s="509" t="s">
        <v>263</v>
      </c>
      <c r="H8" s="509"/>
      <c r="I8" s="509"/>
      <c r="J8" s="509"/>
      <c r="K8" s="509"/>
      <c r="L8" s="509"/>
      <c r="M8" s="509"/>
      <c r="N8" s="509"/>
    </row>
    <row r="9" spans="2:15" x14ac:dyDescent="0.2">
      <c r="B9" s="507"/>
      <c r="C9" s="507"/>
      <c r="D9" s="505"/>
      <c r="F9" s="509" t="s">
        <v>264</v>
      </c>
      <c r="H9" s="509"/>
      <c r="I9" s="509"/>
      <c r="J9" s="509"/>
      <c r="K9" s="509"/>
      <c r="L9" s="509"/>
      <c r="M9" s="509"/>
      <c r="N9" s="509"/>
    </row>
    <row r="10" spans="2:15" ht="15" customHeight="1" x14ac:dyDescent="0.2">
      <c r="B10" s="507"/>
      <c r="C10" s="507"/>
      <c r="D10" s="505"/>
      <c r="F10" s="511"/>
      <c r="H10" s="511"/>
      <c r="I10" s="511"/>
      <c r="J10" s="511"/>
      <c r="K10" s="511"/>
      <c r="L10" s="511"/>
      <c r="M10" s="511"/>
      <c r="N10" s="511"/>
    </row>
    <row r="11" spans="2:15" ht="15" customHeight="1" x14ac:dyDescent="0.2">
      <c r="B11" s="507"/>
      <c r="C11" s="507"/>
      <c r="D11" s="505"/>
      <c r="E11" s="512" t="s">
        <v>265</v>
      </c>
      <c r="F11" s="513" t="s">
        <v>266</v>
      </c>
      <c r="H11" s="513"/>
      <c r="I11" s="513"/>
      <c r="M11" s="513"/>
      <c r="N11" s="513"/>
      <c r="O11" s="513"/>
    </row>
    <row r="12" spans="2:15" ht="15" customHeight="1" x14ac:dyDescent="0.2">
      <c r="B12" s="507"/>
      <c r="C12" s="507"/>
      <c r="D12" s="507"/>
      <c r="H12" s="513"/>
      <c r="I12" s="513"/>
      <c r="M12" s="513"/>
      <c r="N12" s="513"/>
      <c r="O12" s="513"/>
    </row>
    <row r="13" spans="2:15" ht="15" customHeight="1" x14ac:dyDescent="0.2">
      <c r="B13" s="513" t="s">
        <v>267</v>
      </c>
      <c r="D13" s="513"/>
      <c r="G13" s="513"/>
      <c r="H13" s="513"/>
      <c r="I13" s="513"/>
      <c r="M13" s="513"/>
      <c r="N13" s="513"/>
    </row>
    <row r="14" spans="2:15" ht="15" customHeight="1" x14ac:dyDescent="0.2">
      <c r="D14" s="505"/>
      <c r="E14" s="505"/>
      <c r="F14" s="512" t="s">
        <v>0</v>
      </c>
      <c r="G14" s="15" t="s">
        <v>11</v>
      </c>
    </row>
    <row r="15" spans="2:15" ht="15" customHeight="1" x14ac:dyDescent="0.2">
      <c r="B15" s="513" t="s">
        <v>290</v>
      </c>
      <c r="D15" s="505"/>
      <c r="E15" s="505"/>
      <c r="F15" s="512" t="s">
        <v>74</v>
      </c>
      <c r="G15" s="15" t="s">
        <v>75</v>
      </c>
    </row>
    <row r="16" spans="2:15" ht="15" customHeight="1" x14ac:dyDescent="0.2">
      <c r="B16" s="262" t="s">
        <v>244</v>
      </c>
      <c r="D16" s="507"/>
      <c r="F16" s="512"/>
      <c r="G16" s="15"/>
      <c r="H16" s="513"/>
      <c r="I16" s="513"/>
      <c r="M16" s="513"/>
      <c r="N16" s="513"/>
    </row>
    <row r="17" spans="2:22" ht="15" customHeight="1" x14ac:dyDescent="0.2">
      <c r="B17" s="477" t="s">
        <v>291</v>
      </c>
      <c r="C17" s="507"/>
      <c r="D17" s="507"/>
      <c r="F17" s="512" t="s">
        <v>268</v>
      </c>
      <c r="G17" s="17" t="s">
        <v>77</v>
      </c>
      <c r="H17" s="515"/>
      <c r="I17" s="515"/>
      <c r="M17" s="515"/>
      <c r="N17" s="515"/>
    </row>
    <row r="18" spans="2:22" ht="15" customHeight="1" x14ac:dyDescent="0.2">
      <c r="B18" s="507"/>
      <c r="C18" s="507"/>
      <c r="D18" s="507"/>
      <c r="F18" s="512"/>
      <c r="G18" s="17" t="s">
        <v>78</v>
      </c>
      <c r="H18" s="513"/>
      <c r="I18" s="513"/>
      <c r="M18" s="513"/>
      <c r="N18" s="513"/>
    </row>
    <row r="19" spans="2:22" ht="15" customHeight="1" x14ac:dyDescent="0.2">
      <c r="B19" s="515"/>
      <c r="C19" s="507"/>
      <c r="D19" s="507"/>
      <c r="F19" s="512"/>
      <c r="G19" s="17" t="s">
        <v>79</v>
      </c>
      <c r="H19" s="513"/>
      <c r="I19" s="513"/>
      <c r="M19" s="513"/>
      <c r="N19" s="513"/>
    </row>
    <row r="20" spans="2:22" ht="15" customHeight="1" x14ac:dyDescent="0.2">
      <c r="C20" s="507"/>
      <c r="D20" s="507"/>
      <c r="F20" s="512"/>
      <c r="G20" s="17" t="s">
        <v>80</v>
      </c>
      <c r="H20" s="513"/>
      <c r="I20" s="513"/>
      <c r="M20" s="513"/>
      <c r="N20" s="513"/>
      <c r="O20" s="516"/>
    </row>
    <row r="21" spans="2:22" ht="15" customHeight="1" x14ac:dyDescent="0.2">
      <c r="C21" s="507"/>
      <c r="D21" s="507"/>
      <c r="F21" s="512"/>
      <c r="G21" s="15"/>
      <c r="H21" s="513"/>
      <c r="I21" s="513"/>
      <c r="M21" s="513"/>
      <c r="N21" s="513"/>
      <c r="O21" s="516"/>
    </row>
    <row r="22" spans="2:22" ht="15" customHeight="1" x14ac:dyDescent="0.2">
      <c r="C22" s="507"/>
      <c r="D22" s="507"/>
      <c r="F22" s="512" t="s">
        <v>269</v>
      </c>
      <c r="G22" s="17" t="s">
        <v>82</v>
      </c>
      <c r="H22" s="513"/>
      <c r="I22" s="513"/>
      <c r="M22" s="513"/>
      <c r="N22" s="513"/>
      <c r="O22" s="516"/>
    </row>
    <row r="23" spans="2:22" ht="15" customHeight="1" x14ac:dyDescent="0.2">
      <c r="C23" s="507"/>
      <c r="D23" s="507"/>
      <c r="G23" s="17" t="s">
        <v>83</v>
      </c>
      <c r="H23" s="513"/>
      <c r="I23" s="515"/>
      <c r="J23" s="515"/>
      <c r="K23" s="515"/>
      <c r="L23" s="515"/>
      <c r="M23" s="515"/>
      <c r="N23" s="515"/>
      <c r="O23" s="516"/>
    </row>
    <row r="24" spans="2:22" ht="15" customHeight="1" x14ac:dyDescent="0.2">
      <c r="F24" s="513"/>
      <c r="G24" s="514"/>
    </row>
    <row r="25" spans="2:22" ht="15" customHeight="1" thickBot="1" x14ac:dyDescent="0.25">
      <c r="B25" s="507"/>
      <c r="C25" s="507"/>
      <c r="D25" s="507"/>
      <c r="E25" s="517"/>
      <c r="F25" s="513"/>
      <c r="O25" s="513"/>
    </row>
    <row r="26" spans="2:22" ht="13.5" thickTop="1" thickBot="1" x14ac:dyDescent="0.25">
      <c r="B26" s="518"/>
      <c r="C26" s="518"/>
      <c r="D26" s="640" t="s">
        <v>87</v>
      </c>
      <c r="E26" s="641"/>
      <c r="F26" s="641"/>
      <c r="G26" s="641"/>
      <c r="H26" s="641"/>
      <c r="I26" s="641"/>
      <c r="J26" s="641"/>
      <c r="K26" s="641"/>
      <c r="L26" s="641"/>
      <c r="M26" s="641"/>
      <c r="N26" s="641"/>
      <c r="O26" s="642"/>
    </row>
    <row r="27" spans="2:22" ht="33.75" customHeight="1" thickTop="1" x14ac:dyDescent="0.2">
      <c r="B27" s="519" t="s">
        <v>270</v>
      </c>
      <c r="C27" s="519" t="s">
        <v>159</v>
      </c>
      <c r="D27" s="519" t="s">
        <v>16</v>
      </c>
      <c r="E27" s="519" t="s">
        <v>271</v>
      </c>
      <c r="F27" s="520" t="s">
        <v>92</v>
      </c>
      <c r="G27" s="519" t="s">
        <v>17</v>
      </c>
      <c r="H27" s="519" t="s">
        <v>272</v>
      </c>
      <c r="I27" s="519" t="s">
        <v>273</v>
      </c>
      <c r="J27" s="520" t="s">
        <v>62</v>
      </c>
      <c r="K27" s="521" t="s">
        <v>274</v>
      </c>
      <c r="L27" s="521" t="s">
        <v>275</v>
      </c>
      <c r="M27" s="521" t="s">
        <v>276</v>
      </c>
      <c r="N27" s="519" t="s">
        <v>277</v>
      </c>
      <c r="O27" s="519" t="s">
        <v>95</v>
      </c>
    </row>
    <row r="28" spans="2:22" ht="63.75" customHeight="1" x14ac:dyDescent="0.2">
      <c r="B28" s="523">
        <v>1</v>
      </c>
      <c r="C28" s="524"/>
      <c r="D28" s="525" t="s">
        <v>113</v>
      </c>
      <c r="E28" s="523">
        <v>6.1</v>
      </c>
      <c r="F28" s="523" t="s">
        <v>5</v>
      </c>
      <c r="G28" s="524" t="s">
        <v>6</v>
      </c>
      <c r="H28" s="526"/>
      <c r="I28" s="526"/>
      <c r="J28" s="547">
        <v>4</v>
      </c>
      <c r="K28" s="527">
        <f>E28*J28</f>
        <v>24.4</v>
      </c>
      <c r="L28" s="527">
        <f t="shared" ref="L28:M28" si="0">H28*K28</f>
        <v>0</v>
      </c>
      <c r="M28" s="526">
        <f t="shared" si="0"/>
        <v>0</v>
      </c>
      <c r="N28" s="528">
        <v>382.27</v>
      </c>
      <c r="O28" s="529">
        <f>+N28*J28</f>
        <v>1529.08</v>
      </c>
      <c r="R28" s="522"/>
      <c r="S28" s="522"/>
      <c r="T28" s="522"/>
      <c r="U28" s="522"/>
      <c r="V28" s="522"/>
    </row>
    <row r="29" spans="2:22" ht="63.75" customHeight="1" x14ac:dyDescent="0.2">
      <c r="B29" s="523">
        <v>1</v>
      </c>
      <c r="C29" s="524"/>
      <c r="D29" s="525" t="s">
        <v>123</v>
      </c>
      <c r="E29" s="523">
        <v>3.66</v>
      </c>
      <c r="F29" s="523" t="s">
        <v>5</v>
      </c>
      <c r="G29" s="524" t="s">
        <v>6</v>
      </c>
      <c r="H29" s="526"/>
      <c r="I29" s="526"/>
      <c r="J29" s="547">
        <v>61</v>
      </c>
      <c r="K29" s="527">
        <f>E29*J29</f>
        <v>223.26000000000002</v>
      </c>
      <c r="L29" s="527">
        <f t="shared" ref="L29" si="1">H29*K29</f>
        <v>0</v>
      </c>
      <c r="M29" s="526">
        <f t="shared" ref="M29" si="2">I29*L29</f>
        <v>0</v>
      </c>
      <c r="N29" s="528">
        <v>403.62</v>
      </c>
      <c r="O29" s="529">
        <f>+N29*J29</f>
        <v>24620.82</v>
      </c>
      <c r="R29" s="522"/>
      <c r="S29" s="522"/>
      <c r="T29" s="522"/>
      <c r="U29" s="522"/>
      <c r="V29" s="522"/>
    </row>
    <row r="30" spans="2:22" ht="8.25" customHeight="1" thickBot="1" x14ac:dyDescent="0.25">
      <c r="B30" s="530"/>
      <c r="C30" s="531"/>
      <c r="D30" s="532"/>
      <c r="E30" s="530"/>
      <c r="F30" s="530"/>
      <c r="G30" s="533"/>
      <c r="H30" s="534"/>
      <c r="I30" s="534"/>
      <c r="J30" s="535"/>
      <c r="K30" s="535"/>
      <c r="L30" s="535"/>
      <c r="M30" s="534"/>
      <c r="N30" s="534"/>
      <c r="O30" s="536"/>
    </row>
    <row r="31" spans="2:22" ht="13.5" thickTop="1" thickBot="1" x14ac:dyDescent="0.25">
      <c r="B31" s="506"/>
      <c r="C31" s="506"/>
      <c r="E31" s="506"/>
      <c r="F31" s="537"/>
      <c r="G31" s="538" t="s">
        <v>96</v>
      </c>
      <c r="H31" s="539"/>
      <c r="I31" s="539"/>
      <c r="J31" s="539"/>
      <c r="K31" s="539"/>
      <c r="L31" s="539"/>
      <c r="M31" s="539"/>
      <c r="N31" s="539"/>
      <c r="O31" s="540"/>
    </row>
    <row r="32" spans="2:22" ht="12.75" thickTop="1" x14ac:dyDescent="0.2">
      <c r="B32" s="541"/>
      <c r="C32" s="542"/>
      <c r="D32" s="625" t="s">
        <v>240</v>
      </c>
      <c r="E32" s="542"/>
      <c r="F32" s="542"/>
      <c r="G32" s="542"/>
      <c r="H32" s="542"/>
      <c r="I32" s="542"/>
      <c r="J32" s="542"/>
      <c r="K32" s="542"/>
      <c r="L32" s="542"/>
      <c r="M32" s="542"/>
      <c r="N32" s="542"/>
      <c r="O32" s="542"/>
      <c r="R32" s="522"/>
    </row>
    <row r="33" spans="2:20" x14ac:dyDescent="0.2">
      <c r="B33" s="515"/>
      <c r="C33" s="515"/>
      <c r="D33" s="552">
        <v>45973</v>
      </c>
      <c r="E33" s="515"/>
      <c r="F33" s="515"/>
      <c r="G33" s="515"/>
      <c r="H33" s="515"/>
      <c r="I33" s="515"/>
      <c r="J33" s="515"/>
      <c r="K33" s="515"/>
      <c r="L33" s="515"/>
      <c r="N33" s="543" t="s">
        <v>278</v>
      </c>
      <c r="O33" s="544">
        <f>SUM(O28:O32)</f>
        <v>26149.9</v>
      </c>
      <c r="R33" s="522"/>
      <c r="S33" s="522"/>
      <c r="T33" s="522"/>
    </row>
    <row r="34" spans="2:20" x14ac:dyDescent="0.2">
      <c r="B34" s="515"/>
      <c r="C34" s="515"/>
      <c r="D34" s="626"/>
      <c r="E34" s="515"/>
      <c r="F34" s="515"/>
      <c r="H34" s="515"/>
      <c r="I34" s="515"/>
      <c r="J34" s="515"/>
      <c r="K34" s="515"/>
      <c r="L34" s="515"/>
      <c r="N34" s="543" t="s">
        <v>279</v>
      </c>
      <c r="O34" s="544">
        <f>O33*0.16</f>
        <v>4183.9840000000004</v>
      </c>
      <c r="R34" s="522"/>
    </row>
    <row r="35" spans="2:20" x14ac:dyDescent="0.2">
      <c r="B35" s="515"/>
      <c r="C35" s="515"/>
      <c r="E35" s="515"/>
      <c r="F35" s="515"/>
      <c r="H35" s="515"/>
      <c r="I35" s="515"/>
      <c r="J35" s="515"/>
      <c r="K35" s="515"/>
      <c r="L35" s="515"/>
      <c r="N35" s="543" t="s">
        <v>7</v>
      </c>
      <c r="O35" s="544">
        <f>SUM(O33:O34)</f>
        <v>30333.884000000002</v>
      </c>
      <c r="R35" s="522"/>
    </row>
    <row r="36" spans="2:20" x14ac:dyDescent="0.2">
      <c r="B36" s="515"/>
      <c r="C36" s="515"/>
      <c r="E36" s="515"/>
      <c r="F36" s="515"/>
      <c r="G36" s="83" t="s">
        <v>57</v>
      </c>
      <c r="H36" s="515"/>
      <c r="I36" s="515"/>
      <c r="J36" s="515"/>
      <c r="K36" s="515"/>
      <c r="L36" s="515"/>
      <c r="R36" s="522"/>
      <c r="T36" s="522"/>
    </row>
    <row r="37" spans="2:20" ht="15" x14ac:dyDescent="0.2">
      <c r="G37" s="3" t="s">
        <v>58</v>
      </c>
      <c r="R37" s="522"/>
      <c r="T37" s="545"/>
    </row>
    <row r="38" spans="2:20" ht="14.25" x14ac:dyDescent="0.2">
      <c r="G38" s="2" t="s">
        <v>8</v>
      </c>
      <c r="R38" s="522"/>
    </row>
    <row r="39" spans="2:20" ht="14.25" x14ac:dyDescent="0.2">
      <c r="G39" s="2" t="s">
        <v>9</v>
      </c>
      <c r="R39" s="522"/>
    </row>
    <row r="40" spans="2:20" ht="15" x14ac:dyDescent="0.2">
      <c r="G40" s="87" t="s">
        <v>10</v>
      </c>
      <c r="R40" s="522"/>
    </row>
    <row r="41" spans="2:20" x14ac:dyDescent="0.2">
      <c r="R41" s="522"/>
    </row>
  </sheetData>
  <mergeCells count="1">
    <mergeCell ref="D26:O26"/>
  </mergeCells>
  <hyperlinks>
    <hyperlink ref="G40" r:id="rId1" xr:uid="{1CF0EA97-3E1D-4DE7-A559-2884EBE13A40}"/>
  </hyperlinks>
  <printOptions horizontalCentered="1"/>
  <pageMargins left="0.39370078740157483" right="0.39370078740157483" top="0.23622047244094491" bottom="0.62992125984251968" header="0" footer="0.27559055118110237"/>
  <pageSetup scale="79" orientation="landscape" r:id="rId2"/>
  <headerFooter alignWithMargins="0">
    <oddFooter>&amp;CPresa Angostura # 68 P.B., V¿Col. Irrigación, Alc. Miguel Hidalto, 11500 Cdmx.  Tel 2623-0503 al 05; 55-5520-1428; 55-8541-8042
&amp;F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B0C3-C90E-429D-9E02-7A67AFB79029}">
  <sheetPr>
    <pageSetUpPr fitToPage="1"/>
  </sheetPr>
  <dimension ref="B2:V983"/>
  <sheetViews>
    <sheetView topLeftCell="A11" zoomScale="85" zoomScaleNormal="85" zoomScaleSheetLayoutView="85" workbookViewId="0">
      <selection activeCell="E36" sqref="E36"/>
    </sheetView>
  </sheetViews>
  <sheetFormatPr defaultColWidth="14.42578125" defaultRowHeight="15" customHeight="1" x14ac:dyDescent="0.2"/>
  <cols>
    <col min="1" max="1" width="5.7109375" style="553" customWidth="1"/>
    <col min="2" max="2" width="9.42578125" style="553" customWidth="1"/>
    <col min="3" max="3" width="25.7109375" style="553" hidden="1" customWidth="1"/>
    <col min="4" max="4" width="14.28515625" style="553" customWidth="1"/>
    <col min="5" max="5" width="30.7109375" style="553" customWidth="1"/>
    <col min="6" max="6" width="22.42578125" style="553" customWidth="1"/>
    <col min="7" max="8" width="14.85546875" style="553" customWidth="1"/>
    <col min="9" max="10" width="13.7109375" style="553" customWidth="1"/>
    <col min="11" max="11" width="16.28515625" style="553" customWidth="1"/>
    <col min="12" max="12" width="10.42578125" style="553" customWidth="1"/>
    <col min="13" max="13" width="11.85546875" style="553" customWidth="1"/>
    <col min="14" max="14" width="11.85546875" style="553" hidden="1" customWidth="1"/>
    <col min="15" max="15" width="10.7109375" style="553" hidden="1" customWidth="1"/>
    <col min="16" max="16" width="14.7109375" style="553" bestFit="1" customWidth="1"/>
    <col min="17" max="17" width="20.7109375" style="553" customWidth="1"/>
    <col min="18" max="18" width="5.7109375" style="553" customWidth="1"/>
    <col min="19" max="21" width="13.28515625" style="553" customWidth="1"/>
    <col min="22" max="22" width="30.7109375" style="553" customWidth="1"/>
    <col min="23" max="16384" width="14.42578125" style="553"/>
  </cols>
  <sheetData>
    <row r="2" spans="2:6" ht="13.5" customHeight="1" x14ac:dyDescent="0.2">
      <c r="B2" s="556"/>
      <c r="C2" s="556"/>
      <c r="D2" s="557"/>
      <c r="E2" s="558"/>
      <c r="F2" s="303" t="s">
        <v>289</v>
      </c>
    </row>
    <row r="3" spans="2:6" ht="13.5" customHeight="1" x14ac:dyDescent="0.2">
      <c r="B3" s="556"/>
      <c r="C3" s="556"/>
      <c r="E3" s="559"/>
      <c r="F3" s="557"/>
    </row>
    <row r="4" spans="2:6" ht="13.5" customHeight="1" x14ac:dyDescent="0.25">
      <c r="B4" s="556"/>
      <c r="C4" s="556"/>
      <c r="E4" s="559"/>
      <c r="F4" s="560" t="s">
        <v>305</v>
      </c>
    </row>
    <row r="5" spans="2:6" ht="13.5" customHeight="1" x14ac:dyDescent="0.2">
      <c r="B5" s="556"/>
      <c r="C5" s="556"/>
      <c r="E5" s="559"/>
      <c r="F5" s="561" t="s">
        <v>304</v>
      </c>
    </row>
    <row r="6" spans="2:6" ht="13.5" customHeight="1" x14ac:dyDescent="0.2">
      <c r="B6" s="556"/>
      <c r="C6" s="556"/>
      <c r="E6" s="559"/>
      <c r="F6" s="561" t="s">
        <v>303</v>
      </c>
    </row>
    <row r="7" spans="2:6" ht="13.5" customHeight="1" x14ac:dyDescent="0.2">
      <c r="B7" s="556"/>
      <c r="C7" s="556"/>
      <c r="E7" s="559"/>
      <c r="F7" s="561" t="s">
        <v>302</v>
      </c>
    </row>
    <row r="8" spans="2:6" ht="13.5" customHeight="1" x14ac:dyDescent="0.2">
      <c r="B8" s="556"/>
      <c r="C8" s="556"/>
      <c r="E8" s="559"/>
      <c r="F8" s="561" t="s">
        <v>301</v>
      </c>
    </row>
    <row r="9" spans="2:6" ht="13.5" customHeight="1" x14ac:dyDescent="0.2">
      <c r="E9" s="559"/>
      <c r="F9" s="561" t="s">
        <v>300</v>
      </c>
    </row>
    <row r="10" spans="2:6" ht="13.5" customHeight="1" x14ac:dyDescent="0.25">
      <c r="B10" s="556"/>
      <c r="C10" s="556"/>
      <c r="D10" s="562"/>
      <c r="E10" s="559"/>
      <c r="F10" s="561" t="s">
        <v>299</v>
      </c>
    </row>
    <row r="11" spans="2:6" ht="13.5" customHeight="1" x14ac:dyDescent="0.25">
      <c r="B11" s="562"/>
      <c r="C11" s="562"/>
      <c r="D11" s="562"/>
      <c r="E11" s="559"/>
      <c r="F11" s="561"/>
    </row>
    <row r="12" spans="2:6" ht="13.5" customHeight="1" x14ac:dyDescent="0.25">
      <c r="B12" s="562" t="s">
        <v>306</v>
      </c>
      <c r="C12" s="562"/>
      <c r="D12" s="562"/>
      <c r="E12" s="559"/>
    </row>
    <row r="13" spans="2:6" ht="13.5" customHeight="1" x14ac:dyDescent="0.25">
      <c r="B13" s="563" t="s">
        <v>244</v>
      </c>
      <c r="C13" s="564"/>
      <c r="D13" s="562"/>
      <c r="E13" s="565"/>
      <c r="F13" s="553" t="s">
        <v>298</v>
      </c>
    </row>
    <row r="14" spans="2:6" ht="13.5" customHeight="1" x14ac:dyDescent="0.25">
      <c r="B14" s="566" t="s">
        <v>291</v>
      </c>
      <c r="C14" s="564"/>
      <c r="D14" s="562"/>
      <c r="E14" s="559"/>
    </row>
    <row r="15" spans="2:6" ht="13.5" customHeight="1" x14ac:dyDescent="0.2">
      <c r="B15" s="556"/>
      <c r="C15" s="556"/>
      <c r="D15" s="556"/>
      <c r="E15" s="559"/>
      <c r="F15" s="557"/>
    </row>
    <row r="16" spans="2:6" ht="13.5" customHeight="1" x14ac:dyDescent="0.25">
      <c r="B16" s="556" t="s">
        <v>308</v>
      </c>
      <c r="C16" s="556"/>
      <c r="D16" s="556"/>
      <c r="E16" s="567" t="s">
        <v>0</v>
      </c>
      <c r="F16" s="562" t="s">
        <v>11</v>
      </c>
    </row>
    <row r="17" spans="2:22" ht="13.5" customHeight="1" x14ac:dyDescent="0.25">
      <c r="B17" s="556"/>
      <c r="C17" s="556"/>
      <c r="D17" s="556"/>
      <c r="E17" s="567" t="s">
        <v>74</v>
      </c>
      <c r="F17" s="562" t="s">
        <v>75</v>
      </c>
      <c r="G17" s="561"/>
      <c r="J17" s="562"/>
      <c r="Q17" s="568"/>
      <c r="R17" s="568"/>
      <c r="S17" s="559"/>
    </row>
    <row r="18" spans="2:22" ht="13.5" customHeight="1" x14ac:dyDescent="0.25">
      <c r="B18" s="556"/>
      <c r="C18" s="556"/>
      <c r="D18" s="569"/>
      <c r="F18" s="562"/>
      <c r="G18" s="561"/>
      <c r="J18" s="562"/>
      <c r="M18" s="562"/>
      <c r="Q18" s="568"/>
      <c r="R18" s="568"/>
      <c r="S18" s="559"/>
    </row>
    <row r="19" spans="2:22" ht="13.5" customHeight="1" x14ac:dyDescent="0.25">
      <c r="B19" s="556"/>
      <c r="C19" s="556"/>
      <c r="D19" s="569"/>
      <c r="E19" s="567" t="s">
        <v>76</v>
      </c>
      <c r="F19" s="569" t="s">
        <v>77</v>
      </c>
      <c r="G19" s="561"/>
      <c r="J19" s="562"/>
      <c r="Q19" s="568"/>
      <c r="R19" s="568"/>
      <c r="S19" s="559"/>
    </row>
    <row r="20" spans="2:22" ht="13.5" customHeight="1" x14ac:dyDescent="0.25">
      <c r="B20" s="556"/>
      <c r="C20" s="556"/>
      <c r="D20" s="569"/>
      <c r="E20" s="567"/>
      <c r="F20" s="569" t="s">
        <v>78</v>
      </c>
      <c r="G20" s="561"/>
      <c r="J20" s="562"/>
      <c r="Q20" s="568"/>
      <c r="R20" s="568"/>
      <c r="S20" s="559"/>
    </row>
    <row r="21" spans="2:22" ht="13.5" customHeight="1" x14ac:dyDescent="0.25">
      <c r="B21" s="556"/>
      <c r="C21" s="556"/>
      <c r="D21" s="569"/>
      <c r="F21" s="569" t="s">
        <v>79</v>
      </c>
      <c r="K21" s="568"/>
      <c r="Q21" s="568"/>
      <c r="R21" s="568"/>
      <c r="S21" s="559"/>
    </row>
    <row r="22" spans="2:22" ht="13.5" customHeight="1" x14ac:dyDescent="0.25">
      <c r="B22" s="556"/>
      <c r="C22" s="556"/>
      <c r="D22" s="569"/>
      <c r="F22" s="569" t="s">
        <v>80</v>
      </c>
      <c r="J22" s="562"/>
      <c r="K22" s="570"/>
      <c r="Q22" s="568"/>
      <c r="R22" s="568"/>
      <c r="S22" s="559"/>
    </row>
    <row r="23" spans="2:22" ht="13.5" customHeight="1" x14ac:dyDescent="0.25">
      <c r="B23" s="556"/>
      <c r="C23" s="556"/>
      <c r="D23" s="569"/>
      <c r="F23" s="562"/>
      <c r="G23" s="561"/>
      <c r="K23" s="562"/>
      <c r="L23" s="570"/>
      <c r="S23" s="559"/>
    </row>
    <row r="24" spans="2:22" ht="13.5" customHeight="1" x14ac:dyDescent="0.25">
      <c r="B24" s="556"/>
      <c r="C24" s="556"/>
      <c r="D24" s="556"/>
      <c r="E24" s="568" t="s">
        <v>81</v>
      </c>
      <c r="F24" s="569" t="s">
        <v>82</v>
      </c>
      <c r="G24" s="561"/>
      <c r="H24" s="562"/>
      <c r="K24" s="562"/>
      <c r="L24" s="568"/>
      <c r="S24" s="559"/>
    </row>
    <row r="25" spans="2:22" ht="13.5" customHeight="1" x14ac:dyDescent="0.25">
      <c r="B25" s="556"/>
      <c r="C25" s="556"/>
      <c r="D25" s="556"/>
      <c r="E25" s="559"/>
      <c r="F25" s="569" t="s">
        <v>83</v>
      </c>
      <c r="K25" s="562"/>
      <c r="L25" s="568"/>
      <c r="M25" s="571"/>
      <c r="N25" s="567"/>
      <c r="Q25" s="572"/>
      <c r="S25" s="559"/>
    </row>
    <row r="26" spans="2:22" ht="13.5" customHeight="1" x14ac:dyDescent="0.25">
      <c r="B26" s="556"/>
      <c r="C26" s="556"/>
      <c r="D26" s="556"/>
      <c r="E26" s="559"/>
      <c r="F26" s="557"/>
      <c r="K26" s="562"/>
      <c r="L26" s="568"/>
      <c r="M26" s="571"/>
      <c r="N26" s="567"/>
      <c r="Q26" s="572"/>
      <c r="S26" s="559"/>
    </row>
    <row r="27" spans="2:22" ht="13.5" customHeight="1" thickBot="1" x14ac:dyDescent="0.3">
      <c r="B27" s="556"/>
      <c r="C27" s="556"/>
      <c r="D27" s="569"/>
      <c r="E27" s="559"/>
      <c r="F27" s="557"/>
      <c r="S27" s="559"/>
    </row>
    <row r="28" spans="2:22" ht="20.25" customHeight="1" thickTop="1" thickBot="1" x14ac:dyDescent="0.25">
      <c r="B28" s="643" t="s">
        <v>87</v>
      </c>
      <c r="C28" s="644"/>
      <c r="D28" s="645"/>
      <c r="E28" s="645"/>
      <c r="F28" s="645"/>
      <c r="G28" s="645"/>
      <c r="H28" s="645"/>
      <c r="I28" s="645"/>
      <c r="J28" s="645"/>
      <c r="K28" s="646"/>
      <c r="L28" s="643" t="str">
        <f>B12</f>
        <v>PEDIDO No. 317 C (PERFILES DE ALUMINIO Y PINTURA)</v>
      </c>
      <c r="M28" s="645"/>
      <c r="N28" s="645"/>
      <c r="O28" s="645"/>
      <c r="P28" s="645"/>
      <c r="Q28" s="646"/>
      <c r="S28" s="647" t="s">
        <v>137</v>
      </c>
      <c r="T28" s="648"/>
      <c r="U28" s="648"/>
      <c r="V28" s="649"/>
    </row>
    <row r="29" spans="2:22" ht="34.5" customHeight="1" thickTop="1" x14ac:dyDescent="0.2">
      <c r="B29" s="573" t="s">
        <v>88</v>
      </c>
      <c r="C29" s="574" t="s">
        <v>89</v>
      </c>
      <c r="D29" s="573" t="s">
        <v>90</v>
      </c>
      <c r="E29" s="573" t="s">
        <v>16</v>
      </c>
      <c r="F29" s="573" t="s">
        <v>91</v>
      </c>
      <c r="G29" s="573" t="s">
        <v>24</v>
      </c>
      <c r="H29" s="573" t="s">
        <v>92</v>
      </c>
      <c r="I29" s="573" t="s">
        <v>18</v>
      </c>
      <c r="J29" s="573" t="s">
        <v>19</v>
      </c>
      <c r="K29" s="575" t="s">
        <v>17</v>
      </c>
      <c r="L29" s="575" t="s">
        <v>93</v>
      </c>
      <c r="M29" s="575" t="s">
        <v>94</v>
      </c>
      <c r="N29" s="573" t="s">
        <v>26</v>
      </c>
      <c r="O29" s="573" t="s">
        <v>27</v>
      </c>
      <c r="P29" s="573" t="s">
        <v>297</v>
      </c>
      <c r="Q29" s="575" t="s">
        <v>95</v>
      </c>
      <c r="S29" s="576" t="s">
        <v>131</v>
      </c>
      <c r="T29" s="576" t="s">
        <v>130</v>
      </c>
      <c r="U29" s="576" t="s">
        <v>97</v>
      </c>
      <c r="V29" s="576" t="s">
        <v>23</v>
      </c>
    </row>
    <row r="30" spans="2:22" ht="80.099999999999994" customHeight="1" x14ac:dyDescent="0.2">
      <c r="B30" s="577">
        <v>1</v>
      </c>
      <c r="C30" s="578" t="s">
        <v>250</v>
      </c>
      <c r="D30" s="579" t="s">
        <v>296</v>
      </c>
      <c r="E30" s="580" t="s">
        <v>295</v>
      </c>
      <c r="F30" s="581"/>
      <c r="G30" s="582">
        <v>6.1</v>
      </c>
      <c r="H30" s="583" t="s">
        <v>5</v>
      </c>
      <c r="I30" s="584">
        <v>0</v>
      </c>
      <c r="J30" s="585">
        <v>0</v>
      </c>
      <c r="K30" s="581" t="s">
        <v>6</v>
      </c>
      <c r="L30" s="582">
        <v>32</v>
      </c>
      <c r="M30" s="586">
        <f>L30*G30</f>
        <v>195.2</v>
      </c>
      <c r="N30" s="587">
        <f>M30*I30</f>
        <v>0</v>
      </c>
      <c r="O30" s="587">
        <f>M30*J30</f>
        <v>0</v>
      </c>
      <c r="P30" s="588">
        <v>819.36</v>
      </c>
      <c r="Q30" s="589">
        <f>P30*L30</f>
        <v>26219.52</v>
      </c>
      <c r="S30" s="590" t="e">
        <f>+N30+#REF!+#REF!</f>
        <v>#REF!</v>
      </c>
      <c r="T30" s="591" t="e">
        <f>(500-$S30)</f>
        <v>#REF!</v>
      </c>
      <c r="U30" s="591" t="e">
        <f>$T30/#REF!/#REF!</f>
        <v>#REF!</v>
      </c>
      <c r="V30" s="554" t="s">
        <v>7</v>
      </c>
    </row>
    <row r="31" spans="2:22" ht="80.099999999999994" customHeight="1" x14ac:dyDescent="0.2">
      <c r="B31" s="577">
        <f>B30+1</f>
        <v>2</v>
      </c>
      <c r="C31" s="578"/>
      <c r="D31" s="579" t="s">
        <v>294</v>
      </c>
      <c r="E31" s="580" t="s">
        <v>293</v>
      </c>
      <c r="F31" s="583"/>
      <c r="G31" s="582">
        <v>6.1</v>
      </c>
      <c r="H31" s="583" t="s">
        <v>5</v>
      </c>
      <c r="I31" s="584">
        <v>0</v>
      </c>
      <c r="J31" s="585">
        <v>0</v>
      </c>
      <c r="K31" s="581" t="s">
        <v>6</v>
      </c>
      <c r="L31" s="582">
        <v>35</v>
      </c>
      <c r="M31" s="586">
        <f>L31*G31</f>
        <v>213.5</v>
      </c>
      <c r="N31" s="587">
        <f>M31*I31</f>
        <v>0</v>
      </c>
      <c r="O31" s="587">
        <f>M31*J31</f>
        <v>0</v>
      </c>
      <c r="P31" s="588">
        <v>1321.92</v>
      </c>
      <c r="Q31" s="589">
        <f>P31*L31</f>
        <v>46267.200000000004</v>
      </c>
      <c r="S31" s="590" t="e">
        <f>+N31+#REF!+#REF!</f>
        <v>#REF!</v>
      </c>
      <c r="T31" s="591" t="e">
        <f>(500-$S31)</f>
        <v>#REF!</v>
      </c>
      <c r="U31" s="591" t="e">
        <f>$T31/#REF!/#REF!</f>
        <v>#REF!</v>
      </c>
      <c r="V31" s="554" t="s">
        <v>7</v>
      </c>
    </row>
    <row r="32" spans="2:22" ht="13.5" customHeight="1" thickBot="1" x14ac:dyDescent="0.25">
      <c r="B32" s="592"/>
      <c r="C32" s="592"/>
      <c r="D32" s="592"/>
      <c r="E32" s="592"/>
      <c r="F32" s="593"/>
      <c r="G32" s="594"/>
      <c r="H32" s="592"/>
      <c r="I32" s="595"/>
      <c r="J32" s="596"/>
      <c r="K32" s="595"/>
      <c r="L32" s="597"/>
      <c r="M32" s="594"/>
      <c r="N32" s="598"/>
      <c r="O32" s="598"/>
      <c r="P32" s="598"/>
      <c r="Q32" s="598"/>
      <c r="S32" s="599"/>
      <c r="T32" s="600"/>
      <c r="U32" s="600"/>
      <c r="V32" s="555"/>
    </row>
    <row r="33" spans="2:19" ht="13.5" customHeight="1" thickTop="1" thickBot="1" x14ac:dyDescent="0.3">
      <c r="B33" s="559"/>
      <c r="C33" s="559"/>
      <c r="D33" s="601"/>
      <c r="E33" s="602"/>
      <c r="I33" s="603"/>
      <c r="J33" s="603"/>
      <c r="K33" s="604"/>
      <c r="L33" s="604"/>
      <c r="M33" s="604"/>
      <c r="N33" s="604"/>
      <c r="O33" s="605"/>
      <c r="P33" s="605"/>
      <c r="Q33" s="606"/>
      <c r="S33" s="559"/>
    </row>
    <row r="34" spans="2:19" ht="13.5" customHeight="1" thickBot="1" x14ac:dyDescent="0.3">
      <c r="B34" s="559"/>
      <c r="C34" s="559"/>
      <c r="D34" s="607"/>
      <c r="E34" s="608" t="s">
        <v>240</v>
      </c>
      <c r="I34" s="603"/>
      <c r="J34" s="609" t="s">
        <v>98</v>
      </c>
      <c r="K34" s="610"/>
      <c r="L34" s="611">
        <f>SUM(L30:L32)</f>
        <v>67</v>
      </c>
      <c r="M34" s="612">
        <f>SUM(M30:M32)</f>
        <v>408.7</v>
      </c>
      <c r="N34" s="612">
        <f>SUM(N30:N32)</f>
        <v>0</v>
      </c>
      <c r="O34" s="613">
        <f>SUM(O30:O32)</f>
        <v>0</v>
      </c>
      <c r="P34" s="614"/>
      <c r="Q34" s="615">
        <f>SUM(Q30:Q33)</f>
        <v>72486.720000000001</v>
      </c>
      <c r="S34" s="559"/>
    </row>
    <row r="35" spans="2:19" ht="13.5" customHeight="1" x14ac:dyDescent="0.2">
      <c r="B35" s="559"/>
      <c r="C35" s="559"/>
      <c r="D35" s="607"/>
      <c r="E35" s="628">
        <v>45973</v>
      </c>
      <c r="I35" s="616"/>
      <c r="J35" s="603"/>
      <c r="K35" s="604"/>
      <c r="L35" s="604"/>
      <c r="M35" s="604"/>
      <c r="N35" s="604"/>
      <c r="Q35" s="606"/>
      <c r="S35" s="559"/>
    </row>
    <row r="36" spans="2:19" ht="13.5" customHeight="1" x14ac:dyDescent="0.25">
      <c r="B36" s="559"/>
      <c r="C36" s="559"/>
      <c r="D36" s="607"/>
      <c r="E36" s="608"/>
      <c r="H36" s="562"/>
      <c r="I36" s="617"/>
      <c r="J36" s="568"/>
      <c r="K36" s="617"/>
      <c r="L36" s="568"/>
      <c r="M36" s="568"/>
      <c r="N36" s="568"/>
      <c r="O36" s="567"/>
      <c r="P36" s="618" t="s">
        <v>95</v>
      </c>
      <c r="Q36" s="619">
        <f>SUM(Q34)</f>
        <v>72486.720000000001</v>
      </c>
      <c r="S36" s="559"/>
    </row>
    <row r="37" spans="2:19" ht="13.5" customHeight="1" x14ac:dyDescent="0.25">
      <c r="B37" s="559"/>
      <c r="C37" s="559"/>
      <c r="D37" s="607"/>
      <c r="E37" s="608"/>
      <c r="H37" s="620"/>
      <c r="I37" s="621" t="s">
        <v>57</v>
      </c>
      <c r="J37" s="568"/>
      <c r="K37" s="617"/>
      <c r="L37" s="568"/>
      <c r="M37" s="568"/>
      <c r="N37" s="568"/>
      <c r="O37" s="622"/>
      <c r="P37" s="618" t="s">
        <v>307</v>
      </c>
      <c r="Q37" s="627">
        <v>5690.2</v>
      </c>
      <c r="S37" s="559"/>
    </row>
    <row r="38" spans="2:19" ht="13.5" customHeight="1" x14ac:dyDescent="0.25">
      <c r="B38" s="559"/>
      <c r="C38" s="559"/>
      <c r="D38" s="607"/>
      <c r="E38" s="608"/>
      <c r="H38" s="620"/>
      <c r="I38" s="623" t="s">
        <v>292</v>
      </c>
      <c r="J38" s="617"/>
      <c r="K38" s="617"/>
      <c r="L38" s="568"/>
      <c r="M38" s="568"/>
      <c r="N38" s="568"/>
      <c r="O38" s="622"/>
      <c r="P38" s="618" t="s">
        <v>278</v>
      </c>
      <c r="Q38" s="627">
        <f>+Q36-Q37</f>
        <v>66796.52</v>
      </c>
      <c r="S38" s="559"/>
    </row>
    <row r="39" spans="2:19" ht="13.5" customHeight="1" x14ac:dyDescent="0.25">
      <c r="B39" s="559"/>
      <c r="C39" s="559"/>
      <c r="D39" s="607"/>
      <c r="E39" s="608"/>
      <c r="H39" s="620"/>
      <c r="I39" s="559" t="s">
        <v>8</v>
      </c>
      <c r="K39" s="617"/>
      <c r="L39" s="568"/>
      <c r="M39" s="568"/>
      <c r="N39" s="568"/>
      <c r="O39" s="567"/>
      <c r="P39" s="618" t="s">
        <v>279</v>
      </c>
      <c r="Q39" s="619">
        <f>+Q38*0.16</f>
        <v>10687.443200000002</v>
      </c>
      <c r="R39" s="624"/>
      <c r="S39" s="559"/>
    </row>
    <row r="40" spans="2:19" ht="13.5" customHeight="1" x14ac:dyDescent="0.25">
      <c r="B40" s="559"/>
      <c r="C40" s="559"/>
      <c r="D40" s="607"/>
      <c r="E40" s="608"/>
      <c r="H40" s="620"/>
      <c r="I40" s="621" t="s">
        <v>9</v>
      </c>
      <c r="K40" s="617"/>
      <c r="L40" s="568"/>
      <c r="M40" s="568"/>
      <c r="N40" s="568"/>
      <c r="O40" s="622"/>
      <c r="P40" s="618" t="s">
        <v>7</v>
      </c>
      <c r="Q40" s="619">
        <f>+Q38+Q39</f>
        <v>77483.963199999998</v>
      </c>
      <c r="R40" s="572"/>
      <c r="S40" s="559"/>
    </row>
    <row r="41" spans="2:19" ht="13.5" customHeight="1" x14ac:dyDescent="0.25">
      <c r="B41" s="559"/>
      <c r="C41" s="559"/>
      <c r="D41" s="607"/>
      <c r="E41" s="608"/>
      <c r="I41" s="603" t="s">
        <v>10</v>
      </c>
      <c r="J41" s="562"/>
      <c r="L41" s="568"/>
      <c r="M41" s="568"/>
      <c r="N41" s="568"/>
      <c r="Q41" s="568"/>
      <c r="R41" s="568"/>
      <c r="S41" s="559"/>
    </row>
    <row r="42" spans="2:19" ht="13.5" customHeight="1" x14ac:dyDescent="0.25">
      <c r="B42" s="559"/>
      <c r="C42" s="559"/>
      <c r="D42" s="607"/>
      <c r="E42" s="608"/>
      <c r="I42" s="603"/>
      <c r="J42" s="562"/>
      <c r="L42" s="568"/>
      <c r="M42" s="568"/>
      <c r="N42" s="568"/>
      <c r="Q42" s="568"/>
      <c r="R42" s="568"/>
      <c r="S42" s="559"/>
    </row>
    <row r="43" spans="2:19" ht="15.75" customHeight="1" x14ac:dyDescent="0.2">
      <c r="B43" s="559"/>
      <c r="C43" s="559"/>
      <c r="D43" s="607"/>
      <c r="E43" s="608"/>
    </row>
    <row r="44" spans="2:19" ht="15.75" customHeight="1" x14ac:dyDescent="0.2">
      <c r="B44" s="559"/>
      <c r="C44" s="559"/>
      <c r="D44" s="607"/>
      <c r="E44" s="608"/>
    </row>
    <row r="45" spans="2:19" ht="15.75" customHeight="1" x14ac:dyDescent="0.2">
      <c r="B45" s="559"/>
      <c r="C45" s="559"/>
      <c r="D45" s="607"/>
      <c r="E45" s="608"/>
    </row>
    <row r="46" spans="2:19" ht="15.75" customHeight="1" x14ac:dyDescent="0.2">
      <c r="B46" s="559"/>
      <c r="C46" s="559"/>
      <c r="D46" s="607"/>
      <c r="E46" s="608"/>
    </row>
    <row r="47" spans="2:19" ht="15.75" customHeight="1" x14ac:dyDescent="0.2">
      <c r="B47" s="559"/>
      <c r="C47" s="559"/>
      <c r="D47" s="607"/>
      <c r="E47" s="608"/>
    </row>
    <row r="48" spans="2:19" ht="15.75" customHeight="1" x14ac:dyDescent="0.2">
      <c r="B48" s="559"/>
      <c r="C48" s="559"/>
      <c r="D48" s="607"/>
      <c r="E48" s="608"/>
    </row>
    <row r="49" spans="2:5" ht="15.75" customHeight="1" x14ac:dyDescent="0.2">
      <c r="B49" s="559"/>
      <c r="C49" s="559"/>
      <c r="D49" s="607"/>
      <c r="E49" s="608"/>
    </row>
    <row r="50" spans="2:5" ht="15.75" customHeight="1" x14ac:dyDescent="0.2">
      <c r="B50" s="559"/>
      <c r="C50" s="559"/>
      <c r="D50" s="607"/>
      <c r="E50" s="608"/>
    </row>
    <row r="51" spans="2:5" ht="15.75" customHeight="1" x14ac:dyDescent="0.2">
      <c r="B51" s="559"/>
      <c r="C51" s="559"/>
      <c r="D51" s="607"/>
      <c r="E51" s="608"/>
    </row>
    <row r="52" spans="2:5" ht="15.75" customHeight="1" x14ac:dyDescent="0.2">
      <c r="B52" s="559"/>
      <c r="C52" s="559"/>
      <c r="D52" s="607"/>
      <c r="E52" s="608"/>
    </row>
    <row r="53" spans="2:5" ht="15.75" customHeight="1" x14ac:dyDescent="0.2">
      <c r="B53" s="559"/>
      <c r="C53" s="559"/>
      <c r="D53" s="607"/>
      <c r="E53" s="608"/>
    </row>
    <row r="54" spans="2:5" ht="15.75" customHeight="1" x14ac:dyDescent="0.2">
      <c r="B54" s="559"/>
      <c r="C54" s="559"/>
      <c r="D54" s="607"/>
      <c r="E54" s="608"/>
    </row>
    <row r="55" spans="2:5" ht="15.75" customHeight="1" x14ac:dyDescent="0.2">
      <c r="B55" s="559"/>
      <c r="C55" s="559"/>
      <c r="D55" s="607"/>
      <c r="E55" s="608"/>
    </row>
    <row r="56" spans="2:5" ht="15.75" customHeight="1" x14ac:dyDescent="0.2"/>
    <row r="57" spans="2:5" ht="15.75" customHeight="1" x14ac:dyDescent="0.2"/>
    <row r="58" spans="2:5" ht="15.75" customHeight="1" x14ac:dyDescent="0.2"/>
    <row r="59" spans="2:5" ht="15.75" customHeight="1" x14ac:dyDescent="0.2"/>
    <row r="60" spans="2:5" ht="15.75" customHeight="1" x14ac:dyDescent="0.2"/>
    <row r="61" spans="2:5" ht="15.75" customHeight="1" x14ac:dyDescent="0.2"/>
    <row r="62" spans="2:5" ht="15.75" customHeight="1" x14ac:dyDescent="0.2"/>
    <row r="63" spans="2:5" ht="15.75" customHeight="1" x14ac:dyDescent="0.2"/>
    <row r="64" spans="2:5" ht="15.75" customHeight="1" x14ac:dyDescent="0.2"/>
    <row r="65" s="553" customFormat="1" ht="15.75" customHeight="1" x14ac:dyDescent="0.2"/>
    <row r="66" s="553" customFormat="1" ht="15.75" customHeight="1" x14ac:dyDescent="0.2"/>
    <row r="67" s="553" customFormat="1" ht="15.75" customHeight="1" x14ac:dyDescent="0.2"/>
    <row r="68" s="553" customFormat="1" ht="15.75" customHeight="1" x14ac:dyDescent="0.2"/>
    <row r="69" s="553" customFormat="1" ht="15.75" customHeight="1" x14ac:dyDescent="0.2"/>
    <row r="70" s="553" customFormat="1" ht="15.75" customHeight="1" x14ac:dyDescent="0.2"/>
    <row r="71" s="553" customFormat="1" ht="15.75" customHeight="1" x14ac:dyDescent="0.2"/>
    <row r="72" s="553" customFormat="1" ht="15.75" customHeight="1" x14ac:dyDescent="0.2"/>
    <row r="73" s="553" customFormat="1" ht="15.75" customHeight="1" x14ac:dyDescent="0.2"/>
    <row r="74" s="553" customFormat="1" ht="15.75" customHeight="1" x14ac:dyDescent="0.2"/>
    <row r="75" s="553" customFormat="1" ht="15.75" customHeight="1" x14ac:dyDescent="0.2"/>
    <row r="76" s="553" customFormat="1" ht="15.75" customHeight="1" x14ac:dyDescent="0.2"/>
    <row r="77" s="553" customFormat="1" ht="15.75" customHeight="1" x14ac:dyDescent="0.2"/>
    <row r="78" s="553" customFormat="1" ht="15.75" customHeight="1" x14ac:dyDescent="0.2"/>
    <row r="79" s="553" customFormat="1" ht="15.75" customHeight="1" x14ac:dyDescent="0.2"/>
    <row r="80" s="553" customFormat="1" ht="15.75" customHeight="1" x14ac:dyDescent="0.2"/>
    <row r="81" s="553" customFormat="1" ht="15.75" customHeight="1" x14ac:dyDescent="0.2"/>
    <row r="82" s="553" customFormat="1" ht="15.75" customHeight="1" x14ac:dyDescent="0.2"/>
    <row r="83" s="553" customFormat="1" ht="15.75" customHeight="1" x14ac:dyDescent="0.2"/>
    <row r="84" s="553" customFormat="1" ht="15.75" customHeight="1" x14ac:dyDescent="0.2"/>
    <row r="85" s="553" customFormat="1" ht="15.75" customHeight="1" x14ac:dyDescent="0.2"/>
    <row r="86" s="553" customFormat="1" ht="15.75" customHeight="1" x14ac:dyDescent="0.2"/>
    <row r="87" s="553" customFormat="1" ht="15.75" customHeight="1" x14ac:dyDescent="0.2"/>
    <row r="88" s="553" customFormat="1" ht="15.75" customHeight="1" x14ac:dyDescent="0.2"/>
    <row r="89" s="553" customFormat="1" ht="15.75" customHeight="1" x14ac:dyDescent="0.2"/>
    <row r="90" s="553" customFormat="1" ht="15.75" customHeight="1" x14ac:dyDescent="0.2"/>
    <row r="91" s="553" customFormat="1" ht="15.75" customHeight="1" x14ac:dyDescent="0.2"/>
    <row r="92" s="553" customFormat="1" ht="15.75" customHeight="1" x14ac:dyDescent="0.2"/>
    <row r="93" s="553" customFormat="1" ht="15.75" customHeight="1" x14ac:dyDescent="0.2"/>
    <row r="94" s="553" customFormat="1" ht="15.75" customHeight="1" x14ac:dyDescent="0.2"/>
    <row r="95" s="553" customFormat="1" ht="15.75" customHeight="1" x14ac:dyDescent="0.2"/>
    <row r="96" s="553" customFormat="1" ht="15.75" customHeight="1" x14ac:dyDescent="0.2"/>
    <row r="97" s="553" customFormat="1" ht="15.75" customHeight="1" x14ac:dyDescent="0.2"/>
    <row r="98" s="553" customFormat="1" ht="15.75" customHeight="1" x14ac:dyDescent="0.2"/>
    <row r="99" s="553" customFormat="1" ht="15.75" customHeight="1" x14ac:dyDescent="0.2"/>
    <row r="100" s="553" customFormat="1" ht="15.75" customHeight="1" x14ac:dyDescent="0.2"/>
    <row r="101" s="553" customFormat="1" ht="15.75" customHeight="1" x14ac:dyDescent="0.2"/>
    <row r="102" s="553" customFormat="1" ht="15.75" customHeight="1" x14ac:dyDescent="0.2"/>
    <row r="103" s="553" customFormat="1" ht="15.75" customHeight="1" x14ac:dyDescent="0.2"/>
    <row r="104" s="553" customFormat="1" ht="15.75" customHeight="1" x14ac:dyDescent="0.2"/>
    <row r="105" s="553" customFormat="1" ht="15.75" customHeight="1" x14ac:dyDescent="0.2"/>
    <row r="106" s="553" customFormat="1" ht="15.75" customHeight="1" x14ac:dyDescent="0.2"/>
    <row r="107" s="553" customFormat="1" ht="15.75" customHeight="1" x14ac:dyDescent="0.2"/>
    <row r="108" s="553" customFormat="1" ht="15.75" customHeight="1" x14ac:dyDescent="0.2"/>
    <row r="109" s="553" customFormat="1" ht="15.75" customHeight="1" x14ac:dyDescent="0.2"/>
    <row r="110" s="553" customFormat="1" ht="15.75" customHeight="1" x14ac:dyDescent="0.2"/>
    <row r="111" s="553" customFormat="1" ht="15.75" customHeight="1" x14ac:dyDescent="0.2"/>
    <row r="112" s="553" customFormat="1" ht="15.75" customHeight="1" x14ac:dyDescent="0.2"/>
    <row r="113" s="553" customFormat="1" ht="15.75" customHeight="1" x14ac:dyDescent="0.2"/>
    <row r="114" s="553" customFormat="1" ht="15.75" customHeight="1" x14ac:dyDescent="0.2"/>
    <row r="115" s="553" customFormat="1" ht="15.75" customHeight="1" x14ac:dyDescent="0.2"/>
    <row r="116" s="553" customFormat="1" ht="15.75" customHeight="1" x14ac:dyDescent="0.2"/>
    <row r="117" s="553" customFormat="1" ht="15.75" customHeight="1" x14ac:dyDescent="0.2"/>
    <row r="118" s="553" customFormat="1" ht="15.75" customHeight="1" x14ac:dyDescent="0.2"/>
    <row r="119" s="553" customFormat="1" ht="15.75" customHeight="1" x14ac:dyDescent="0.2"/>
    <row r="120" s="553" customFormat="1" ht="15.75" customHeight="1" x14ac:dyDescent="0.2"/>
    <row r="121" s="553" customFormat="1" ht="15.75" customHeight="1" x14ac:dyDescent="0.2"/>
    <row r="122" s="553" customFormat="1" ht="15.75" customHeight="1" x14ac:dyDescent="0.2"/>
    <row r="123" s="553" customFormat="1" ht="15.75" customHeight="1" x14ac:dyDescent="0.2"/>
    <row r="124" s="553" customFormat="1" ht="15.75" customHeight="1" x14ac:dyDescent="0.2"/>
    <row r="125" s="553" customFormat="1" ht="15.75" customHeight="1" x14ac:dyDescent="0.2"/>
    <row r="126" s="553" customFormat="1" ht="15.75" customHeight="1" x14ac:dyDescent="0.2"/>
    <row r="127" s="553" customFormat="1" ht="15.75" customHeight="1" x14ac:dyDescent="0.2"/>
    <row r="128" s="553" customFormat="1" ht="15.75" customHeight="1" x14ac:dyDescent="0.2"/>
    <row r="129" s="553" customFormat="1" ht="15.75" customHeight="1" x14ac:dyDescent="0.2"/>
    <row r="130" s="553" customFormat="1" ht="15.75" customHeight="1" x14ac:dyDescent="0.2"/>
    <row r="131" s="553" customFormat="1" ht="15.75" customHeight="1" x14ac:dyDescent="0.2"/>
    <row r="132" s="553" customFormat="1" ht="15.75" customHeight="1" x14ac:dyDescent="0.2"/>
    <row r="133" s="553" customFormat="1" ht="15.75" customHeight="1" x14ac:dyDescent="0.2"/>
    <row r="134" s="553" customFormat="1" ht="15.75" customHeight="1" x14ac:dyDescent="0.2"/>
    <row r="135" s="553" customFormat="1" ht="15.75" customHeight="1" x14ac:dyDescent="0.2"/>
    <row r="136" s="553" customFormat="1" ht="15.75" customHeight="1" x14ac:dyDescent="0.2"/>
    <row r="137" s="553" customFormat="1" ht="15.75" customHeight="1" x14ac:dyDescent="0.2"/>
    <row r="138" s="553" customFormat="1" ht="15.75" customHeight="1" x14ac:dyDescent="0.2"/>
    <row r="139" s="553" customFormat="1" ht="15.75" customHeight="1" x14ac:dyDescent="0.2"/>
    <row r="140" s="553" customFormat="1" ht="15.75" customHeight="1" x14ac:dyDescent="0.2"/>
    <row r="141" s="553" customFormat="1" ht="15.75" customHeight="1" x14ac:dyDescent="0.2"/>
    <row r="142" s="553" customFormat="1" ht="15.75" customHeight="1" x14ac:dyDescent="0.2"/>
    <row r="143" s="553" customFormat="1" ht="15.75" customHeight="1" x14ac:dyDescent="0.2"/>
    <row r="144" s="553" customFormat="1" ht="15.75" customHeight="1" x14ac:dyDescent="0.2"/>
    <row r="145" s="553" customFormat="1" ht="15.75" customHeight="1" x14ac:dyDescent="0.2"/>
    <row r="146" s="553" customFormat="1" ht="15.75" customHeight="1" x14ac:dyDescent="0.2"/>
    <row r="147" s="553" customFormat="1" ht="15.75" customHeight="1" x14ac:dyDescent="0.2"/>
    <row r="148" s="553" customFormat="1" ht="15.75" customHeight="1" x14ac:dyDescent="0.2"/>
    <row r="149" s="553" customFormat="1" ht="15.75" customHeight="1" x14ac:dyDescent="0.2"/>
    <row r="150" s="553" customFormat="1" ht="15.75" customHeight="1" x14ac:dyDescent="0.2"/>
    <row r="151" s="553" customFormat="1" ht="15.75" customHeight="1" x14ac:dyDescent="0.2"/>
    <row r="152" s="553" customFormat="1" ht="15.75" customHeight="1" x14ac:dyDescent="0.2"/>
    <row r="153" s="553" customFormat="1" ht="15.75" customHeight="1" x14ac:dyDescent="0.2"/>
    <row r="154" s="553" customFormat="1" ht="15.75" customHeight="1" x14ac:dyDescent="0.2"/>
    <row r="155" s="553" customFormat="1" ht="15.75" customHeight="1" x14ac:dyDescent="0.2"/>
    <row r="156" s="553" customFormat="1" ht="15.75" customHeight="1" x14ac:dyDescent="0.2"/>
    <row r="157" s="553" customFormat="1" ht="15.75" customHeight="1" x14ac:dyDescent="0.2"/>
    <row r="158" s="553" customFormat="1" ht="15.75" customHeight="1" x14ac:dyDescent="0.2"/>
    <row r="159" s="553" customFormat="1" ht="15.75" customHeight="1" x14ac:dyDescent="0.2"/>
    <row r="160" s="553" customFormat="1" ht="15.75" customHeight="1" x14ac:dyDescent="0.2"/>
    <row r="161" s="553" customFormat="1" ht="15.75" customHeight="1" x14ac:dyDescent="0.2"/>
    <row r="162" s="553" customFormat="1" ht="15.75" customHeight="1" x14ac:dyDescent="0.2"/>
    <row r="163" s="553" customFormat="1" ht="15.75" customHeight="1" x14ac:dyDescent="0.2"/>
    <row r="164" s="553" customFormat="1" ht="15.75" customHeight="1" x14ac:dyDescent="0.2"/>
    <row r="165" s="553" customFormat="1" ht="15.75" customHeight="1" x14ac:dyDescent="0.2"/>
    <row r="166" s="553" customFormat="1" ht="15.75" customHeight="1" x14ac:dyDescent="0.2"/>
    <row r="167" s="553" customFormat="1" ht="15.75" customHeight="1" x14ac:dyDescent="0.2"/>
    <row r="168" s="553" customFormat="1" ht="15.75" customHeight="1" x14ac:dyDescent="0.2"/>
    <row r="169" s="553" customFormat="1" ht="15.75" customHeight="1" x14ac:dyDescent="0.2"/>
    <row r="170" s="553" customFormat="1" ht="15.75" customHeight="1" x14ac:dyDescent="0.2"/>
    <row r="171" s="553" customFormat="1" ht="15.75" customHeight="1" x14ac:dyDescent="0.2"/>
    <row r="172" s="553" customFormat="1" ht="15.75" customHeight="1" x14ac:dyDescent="0.2"/>
    <row r="173" s="553" customFormat="1" ht="15.75" customHeight="1" x14ac:dyDescent="0.2"/>
    <row r="174" s="553" customFormat="1" ht="15.75" customHeight="1" x14ac:dyDescent="0.2"/>
    <row r="175" s="553" customFormat="1" ht="15.75" customHeight="1" x14ac:dyDescent="0.2"/>
    <row r="176" s="553" customFormat="1" ht="15.75" customHeight="1" x14ac:dyDescent="0.2"/>
    <row r="177" s="553" customFormat="1" ht="15.75" customHeight="1" x14ac:dyDescent="0.2"/>
    <row r="178" s="553" customFormat="1" ht="15.75" customHeight="1" x14ac:dyDescent="0.2"/>
    <row r="179" s="553" customFormat="1" ht="15.75" customHeight="1" x14ac:dyDescent="0.2"/>
    <row r="180" s="553" customFormat="1" ht="15.75" customHeight="1" x14ac:dyDescent="0.2"/>
    <row r="181" s="553" customFormat="1" ht="15.75" customHeight="1" x14ac:dyDescent="0.2"/>
    <row r="182" s="553" customFormat="1" ht="15.75" customHeight="1" x14ac:dyDescent="0.2"/>
    <row r="183" s="553" customFormat="1" ht="15.75" customHeight="1" x14ac:dyDescent="0.2"/>
    <row r="184" s="553" customFormat="1" ht="15.75" customHeight="1" x14ac:dyDescent="0.2"/>
    <row r="185" s="553" customFormat="1" ht="15.75" customHeight="1" x14ac:dyDescent="0.2"/>
    <row r="186" s="553" customFormat="1" ht="15.75" customHeight="1" x14ac:dyDescent="0.2"/>
    <row r="187" s="553" customFormat="1" ht="15.75" customHeight="1" x14ac:dyDescent="0.2"/>
    <row r="188" s="553" customFormat="1" ht="15.75" customHeight="1" x14ac:dyDescent="0.2"/>
    <row r="189" s="553" customFormat="1" ht="15.75" customHeight="1" x14ac:dyDescent="0.2"/>
    <row r="190" s="553" customFormat="1" ht="15.75" customHeight="1" x14ac:dyDescent="0.2"/>
    <row r="191" s="553" customFormat="1" ht="15.75" customHeight="1" x14ac:dyDescent="0.2"/>
    <row r="192" s="553" customFormat="1" ht="15.75" customHeight="1" x14ac:dyDescent="0.2"/>
    <row r="193" s="553" customFormat="1" ht="15.75" customHeight="1" x14ac:dyDescent="0.2"/>
    <row r="194" s="553" customFormat="1" ht="15.75" customHeight="1" x14ac:dyDescent="0.2"/>
    <row r="195" s="553" customFormat="1" ht="15.75" customHeight="1" x14ac:dyDescent="0.2"/>
    <row r="196" s="553" customFormat="1" ht="15.75" customHeight="1" x14ac:dyDescent="0.2"/>
    <row r="197" s="553" customFormat="1" ht="15.75" customHeight="1" x14ac:dyDescent="0.2"/>
    <row r="198" s="553" customFormat="1" ht="15.75" customHeight="1" x14ac:dyDescent="0.2"/>
    <row r="199" s="553" customFormat="1" ht="15.75" customHeight="1" x14ac:dyDescent="0.2"/>
    <row r="200" s="553" customFormat="1" ht="15.75" customHeight="1" x14ac:dyDescent="0.2"/>
    <row r="201" s="553" customFormat="1" ht="15.75" customHeight="1" x14ac:dyDescent="0.2"/>
    <row r="202" s="553" customFormat="1" ht="15.75" customHeight="1" x14ac:dyDescent="0.2"/>
    <row r="203" s="553" customFormat="1" ht="15.75" customHeight="1" x14ac:dyDescent="0.2"/>
    <row r="204" s="553" customFormat="1" ht="15.75" customHeight="1" x14ac:dyDescent="0.2"/>
    <row r="205" s="553" customFormat="1" ht="15.75" customHeight="1" x14ac:dyDescent="0.2"/>
    <row r="206" s="553" customFormat="1" ht="15.75" customHeight="1" x14ac:dyDescent="0.2"/>
    <row r="207" s="553" customFormat="1" ht="15.75" customHeight="1" x14ac:dyDescent="0.2"/>
    <row r="208" s="553" customFormat="1" ht="15.75" customHeight="1" x14ac:dyDescent="0.2"/>
    <row r="209" s="553" customFormat="1" ht="15.75" customHeight="1" x14ac:dyDescent="0.2"/>
    <row r="210" s="553" customFormat="1" ht="15.75" customHeight="1" x14ac:dyDescent="0.2"/>
    <row r="211" s="553" customFormat="1" ht="15.75" customHeight="1" x14ac:dyDescent="0.2"/>
    <row r="212" s="553" customFormat="1" ht="15.75" customHeight="1" x14ac:dyDescent="0.2"/>
    <row r="213" s="553" customFormat="1" ht="15.75" customHeight="1" x14ac:dyDescent="0.2"/>
    <row r="214" s="553" customFormat="1" ht="15.75" customHeight="1" x14ac:dyDescent="0.2"/>
    <row r="215" s="553" customFormat="1" ht="15.75" customHeight="1" x14ac:dyDescent="0.2"/>
    <row r="216" s="553" customFormat="1" ht="15.75" customHeight="1" x14ac:dyDescent="0.2"/>
    <row r="217" s="553" customFormat="1" ht="15.75" customHeight="1" x14ac:dyDescent="0.2"/>
    <row r="218" s="553" customFormat="1" ht="15.75" customHeight="1" x14ac:dyDescent="0.2"/>
    <row r="219" s="553" customFormat="1" ht="15.75" customHeight="1" x14ac:dyDescent="0.2"/>
    <row r="220" s="553" customFormat="1" ht="15.75" customHeight="1" x14ac:dyDescent="0.2"/>
    <row r="221" s="553" customFormat="1" ht="15.75" customHeight="1" x14ac:dyDescent="0.2"/>
    <row r="222" s="553" customFormat="1" ht="15.75" customHeight="1" x14ac:dyDescent="0.2"/>
    <row r="223" s="553" customFormat="1" ht="15.75" customHeight="1" x14ac:dyDescent="0.2"/>
    <row r="224" s="553" customFormat="1" ht="15.75" customHeight="1" x14ac:dyDescent="0.2"/>
    <row r="225" s="553" customFormat="1" ht="15.75" customHeight="1" x14ac:dyDescent="0.2"/>
    <row r="226" s="553" customFormat="1" ht="15.75" customHeight="1" x14ac:dyDescent="0.2"/>
    <row r="227" s="553" customFormat="1" ht="15.75" customHeight="1" x14ac:dyDescent="0.2"/>
    <row r="228" s="553" customFormat="1" ht="15.75" customHeight="1" x14ac:dyDescent="0.2"/>
    <row r="229" s="553" customFormat="1" ht="15.75" customHeight="1" x14ac:dyDescent="0.2"/>
    <row r="230" s="553" customFormat="1" ht="15.75" customHeight="1" x14ac:dyDescent="0.2"/>
    <row r="231" s="553" customFormat="1" ht="15.75" customHeight="1" x14ac:dyDescent="0.2"/>
    <row r="232" s="553" customFormat="1" ht="15.75" customHeight="1" x14ac:dyDescent="0.2"/>
    <row r="233" s="553" customFormat="1" ht="15.75" customHeight="1" x14ac:dyDescent="0.2"/>
    <row r="234" s="553" customFormat="1" ht="15.75" customHeight="1" x14ac:dyDescent="0.2"/>
    <row r="235" s="553" customFormat="1" ht="15.75" customHeight="1" x14ac:dyDescent="0.2"/>
    <row r="236" s="553" customFormat="1" ht="15.75" customHeight="1" x14ac:dyDescent="0.2"/>
    <row r="237" s="553" customFormat="1" ht="15.75" customHeight="1" x14ac:dyDescent="0.2"/>
    <row r="238" s="553" customFormat="1" ht="15.75" customHeight="1" x14ac:dyDescent="0.2"/>
    <row r="239" s="553" customFormat="1" ht="15.75" customHeight="1" x14ac:dyDescent="0.2"/>
    <row r="240" s="553" customFormat="1" ht="15.75" customHeight="1" x14ac:dyDescent="0.2"/>
    <row r="241" s="553" customFormat="1" ht="15.75" customHeight="1" x14ac:dyDescent="0.2"/>
    <row r="242" s="553" customFormat="1" ht="15.75" customHeight="1" x14ac:dyDescent="0.2"/>
    <row r="243" s="553" customFormat="1" ht="15.75" customHeight="1" x14ac:dyDescent="0.2"/>
    <row r="244" s="553" customFormat="1" ht="15.75" customHeight="1" x14ac:dyDescent="0.2"/>
    <row r="245" s="553" customFormat="1" ht="15.75" customHeight="1" x14ac:dyDescent="0.2"/>
    <row r="246" s="553" customFormat="1" ht="15.75" customHeight="1" x14ac:dyDescent="0.2"/>
    <row r="247" s="553" customFormat="1" ht="15.75" customHeight="1" x14ac:dyDescent="0.2"/>
    <row r="248" s="553" customFormat="1" ht="15.75" customHeight="1" x14ac:dyDescent="0.2"/>
    <row r="249" s="553" customFormat="1" ht="15.75" customHeight="1" x14ac:dyDescent="0.2"/>
    <row r="250" s="553" customFormat="1" ht="15.75" customHeight="1" x14ac:dyDescent="0.2"/>
    <row r="251" s="553" customFormat="1" ht="15.75" customHeight="1" x14ac:dyDescent="0.2"/>
    <row r="252" s="553" customFormat="1" ht="15.75" customHeight="1" x14ac:dyDescent="0.2"/>
    <row r="253" s="553" customFormat="1" ht="15.75" customHeight="1" x14ac:dyDescent="0.2"/>
    <row r="254" s="553" customFormat="1" ht="15.75" customHeight="1" x14ac:dyDescent="0.2"/>
    <row r="255" s="553" customFormat="1" ht="15.75" customHeight="1" x14ac:dyDescent="0.2"/>
    <row r="256" s="553" customFormat="1" ht="15.75" customHeight="1" x14ac:dyDescent="0.2"/>
    <row r="257" s="553" customFormat="1" ht="15.75" customHeight="1" x14ac:dyDescent="0.2"/>
    <row r="258" s="553" customFormat="1" ht="15.75" customHeight="1" x14ac:dyDescent="0.2"/>
    <row r="259" s="553" customFormat="1" ht="15.75" customHeight="1" x14ac:dyDescent="0.2"/>
    <row r="260" s="553" customFormat="1" ht="15.75" customHeight="1" x14ac:dyDescent="0.2"/>
    <row r="261" s="553" customFormat="1" ht="15.75" customHeight="1" x14ac:dyDescent="0.2"/>
    <row r="262" s="553" customFormat="1" ht="15.75" customHeight="1" x14ac:dyDescent="0.2"/>
    <row r="263" s="553" customFormat="1" ht="15.75" customHeight="1" x14ac:dyDescent="0.2"/>
    <row r="264" s="553" customFormat="1" ht="15.75" customHeight="1" x14ac:dyDescent="0.2"/>
    <row r="265" s="553" customFormat="1" ht="15.75" customHeight="1" x14ac:dyDescent="0.2"/>
    <row r="266" s="553" customFormat="1" ht="15.75" customHeight="1" x14ac:dyDescent="0.2"/>
    <row r="267" s="553" customFormat="1" ht="15.75" customHeight="1" x14ac:dyDescent="0.2"/>
    <row r="268" s="553" customFormat="1" ht="15.75" customHeight="1" x14ac:dyDescent="0.2"/>
    <row r="269" s="553" customFormat="1" ht="15.75" customHeight="1" x14ac:dyDescent="0.2"/>
    <row r="270" s="553" customFormat="1" ht="15.75" customHeight="1" x14ac:dyDescent="0.2"/>
    <row r="271" s="553" customFormat="1" ht="15.75" customHeight="1" x14ac:dyDescent="0.2"/>
    <row r="272" s="553" customFormat="1" ht="15.75" customHeight="1" x14ac:dyDescent="0.2"/>
    <row r="273" s="553" customFormat="1" ht="15.75" customHeight="1" x14ac:dyDescent="0.2"/>
    <row r="274" s="553" customFormat="1" ht="15.75" customHeight="1" x14ac:dyDescent="0.2"/>
    <row r="275" s="553" customFormat="1" ht="15.75" customHeight="1" x14ac:dyDescent="0.2"/>
    <row r="276" s="553" customFormat="1" ht="15.75" customHeight="1" x14ac:dyDescent="0.2"/>
    <row r="277" s="553" customFormat="1" ht="15.75" customHeight="1" x14ac:dyDescent="0.2"/>
    <row r="278" s="553" customFormat="1" ht="15.75" customHeight="1" x14ac:dyDescent="0.2"/>
    <row r="279" s="553" customFormat="1" ht="15.75" customHeight="1" x14ac:dyDescent="0.2"/>
    <row r="280" s="553" customFormat="1" ht="15.75" customHeight="1" x14ac:dyDescent="0.2"/>
    <row r="281" s="553" customFormat="1" ht="15.75" customHeight="1" x14ac:dyDescent="0.2"/>
    <row r="282" s="553" customFormat="1" ht="15.75" customHeight="1" x14ac:dyDescent="0.2"/>
    <row r="283" s="553" customFormat="1" ht="15.75" customHeight="1" x14ac:dyDescent="0.2"/>
    <row r="284" s="553" customFormat="1" ht="15.75" customHeight="1" x14ac:dyDescent="0.2"/>
    <row r="285" s="553" customFormat="1" ht="15.75" customHeight="1" x14ac:dyDescent="0.2"/>
    <row r="286" s="553" customFormat="1" ht="15.75" customHeight="1" x14ac:dyDescent="0.2"/>
    <row r="287" s="553" customFormat="1" ht="15.75" customHeight="1" x14ac:dyDescent="0.2"/>
    <row r="288" s="553" customFormat="1" ht="15.75" customHeight="1" x14ac:dyDescent="0.2"/>
    <row r="289" s="553" customFormat="1" ht="15.75" customHeight="1" x14ac:dyDescent="0.2"/>
    <row r="290" s="553" customFormat="1" ht="15.75" customHeight="1" x14ac:dyDescent="0.2"/>
    <row r="291" s="553" customFormat="1" ht="15.75" customHeight="1" x14ac:dyDescent="0.2"/>
    <row r="292" s="553" customFormat="1" ht="15.75" customHeight="1" x14ac:dyDescent="0.2"/>
    <row r="293" s="553" customFormat="1" ht="15.75" customHeight="1" x14ac:dyDescent="0.2"/>
    <row r="294" s="553" customFormat="1" ht="15.75" customHeight="1" x14ac:dyDescent="0.2"/>
    <row r="295" s="553" customFormat="1" ht="15.75" customHeight="1" x14ac:dyDescent="0.2"/>
    <row r="296" s="553" customFormat="1" ht="15.75" customHeight="1" x14ac:dyDescent="0.2"/>
    <row r="297" s="553" customFormat="1" ht="15.75" customHeight="1" x14ac:dyDescent="0.2"/>
    <row r="298" s="553" customFormat="1" ht="15.75" customHeight="1" x14ac:dyDescent="0.2"/>
    <row r="299" s="553" customFormat="1" ht="15.75" customHeight="1" x14ac:dyDescent="0.2"/>
    <row r="300" s="553" customFormat="1" ht="15.75" customHeight="1" x14ac:dyDescent="0.2"/>
    <row r="301" s="553" customFormat="1" ht="15.75" customHeight="1" x14ac:dyDescent="0.2"/>
    <row r="302" s="553" customFormat="1" ht="15.75" customHeight="1" x14ac:dyDescent="0.2"/>
    <row r="303" s="553" customFormat="1" ht="15.75" customHeight="1" x14ac:dyDescent="0.2"/>
    <row r="304" s="553" customFormat="1" ht="15.75" customHeight="1" x14ac:dyDescent="0.2"/>
    <row r="305" s="553" customFormat="1" ht="15.75" customHeight="1" x14ac:dyDescent="0.2"/>
    <row r="306" s="553" customFormat="1" ht="15.75" customHeight="1" x14ac:dyDescent="0.2"/>
    <row r="307" s="553" customFormat="1" ht="15.75" customHeight="1" x14ac:dyDescent="0.2"/>
    <row r="308" s="553" customFormat="1" ht="15.75" customHeight="1" x14ac:dyDescent="0.2"/>
    <row r="309" s="553" customFormat="1" ht="15.75" customHeight="1" x14ac:dyDescent="0.2"/>
    <row r="310" s="553" customFormat="1" ht="15.75" customHeight="1" x14ac:dyDescent="0.2"/>
    <row r="311" s="553" customFormat="1" ht="15.75" customHeight="1" x14ac:dyDescent="0.2"/>
    <row r="312" s="553" customFormat="1" ht="15.75" customHeight="1" x14ac:dyDescent="0.2"/>
    <row r="313" s="553" customFormat="1" ht="15.75" customHeight="1" x14ac:dyDescent="0.2"/>
    <row r="314" s="553" customFormat="1" ht="15.75" customHeight="1" x14ac:dyDescent="0.2"/>
    <row r="315" s="553" customFormat="1" ht="15.75" customHeight="1" x14ac:dyDescent="0.2"/>
    <row r="316" s="553" customFormat="1" ht="15.75" customHeight="1" x14ac:dyDescent="0.2"/>
    <row r="317" s="553" customFormat="1" ht="15.75" customHeight="1" x14ac:dyDescent="0.2"/>
    <row r="318" s="553" customFormat="1" ht="15.75" customHeight="1" x14ac:dyDescent="0.2"/>
    <row r="319" s="553" customFormat="1" ht="15.75" customHeight="1" x14ac:dyDescent="0.2"/>
    <row r="320" s="553" customFormat="1" ht="15.75" customHeight="1" x14ac:dyDescent="0.2"/>
    <row r="321" s="553" customFormat="1" ht="15.75" customHeight="1" x14ac:dyDescent="0.2"/>
    <row r="322" s="553" customFormat="1" ht="15.75" customHeight="1" x14ac:dyDescent="0.2"/>
    <row r="323" s="553" customFormat="1" ht="15.75" customHeight="1" x14ac:dyDescent="0.2"/>
    <row r="324" s="553" customFormat="1" ht="15.75" customHeight="1" x14ac:dyDescent="0.2"/>
    <row r="325" s="553" customFormat="1" ht="15.75" customHeight="1" x14ac:dyDescent="0.2"/>
    <row r="326" s="553" customFormat="1" ht="15.75" customHeight="1" x14ac:dyDescent="0.2"/>
    <row r="327" s="553" customFormat="1" ht="15.75" customHeight="1" x14ac:dyDescent="0.2"/>
    <row r="328" s="553" customFormat="1" ht="15.75" customHeight="1" x14ac:dyDescent="0.2"/>
    <row r="329" s="553" customFormat="1" ht="15.75" customHeight="1" x14ac:dyDescent="0.2"/>
    <row r="330" s="553" customFormat="1" ht="15.75" customHeight="1" x14ac:dyDescent="0.2"/>
    <row r="331" s="553" customFormat="1" ht="15.75" customHeight="1" x14ac:dyDescent="0.2"/>
    <row r="332" s="553" customFormat="1" ht="15.75" customHeight="1" x14ac:dyDescent="0.2"/>
    <row r="333" s="553" customFormat="1" ht="15.75" customHeight="1" x14ac:dyDescent="0.2"/>
    <row r="334" s="553" customFormat="1" ht="15.75" customHeight="1" x14ac:dyDescent="0.2"/>
    <row r="335" s="553" customFormat="1" ht="15.75" customHeight="1" x14ac:dyDescent="0.2"/>
    <row r="336" s="553" customFormat="1" ht="15.75" customHeight="1" x14ac:dyDescent="0.2"/>
    <row r="337" s="553" customFormat="1" ht="15.75" customHeight="1" x14ac:dyDescent="0.2"/>
    <row r="338" s="553" customFormat="1" ht="15.75" customHeight="1" x14ac:dyDescent="0.2"/>
    <row r="339" s="553" customFormat="1" ht="15.75" customHeight="1" x14ac:dyDescent="0.2"/>
    <row r="340" s="553" customFormat="1" ht="15.75" customHeight="1" x14ac:dyDescent="0.2"/>
    <row r="341" s="553" customFormat="1" ht="15.75" customHeight="1" x14ac:dyDescent="0.2"/>
    <row r="342" s="553" customFormat="1" ht="15.75" customHeight="1" x14ac:dyDescent="0.2"/>
    <row r="343" s="553" customFormat="1" ht="15.75" customHeight="1" x14ac:dyDescent="0.2"/>
    <row r="344" s="553" customFormat="1" ht="15.75" customHeight="1" x14ac:dyDescent="0.2"/>
    <row r="345" s="553" customFormat="1" ht="15.75" customHeight="1" x14ac:dyDescent="0.2"/>
    <row r="346" s="553" customFormat="1" ht="15.75" customHeight="1" x14ac:dyDescent="0.2"/>
    <row r="347" s="553" customFormat="1" ht="15.75" customHeight="1" x14ac:dyDescent="0.2"/>
    <row r="348" s="553" customFormat="1" ht="15.75" customHeight="1" x14ac:dyDescent="0.2"/>
    <row r="349" s="553" customFormat="1" ht="15.75" customHeight="1" x14ac:dyDescent="0.2"/>
    <row r="350" s="553" customFormat="1" ht="15.75" customHeight="1" x14ac:dyDescent="0.2"/>
    <row r="351" s="553" customFormat="1" ht="15.75" customHeight="1" x14ac:dyDescent="0.2"/>
    <row r="352" s="553" customFormat="1" ht="15.75" customHeight="1" x14ac:dyDescent="0.2"/>
    <row r="353" s="553" customFormat="1" ht="15.75" customHeight="1" x14ac:dyDescent="0.2"/>
    <row r="354" s="553" customFormat="1" ht="15.75" customHeight="1" x14ac:dyDescent="0.2"/>
    <row r="355" s="553" customFormat="1" ht="15.75" customHeight="1" x14ac:dyDescent="0.2"/>
    <row r="356" s="553" customFormat="1" ht="15.75" customHeight="1" x14ac:dyDescent="0.2"/>
    <row r="357" s="553" customFormat="1" ht="15.75" customHeight="1" x14ac:dyDescent="0.2"/>
    <row r="358" s="553" customFormat="1" ht="15.75" customHeight="1" x14ac:dyDescent="0.2"/>
    <row r="359" s="553" customFormat="1" ht="15.75" customHeight="1" x14ac:dyDescent="0.2"/>
    <row r="360" s="553" customFormat="1" ht="15.75" customHeight="1" x14ac:dyDescent="0.2"/>
    <row r="361" s="553" customFormat="1" ht="15.75" customHeight="1" x14ac:dyDescent="0.2"/>
    <row r="362" s="553" customFormat="1" ht="15.75" customHeight="1" x14ac:dyDescent="0.2"/>
    <row r="363" s="553" customFormat="1" ht="15.75" customHeight="1" x14ac:dyDescent="0.2"/>
    <row r="364" s="553" customFormat="1" ht="15.75" customHeight="1" x14ac:dyDescent="0.2"/>
    <row r="365" s="553" customFormat="1" ht="15.75" customHeight="1" x14ac:dyDescent="0.2"/>
    <row r="366" s="553" customFormat="1" ht="15.75" customHeight="1" x14ac:dyDescent="0.2"/>
    <row r="367" s="553" customFormat="1" ht="15.75" customHeight="1" x14ac:dyDescent="0.2"/>
    <row r="368" s="553" customFormat="1" ht="15.75" customHeight="1" x14ac:dyDescent="0.2"/>
    <row r="369" s="553" customFormat="1" ht="15.75" customHeight="1" x14ac:dyDescent="0.2"/>
    <row r="370" s="553" customFormat="1" ht="15.75" customHeight="1" x14ac:dyDescent="0.2"/>
    <row r="371" s="553" customFormat="1" ht="15.75" customHeight="1" x14ac:dyDescent="0.2"/>
    <row r="372" s="553" customFormat="1" ht="15.75" customHeight="1" x14ac:dyDescent="0.2"/>
    <row r="373" s="553" customFormat="1" ht="15.75" customHeight="1" x14ac:dyDescent="0.2"/>
    <row r="374" s="553" customFormat="1" ht="15.75" customHeight="1" x14ac:dyDescent="0.2"/>
    <row r="375" s="553" customFormat="1" ht="15.75" customHeight="1" x14ac:dyDescent="0.2"/>
    <row r="376" s="553" customFormat="1" ht="15.75" customHeight="1" x14ac:dyDescent="0.2"/>
    <row r="377" s="553" customFormat="1" ht="15.75" customHeight="1" x14ac:dyDescent="0.2"/>
    <row r="378" s="553" customFormat="1" ht="15.75" customHeight="1" x14ac:dyDescent="0.2"/>
    <row r="379" s="553" customFormat="1" ht="15.75" customHeight="1" x14ac:dyDescent="0.2"/>
    <row r="380" s="553" customFormat="1" ht="15.75" customHeight="1" x14ac:dyDescent="0.2"/>
    <row r="381" s="553" customFormat="1" ht="15.75" customHeight="1" x14ac:dyDescent="0.2"/>
    <row r="382" s="553" customFormat="1" ht="15.75" customHeight="1" x14ac:dyDescent="0.2"/>
    <row r="383" s="553" customFormat="1" ht="15.75" customHeight="1" x14ac:dyDescent="0.2"/>
    <row r="384" s="553" customFormat="1" ht="15.75" customHeight="1" x14ac:dyDescent="0.2"/>
    <row r="385" s="553" customFormat="1" ht="15.75" customHeight="1" x14ac:dyDescent="0.2"/>
    <row r="386" s="553" customFormat="1" ht="15.75" customHeight="1" x14ac:dyDescent="0.2"/>
    <row r="387" s="553" customFormat="1" ht="15.75" customHeight="1" x14ac:dyDescent="0.2"/>
    <row r="388" s="553" customFormat="1" ht="15.75" customHeight="1" x14ac:dyDescent="0.2"/>
    <row r="389" s="553" customFormat="1" ht="15.75" customHeight="1" x14ac:dyDescent="0.2"/>
    <row r="390" s="553" customFormat="1" ht="15.75" customHeight="1" x14ac:dyDescent="0.2"/>
    <row r="391" s="553" customFormat="1" ht="15.75" customHeight="1" x14ac:dyDescent="0.2"/>
    <row r="392" s="553" customFormat="1" ht="15.75" customHeight="1" x14ac:dyDescent="0.2"/>
    <row r="393" s="553" customFormat="1" ht="15.75" customHeight="1" x14ac:dyDescent="0.2"/>
    <row r="394" s="553" customFormat="1" ht="15.75" customHeight="1" x14ac:dyDescent="0.2"/>
    <row r="395" s="553" customFormat="1" ht="15.75" customHeight="1" x14ac:dyDescent="0.2"/>
    <row r="396" s="553" customFormat="1" ht="15.75" customHeight="1" x14ac:dyDescent="0.2"/>
    <row r="397" s="553" customFormat="1" ht="15.75" customHeight="1" x14ac:dyDescent="0.2"/>
    <row r="398" s="553" customFormat="1" ht="15.75" customHeight="1" x14ac:dyDescent="0.2"/>
    <row r="399" s="553" customFormat="1" ht="15.75" customHeight="1" x14ac:dyDescent="0.2"/>
    <row r="400" s="553" customFormat="1" ht="15.75" customHeight="1" x14ac:dyDescent="0.2"/>
    <row r="401" s="553" customFormat="1" ht="15.75" customHeight="1" x14ac:dyDescent="0.2"/>
    <row r="402" s="553" customFormat="1" ht="15.75" customHeight="1" x14ac:dyDescent="0.2"/>
    <row r="403" s="553" customFormat="1" ht="15.75" customHeight="1" x14ac:dyDescent="0.2"/>
    <row r="404" s="553" customFormat="1" ht="15.75" customHeight="1" x14ac:dyDescent="0.2"/>
    <row r="405" s="553" customFormat="1" ht="15.75" customHeight="1" x14ac:dyDescent="0.2"/>
    <row r="406" s="553" customFormat="1" ht="15.75" customHeight="1" x14ac:dyDescent="0.2"/>
    <row r="407" s="553" customFormat="1" ht="15.75" customHeight="1" x14ac:dyDescent="0.2"/>
    <row r="408" s="553" customFormat="1" ht="15.75" customHeight="1" x14ac:dyDescent="0.2"/>
    <row r="409" s="553" customFormat="1" ht="15.75" customHeight="1" x14ac:dyDescent="0.2"/>
    <row r="410" s="553" customFormat="1" ht="15.75" customHeight="1" x14ac:dyDescent="0.2"/>
    <row r="411" s="553" customFormat="1" ht="15.75" customHeight="1" x14ac:dyDescent="0.2"/>
    <row r="412" s="553" customFormat="1" ht="15.75" customHeight="1" x14ac:dyDescent="0.2"/>
    <row r="413" s="553" customFormat="1" ht="15.75" customHeight="1" x14ac:dyDescent="0.2"/>
    <row r="414" s="553" customFormat="1" ht="15.75" customHeight="1" x14ac:dyDescent="0.2"/>
    <row r="415" s="553" customFormat="1" ht="15.75" customHeight="1" x14ac:dyDescent="0.2"/>
    <row r="416" s="553" customFormat="1" ht="15.75" customHeight="1" x14ac:dyDescent="0.2"/>
    <row r="417" s="553" customFormat="1" ht="15.75" customHeight="1" x14ac:dyDescent="0.2"/>
    <row r="418" s="553" customFormat="1" ht="15.75" customHeight="1" x14ac:dyDescent="0.2"/>
    <row r="419" s="553" customFormat="1" ht="15.75" customHeight="1" x14ac:dyDescent="0.2"/>
    <row r="420" s="553" customFormat="1" ht="15.75" customHeight="1" x14ac:dyDescent="0.2"/>
    <row r="421" s="553" customFormat="1" ht="15.75" customHeight="1" x14ac:dyDescent="0.2"/>
    <row r="422" s="553" customFormat="1" ht="15.75" customHeight="1" x14ac:dyDescent="0.2"/>
    <row r="423" s="553" customFormat="1" ht="15.75" customHeight="1" x14ac:dyDescent="0.2"/>
    <row r="424" s="553" customFormat="1" ht="15.75" customHeight="1" x14ac:dyDescent="0.2"/>
    <row r="425" s="553" customFormat="1" ht="15.75" customHeight="1" x14ac:dyDescent="0.2"/>
    <row r="426" s="553" customFormat="1" ht="15.75" customHeight="1" x14ac:dyDescent="0.2"/>
    <row r="427" s="553" customFormat="1" ht="15.75" customHeight="1" x14ac:dyDescent="0.2"/>
    <row r="428" s="553" customFormat="1" ht="15.75" customHeight="1" x14ac:dyDescent="0.2"/>
    <row r="429" s="553" customFormat="1" ht="15.75" customHeight="1" x14ac:dyDescent="0.2"/>
    <row r="430" s="553" customFormat="1" ht="15.75" customHeight="1" x14ac:dyDescent="0.2"/>
    <row r="431" s="553" customFormat="1" ht="15.75" customHeight="1" x14ac:dyDescent="0.2"/>
    <row r="432" s="553" customFormat="1" ht="15.75" customHeight="1" x14ac:dyDescent="0.2"/>
    <row r="433" s="553" customFormat="1" ht="15.75" customHeight="1" x14ac:dyDescent="0.2"/>
    <row r="434" s="553" customFormat="1" ht="15.75" customHeight="1" x14ac:dyDescent="0.2"/>
    <row r="435" s="553" customFormat="1" ht="15.75" customHeight="1" x14ac:dyDescent="0.2"/>
    <row r="436" s="553" customFormat="1" ht="15.75" customHeight="1" x14ac:dyDescent="0.2"/>
    <row r="437" s="553" customFormat="1" ht="15.75" customHeight="1" x14ac:dyDescent="0.2"/>
    <row r="438" s="553" customFormat="1" ht="15.75" customHeight="1" x14ac:dyDescent="0.2"/>
    <row r="439" s="553" customFormat="1" ht="15.75" customHeight="1" x14ac:dyDescent="0.2"/>
    <row r="440" s="553" customFormat="1" ht="15.75" customHeight="1" x14ac:dyDescent="0.2"/>
    <row r="441" s="553" customFormat="1" ht="15.75" customHeight="1" x14ac:dyDescent="0.2"/>
    <row r="442" s="553" customFormat="1" ht="15.75" customHeight="1" x14ac:dyDescent="0.2"/>
    <row r="443" s="553" customFormat="1" ht="15.75" customHeight="1" x14ac:dyDescent="0.2"/>
    <row r="444" s="553" customFormat="1" ht="15.75" customHeight="1" x14ac:dyDescent="0.2"/>
    <row r="445" s="553" customFormat="1" ht="15.75" customHeight="1" x14ac:dyDescent="0.2"/>
    <row r="446" s="553" customFormat="1" ht="15.75" customHeight="1" x14ac:dyDescent="0.2"/>
    <row r="447" s="553" customFormat="1" ht="15.75" customHeight="1" x14ac:dyDescent="0.2"/>
    <row r="448" s="553" customFormat="1" ht="15.75" customHeight="1" x14ac:dyDescent="0.2"/>
    <row r="449" s="553" customFormat="1" ht="15.75" customHeight="1" x14ac:dyDescent="0.2"/>
    <row r="450" s="553" customFormat="1" ht="15.75" customHeight="1" x14ac:dyDescent="0.2"/>
    <row r="451" s="553" customFormat="1" ht="15.75" customHeight="1" x14ac:dyDescent="0.2"/>
    <row r="452" s="553" customFormat="1" ht="15.75" customHeight="1" x14ac:dyDescent="0.2"/>
    <row r="453" s="553" customFormat="1" ht="15.75" customHeight="1" x14ac:dyDescent="0.2"/>
    <row r="454" s="553" customFormat="1" ht="15.75" customHeight="1" x14ac:dyDescent="0.2"/>
    <row r="455" s="553" customFormat="1" ht="15.75" customHeight="1" x14ac:dyDescent="0.2"/>
    <row r="456" s="553" customFormat="1" ht="15.75" customHeight="1" x14ac:dyDescent="0.2"/>
    <row r="457" s="553" customFormat="1" ht="15.75" customHeight="1" x14ac:dyDescent="0.2"/>
    <row r="458" s="553" customFormat="1" ht="15.75" customHeight="1" x14ac:dyDescent="0.2"/>
    <row r="459" s="553" customFormat="1" ht="15.75" customHeight="1" x14ac:dyDescent="0.2"/>
    <row r="460" s="553" customFormat="1" ht="15.75" customHeight="1" x14ac:dyDescent="0.2"/>
    <row r="461" s="553" customFormat="1" ht="15.75" customHeight="1" x14ac:dyDescent="0.2"/>
    <row r="462" s="553" customFormat="1" ht="15.75" customHeight="1" x14ac:dyDescent="0.2"/>
    <row r="463" s="553" customFormat="1" ht="15.75" customHeight="1" x14ac:dyDescent="0.2"/>
    <row r="464" s="553" customFormat="1" ht="15.75" customHeight="1" x14ac:dyDescent="0.2"/>
    <row r="465" s="553" customFormat="1" ht="15.75" customHeight="1" x14ac:dyDescent="0.2"/>
    <row r="466" s="553" customFormat="1" ht="15.75" customHeight="1" x14ac:dyDescent="0.2"/>
    <row r="467" s="553" customFormat="1" ht="15.75" customHeight="1" x14ac:dyDescent="0.2"/>
    <row r="468" s="553" customFormat="1" ht="15.75" customHeight="1" x14ac:dyDescent="0.2"/>
    <row r="469" s="553" customFormat="1" ht="15.75" customHeight="1" x14ac:dyDescent="0.2"/>
    <row r="470" s="553" customFormat="1" ht="15.75" customHeight="1" x14ac:dyDescent="0.2"/>
    <row r="471" s="553" customFormat="1" ht="15.75" customHeight="1" x14ac:dyDescent="0.2"/>
    <row r="472" s="553" customFormat="1" ht="15.75" customHeight="1" x14ac:dyDescent="0.2"/>
    <row r="473" s="553" customFormat="1" ht="15.75" customHeight="1" x14ac:dyDescent="0.2"/>
    <row r="474" s="553" customFormat="1" ht="15.75" customHeight="1" x14ac:dyDescent="0.2"/>
    <row r="475" s="553" customFormat="1" ht="15.75" customHeight="1" x14ac:dyDescent="0.2"/>
    <row r="476" s="553" customFormat="1" ht="15.75" customHeight="1" x14ac:dyDescent="0.2"/>
    <row r="477" s="553" customFormat="1" ht="15.75" customHeight="1" x14ac:dyDescent="0.2"/>
    <row r="478" s="553" customFormat="1" ht="15.75" customHeight="1" x14ac:dyDescent="0.2"/>
    <row r="479" s="553" customFormat="1" ht="15.75" customHeight="1" x14ac:dyDescent="0.2"/>
    <row r="480" s="553" customFormat="1" ht="15.75" customHeight="1" x14ac:dyDescent="0.2"/>
    <row r="481" s="553" customFormat="1" ht="15.75" customHeight="1" x14ac:dyDescent="0.2"/>
    <row r="482" s="553" customFormat="1" ht="15.75" customHeight="1" x14ac:dyDescent="0.2"/>
    <row r="483" s="553" customFormat="1" ht="15.75" customHeight="1" x14ac:dyDescent="0.2"/>
    <row r="484" s="553" customFormat="1" ht="15.75" customHeight="1" x14ac:dyDescent="0.2"/>
    <row r="485" s="553" customFormat="1" ht="15.75" customHeight="1" x14ac:dyDescent="0.2"/>
    <row r="486" s="553" customFormat="1" ht="15.75" customHeight="1" x14ac:dyDescent="0.2"/>
    <row r="487" s="553" customFormat="1" ht="15.75" customHeight="1" x14ac:dyDescent="0.2"/>
    <row r="488" s="553" customFormat="1" ht="15.75" customHeight="1" x14ac:dyDescent="0.2"/>
    <row r="489" s="553" customFormat="1" ht="15.75" customHeight="1" x14ac:dyDescent="0.2"/>
    <row r="490" s="553" customFormat="1" ht="15.75" customHeight="1" x14ac:dyDescent="0.2"/>
    <row r="491" s="553" customFormat="1" ht="15.75" customHeight="1" x14ac:dyDescent="0.2"/>
    <row r="492" s="553" customFormat="1" ht="15.75" customHeight="1" x14ac:dyDescent="0.2"/>
    <row r="493" s="553" customFormat="1" ht="15.75" customHeight="1" x14ac:dyDescent="0.2"/>
    <row r="494" s="553" customFormat="1" ht="15.75" customHeight="1" x14ac:dyDescent="0.2"/>
    <row r="495" s="553" customFormat="1" ht="15.75" customHeight="1" x14ac:dyDescent="0.2"/>
    <row r="496" s="553" customFormat="1" ht="15.75" customHeight="1" x14ac:dyDescent="0.2"/>
    <row r="497" s="553" customFormat="1" ht="15.75" customHeight="1" x14ac:dyDescent="0.2"/>
    <row r="498" s="553" customFormat="1" ht="15.75" customHeight="1" x14ac:dyDescent="0.2"/>
    <row r="499" s="553" customFormat="1" ht="15.75" customHeight="1" x14ac:dyDescent="0.2"/>
    <row r="500" s="553" customFormat="1" ht="15.75" customHeight="1" x14ac:dyDescent="0.2"/>
    <row r="501" s="553" customFormat="1" ht="15.75" customHeight="1" x14ac:dyDescent="0.2"/>
    <row r="502" s="553" customFormat="1" ht="15.75" customHeight="1" x14ac:dyDescent="0.2"/>
    <row r="503" s="553" customFormat="1" ht="15.75" customHeight="1" x14ac:dyDescent="0.2"/>
    <row r="504" s="553" customFormat="1" ht="15.75" customHeight="1" x14ac:dyDescent="0.2"/>
    <row r="505" s="553" customFormat="1" ht="15.75" customHeight="1" x14ac:dyDescent="0.2"/>
    <row r="506" s="553" customFormat="1" ht="15.75" customHeight="1" x14ac:dyDescent="0.2"/>
    <row r="507" s="553" customFormat="1" ht="15.75" customHeight="1" x14ac:dyDescent="0.2"/>
    <row r="508" s="553" customFormat="1" ht="15.75" customHeight="1" x14ac:dyDescent="0.2"/>
    <row r="509" s="553" customFormat="1" ht="15.75" customHeight="1" x14ac:dyDescent="0.2"/>
    <row r="510" s="553" customFormat="1" ht="15.75" customHeight="1" x14ac:dyDescent="0.2"/>
    <row r="511" s="553" customFormat="1" ht="15.75" customHeight="1" x14ac:dyDescent="0.2"/>
    <row r="512" s="553" customFormat="1" ht="15.75" customHeight="1" x14ac:dyDescent="0.2"/>
    <row r="513" s="553" customFormat="1" ht="15.75" customHeight="1" x14ac:dyDescent="0.2"/>
    <row r="514" s="553" customFormat="1" ht="15.75" customHeight="1" x14ac:dyDescent="0.2"/>
    <row r="515" s="553" customFormat="1" ht="15.75" customHeight="1" x14ac:dyDescent="0.2"/>
    <row r="516" s="553" customFormat="1" ht="15.75" customHeight="1" x14ac:dyDescent="0.2"/>
    <row r="517" s="553" customFormat="1" ht="15.75" customHeight="1" x14ac:dyDescent="0.2"/>
    <row r="518" s="553" customFormat="1" ht="15.75" customHeight="1" x14ac:dyDescent="0.2"/>
    <row r="519" s="553" customFormat="1" ht="15.75" customHeight="1" x14ac:dyDescent="0.2"/>
    <row r="520" s="553" customFormat="1" ht="15.75" customHeight="1" x14ac:dyDescent="0.2"/>
    <row r="521" s="553" customFormat="1" ht="15.75" customHeight="1" x14ac:dyDescent="0.2"/>
    <row r="522" s="553" customFormat="1" ht="15.75" customHeight="1" x14ac:dyDescent="0.2"/>
    <row r="523" s="553" customFormat="1" ht="15.75" customHeight="1" x14ac:dyDescent="0.2"/>
    <row r="524" s="553" customFormat="1" ht="15.75" customHeight="1" x14ac:dyDescent="0.2"/>
    <row r="525" s="553" customFormat="1" ht="15.75" customHeight="1" x14ac:dyDescent="0.2"/>
    <row r="526" s="553" customFormat="1" ht="15.75" customHeight="1" x14ac:dyDescent="0.2"/>
    <row r="527" s="553" customFormat="1" ht="15.75" customHeight="1" x14ac:dyDescent="0.2"/>
    <row r="528" s="553" customFormat="1" ht="15.75" customHeight="1" x14ac:dyDescent="0.2"/>
    <row r="529" s="553" customFormat="1" ht="15.75" customHeight="1" x14ac:dyDescent="0.2"/>
    <row r="530" s="553" customFormat="1" ht="15.75" customHeight="1" x14ac:dyDescent="0.2"/>
    <row r="531" s="553" customFormat="1" ht="15.75" customHeight="1" x14ac:dyDescent="0.2"/>
    <row r="532" s="553" customFormat="1" ht="15.75" customHeight="1" x14ac:dyDescent="0.2"/>
    <row r="533" s="553" customFormat="1" ht="15.75" customHeight="1" x14ac:dyDescent="0.2"/>
    <row r="534" s="553" customFormat="1" ht="15.75" customHeight="1" x14ac:dyDescent="0.2"/>
    <row r="535" s="553" customFormat="1" ht="15.75" customHeight="1" x14ac:dyDescent="0.2"/>
    <row r="536" s="553" customFormat="1" ht="15.75" customHeight="1" x14ac:dyDescent="0.2"/>
    <row r="537" s="553" customFormat="1" ht="15.75" customHeight="1" x14ac:dyDescent="0.2"/>
    <row r="538" s="553" customFormat="1" ht="15.75" customHeight="1" x14ac:dyDescent="0.2"/>
    <row r="539" s="553" customFormat="1" ht="15.75" customHeight="1" x14ac:dyDescent="0.2"/>
    <row r="540" s="553" customFormat="1" ht="15.75" customHeight="1" x14ac:dyDescent="0.2"/>
    <row r="541" s="553" customFormat="1" ht="15.75" customHeight="1" x14ac:dyDescent="0.2"/>
    <row r="542" s="553" customFormat="1" ht="15.75" customHeight="1" x14ac:dyDescent="0.2"/>
    <row r="543" s="553" customFormat="1" ht="15.75" customHeight="1" x14ac:dyDescent="0.2"/>
    <row r="544" s="553" customFormat="1" ht="15.75" customHeight="1" x14ac:dyDescent="0.2"/>
    <row r="545" s="553" customFormat="1" ht="15.75" customHeight="1" x14ac:dyDescent="0.2"/>
    <row r="546" s="553" customFormat="1" ht="15.75" customHeight="1" x14ac:dyDescent="0.2"/>
    <row r="547" s="553" customFormat="1" ht="15.75" customHeight="1" x14ac:dyDescent="0.2"/>
    <row r="548" s="553" customFormat="1" ht="15.75" customHeight="1" x14ac:dyDescent="0.2"/>
    <row r="549" s="553" customFormat="1" ht="15.75" customHeight="1" x14ac:dyDescent="0.2"/>
    <row r="550" s="553" customFormat="1" ht="15.75" customHeight="1" x14ac:dyDescent="0.2"/>
    <row r="551" s="553" customFormat="1" ht="15.75" customHeight="1" x14ac:dyDescent="0.2"/>
    <row r="552" s="553" customFormat="1" ht="15.75" customHeight="1" x14ac:dyDescent="0.2"/>
    <row r="553" s="553" customFormat="1" ht="15.75" customHeight="1" x14ac:dyDescent="0.2"/>
    <row r="554" s="553" customFormat="1" ht="15.75" customHeight="1" x14ac:dyDescent="0.2"/>
    <row r="555" s="553" customFormat="1" ht="15.75" customHeight="1" x14ac:dyDescent="0.2"/>
    <row r="556" s="553" customFormat="1" ht="15.75" customHeight="1" x14ac:dyDescent="0.2"/>
    <row r="557" s="553" customFormat="1" ht="15.75" customHeight="1" x14ac:dyDescent="0.2"/>
    <row r="558" s="553" customFormat="1" ht="15.75" customHeight="1" x14ac:dyDescent="0.2"/>
    <row r="559" s="553" customFormat="1" ht="15.75" customHeight="1" x14ac:dyDescent="0.2"/>
    <row r="560" s="553" customFormat="1" ht="15.75" customHeight="1" x14ac:dyDescent="0.2"/>
    <row r="561" s="553" customFormat="1" ht="15.75" customHeight="1" x14ac:dyDescent="0.2"/>
    <row r="562" s="553" customFormat="1" ht="15.75" customHeight="1" x14ac:dyDescent="0.2"/>
    <row r="563" s="553" customFormat="1" ht="15.75" customHeight="1" x14ac:dyDescent="0.2"/>
    <row r="564" s="553" customFormat="1" ht="15.75" customHeight="1" x14ac:dyDescent="0.2"/>
    <row r="565" s="553" customFormat="1" ht="15.75" customHeight="1" x14ac:dyDescent="0.2"/>
    <row r="566" s="553" customFormat="1" ht="15.75" customHeight="1" x14ac:dyDescent="0.2"/>
    <row r="567" s="553" customFormat="1" ht="15.75" customHeight="1" x14ac:dyDescent="0.2"/>
    <row r="568" s="553" customFormat="1" ht="15.75" customHeight="1" x14ac:dyDescent="0.2"/>
    <row r="569" s="553" customFormat="1" ht="15.75" customHeight="1" x14ac:dyDescent="0.2"/>
    <row r="570" s="553" customFormat="1" ht="15.75" customHeight="1" x14ac:dyDescent="0.2"/>
    <row r="571" s="553" customFormat="1" ht="15.75" customHeight="1" x14ac:dyDescent="0.2"/>
    <row r="572" s="553" customFormat="1" ht="15.75" customHeight="1" x14ac:dyDescent="0.2"/>
    <row r="573" s="553" customFormat="1" ht="15.75" customHeight="1" x14ac:dyDescent="0.2"/>
    <row r="574" s="553" customFormat="1" ht="15.75" customHeight="1" x14ac:dyDescent="0.2"/>
    <row r="575" s="553" customFormat="1" ht="15.75" customHeight="1" x14ac:dyDescent="0.2"/>
    <row r="576" s="553" customFormat="1" ht="15.75" customHeight="1" x14ac:dyDescent="0.2"/>
    <row r="577" s="553" customFormat="1" ht="15.75" customHeight="1" x14ac:dyDescent="0.2"/>
    <row r="578" s="553" customFormat="1" ht="15.75" customHeight="1" x14ac:dyDescent="0.2"/>
    <row r="579" s="553" customFormat="1" ht="15.75" customHeight="1" x14ac:dyDescent="0.2"/>
    <row r="580" s="553" customFormat="1" ht="15.75" customHeight="1" x14ac:dyDescent="0.2"/>
    <row r="581" s="553" customFormat="1" ht="15.75" customHeight="1" x14ac:dyDescent="0.2"/>
    <row r="582" s="553" customFormat="1" ht="15.75" customHeight="1" x14ac:dyDescent="0.2"/>
    <row r="583" s="553" customFormat="1" ht="15.75" customHeight="1" x14ac:dyDescent="0.2"/>
    <row r="584" s="553" customFormat="1" ht="15.75" customHeight="1" x14ac:dyDescent="0.2"/>
    <row r="585" s="553" customFormat="1" ht="15.75" customHeight="1" x14ac:dyDescent="0.2"/>
    <row r="586" s="553" customFormat="1" ht="15.75" customHeight="1" x14ac:dyDescent="0.2"/>
    <row r="587" s="553" customFormat="1" ht="15.75" customHeight="1" x14ac:dyDescent="0.2"/>
    <row r="588" s="553" customFormat="1" ht="15.75" customHeight="1" x14ac:dyDescent="0.2"/>
    <row r="589" s="553" customFormat="1" ht="15.75" customHeight="1" x14ac:dyDescent="0.2"/>
    <row r="590" s="553" customFormat="1" ht="15.75" customHeight="1" x14ac:dyDescent="0.2"/>
    <row r="591" s="553" customFormat="1" ht="15.75" customHeight="1" x14ac:dyDescent="0.2"/>
    <row r="592" s="553" customFormat="1" ht="15.75" customHeight="1" x14ac:dyDescent="0.2"/>
    <row r="593" s="553" customFormat="1" ht="15.75" customHeight="1" x14ac:dyDescent="0.2"/>
    <row r="594" s="553" customFormat="1" ht="15.75" customHeight="1" x14ac:dyDescent="0.2"/>
    <row r="595" s="553" customFormat="1" ht="15.75" customHeight="1" x14ac:dyDescent="0.2"/>
    <row r="596" s="553" customFormat="1" ht="15.75" customHeight="1" x14ac:dyDescent="0.2"/>
    <row r="597" s="553" customFormat="1" ht="15.75" customHeight="1" x14ac:dyDescent="0.2"/>
    <row r="598" s="553" customFormat="1" ht="15.75" customHeight="1" x14ac:dyDescent="0.2"/>
    <row r="599" s="553" customFormat="1" ht="15.75" customHeight="1" x14ac:dyDescent="0.2"/>
    <row r="600" s="553" customFormat="1" ht="15.75" customHeight="1" x14ac:dyDescent="0.2"/>
    <row r="601" s="553" customFormat="1" ht="15.75" customHeight="1" x14ac:dyDescent="0.2"/>
    <row r="602" s="553" customFormat="1" ht="15.75" customHeight="1" x14ac:dyDescent="0.2"/>
    <row r="603" s="553" customFormat="1" ht="15.75" customHeight="1" x14ac:dyDescent="0.2"/>
    <row r="604" s="553" customFormat="1" ht="15.75" customHeight="1" x14ac:dyDescent="0.2"/>
    <row r="605" s="553" customFormat="1" ht="15.75" customHeight="1" x14ac:dyDescent="0.2"/>
    <row r="606" s="553" customFormat="1" ht="15.75" customHeight="1" x14ac:dyDescent="0.2"/>
    <row r="607" s="553" customFormat="1" ht="15.75" customHeight="1" x14ac:dyDescent="0.2"/>
    <row r="608" s="553" customFormat="1" ht="15.75" customHeight="1" x14ac:dyDescent="0.2"/>
    <row r="609" s="553" customFormat="1" ht="15.75" customHeight="1" x14ac:dyDescent="0.2"/>
    <row r="610" s="553" customFormat="1" ht="15.75" customHeight="1" x14ac:dyDescent="0.2"/>
    <row r="611" s="553" customFormat="1" ht="15.75" customHeight="1" x14ac:dyDescent="0.2"/>
    <row r="612" s="553" customFormat="1" ht="15.75" customHeight="1" x14ac:dyDescent="0.2"/>
    <row r="613" s="553" customFormat="1" ht="15.75" customHeight="1" x14ac:dyDescent="0.2"/>
    <row r="614" s="553" customFormat="1" ht="15.75" customHeight="1" x14ac:dyDescent="0.2"/>
    <row r="615" s="553" customFormat="1" ht="15.75" customHeight="1" x14ac:dyDescent="0.2"/>
    <row r="616" s="553" customFormat="1" ht="15.75" customHeight="1" x14ac:dyDescent="0.2"/>
    <row r="617" s="553" customFormat="1" ht="15.75" customHeight="1" x14ac:dyDescent="0.2"/>
    <row r="618" s="553" customFormat="1" ht="15.75" customHeight="1" x14ac:dyDescent="0.2"/>
    <row r="619" s="553" customFormat="1" ht="15.75" customHeight="1" x14ac:dyDescent="0.2"/>
    <row r="620" s="553" customFormat="1" ht="15.75" customHeight="1" x14ac:dyDescent="0.2"/>
    <row r="621" s="553" customFormat="1" ht="15.75" customHeight="1" x14ac:dyDescent="0.2"/>
    <row r="622" s="553" customFormat="1" ht="15.75" customHeight="1" x14ac:dyDescent="0.2"/>
    <row r="623" s="553" customFormat="1" ht="15.75" customHeight="1" x14ac:dyDescent="0.2"/>
    <row r="624" s="553" customFormat="1" ht="15.75" customHeight="1" x14ac:dyDescent="0.2"/>
    <row r="625" s="553" customFormat="1" ht="15.75" customHeight="1" x14ac:dyDescent="0.2"/>
    <row r="626" s="553" customFormat="1" ht="15.75" customHeight="1" x14ac:dyDescent="0.2"/>
    <row r="627" s="553" customFormat="1" ht="15.75" customHeight="1" x14ac:dyDescent="0.2"/>
    <row r="628" s="553" customFormat="1" ht="15.75" customHeight="1" x14ac:dyDescent="0.2"/>
    <row r="629" s="553" customFormat="1" ht="15.75" customHeight="1" x14ac:dyDescent="0.2"/>
    <row r="630" s="553" customFormat="1" ht="15.75" customHeight="1" x14ac:dyDescent="0.2"/>
    <row r="631" s="553" customFormat="1" ht="15.75" customHeight="1" x14ac:dyDescent="0.2"/>
    <row r="632" s="553" customFormat="1" ht="15.75" customHeight="1" x14ac:dyDescent="0.2"/>
    <row r="633" s="553" customFormat="1" ht="15.75" customHeight="1" x14ac:dyDescent="0.2"/>
    <row r="634" s="553" customFormat="1" ht="15.75" customHeight="1" x14ac:dyDescent="0.2"/>
    <row r="635" s="553" customFormat="1" ht="15.75" customHeight="1" x14ac:dyDescent="0.2"/>
    <row r="636" s="553" customFormat="1" ht="15.75" customHeight="1" x14ac:dyDescent="0.2"/>
    <row r="637" s="553" customFormat="1" ht="15.75" customHeight="1" x14ac:dyDescent="0.2"/>
    <row r="638" s="553" customFormat="1" ht="15.75" customHeight="1" x14ac:dyDescent="0.2"/>
    <row r="639" s="553" customFormat="1" ht="15.75" customHeight="1" x14ac:dyDescent="0.2"/>
    <row r="640" s="553" customFormat="1" ht="15.75" customHeight="1" x14ac:dyDescent="0.2"/>
    <row r="641" s="553" customFormat="1" ht="15.75" customHeight="1" x14ac:dyDescent="0.2"/>
    <row r="642" s="553" customFormat="1" ht="15.75" customHeight="1" x14ac:dyDescent="0.2"/>
    <row r="643" s="553" customFormat="1" ht="15.75" customHeight="1" x14ac:dyDescent="0.2"/>
    <row r="644" s="553" customFormat="1" ht="15.75" customHeight="1" x14ac:dyDescent="0.2"/>
    <row r="645" s="553" customFormat="1" ht="15.75" customHeight="1" x14ac:dyDescent="0.2"/>
    <row r="646" s="553" customFormat="1" ht="15.75" customHeight="1" x14ac:dyDescent="0.2"/>
    <row r="647" s="553" customFormat="1" ht="15.75" customHeight="1" x14ac:dyDescent="0.2"/>
    <row r="648" s="553" customFormat="1" ht="15.75" customHeight="1" x14ac:dyDescent="0.2"/>
    <row r="649" s="553" customFormat="1" ht="15.75" customHeight="1" x14ac:dyDescent="0.2"/>
    <row r="650" s="553" customFormat="1" ht="15.75" customHeight="1" x14ac:dyDescent="0.2"/>
    <row r="651" s="553" customFormat="1" ht="15.75" customHeight="1" x14ac:dyDescent="0.2"/>
    <row r="652" s="553" customFormat="1" ht="15.75" customHeight="1" x14ac:dyDescent="0.2"/>
    <row r="653" s="553" customFormat="1" ht="15.75" customHeight="1" x14ac:dyDescent="0.2"/>
    <row r="654" s="553" customFormat="1" ht="15.75" customHeight="1" x14ac:dyDescent="0.2"/>
    <row r="655" s="553" customFormat="1" ht="15.75" customHeight="1" x14ac:dyDescent="0.2"/>
    <row r="656" s="553" customFormat="1" ht="15.75" customHeight="1" x14ac:dyDescent="0.2"/>
    <row r="657" s="553" customFormat="1" ht="15.75" customHeight="1" x14ac:dyDescent="0.2"/>
    <row r="658" s="553" customFormat="1" ht="15.75" customHeight="1" x14ac:dyDescent="0.2"/>
    <row r="659" s="553" customFormat="1" ht="15.75" customHeight="1" x14ac:dyDescent="0.2"/>
    <row r="660" s="553" customFormat="1" ht="15.75" customHeight="1" x14ac:dyDescent="0.2"/>
    <row r="661" s="553" customFormat="1" ht="15.75" customHeight="1" x14ac:dyDescent="0.2"/>
    <row r="662" s="553" customFormat="1" ht="15.75" customHeight="1" x14ac:dyDescent="0.2"/>
    <row r="663" s="553" customFormat="1" ht="15.75" customHeight="1" x14ac:dyDescent="0.2"/>
    <row r="664" s="553" customFormat="1" ht="15.75" customHeight="1" x14ac:dyDescent="0.2"/>
    <row r="665" s="553" customFormat="1" ht="15.75" customHeight="1" x14ac:dyDescent="0.2"/>
    <row r="666" s="553" customFormat="1" ht="15.75" customHeight="1" x14ac:dyDescent="0.2"/>
    <row r="667" s="553" customFormat="1" ht="15.75" customHeight="1" x14ac:dyDescent="0.2"/>
    <row r="668" s="553" customFormat="1" ht="15.75" customHeight="1" x14ac:dyDescent="0.2"/>
    <row r="669" s="553" customFormat="1" ht="15.75" customHeight="1" x14ac:dyDescent="0.2"/>
    <row r="670" s="553" customFormat="1" ht="15.75" customHeight="1" x14ac:dyDescent="0.2"/>
    <row r="671" s="553" customFormat="1" ht="15.75" customHeight="1" x14ac:dyDescent="0.2"/>
    <row r="672" s="553" customFormat="1" ht="15.75" customHeight="1" x14ac:dyDescent="0.2"/>
    <row r="673" s="553" customFormat="1" ht="15.75" customHeight="1" x14ac:dyDescent="0.2"/>
    <row r="674" s="553" customFormat="1" ht="15.75" customHeight="1" x14ac:dyDescent="0.2"/>
    <row r="675" s="553" customFormat="1" ht="15.75" customHeight="1" x14ac:dyDescent="0.2"/>
    <row r="676" s="553" customFormat="1" ht="15.75" customHeight="1" x14ac:dyDescent="0.2"/>
    <row r="677" s="553" customFormat="1" ht="15.75" customHeight="1" x14ac:dyDescent="0.2"/>
    <row r="678" s="553" customFormat="1" ht="15.75" customHeight="1" x14ac:dyDescent="0.2"/>
    <row r="679" s="553" customFormat="1" ht="15.75" customHeight="1" x14ac:dyDescent="0.2"/>
    <row r="680" s="553" customFormat="1" ht="15.75" customHeight="1" x14ac:dyDescent="0.2"/>
    <row r="681" s="553" customFormat="1" ht="15.75" customHeight="1" x14ac:dyDescent="0.2"/>
    <row r="682" s="553" customFormat="1" ht="15.75" customHeight="1" x14ac:dyDescent="0.2"/>
    <row r="683" s="553" customFormat="1" ht="15.75" customHeight="1" x14ac:dyDescent="0.2"/>
    <row r="684" s="553" customFormat="1" ht="15.75" customHeight="1" x14ac:dyDescent="0.2"/>
    <row r="685" s="553" customFormat="1" ht="15.75" customHeight="1" x14ac:dyDescent="0.2"/>
    <row r="686" s="553" customFormat="1" ht="15.75" customHeight="1" x14ac:dyDescent="0.2"/>
    <row r="687" s="553" customFormat="1" ht="15.75" customHeight="1" x14ac:dyDescent="0.2"/>
    <row r="688" s="553" customFormat="1" ht="15.75" customHeight="1" x14ac:dyDescent="0.2"/>
    <row r="689" s="553" customFormat="1" ht="15.75" customHeight="1" x14ac:dyDescent="0.2"/>
    <row r="690" s="553" customFormat="1" ht="15.75" customHeight="1" x14ac:dyDescent="0.2"/>
    <row r="691" s="553" customFormat="1" ht="15.75" customHeight="1" x14ac:dyDescent="0.2"/>
    <row r="692" s="553" customFormat="1" ht="15.75" customHeight="1" x14ac:dyDescent="0.2"/>
    <row r="693" s="553" customFormat="1" ht="15.75" customHeight="1" x14ac:dyDescent="0.2"/>
    <row r="694" s="553" customFormat="1" ht="15.75" customHeight="1" x14ac:dyDescent="0.2"/>
    <row r="695" s="553" customFormat="1" ht="15.75" customHeight="1" x14ac:dyDescent="0.2"/>
    <row r="696" s="553" customFormat="1" ht="15.75" customHeight="1" x14ac:dyDescent="0.2"/>
    <row r="697" s="553" customFormat="1" ht="15.75" customHeight="1" x14ac:dyDescent="0.2"/>
    <row r="698" s="553" customFormat="1" ht="15.75" customHeight="1" x14ac:dyDescent="0.2"/>
    <row r="699" s="553" customFormat="1" ht="15.75" customHeight="1" x14ac:dyDescent="0.2"/>
    <row r="700" s="553" customFormat="1" ht="15.75" customHeight="1" x14ac:dyDescent="0.2"/>
    <row r="701" s="553" customFormat="1" ht="15.75" customHeight="1" x14ac:dyDescent="0.2"/>
    <row r="702" s="553" customFormat="1" ht="15.75" customHeight="1" x14ac:dyDescent="0.2"/>
    <row r="703" s="553" customFormat="1" ht="15.75" customHeight="1" x14ac:dyDescent="0.2"/>
    <row r="704" s="553" customFormat="1" ht="15.75" customHeight="1" x14ac:dyDescent="0.2"/>
    <row r="705" s="553" customFormat="1" ht="15.75" customHeight="1" x14ac:dyDescent="0.2"/>
    <row r="706" s="553" customFormat="1" ht="15.75" customHeight="1" x14ac:dyDescent="0.2"/>
    <row r="707" s="553" customFormat="1" ht="15.75" customHeight="1" x14ac:dyDescent="0.2"/>
    <row r="708" s="553" customFormat="1" ht="15.75" customHeight="1" x14ac:dyDescent="0.2"/>
    <row r="709" s="553" customFormat="1" ht="15.75" customHeight="1" x14ac:dyDescent="0.2"/>
    <row r="710" s="553" customFormat="1" ht="15.75" customHeight="1" x14ac:dyDescent="0.2"/>
    <row r="711" s="553" customFormat="1" ht="15.75" customHeight="1" x14ac:dyDescent="0.2"/>
    <row r="712" s="553" customFormat="1" ht="15.75" customHeight="1" x14ac:dyDescent="0.2"/>
    <row r="713" s="553" customFormat="1" ht="15.75" customHeight="1" x14ac:dyDescent="0.2"/>
    <row r="714" s="553" customFormat="1" ht="15.75" customHeight="1" x14ac:dyDescent="0.2"/>
    <row r="715" s="553" customFormat="1" ht="15.75" customHeight="1" x14ac:dyDescent="0.2"/>
    <row r="716" s="553" customFormat="1" ht="15.75" customHeight="1" x14ac:dyDescent="0.2"/>
    <row r="717" s="553" customFormat="1" ht="15.75" customHeight="1" x14ac:dyDescent="0.2"/>
    <row r="718" s="553" customFormat="1" ht="15.75" customHeight="1" x14ac:dyDescent="0.2"/>
    <row r="719" s="553" customFormat="1" ht="15.75" customHeight="1" x14ac:dyDescent="0.2"/>
    <row r="720" s="553" customFormat="1" ht="15.75" customHeight="1" x14ac:dyDescent="0.2"/>
    <row r="721" s="553" customFormat="1" ht="15.75" customHeight="1" x14ac:dyDescent="0.2"/>
    <row r="722" s="553" customFormat="1" ht="15.75" customHeight="1" x14ac:dyDescent="0.2"/>
    <row r="723" s="553" customFormat="1" ht="15.75" customHeight="1" x14ac:dyDescent="0.2"/>
    <row r="724" s="553" customFormat="1" ht="15.75" customHeight="1" x14ac:dyDescent="0.2"/>
    <row r="725" s="553" customFormat="1" ht="15.75" customHeight="1" x14ac:dyDescent="0.2"/>
    <row r="726" s="553" customFormat="1" ht="15.75" customHeight="1" x14ac:dyDescent="0.2"/>
    <row r="727" s="553" customFormat="1" ht="15.75" customHeight="1" x14ac:dyDescent="0.2"/>
    <row r="728" s="553" customFormat="1" ht="15.75" customHeight="1" x14ac:dyDescent="0.2"/>
    <row r="729" s="553" customFormat="1" ht="15.75" customHeight="1" x14ac:dyDescent="0.2"/>
    <row r="730" s="553" customFormat="1" ht="15.75" customHeight="1" x14ac:dyDescent="0.2"/>
    <row r="731" s="553" customFormat="1" ht="15.75" customHeight="1" x14ac:dyDescent="0.2"/>
    <row r="732" s="553" customFormat="1" ht="15.75" customHeight="1" x14ac:dyDescent="0.2"/>
    <row r="733" s="553" customFormat="1" ht="15.75" customHeight="1" x14ac:dyDescent="0.2"/>
    <row r="734" s="553" customFormat="1" ht="15.75" customHeight="1" x14ac:dyDescent="0.2"/>
    <row r="735" s="553" customFormat="1" ht="15.75" customHeight="1" x14ac:dyDescent="0.2"/>
    <row r="736" s="553" customFormat="1" ht="15.75" customHeight="1" x14ac:dyDescent="0.2"/>
    <row r="737" s="553" customFormat="1" ht="15.75" customHeight="1" x14ac:dyDescent="0.2"/>
    <row r="738" s="553" customFormat="1" ht="15.75" customHeight="1" x14ac:dyDescent="0.2"/>
    <row r="739" s="553" customFormat="1" ht="15.75" customHeight="1" x14ac:dyDescent="0.2"/>
    <row r="740" s="553" customFormat="1" ht="15.75" customHeight="1" x14ac:dyDescent="0.2"/>
    <row r="741" s="553" customFormat="1" ht="15.75" customHeight="1" x14ac:dyDescent="0.2"/>
    <row r="742" s="553" customFormat="1" ht="15.75" customHeight="1" x14ac:dyDescent="0.2"/>
    <row r="743" s="553" customFormat="1" ht="15.75" customHeight="1" x14ac:dyDescent="0.2"/>
    <row r="744" s="553" customFormat="1" ht="15.75" customHeight="1" x14ac:dyDescent="0.2"/>
    <row r="745" s="553" customFormat="1" ht="15.75" customHeight="1" x14ac:dyDescent="0.2"/>
    <row r="746" s="553" customFormat="1" ht="15.75" customHeight="1" x14ac:dyDescent="0.2"/>
    <row r="747" s="553" customFormat="1" ht="15.75" customHeight="1" x14ac:dyDescent="0.2"/>
    <row r="748" s="553" customFormat="1" ht="15.75" customHeight="1" x14ac:dyDescent="0.2"/>
    <row r="749" s="553" customFormat="1" ht="15.75" customHeight="1" x14ac:dyDescent="0.2"/>
    <row r="750" s="553" customFormat="1" ht="15.75" customHeight="1" x14ac:dyDescent="0.2"/>
    <row r="751" s="553" customFormat="1" ht="15.75" customHeight="1" x14ac:dyDescent="0.2"/>
    <row r="752" s="553" customFormat="1" ht="15.75" customHeight="1" x14ac:dyDescent="0.2"/>
    <row r="753" s="553" customFormat="1" ht="15.75" customHeight="1" x14ac:dyDescent="0.2"/>
    <row r="754" s="553" customFormat="1" ht="15.75" customHeight="1" x14ac:dyDescent="0.2"/>
    <row r="755" s="553" customFormat="1" ht="15.75" customHeight="1" x14ac:dyDescent="0.2"/>
    <row r="756" s="553" customFormat="1" ht="15.75" customHeight="1" x14ac:dyDescent="0.2"/>
    <row r="757" s="553" customFormat="1" ht="15.75" customHeight="1" x14ac:dyDescent="0.2"/>
    <row r="758" s="553" customFormat="1" ht="15.75" customHeight="1" x14ac:dyDescent="0.2"/>
    <row r="759" s="553" customFormat="1" ht="15.75" customHeight="1" x14ac:dyDescent="0.2"/>
    <row r="760" s="553" customFormat="1" ht="15.75" customHeight="1" x14ac:dyDescent="0.2"/>
    <row r="761" s="553" customFormat="1" ht="15.75" customHeight="1" x14ac:dyDescent="0.2"/>
    <row r="762" s="553" customFormat="1" ht="15.75" customHeight="1" x14ac:dyDescent="0.2"/>
    <row r="763" s="553" customFormat="1" ht="15.75" customHeight="1" x14ac:dyDescent="0.2"/>
    <row r="764" s="553" customFormat="1" ht="15.75" customHeight="1" x14ac:dyDescent="0.2"/>
    <row r="765" s="553" customFormat="1" ht="15.75" customHeight="1" x14ac:dyDescent="0.2"/>
    <row r="766" s="553" customFormat="1" ht="15.75" customHeight="1" x14ac:dyDescent="0.2"/>
    <row r="767" s="553" customFormat="1" ht="15.75" customHeight="1" x14ac:dyDescent="0.2"/>
    <row r="768" s="553" customFormat="1" ht="15.75" customHeight="1" x14ac:dyDescent="0.2"/>
    <row r="769" s="553" customFormat="1" ht="15.75" customHeight="1" x14ac:dyDescent="0.2"/>
    <row r="770" s="553" customFormat="1" ht="15.75" customHeight="1" x14ac:dyDescent="0.2"/>
    <row r="771" s="553" customFormat="1" ht="15.75" customHeight="1" x14ac:dyDescent="0.2"/>
    <row r="772" s="553" customFormat="1" ht="15.75" customHeight="1" x14ac:dyDescent="0.2"/>
    <row r="773" s="553" customFormat="1" ht="15.75" customHeight="1" x14ac:dyDescent="0.2"/>
    <row r="774" s="553" customFormat="1" ht="15.75" customHeight="1" x14ac:dyDescent="0.2"/>
    <row r="775" s="553" customFormat="1" ht="15.75" customHeight="1" x14ac:dyDescent="0.2"/>
    <row r="776" s="553" customFormat="1" ht="15.75" customHeight="1" x14ac:dyDescent="0.2"/>
    <row r="777" s="553" customFormat="1" ht="15.75" customHeight="1" x14ac:dyDescent="0.2"/>
    <row r="778" s="553" customFormat="1" ht="15.75" customHeight="1" x14ac:dyDescent="0.2"/>
    <row r="779" s="553" customFormat="1" ht="15.75" customHeight="1" x14ac:dyDescent="0.2"/>
    <row r="780" s="553" customFormat="1" ht="15.75" customHeight="1" x14ac:dyDescent="0.2"/>
    <row r="781" s="553" customFormat="1" ht="15.75" customHeight="1" x14ac:dyDescent="0.2"/>
    <row r="782" s="553" customFormat="1" ht="15.75" customHeight="1" x14ac:dyDescent="0.2"/>
    <row r="783" s="553" customFormat="1" ht="15.75" customHeight="1" x14ac:dyDescent="0.2"/>
    <row r="784" s="553" customFormat="1" ht="15.75" customHeight="1" x14ac:dyDescent="0.2"/>
    <row r="785" s="553" customFormat="1" ht="15.75" customHeight="1" x14ac:dyDescent="0.2"/>
    <row r="786" s="553" customFormat="1" ht="15.75" customHeight="1" x14ac:dyDescent="0.2"/>
    <row r="787" s="553" customFormat="1" ht="15.75" customHeight="1" x14ac:dyDescent="0.2"/>
    <row r="788" s="553" customFormat="1" ht="15.75" customHeight="1" x14ac:dyDescent="0.2"/>
    <row r="789" s="553" customFormat="1" ht="15.75" customHeight="1" x14ac:dyDescent="0.2"/>
    <row r="790" s="553" customFormat="1" ht="15.75" customHeight="1" x14ac:dyDescent="0.2"/>
    <row r="791" s="553" customFormat="1" ht="15.75" customHeight="1" x14ac:dyDescent="0.2"/>
    <row r="792" s="553" customFormat="1" ht="15.75" customHeight="1" x14ac:dyDescent="0.2"/>
    <row r="793" s="553" customFormat="1" ht="15.75" customHeight="1" x14ac:dyDescent="0.2"/>
    <row r="794" s="553" customFormat="1" ht="15.75" customHeight="1" x14ac:dyDescent="0.2"/>
    <row r="795" s="553" customFormat="1" ht="15.75" customHeight="1" x14ac:dyDescent="0.2"/>
    <row r="796" s="553" customFormat="1" ht="15.75" customHeight="1" x14ac:dyDescent="0.2"/>
    <row r="797" s="553" customFormat="1" ht="15.75" customHeight="1" x14ac:dyDescent="0.2"/>
    <row r="798" s="553" customFormat="1" ht="15.75" customHeight="1" x14ac:dyDescent="0.2"/>
    <row r="799" s="553" customFormat="1" ht="15.75" customHeight="1" x14ac:dyDescent="0.2"/>
    <row r="800" s="553" customFormat="1" ht="15.75" customHeight="1" x14ac:dyDescent="0.2"/>
    <row r="801" s="553" customFormat="1" ht="15.75" customHeight="1" x14ac:dyDescent="0.2"/>
    <row r="802" s="553" customFormat="1" ht="15.75" customHeight="1" x14ac:dyDescent="0.2"/>
    <row r="803" s="553" customFormat="1" ht="15.75" customHeight="1" x14ac:dyDescent="0.2"/>
    <row r="804" s="553" customFormat="1" ht="15.75" customHeight="1" x14ac:dyDescent="0.2"/>
    <row r="805" s="553" customFormat="1" ht="15.75" customHeight="1" x14ac:dyDescent="0.2"/>
    <row r="806" s="553" customFormat="1" ht="15.75" customHeight="1" x14ac:dyDescent="0.2"/>
    <row r="807" s="553" customFormat="1" ht="15.75" customHeight="1" x14ac:dyDescent="0.2"/>
    <row r="808" s="553" customFormat="1" ht="15.75" customHeight="1" x14ac:dyDescent="0.2"/>
    <row r="809" s="553" customFormat="1" ht="15.75" customHeight="1" x14ac:dyDescent="0.2"/>
    <row r="810" s="553" customFormat="1" ht="15.75" customHeight="1" x14ac:dyDescent="0.2"/>
    <row r="811" s="553" customFormat="1" ht="15.75" customHeight="1" x14ac:dyDescent="0.2"/>
    <row r="812" s="553" customFormat="1" ht="15.75" customHeight="1" x14ac:dyDescent="0.2"/>
    <row r="813" s="553" customFormat="1" ht="15.75" customHeight="1" x14ac:dyDescent="0.2"/>
    <row r="814" s="553" customFormat="1" ht="15.75" customHeight="1" x14ac:dyDescent="0.2"/>
    <row r="815" s="553" customFormat="1" ht="15.75" customHeight="1" x14ac:dyDescent="0.2"/>
    <row r="816" s="553" customFormat="1" ht="15.75" customHeight="1" x14ac:dyDescent="0.2"/>
    <row r="817" s="553" customFormat="1" ht="15.75" customHeight="1" x14ac:dyDescent="0.2"/>
    <row r="818" s="553" customFormat="1" ht="15.75" customHeight="1" x14ac:dyDescent="0.2"/>
    <row r="819" s="553" customFormat="1" ht="15.75" customHeight="1" x14ac:dyDescent="0.2"/>
    <row r="820" s="553" customFormat="1" ht="15.75" customHeight="1" x14ac:dyDescent="0.2"/>
    <row r="821" s="553" customFormat="1" ht="15.75" customHeight="1" x14ac:dyDescent="0.2"/>
    <row r="822" s="553" customFormat="1" ht="15.75" customHeight="1" x14ac:dyDescent="0.2"/>
    <row r="823" s="553" customFormat="1" ht="15.75" customHeight="1" x14ac:dyDescent="0.2"/>
    <row r="824" s="553" customFormat="1" ht="15.75" customHeight="1" x14ac:dyDescent="0.2"/>
    <row r="825" s="553" customFormat="1" ht="15.75" customHeight="1" x14ac:dyDescent="0.2"/>
    <row r="826" s="553" customFormat="1" ht="15.75" customHeight="1" x14ac:dyDescent="0.2"/>
    <row r="827" s="553" customFormat="1" ht="15.75" customHeight="1" x14ac:dyDescent="0.2"/>
    <row r="828" s="553" customFormat="1" ht="15.75" customHeight="1" x14ac:dyDescent="0.2"/>
    <row r="829" s="553" customFormat="1" ht="15.75" customHeight="1" x14ac:dyDescent="0.2"/>
    <row r="830" s="553" customFormat="1" ht="15.75" customHeight="1" x14ac:dyDescent="0.2"/>
    <row r="831" s="553" customFormat="1" ht="15.75" customHeight="1" x14ac:dyDescent="0.2"/>
    <row r="832" s="553" customFormat="1" ht="15.75" customHeight="1" x14ac:dyDescent="0.2"/>
    <row r="833" s="553" customFormat="1" ht="15.75" customHeight="1" x14ac:dyDescent="0.2"/>
    <row r="834" s="553" customFormat="1" ht="15.75" customHeight="1" x14ac:dyDescent="0.2"/>
    <row r="835" s="553" customFormat="1" ht="15.75" customHeight="1" x14ac:dyDescent="0.2"/>
    <row r="836" s="553" customFormat="1" ht="15.75" customHeight="1" x14ac:dyDescent="0.2"/>
    <row r="837" s="553" customFormat="1" ht="15.75" customHeight="1" x14ac:dyDescent="0.2"/>
    <row r="838" s="553" customFormat="1" ht="15.75" customHeight="1" x14ac:dyDescent="0.2"/>
    <row r="839" s="553" customFormat="1" ht="15.75" customHeight="1" x14ac:dyDescent="0.2"/>
    <row r="840" s="553" customFormat="1" ht="15.75" customHeight="1" x14ac:dyDescent="0.2"/>
    <row r="841" s="553" customFormat="1" ht="15.75" customHeight="1" x14ac:dyDescent="0.2"/>
    <row r="842" s="553" customFormat="1" ht="15.75" customHeight="1" x14ac:dyDescent="0.2"/>
    <row r="843" s="553" customFormat="1" ht="15.75" customHeight="1" x14ac:dyDescent="0.2"/>
    <row r="844" s="553" customFormat="1" ht="15.75" customHeight="1" x14ac:dyDescent="0.2"/>
    <row r="845" s="553" customFormat="1" ht="15.75" customHeight="1" x14ac:dyDescent="0.2"/>
    <row r="846" s="553" customFormat="1" ht="15.75" customHeight="1" x14ac:dyDescent="0.2"/>
    <row r="847" s="553" customFormat="1" ht="15.75" customHeight="1" x14ac:dyDescent="0.2"/>
    <row r="848" s="553" customFormat="1" ht="15.75" customHeight="1" x14ac:dyDescent="0.2"/>
    <row r="849" s="553" customFormat="1" ht="15.75" customHeight="1" x14ac:dyDescent="0.2"/>
    <row r="850" s="553" customFormat="1" ht="15.75" customHeight="1" x14ac:dyDescent="0.2"/>
    <row r="851" s="553" customFormat="1" ht="15.75" customHeight="1" x14ac:dyDescent="0.2"/>
    <row r="852" s="553" customFormat="1" ht="15.75" customHeight="1" x14ac:dyDescent="0.2"/>
    <row r="853" s="553" customFormat="1" ht="15.75" customHeight="1" x14ac:dyDescent="0.2"/>
    <row r="854" s="553" customFormat="1" ht="15.75" customHeight="1" x14ac:dyDescent="0.2"/>
    <row r="855" s="553" customFormat="1" ht="15.75" customHeight="1" x14ac:dyDescent="0.2"/>
    <row r="856" s="553" customFormat="1" ht="15.75" customHeight="1" x14ac:dyDescent="0.2"/>
    <row r="857" s="553" customFormat="1" ht="15.75" customHeight="1" x14ac:dyDescent="0.2"/>
    <row r="858" s="553" customFormat="1" ht="15.75" customHeight="1" x14ac:dyDescent="0.2"/>
    <row r="859" s="553" customFormat="1" ht="15.75" customHeight="1" x14ac:dyDescent="0.2"/>
    <row r="860" s="553" customFormat="1" ht="15.75" customHeight="1" x14ac:dyDescent="0.2"/>
    <row r="861" s="553" customFormat="1" ht="15.75" customHeight="1" x14ac:dyDescent="0.2"/>
    <row r="862" s="553" customFormat="1" ht="15.75" customHeight="1" x14ac:dyDescent="0.2"/>
    <row r="863" s="553" customFormat="1" ht="15.75" customHeight="1" x14ac:dyDescent="0.2"/>
    <row r="864" s="553" customFormat="1" ht="15.75" customHeight="1" x14ac:dyDescent="0.2"/>
    <row r="865" s="553" customFormat="1" ht="15.75" customHeight="1" x14ac:dyDescent="0.2"/>
    <row r="866" s="553" customFormat="1" ht="15.75" customHeight="1" x14ac:dyDescent="0.2"/>
    <row r="867" s="553" customFormat="1" ht="15.75" customHeight="1" x14ac:dyDescent="0.2"/>
    <row r="868" s="553" customFormat="1" ht="15.75" customHeight="1" x14ac:dyDescent="0.2"/>
    <row r="869" s="553" customFormat="1" ht="15.75" customHeight="1" x14ac:dyDescent="0.2"/>
    <row r="870" s="553" customFormat="1" ht="15.75" customHeight="1" x14ac:dyDescent="0.2"/>
    <row r="871" s="553" customFormat="1" ht="15.75" customHeight="1" x14ac:dyDescent="0.2"/>
    <row r="872" s="553" customFormat="1" ht="15.75" customHeight="1" x14ac:dyDescent="0.2"/>
    <row r="873" s="553" customFormat="1" ht="15.75" customHeight="1" x14ac:dyDescent="0.2"/>
    <row r="874" s="553" customFormat="1" ht="15.75" customHeight="1" x14ac:dyDescent="0.2"/>
    <row r="875" s="553" customFormat="1" ht="15.75" customHeight="1" x14ac:dyDescent="0.2"/>
    <row r="876" s="553" customFormat="1" ht="15.75" customHeight="1" x14ac:dyDescent="0.2"/>
    <row r="877" s="553" customFormat="1" ht="15.75" customHeight="1" x14ac:dyDescent="0.2"/>
    <row r="878" s="553" customFormat="1" ht="15.75" customHeight="1" x14ac:dyDescent="0.2"/>
    <row r="879" s="553" customFormat="1" ht="15.75" customHeight="1" x14ac:dyDescent="0.2"/>
    <row r="880" s="553" customFormat="1" ht="15.75" customHeight="1" x14ac:dyDescent="0.2"/>
    <row r="881" s="553" customFormat="1" ht="15.75" customHeight="1" x14ac:dyDescent="0.2"/>
    <row r="882" s="553" customFormat="1" ht="15.75" customHeight="1" x14ac:dyDescent="0.2"/>
    <row r="883" s="553" customFormat="1" ht="15.75" customHeight="1" x14ac:dyDescent="0.2"/>
    <row r="884" s="553" customFormat="1" ht="15.75" customHeight="1" x14ac:dyDescent="0.2"/>
    <row r="885" s="553" customFormat="1" ht="15.75" customHeight="1" x14ac:dyDescent="0.2"/>
    <row r="886" s="553" customFormat="1" ht="15.75" customHeight="1" x14ac:dyDescent="0.2"/>
    <row r="887" s="553" customFormat="1" ht="15.75" customHeight="1" x14ac:dyDescent="0.2"/>
    <row r="888" s="553" customFormat="1" ht="15.75" customHeight="1" x14ac:dyDescent="0.2"/>
    <row r="889" s="553" customFormat="1" ht="15.75" customHeight="1" x14ac:dyDescent="0.2"/>
    <row r="890" s="553" customFormat="1" ht="15.75" customHeight="1" x14ac:dyDescent="0.2"/>
    <row r="891" s="553" customFormat="1" ht="15.75" customHeight="1" x14ac:dyDescent="0.2"/>
    <row r="892" s="553" customFormat="1" ht="15.75" customHeight="1" x14ac:dyDescent="0.2"/>
    <row r="893" s="553" customFormat="1" ht="15.75" customHeight="1" x14ac:dyDescent="0.2"/>
    <row r="894" s="553" customFormat="1" ht="15.75" customHeight="1" x14ac:dyDescent="0.2"/>
    <row r="895" s="553" customFormat="1" ht="15.75" customHeight="1" x14ac:dyDescent="0.2"/>
    <row r="896" s="553" customFormat="1" ht="15.75" customHeight="1" x14ac:dyDescent="0.2"/>
    <row r="897" s="553" customFormat="1" ht="15.75" customHeight="1" x14ac:dyDescent="0.2"/>
    <row r="898" s="553" customFormat="1" ht="15.75" customHeight="1" x14ac:dyDescent="0.2"/>
    <row r="899" s="553" customFormat="1" ht="15.75" customHeight="1" x14ac:dyDescent="0.2"/>
    <row r="900" s="553" customFormat="1" ht="15.75" customHeight="1" x14ac:dyDescent="0.2"/>
    <row r="901" s="553" customFormat="1" ht="15.75" customHeight="1" x14ac:dyDescent="0.2"/>
    <row r="902" s="553" customFormat="1" ht="15.75" customHeight="1" x14ac:dyDescent="0.2"/>
    <row r="903" s="553" customFormat="1" ht="15.75" customHeight="1" x14ac:dyDescent="0.2"/>
    <row r="904" s="553" customFormat="1" ht="15.75" customHeight="1" x14ac:dyDescent="0.2"/>
    <row r="905" s="553" customFormat="1" ht="15.75" customHeight="1" x14ac:dyDescent="0.2"/>
    <row r="906" s="553" customFormat="1" ht="15.75" customHeight="1" x14ac:dyDescent="0.2"/>
    <row r="907" s="553" customFormat="1" ht="15.75" customHeight="1" x14ac:dyDescent="0.2"/>
    <row r="908" s="553" customFormat="1" ht="15.75" customHeight="1" x14ac:dyDescent="0.2"/>
    <row r="909" s="553" customFormat="1" ht="15.75" customHeight="1" x14ac:dyDescent="0.2"/>
    <row r="910" s="553" customFormat="1" ht="15.75" customHeight="1" x14ac:dyDescent="0.2"/>
    <row r="911" s="553" customFormat="1" ht="15.75" customHeight="1" x14ac:dyDescent="0.2"/>
    <row r="912" s="553" customFormat="1" ht="15.75" customHeight="1" x14ac:dyDescent="0.2"/>
    <row r="913" s="553" customFormat="1" ht="15.75" customHeight="1" x14ac:dyDescent="0.2"/>
    <row r="914" s="553" customFormat="1" ht="15.75" customHeight="1" x14ac:dyDescent="0.2"/>
    <row r="915" s="553" customFormat="1" ht="15.75" customHeight="1" x14ac:dyDescent="0.2"/>
    <row r="916" s="553" customFormat="1" ht="15.75" customHeight="1" x14ac:dyDescent="0.2"/>
    <row r="917" s="553" customFormat="1" ht="15.75" customHeight="1" x14ac:dyDescent="0.2"/>
    <row r="918" s="553" customFormat="1" ht="15.75" customHeight="1" x14ac:dyDescent="0.2"/>
    <row r="919" s="553" customFormat="1" ht="15.75" customHeight="1" x14ac:dyDescent="0.2"/>
    <row r="920" s="553" customFormat="1" ht="15.75" customHeight="1" x14ac:dyDescent="0.2"/>
    <row r="921" s="553" customFormat="1" ht="15.75" customHeight="1" x14ac:dyDescent="0.2"/>
    <row r="922" s="553" customFormat="1" ht="15.75" customHeight="1" x14ac:dyDescent="0.2"/>
    <row r="923" s="553" customFormat="1" ht="15.75" customHeight="1" x14ac:dyDescent="0.2"/>
    <row r="924" s="553" customFormat="1" ht="15.75" customHeight="1" x14ac:dyDescent="0.2"/>
    <row r="925" s="553" customFormat="1" ht="15.75" customHeight="1" x14ac:dyDescent="0.2"/>
    <row r="926" s="553" customFormat="1" ht="15.75" customHeight="1" x14ac:dyDescent="0.2"/>
    <row r="927" s="553" customFormat="1" ht="15.75" customHeight="1" x14ac:dyDescent="0.2"/>
    <row r="928" s="553" customFormat="1" ht="15.75" customHeight="1" x14ac:dyDescent="0.2"/>
    <row r="929" s="553" customFormat="1" ht="15.75" customHeight="1" x14ac:dyDescent="0.2"/>
    <row r="930" s="553" customFormat="1" ht="15.75" customHeight="1" x14ac:dyDescent="0.2"/>
    <row r="931" s="553" customFormat="1" ht="15.75" customHeight="1" x14ac:dyDescent="0.2"/>
    <row r="932" s="553" customFormat="1" ht="15.75" customHeight="1" x14ac:dyDescent="0.2"/>
    <row r="933" s="553" customFormat="1" ht="15.75" customHeight="1" x14ac:dyDescent="0.2"/>
    <row r="934" s="553" customFormat="1" ht="15.75" customHeight="1" x14ac:dyDescent="0.2"/>
    <row r="935" s="553" customFormat="1" ht="15.75" customHeight="1" x14ac:dyDescent="0.2"/>
    <row r="936" s="553" customFormat="1" ht="15.75" customHeight="1" x14ac:dyDescent="0.2"/>
    <row r="937" s="553" customFormat="1" ht="15.75" customHeight="1" x14ac:dyDescent="0.2"/>
    <row r="938" s="553" customFormat="1" ht="15.75" customHeight="1" x14ac:dyDescent="0.2"/>
    <row r="939" s="553" customFormat="1" ht="15.75" customHeight="1" x14ac:dyDescent="0.2"/>
    <row r="940" s="553" customFormat="1" ht="15.75" customHeight="1" x14ac:dyDescent="0.2"/>
    <row r="941" s="553" customFormat="1" ht="15.75" customHeight="1" x14ac:dyDescent="0.2"/>
    <row r="942" s="553" customFormat="1" ht="15.75" customHeight="1" x14ac:dyDescent="0.2"/>
    <row r="943" s="553" customFormat="1" ht="15.75" customHeight="1" x14ac:dyDescent="0.2"/>
    <row r="944" s="553" customFormat="1" ht="15.75" customHeight="1" x14ac:dyDescent="0.2"/>
    <row r="945" s="553" customFormat="1" ht="15.75" customHeight="1" x14ac:dyDescent="0.2"/>
    <row r="946" s="553" customFormat="1" ht="15.75" customHeight="1" x14ac:dyDescent="0.2"/>
    <row r="947" s="553" customFormat="1" ht="15.75" customHeight="1" x14ac:dyDescent="0.2"/>
    <row r="948" s="553" customFormat="1" ht="15.75" customHeight="1" x14ac:dyDescent="0.2"/>
    <row r="949" s="553" customFormat="1" ht="15.75" customHeight="1" x14ac:dyDescent="0.2"/>
    <row r="950" s="553" customFormat="1" ht="15.75" customHeight="1" x14ac:dyDescent="0.2"/>
    <row r="951" s="553" customFormat="1" ht="15.75" customHeight="1" x14ac:dyDescent="0.2"/>
    <row r="952" s="553" customFormat="1" ht="15.75" customHeight="1" x14ac:dyDescent="0.2"/>
    <row r="953" s="553" customFormat="1" ht="15.75" customHeight="1" x14ac:dyDescent="0.2"/>
    <row r="954" s="553" customFormat="1" ht="15.75" customHeight="1" x14ac:dyDescent="0.2"/>
    <row r="955" s="553" customFormat="1" ht="15.75" customHeight="1" x14ac:dyDescent="0.2"/>
    <row r="956" s="553" customFormat="1" ht="15.75" customHeight="1" x14ac:dyDescent="0.2"/>
    <row r="957" s="553" customFormat="1" ht="15.75" customHeight="1" x14ac:dyDescent="0.2"/>
    <row r="958" s="553" customFormat="1" ht="15.75" customHeight="1" x14ac:dyDescent="0.2"/>
    <row r="959" s="553" customFormat="1" ht="15.75" customHeight="1" x14ac:dyDescent="0.2"/>
    <row r="960" s="553" customFormat="1" ht="15.75" customHeight="1" x14ac:dyDescent="0.2"/>
    <row r="961" s="553" customFormat="1" ht="15.75" customHeight="1" x14ac:dyDescent="0.2"/>
    <row r="962" s="553" customFormat="1" ht="15.75" customHeight="1" x14ac:dyDescent="0.2"/>
    <row r="963" s="553" customFormat="1" ht="15.75" customHeight="1" x14ac:dyDescent="0.2"/>
    <row r="964" s="553" customFormat="1" ht="15.75" customHeight="1" x14ac:dyDescent="0.2"/>
    <row r="965" s="553" customFormat="1" ht="15.75" customHeight="1" x14ac:dyDescent="0.2"/>
    <row r="966" s="553" customFormat="1" ht="15.75" customHeight="1" x14ac:dyDescent="0.2"/>
    <row r="967" s="553" customFormat="1" ht="15.75" customHeight="1" x14ac:dyDescent="0.2"/>
    <row r="968" s="553" customFormat="1" ht="15.75" customHeight="1" x14ac:dyDescent="0.2"/>
    <row r="969" s="553" customFormat="1" ht="15.75" customHeight="1" x14ac:dyDescent="0.2"/>
    <row r="970" s="553" customFormat="1" ht="15.75" customHeight="1" x14ac:dyDescent="0.2"/>
    <row r="971" s="553" customFormat="1" ht="15.75" customHeight="1" x14ac:dyDescent="0.2"/>
    <row r="972" s="553" customFormat="1" ht="15.75" customHeight="1" x14ac:dyDescent="0.2"/>
    <row r="973" s="553" customFormat="1" ht="15.75" customHeight="1" x14ac:dyDescent="0.2"/>
    <row r="974" s="553" customFormat="1" ht="15.75" customHeight="1" x14ac:dyDescent="0.2"/>
    <row r="975" s="553" customFormat="1" ht="15.75" customHeight="1" x14ac:dyDescent="0.2"/>
    <row r="976" s="553" customFormat="1" ht="15.75" customHeight="1" x14ac:dyDescent="0.2"/>
    <row r="977" s="553" customFormat="1" ht="15.75" customHeight="1" x14ac:dyDescent="0.2"/>
    <row r="978" s="553" customFormat="1" ht="15.75" customHeight="1" x14ac:dyDescent="0.2"/>
    <row r="979" s="553" customFormat="1" ht="15.75" customHeight="1" x14ac:dyDescent="0.2"/>
    <row r="980" s="553" customFormat="1" ht="15.75" customHeight="1" x14ac:dyDescent="0.2"/>
    <row r="981" s="553" customFormat="1" ht="15.75" customHeight="1" x14ac:dyDescent="0.2"/>
    <row r="982" s="553" customFormat="1" ht="15.75" customHeight="1" x14ac:dyDescent="0.2"/>
    <row r="983" s="553" customFormat="1" ht="15.75" customHeight="1" x14ac:dyDescent="0.2"/>
  </sheetData>
  <autoFilter ref="B29:Q32" xr:uid="{00000000-0009-0000-0000-000003000000}"/>
  <mergeCells count="3">
    <mergeCell ref="B28:K28"/>
    <mergeCell ref="L28:Q28"/>
    <mergeCell ref="S28:V28"/>
  </mergeCells>
  <pageMargins left="0.70866141732283472" right="0.70866141732283472" top="0.74803149606299213" bottom="0.74803149606299213" header="0" footer="0"/>
  <pageSetup scale="5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7513-1759-4435-86A9-8BFD532A99B2}">
  <sheetPr>
    <pageSetUpPr fitToPage="1"/>
  </sheetPr>
  <dimension ref="B2:U983"/>
  <sheetViews>
    <sheetView topLeftCell="A11" zoomScale="85" zoomScaleNormal="85" zoomScaleSheetLayoutView="85" workbookViewId="0">
      <selection activeCell="E45" sqref="E45"/>
    </sheetView>
  </sheetViews>
  <sheetFormatPr defaultColWidth="14.42578125" defaultRowHeight="15" customHeight="1" x14ac:dyDescent="0.2"/>
  <cols>
    <col min="1" max="1" width="5.7109375" style="553" customWidth="1"/>
    <col min="2" max="2" width="9.42578125" style="553" customWidth="1"/>
    <col min="3" max="3" width="25.7109375" style="553" hidden="1" customWidth="1"/>
    <col min="4" max="4" width="14.28515625" style="553" customWidth="1"/>
    <col min="5" max="5" width="30.7109375" style="553" customWidth="1"/>
    <col min="6" max="6" width="22.42578125" style="553" customWidth="1"/>
    <col min="7" max="8" width="14.85546875" style="553" customWidth="1"/>
    <col min="9" max="10" width="13.7109375" style="553" customWidth="1"/>
    <col min="11" max="11" width="16.28515625" style="553" customWidth="1"/>
    <col min="12" max="12" width="10.42578125" style="553" customWidth="1"/>
    <col min="13" max="14" width="11.85546875" style="553" customWidth="1"/>
    <col min="15" max="15" width="10.7109375" style="553" customWidth="1"/>
    <col min="16" max="16" width="20.7109375" style="553" customWidth="1"/>
    <col min="17" max="17" width="5.7109375" style="553" customWidth="1"/>
    <col min="18" max="20" width="13.28515625" style="553" customWidth="1"/>
    <col min="21" max="21" width="30.7109375" style="553" customWidth="1"/>
    <col min="22" max="16384" width="14.42578125" style="553"/>
  </cols>
  <sheetData>
    <row r="2" spans="2:6" ht="13.5" customHeight="1" x14ac:dyDescent="0.2">
      <c r="B2" s="556"/>
      <c r="C2" s="556"/>
      <c r="D2" s="557"/>
      <c r="E2" s="558"/>
      <c r="F2" s="303" t="s">
        <v>289</v>
      </c>
    </row>
    <row r="3" spans="2:6" ht="13.5" customHeight="1" x14ac:dyDescent="0.2">
      <c r="B3" s="556"/>
      <c r="C3" s="556"/>
      <c r="E3" s="559"/>
      <c r="F3" s="557"/>
    </row>
    <row r="4" spans="2:6" ht="13.5" customHeight="1" x14ac:dyDescent="0.2">
      <c r="B4" s="556"/>
      <c r="C4" s="556"/>
      <c r="E4" s="559"/>
      <c r="F4" s="13" t="s">
        <v>63</v>
      </c>
    </row>
    <row r="5" spans="2:6" ht="13.5" customHeight="1" x14ac:dyDescent="0.2">
      <c r="B5" s="556"/>
      <c r="C5" s="556"/>
      <c r="E5" s="559"/>
      <c r="F5" s="14" t="s">
        <v>64</v>
      </c>
    </row>
    <row r="6" spans="2:6" ht="13.5" customHeight="1" x14ac:dyDescent="0.2">
      <c r="B6" s="556"/>
      <c r="C6" s="556"/>
      <c r="E6" s="559"/>
      <c r="F6" s="14" t="s">
        <v>65</v>
      </c>
    </row>
    <row r="7" spans="2:6" ht="13.5" customHeight="1" x14ac:dyDescent="0.2">
      <c r="B7" s="556"/>
      <c r="C7" s="556"/>
      <c r="E7" s="559"/>
      <c r="F7" s="14" t="s">
        <v>66</v>
      </c>
    </row>
    <row r="8" spans="2:6" ht="13.5" customHeight="1" x14ac:dyDescent="0.2">
      <c r="B8" s="556"/>
      <c r="C8" s="556"/>
      <c r="E8" s="559"/>
      <c r="F8" s="14" t="s">
        <v>67</v>
      </c>
    </row>
    <row r="9" spans="2:6" ht="13.5" customHeight="1" x14ac:dyDescent="0.2">
      <c r="E9" s="559"/>
      <c r="F9" s="14" t="s">
        <v>68</v>
      </c>
    </row>
    <row r="10" spans="2:6" ht="13.5" customHeight="1" x14ac:dyDescent="0.25">
      <c r="B10" s="556"/>
      <c r="C10" s="556"/>
      <c r="D10" s="562"/>
      <c r="E10" s="559"/>
      <c r="F10" s="14" t="s">
        <v>69</v>
      </c>
    </row>
    <row r="11" spans="2:6" ht="13.5" customHeight="1" x14ac:dyDescent="0.25">
      <c r="B11" s="562"/>
      <c r="C11" s="562"/>
      <c r="D11" s="562"/>
      <c r="E11" s="559"/>
      <c r="F11" s="14" t="s">
        <v>70</v>
      </c>
    </row>
    <row r="12" spans="2:6" ht="13.5" customHeight="1" x14ac:dyDescent="0.25">
      <c r="B12" s="562" t="s">
        <v>309</v>
      </c>
      <c r="C12" s="562"/>
      <c r="D12" s="562"/>
      <c r="E12" s="559"/>
      <c r="F12" s="12"/>
    </row>
    <row r="13" spans="2:6" ht="13.5" customHeight="1" x14ac:dyDescent="0.25">
      <c r="B13" s="563" t="s">
        <v>244</v>
      </c>
      <c r="C13" s="564"/>
      <c r="D13" s="562"/>
      <c r="E13" s="565"/>
      <c r="F13" s="12" t="s">
        <v>72</v>
      </c>
    </row>
    <row r="14" spans="2:6" ht="13.5" customHeight="1" x14ac:dyDescent="0.25">
      <c r="B14" s="566" t="s">
        <v>291</v>
      </c>
      <c r="C14" s="564"/>
      <c r="D14" s="562"/>
      <c r="E14" s="559"/>
      <c r="F14" s="12" t="s">
        <v>73</v>
      </c>
    </row>
    <row r="15" spans="2:6" ht="13.5" customHeight="1" x14ac:dyDescent="0.2">
      <c r="B15" s="556"/>
      <c r="C15" s="556"/>
      <c r="D15" s="556"/>
      <c r="E15" s="559"/>
      <c r="F15" s="557"/>
    </row>
    <row r="16" spans="2:6" ht="13.5" customHeight="1" x14ac:dyDescent="0.25">
      <c r="B16" s="556"/>
      <c r="C16" s="556"/>
      <c r="D16" s="556"/>
      <c r="E16" s="567" t="s">
        <v>0</v>
      </c>
      <c r="F16" s="562" t="s">
        <v>11</v>
      </c>
    </row>
    <row r="17" spans="2:21" ht="13.5" customHeight="1" x14ac:dyDescent="0.25">
      <c r="B17" s="556"/>
      <c r="C17" s="556"/>
      <c r="D17" s="556"/>
      <c r="E17" s="567" t="s">
        <v>74</v>
      </c>
      <c r="F17" s="562" t="s">
        <v>75</v>
      </c>
      <c r="G17" s="561"/>
      <c r="J17" s="562"/>
      <c r="P17" s="568"/>
      <c r="Q17" s="568"/>
      <c r="R17" s="559"/>
    </row>
    <row r="18" spans="2:21" ht="13.5" customHeight="1" x14ac:dyDescent="0.25">
      <c r="B18" s="556"/>
      <c r="C18" s="556"/>
      <c r="D18" s="569"/>
      <c r="F18" s="562"/>
      <c r="G18" s="561"/>
      <c r="J18" s="562"/>
      <c r="M18" s="562"/>
      <c r="P18" s="568"/>
      <c r="Q18" s="568"/>
      <c r="R18" s="559"/>
    </row>
    <row r="19" spans="2:21" ht="13.5" customHeight="1" x14ac:dyDescent="0.25">
      <c r="B19" s="556"/>
      <c r="C19" s="556"/>
      <c r="D19" s="569"/>
      <c r="E19" s="567" t="s">
        <v>76</v>
      </c>
      <c r="F19" s="569" t="s">
        <v>77</v>
      </c>
      <c r="G19" s="561"/>
      <c r="J19" s="562"/>
      <c r="P19" s="568"/>
      <c r="Q19" s="568"/>
      <c r="R19" s="559"/>
    </row>
    <row r="20" spans="2:21" ht="13.5" customHeight="1" x14ac:dyDescent="0.25">
      <c r="B20" s="556"/>
      <c r="C20" s="556"/>
      <c r="D20" s="569"/>
      <c r="E20" s="567"/>
      <c r="F20" s="569" t="s">
        <v>78</v>
      </c>
      <c r="G20" s="561"/>
      <c r="J20" s="562"/>
      <c r="P20" s="568"/>
      <c r="Q20" s="568"/>
      <c r="R20" s="559"/>
    </row>
    <row r="21" spans="2:21" ht="13.5" customHeight="1" x14ac:dyDescent="0.25">
      <c r="B21" s="556"/>
      <c r="C21" s="556"/>
      <c r="D21" s="569"/>
      <c r="F21" s="569" t="s">
        <v>79</v>
      </c>
      <c r="K21" s="568"/>
      <c r="P21" s="568"/>
      <c r="Q21" s="568"/>
      <c r="R21" s="559"/>
    </row>
    <row r="22" spans="2:21" ht="13.5" customHeight="1" x14ac:dyDescent="0.25">
      <c r="B22" s="556"/>
      <c r="C22" s="556"/>
      <c r="D22" s="569"/>
      <c r="F22" s="569" t="s">
        <v>80</v>
      </c>
      <c r="J22" s="562"/>
      <c r="K22" s="570"/>
      <c r="P22" s="568"/>
      <c r="Q22" s="568"/>
      <c r="R22" s="559"/>
    </row>
    <row r="23" spans="2:21" ht="13.5" customHeight="1" x14ac:dyDescent="0.25">
      <c r="B23" s="556"/>
      <c r="C23" s="556"/>
      <c r="D23" s="569"/>
      <c r="F23" s="562"/>
      <c r="G23" s="561"/>
      <c r="K23" s="562"/>
      <c r="L23" s="570"/>
      <c r="R23" s="559"/>
    </row>
    <row r="24" spans="2:21" ht="13.5" customHeight="1" x14ac:dyDescent="0.25">
      <c r="B24" s="556"/>
      <c r="C24" s="556"/>
      <c r="D24" s="556"/>
      <c r="E24" s="568" t="s">
        <v>81</v>
      </c>
      <c r="F24" s="569" t="s">
        <v>82</v>
      </c>
      <c r="G24" s="561"/>
      <c r="H24" s="562"/>
      <c r="K24" s="562"/>
      <c r="L24" s="568"/>
      <c r="R24" s="559"/>
    </row>
    <row r="25" spans="2:21" ht="13.5" customHeight="1" x14ac:dyDescent="0.25">
      <c r="B25" s="556"/>
      <c r="C25" s="556"/>
      <c r="D25" s="556"/>
      <c r="E25" s="559"/>
      <c r="F25" s="569" t="s">
        <v>83</v>
      </c>
      <c r="K25" s="562"/>
      <c r="L25" s="568"/>
      <c r="M25" s="571"/>
      <c r="N25" s="20" t="s">
        <v>84</v>
      </c>
      <c r="P25" s="74">
        <v>0</v>
      </c>
      <c r="R25" s="559"/>
    </row>
    <row r="26" spans="2:21" ht="13.5" customHeight="1" x14ac:dyDescent="0.25">
      <c r="B26" s="556"/>
      <c r="C26" s="556"/>
      <c r="D26" s="556"/>
      <c r="E26" s="559"/>
      <c r="F26" s="557"/>
      <c r="K26" s="562"/>
      <c r="L26" s="568"/>
      <c r="M26" s="571"/>
      <c r="N26" s="20" t="s">
        <v>85</v>
      </c>
      <c r="P26" s="74">
        <v>3.95</v>
      </c>
      <c r="R26" s="559"/>
    </row>
    <row r="27" spans="2:21" ht="13.5" customHeight="1" thickBot="1" x14ac:dyDescent="0.3">
      <c r="B27" s="556"/>
      <c r="C27" s="556"/>
      <c r="D27" s="569"/>
      <c r="E27" s="559"/>
      <c r="F27" s="557"/>
      <c r="R27" s="559"/>
    </row>
    <row r="28" spans="2:21" ht="20.25" customHeight="1" thickTop="1" thickBot="1" x14ac:dyDescent="0.25">
      <c r="B28" s="643" t="s">
        <v>87</v>
      </c>
      <c r="C28" s="644"/>
      <c r="D28" s="645"/>
      <c r="E28" s="645"/>
      <c r="F28" s="645"/>
      <c r="G28" s="645"/>
      <c r="H28" s="645"/>
      <c r="I28" s="645"/>
      <c r="J28" s="645"/>
      <c r="K28" s="646"/>
      <c r="L28" s="643" t="str">
        <f>B12</f>
        <v>PEDIDO No. 317 D (MAQUILAS)</v>
      </c>
      <c r="M28" s="645"/>
      <c r="N28" s="645"/>
      <c r="O28" s="645"/>
      <c r="P28" s="646"/>
      <c r="R28" s="647" t="s">
        <v>137</v>
      </c>
      <c r="S28" s="648"/>
      <c r="T28" s="648"/>
      <c r="U28" s="649"/>
    </row>
    <row r="29" spans="2:21" ht="34.5" customHeight="1" thickTop="1" x14ac:dyDescent="0.2">
      <c r="B29" s="573" t="s">
        <v>88</v>
      </c>
      <c r="C29" s="574" t="s">
        <v>89</v>
      </c>
      <c r="D29" s="573" t="s">
        <v>90</v>
      </c>
      <c r="E29" s="573" t="s">
        <v>16</v>
      </c>
      <c r="F29" s="573" t="s">
        <v>91</v>
      </c>
      <c r="G29" s="573" t="s">
        <v>24</v>
      </c>
      <c r="H29" s="573" t="s">
        <v>92</v>
      </c>
      <c r="I29" s="573" t="s">
        <v>18</v>
      </c>
      <c r="J29" s="573" t="s">
        <v>19</v>
      </c>
      <c r="K29" s="575" t="s">
        <v>17</v>
      </c>
      <c r="L29" s="575" t="s">
        <v>93</v>
      </c>
      <c r="M29" s="575" t="s">
        <v>94</v>
      </c>
      <c r="N29" s="573" t="s">
        <v>26</v>
      </c>
      <c r="O29" s="573" t="s">
        <v>27</v>
      </c>
      <c r="P29" s="575" t="s">
        <v>95</v>
      </c>
      <c r="R29" s="576" t="s">
        <v>131</v>
      </c>
      <c r="S29" s="576" t="s">
        <v>130</v>
      </c>
      <c r="T29" s="576" t="s">
        <v>97</v>
      </c>
      <c r="U29" s="576" t="s">
        <v>23</v>
      </c>
    </row>
    <row r="30" spans="2:21" ht="80.099999999999994" customHeight="1" x14ac:dyDescent="0.2">
      <c r="B30" s="577">
        <v>1</v>
      </c>
      <c r="C30" s="578" t="s">
        <v>250</v>
      </c>
      <c r="D30" s="579" t="s">
        <v>296</v>
      </c>
      <c r="E30" s="580" t="s">
        <v>295</v>
      </c>
      <c r="F30" s="581"/>
      <c r="G30" s="582">
        <v>6.1</v>
      </c>
      <c r="H30" s="583" t="s">
        <v>5</v>
      </c>
      <c r="I30" s="584">
        <v>0</v>
      </c>
      <c r="J30" s="585">
        <v>0.217</v>
      </c>
      <c r="K30" s="39" t="s">
        <v>39</v>
      </c>
      <c r="L30" s="582">
        <v>32</v>
      </c>
      <c r="M30" s="586">
        <f>L30*G30</f>
        <v>195.2</v>
      </c>
      <c r="N30" s="587">
        <f>M30*I30</f>
        <v>0</v>
      </c>
      <c r="O30" s="587">
        <f>M30*J30</f>
        <v>42.358399999999996</v>
      </c>
      <c r="P30" s="41">
        <f t="shared" ref="P30:P31" si="0">($P$25*N30)+($P$26*O30)</f>
        <v>167.31567999999999</v>
      </c>
      <c r="R30" s="590" t="e">
        <f>+N30+#REF!+#REF!</f>
        <v>#REF!</v>
      </c>
      <c r="S30" s="591" t="e">
        <f>(500-$R30)</f>
        <v>#REF!</v>
      </c>
      <c r="T30" s="591" t="e">
        <f>$S30/#REF!/#REF!</f>
        <v>#REF!</v>
      </c>
      <c r="U30" s="554" t="s">
        <v>7</v>
      </c>
    </row>
    <row r="31" spans="2:21" ht="80.099999999999994" customHeight="1" x14ac:dyDescent="0.2">
      <c r="B31" s="577">
        <f>B30+1</f>
        <v>2</v>
      </c>
      <c r="C31" s="578"/>
      <c r="D31" s="579" t="s">
        <v>294</v>
      </c>
      <c r="E31" s="580" t="s">
        <v>293</v>
      </c>
      <c r="F31" s="583"/>
      <c r="G31" s="582">
        <v>6.1</v>
      </c>
      <c r="H31" s="583" t="s">
        <v>5</v>
      </c>
      <c r="I31" s="584">
        <v>0</v>
      </c>
      <c r="J31" s="585">
        <v>0.318</v>
      </c>
      <c r="K31" s="39" t="s">
        <v>39</v>
      </c>
      <c r="L31" s="582">
        <v>35</v>
      </c>
      <c r="M31" s="586">
        <f>L31*G31</f>
        <v>213.5</v>
      </c>
      <c r="N31" s="587">
        <f>M31*I31</f>
        <v>0</v>
      </c>
      <c r="O31" s="587">
        <f>M31*J31</f>
        <v>67.893000000000001</v>
      </c>
      <c r="P31" s="41">
        <f t="shared" si="0"/>
        <v>268.17734999999999</v>
      </c>
      <c r="R31" s="590" t="e">
        <f>+N31+#REF!+#REF!</f>
        <v>#REF!</v>
      </c>
      <c r="S31" s="591" t="e">
        <f>(500-$R31)</f>
        <v>#REF!</v>
      </c>
      <c r="T31" s="591" t="e">
        <f>$S31/#REF!/#REF!</f>
        <v>#REF!</v>
      </c>
      <c r="U31" s="554" t="s">
        <v>7</v>
      </c>
    </row>
    <row r="32" spans="2:21" ht="13.5" customHeight="1" thickBot="1" x14ac:dyDescent="0.25">
      <c r="B32" s="592"/>
      <c r="C32" s="592"/>
      <c r="D32" s="592"/>
      <c r="E32" s="592"/>
      <c r="F32" s="593"/>
      <c r="G32" s="594"/>
      <c r="H32" s="592"/>
      <c r="I32" s="595"/>
      <c r="J32" s="596"/>
      <c r="K32" s="595"/>
      <c r="L32" s="597"/>
      <c r="M32" s="594"/>
      <c r="N32" s="598"/>
      <c r="O32" s="598"/>
      <c r="P32" s="598"/>
      <c r="R32" s="599"/>
      <c r="S32" s="600"/>
      <c r="T32" s="600"/>
      <c r="U32" s="555"/>
    </row>
    <row r="33" spans="2:18" ht="13.5" customHeight="1" thickTop="1" thickBot="1" x14ac:dyDescent="0.3">
      <c r="B33" s="559"/>
      <c r="C33" s="559"/>
      <c r="D33" s="601"/>
      <c r="E33" s="602"/>
      <c r="I33" s="603"/>
      <c r="J33" s="603"/>
      <c r="K33" s="604"/>
      <c r="L33" s="604"/>
      <c r="M33" s="604"/>
      <c r="N33" s="604"/>
      <c r="O33" s="605"/>
      <c r="P33" s="606"/>
      <c r="R33" s="559"/>
    </row>
    <row r="34" spans="2:18" ht="13.5" customHeight="1" thickBot="1" x14ac:dyDescent="0.3">
      <c r="B34" s="559"/>
      <c r="C34" s="559"/>
      <c r="D34" s="607"/>
      <c r="E34" s="608" t="s">
        <v>240</v>
      </c>
      <c r="I34" s="603"/>
      <c r="J34" s="609" t="s">
        <v>98</v>
      </c>
      <c r="K34" s="610"/>
      <c r="L34" s="611">
        <f>SUM(L30:L32)</f>
        <v>67</v>
      </c>
      <c r="M34" s="612">
        <f>SUM(M30:M32)</f>
        <v>408.7</v>
      </c>
      <c r="N34" s="612">
        <f>SUM(N30:N32)</f>
        <v>0</v>
      </c>
      <c r="O34" s="613">
        <f>SUM(O30:O32)</f>
        <v>110.25139999999999</v>
      </c>
      <c r="P34" s="615">
        <f>SUM(P30:P33)</f>
        <v>435.49302999999998</v>
      </c>
      <c r="R34" s="559"/>
    </row>
    <row r="35" spans="2:18" ht="13.5" customHeight="1" x14ac:dyDescent="0.2">
      <c r="B35" s="559"/>
      <c r="C35" s="559"/>
      <c r="D35" s="607"/>
      <c r="E35" s="628">
        <v>45973</v>
      </c>
      <c r="I35" s="616"/>
      <c r="J35" s="603"/>
      <c r="K35" s="604"/>
      <c r="L35" s="604"/>
      <c r="M35" s="604"/>
      <c r="N35" s="604"/>
      <c r="P35" s="606"/>
      <c r="R35" s="559"/>
    </row>
    <row r="36" spans="2:18" ht="13.5" customHeight="1" x14ac:dyDescent="0.25">
      <c r="B36" s="559"/>
      <c r="C36" s="559"/>
      <c r="D36" s="607"/>
      <c r="E36" s="608"/>
      <c r="H36" s="562"/>
      <c r="I36" s="617"/>
      <c r="J36" s="568"/>
      <c r="K36" s="617"/>
      <c r="L36" s="568"/>
      <c r="M36" s="568"/>
      <c r="N36" s="568"/>
      <c r="O36" s="20" t="s">
        <v>104</v>
      </c>
      <c r="P36" s="74">
        <f>(N34*P25)+(O34*P26)</f>
        <v>435.49302999999998</v>
      </c>
      <c r="R36" s="559"/>
    </row>
    <row r="37" spans="2:18" ht="13.5" customHeight="1" x14ac:dyDescent="0.2">
      <c r="B37" s="559"/>
      <c r="C37" s="559"/>
      <c r="D37" s="607"/>
      <c r="E37" s="608"/>
      <c r="H37" s="620"/>
      <c r="I37" s="621" t="s">
        <v>57</v>
      </c>
      <c r="J37" s="568"/>
      <c r="K37" s="617"/>
      <c r="L37" s="568"/>
      <c r="M37" s="568"/>
      <c r="N37" s="568"/>
      <c r="O37" s="78" t="s">
        <v>106</v>
      </c>
      <c r="P37" s="79">
        <f>+P36*1</f>
        <v>435.49302999999998</v>
      </c>
      <c r="R37" s="559"/>
    </row>
    <row r="38" spans="2:18" ht="13.5" customHeight="1" x14ac:dyDescent="0.2">
      <c r="B38" s="559"/>
      <c r="C38" s="559"/>
      <c r="D38" s="607"/>
      <c r="E38" s="608"/>
      <c r="H38" s="620"/>
      <c r="I38" s="623" t="s">
        <v>292</v>
      </c>
      <c r="J38" s="617"/>
      <c r="K38" s="617"/>
      <c r="L38" s="568"/>
      <c r="M38" s="568"/>
      <c r="N38" s="568"/>
      <c r="O38" s="20" t="s">
        <v>96</v>
      </c>
      <c r="P38" s="74">
        <f>+P36-P37</f>
        <v>0</v>
      </c>
      <c r="R38" s="559"/>
    </row>
    <row r="39" spans="2:18" ht="13.5" customHeight="1" x14ac:dyDescent="0.2">
      <c r="B39" s="559"/>
      <c r="C39" s="559"/>
      <c r="D39" s="607"/>
      <c r="E39" s="608"/>
      <c r="H39" s="620"/>
      <c r="I39" s="559" t="s">
        <v>8</v>
      </c>
      <c r="K39" s="617"/>
      <c r="L39" s="568"/>
      <c r="M39" s="568"/>
      <c r="N39" s="568"/>
      <c r="O39" s="84" t="s">
        <v>107</v>
      </c>
      <c r="P39" s="85">
        <f>+P38*0.16</f>
        <v>0</v>
      </c>
      <c r="Q39" s="624"/>
      <c r="R39" s="559"/>
    </row>
    <row r="40" spans="2:18" ht="13.5" customHeight="1" x14ac:dyDescent="0.2">
      <c r="B40" s="559"/>
      <c r="C40" s="559"/>
      <c r="D40" s="607"/>
      <c r="E40" s="608"/>
      <c r="H40" s="620"/>
      <c r="I40" s="621" t="s">
        <v>9</v>
      </c>
      <c r="K40" s="617"/>
      <c r="L40" s="568"/>
      <c r="M40" s="568"/>
      <c r="N40" s="568"/>
      <c r="O40" s="84" t="s">
        <v>7</v>
      </c>
      <c r="P40" s="85">
        <f>+P38+P39</f>
        <v>0</v>
      </c>
      <c r="Q40" s="572"/>
      <c r="R40" s="559"/>
    </row>
    <row r="41" spans="2:18" ht="13.5" customHeight="1" x14ac:dyDescent="0.25">
      <c r="B41" s="559"/>
      <c r="C41" s="559"/>
      <c r="D41" s="607"/>
      <c r="E41" s="608"/>
      <c r="I41" s="603" t="s">
        <v>10</v>
      </c>
      <c r="J41" s="562"/>
      <c r="L41" s="568"/>
      <c r="M41" s="568"/>
      <c r="N41" s="568"/>
      <c r="O41" s="20"/>
      <c r="P41" s="74"/>
      <c r="Q41" s="568"/>
      <c r="R41" s="559"/>
    </row>
    <row r="42" spans="2:18" ht="13.5" customHeight="1" x14ac:dyDescent="0.25">
      <c r="B42" s="559"/>
      <c r="C42" s="559"/>
      <c r="D42" s="607"/>
      <c r="E42" s="608"/>
      <c r="I42" s="603"/>
      <c r="J42" s="562"/>
      <c r="L42" s="568"/>
      <c r="M42" s="568"/>
      <c r="N42" s="568"/>
      <c r="O42" s="84" t="s">
        <v>109</v>
      </c>
      <c r="P42" s="24">
        <f>+P40*20</f>
        <v>0</v>
      </c>
      <c r="Q42" s="568"/>
      <c r="R42" s="559"/>
    </row>
    <row r="43" spans="2:18" ht="15.75" customHeight="1" x14ac:dyDescent="0.2">
      <c r="B43" s="559"/>
      <c r="C43" s="559"/>
      <c r="D43" s="607"/>
      <c r="E43" s="608"/>
    </row>
    <row r="44" spans="2:18" ht="15.75" customHeight="1" x14ac:dyDescent="0.2">
      <c r="B44" s="559"/>
      <c r="C44" s="559"/>
      <c r="D44" s="607"/>
      <c r="E44" s="608"/>
    </row>
    <row r="45" spans="2:18" ht="15.75" customHeight="1" x14ac:dyDescent="0.2">
      <c r="B45" s="559"/>
      <c r="C45" s="559"/>
      <c r="D45" s="607"/>
      <c r="E45" s="608"/>
    </row>
    <row r="46" spans="2:18" ht="15.75" customHeight="1" x14ac:dyDescent="0.2">
      <c r="B46" s="559"/>
      <c r="C46" s="559"/>
      <c r="D46" s="607"/>
      <c r="E46" s="608"/>
    </row>
    <row r="47" spans="2:18" ht="15.75" customHeight="1" x14ac:dyDescent="0.2">
      <c r="B47" s="559"/>
      <c r="C47" s="559"/>
      <c r="D47" s="607"/>
      <c r="E47" s="608"/>
    </row>
    <row r="48" spans="2:18" ht="15.75" customHeight="1" x14ac:dyDescent="0.2">
      <c r="B48" s="559"/>
      <c r="C48" s="559"/>
      <c r="D48" s="607"/>
      <c r="E48" s="608"/>
    </row>
    <row r="49" spans="2:5" ht="15.75" customHeight="1" x14ac:dyDescent="0.2">
      <c r="B49" s="559"/>
      <c r="C49" s="559"/>
      <c r="D49" s="607"/>
      <c r="E49" s="608"/>
    </row>
    <row r="50" spans="2:5" ht="15.75" customHeight="1" x14ac:dyDescent="0.2">
      <c r="B50" s="559"/>
      <c r="C50" s="559"/>
      <c r="D50" s="607"/>
      <c r="E50" s="608"/>
    </row>
    <row r="51" spans="2:5" ht="15.75" customHeight="1" x14ac:dyDescent="0.2">
      <c r="B51" s="559"/>
      <c r="C51" s="559"/>
      <c r="D51" s="607"/>
      <c r="E51" s="608"/>
    </row>
    <row r="52" spans="2:5" ht="15.75" customHeight="1" x14ac:dyDescent="0.2">
      <c r="B52" s="559"/>
      <c r="C52" s="559"/>
      <c r="D52" s="607"/>
      <c r="E52" s="608"/>
    </row>
    <row r="53" spans="2:5" ht="15.75" customHeight="1" x14ac:dyDescent="0.2">
      <c r="B53" s="559"/>
      <c r="C53" s="559"/>
      <c r="D53" s="607"/>
      <c r="E53" s="608"/>
    </row>
    <row r="54" spans="2:5" ht="15.75" customHeight="1" x14ac:dyDescent="0.2">
      <c r="B54" s="559"/>
      <c r="C54" s="559"/>
      <c r="D54" s="607"/>
      <c r="E54" s="608"/>
    </row>
    <row r="55" spans="2:5" ht="15.75" customHeight="1" x14ac:dyDescent="0.2">
      <c r="B55" s="559"/>
      <c r="C55" s="559"/>
      <c r="D55" s="607"/>
      <c r="E55" s="608"/>
    </row>
    <row r="56" spans="2:5" ht="15.75" customHeight="1" x14ac:dyDescent="0.2"/>
    <row r="57" spans="2:5" ht="15.75" customHeight="1" x14ac:dyDescent="0.2"/>
    <row r="58" spans="2:5" ht="15.75" customHeight="1" x14ac:dyDescent="0.2"/>
    <row r="59" spans="2:5" ht="15.75" customHeight="1" x14ac:dyDescent="0.2"/>
    <row r="60" spans="2:5" ht="15.75" customHeight="1" x14ac:dyDescent="0.2"/>
    <row r="61" spans="2:5" ht="15.75" customHeight="1" x14ac:dyDescent="0.2"/>
    <row r="62" spans="2:5" ht="15.75" customHeight="1" x14ac:dyDescent="0.2"/>
    <row r="63" spans="2:5" ht="15.75" customHeight="1" x14ac:dyDescent="0.2"/>
    <row r="64" spans="2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autoFilter ref="B29:P32" xr:uid="{00000000-0009-0000-0000-000003000000}"/>
  <mergeCells count="3">
    <mergeCell ref="B28:K28"/>
    <mergeCell ref="L28:P28"/>
    <mergeCell ref="R28:U28"/>
  </mergeCells>
  <pageMargins left="0.70866141732283472" right="0.70866141732283472" top="0.74803149606299213" bottom="0.74803149606299213" header="0" footer="0"/>
  <pageSetup scale="5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AF66-A391-4759-8D4C-A9F118F4F25F}">
  <sheetPr>
    <tabColor rgb="FFFFFF00"/>
    <pageSetUpPr fitToPage="1"/>
  </sheetPr>
  <dimension ref="B1:U1012"/>
  <sheetViews>
    <sheetView topLeftCell="E5" zoomScale="70" zoomScaleNormal="70" workbookViewId="0">
      <selection activeCell="L55" sqref="L55:L58"/>
    </sheetView>
  </sheetViews>
  <sheetFormatPr defaultColWidth="14.42578125" defaultRowHeight="15" customHeight="1" x14ac:dyDescent="0.25"/>
  <cols>
    <col min="1" max="1" width="5.7109375" customWidth="1"/>
    <col min="2" max="2" width="9.42578125" customWidth="1"/>
    <col min="3" max="3" width="30.7109375" hidden="1" customWidth="1"/>
    <col min="4" max="4" width="34.42578125" customWidth="1"/>
    <col min="5" max="5" width="30.7109375" customWidth="1"/>
    <col min="6" max="6" width="22.42578125" customWidth="1"/>
    <col min="7" max="8" width="14.85546875" customWidth="1"/>
    <col min="9" max="10" width="13.7109375" customWidth="1"/>
    <col min="11" max="11" width="16.28515625" customWidth="1"/>
    <col min="12" max="12" width="10.42578125" customWidth="1"/>
    <col min="13" max="13" width="11.85546875" customWidth="1"/>
    <col min="14" max="14" width="11.85546875" style="493" customWidth="1"/>
    <col min="15" max="15" width="10.7109375" customWidth="1"/>
    <col min="16" max="16" width="20.7109375" customWidth="1"/>
    <col min="17" max="17" width="3.5703125" customWidth="1"/>
    <col min="18" max="20" width="15.7109375" customWidth="1"/>
    <col min="21" max="21" width="25.7109375" style="263" customWidth="1"/>
  </cols>
  <sheetData>
    <row r="1" spans="2:6" x14ac:dyDescent="0.25">
      <c r="C1" s="8"/>
    </row>
    <row r="2" spans="2:6" ht="13.5" customHeight="1" x14ac:dyDescent="0.25">
      <c r="B2" s="9"/>
      <c r="C2" s="10"/>
      <c r="D2" s="11"/>
      <c r="E2" s="12" t="s">
        <v>243</v>
      </c>
    </row>
    <row r="3" spans="2:6" ht="13.5" customHeight="1" x14ac:dyDescent="0.25">
      <c r="B3" s="9"/>
      <c r="C3" s="10"/>
      <c r="D3" s="12"/>
      <c r="E3" s="11"/>
    </row>
    <row r="4" spans="2:6" ht="13.5" customHeight="1" x14ac:dyDescent="0.25">
      <c r="B4" s="9"/>
      <c r="C4" s="10"/>
      <c r="D4" s="12"/>
      <c r="E4" s="13" t="s">
        <v>63</v>
      </c>
    </row>
    <row r="5" spans="2:6" ht="13.5" customHeight="1" x14ac:dyDescent="0.25">
      <c r="B5" s="9"/>
      <c r="C5" s="10"/>
      <c r="D5" s="12"/>
      <c r="E5" s="14" t="s">
        <v>64</v>
      </c>
    </row>
    <row r="6" spans="2:6" ht="13.5" customHeight="1" x14ac:dyDescent="0.25">
      <c r="B6" s="9"/>
      <c r="C6" s="10"/>
      <c r="D6" s="12"/>
      <c r="E6" s="14" t="s">
        <v>65</v>
      </c>
    </row>
    <row r="7" spans="2:6" ht="13.5" customHeight="1" x14ac:dyDescent="0.25">
      <c r="B7" s="9"/>
      <c r="C7" s="10"/>
      <c r="D7" s="12"/>
      <c r="E7" s="14" t="s">
        <v>66</v>
      </c>
    </row>
    <row r="8" spans="2:6" ht="13.5" customHeight="1" x14ac:dyDescent="0.25">
      <c r="B8" s="9"/>
      <c r="C8" s="10"/>
      <c r="D8" s="12"/>
      <c r="E8" s="14" t="s">
        <v>67</v>
      </c>
    </row>
    <row r="9" spans="2:6" ht="13.5" customHeight="1" x14ac:dyDescent="0.25">
      <c r="B9" s="12"/>
      <c r="C9" s="8"/>
      <c r="D9" s="12"/>
      <c r="E9" s="14" t="s">
        <v>68</v>
      </c>
    </row>
    <row r="10" spans="2:6" ht="13.5" customHeight="1" x14ac:dyDescent="0.25">
      <c r="B10" s="9"/>
      <c r="C10" s="10"/>
      <c r="D10" s="15"/>
      <c r="E10" s="14" t="s">
        <v>69</v>
      </c>
    </row>
    <row r="11" spans="2:6" ht="13.5" customHeight="1" x14ac:dyDescent="0.25">
      <c r="B11" s="15"/>
      <c r="C11" s="16"/>
      <c r="D11" s="15"/>
      <c r="E11" s="14" t="s">
        <v>70</v>
      </c>
    </row>
    <row r="12" spans="2:6" ht="13.5" customHeight="1" x14ac:dyDescent="0.25">
      <c r="B12" s="15" t="s">
        <v>242</v>
      </c>
      <c r="C12" s="16"/>
      <c r="D12" s="15"/>
      <c r="E12" s="12"/>
    </row>
    <row r="13" spans="2:6" ht="13.5" customHeight="1" x14ac:dyDescent="0.25">
      <c r="B13" s="262" t="s">
        <v>244</v>
      </c>
      <c r="C13" s="16"/>
      <c r="D13" s="15"/>
      <c r="E13" s="12" t="s">
        <v>72</v>
      </c>
    </row>
    <row r="14" spans="2:6" ht="13.5" customHeight="1" x14ac:dyDescent="0.25">
      <c r="B14" s="477" t="s">
        <v>241</v>
      </c>
      <c r="C14" s="16"/>
      <c r="D14" s="15"/>
      <c r="E14" s="12" t="s">
        <v>73</v>
      </c>
    </row>
    <row r="15" spans="2:6" ht="13.5" customHeight="1" x14ac:dyDescent="0.25">
      <c r="B15" s="477"/>
      <c r="C15" s="10"/>
      <c r="D15" s="9"/>
      <c r="E15" s="19"/>
      <c r="F15" s="11"/>
    </row>
    <row r="16" spans="2:6" ht="13.5" customHeight="1" x14ac:dyDescent="0.25">
      <c r="B16" s="18"/>
      <c r="C16" s="10"/>
      <c r="D16" s="9"/>
      <c r="E16" s="20" t="s">
        <v>0</v>
      </c>
      <c r="F16" s="15" t="s">
        <v>11</v>
      </c>
    </row>
    <row r="17" spans="2:21" ht="13.5" customHeight="1" x14ac:dyDescent="0.25">
      <c r="C17" s="10"/>
      <c r="D17" s="9"/>
      <c r="E17" s="20" t="s">
        <v>74</v>
      </c>
      <c r="F17" s="15" t="s">
        <v>75</v>
      </c>
      <c r="G17" s="14"/>
      <c r="H17" s="12"/>
      <c r="I17" s="12"/>
      <c r="J17" s="15"/>
      <c r="K17" s="12"/>
      <c r="L17" s="12"/>
      <c r="M17" s="12"/>
      <c r="N17" s="494"/>
      <c r="O17" s="12"/>
      <c r="P17" s="21"/>
      <c r="Q17" s="21"/>
      <c r="R17" s="19"/>
      <c r="S17" s="19"/>
      <c r="T17" s="19"/>
      <c r="U17" s="9"/>
    </row>
    <row r="18" spans="2:21" ht="13.5" customHeight="1" x14ac:dyDescent="0.25">
      <c r="C18" s="10"/>
      <c r="D18" s="17"/>
      <c r="E18" s="12"/>
      <c r="F18" s="15"/>
      <c r="G18" s="14"/>
      <c r="H18" s="12"/>
      <c r="I18" s="12"/>
      <c r="J18" s="15"/>
      <c r="K18" s="12"/>
      <c r="L18" s="12"/>
      <c r="M18" s="15"/>
      <c r="N18" s="494"/>
      <c r="O18" s="12"/>
      <c r="P18" s="21"/>
      <c r="Q18" s="21"/>
      <c r="R18" s="19"/>
      <c r="S18" s="19"/>
      <c r="T18" s="19"/>
      <c r="U18" s="9"/>
    </row>
    <row r="19" spans="2:21" ht="13.5" customHeight="1" x14ac:dyDescent="0.25">
      <c r="B19" s="9"/>
      <c r="C19" s="10"/>
      <c r="D19" s="17"/>
      <c r="E19" s="20" t="s">
        <v>76</v>
      </c>
      <c r="F19" s="17" t="s">
        <v>77</v>
      </c>
      <c r="G19" s="14"/>
      <c r="H19" s="12"/>
      <c r="I19" s="12"/>
      <c r="J19" s="15"/>
      <c r="K19" s="12"/>
      <c r="L19" s="12"/>
      <c r="M19" s="12"/>
      <c r="N19" s="494"/>
      <c r="O19" s="12"/>
      <c r="P19" s="21"/>
      <c r="Q19" s="21"/>
      <c r="R19" s="19"/>
      <c r="S19" s="19"/>
      <c r="T19" s="19"/>
      <c r="U19" s="9"/>
    </row>
    <row r="20" spans="2:21" ht="13.5" customHeight="1" x14ac:dyDescent="0.25">
      <c r="B20" s="9"/>
      <c r="C20" s="10"/>
      <c r="D20" s="17"/>
      <c r="E20" s="20"/>
      <c r="F20" s="17" t="s">
        <v>78</v>
      </c>
      <c r="G20" s="14"/>
      <c r="H20" s="12"/>
      <c r="I20" s="12"/>
      <c r="J20" s="15"/>
      <c r="K20" s="12"/>
      <c r="L20" s="12"/>
      <c r="M20" s="12"/>
      <c r="N20" s="494"/>
      <c r="O20" s="12"/>
      <c r="P20" s="21"/>
      <c r="Q20" s="21"/>
      <c r="R20" s="19"/>
      <c r="S20" s="19"/>
      <c r="T20" s="19"/>
      <c r="U20" s="9"/>
    </row>
    <row r="21" spans="2:21" ht="13.5" customHeight="1" x14ac:dyDescent="0.25">
      <c r="B21" s="9"/>
      <c r="C21" s="10"/>
      <c r="D21" s="17"/>
      <c r="E21" s="12"/>
      <c r="F21" s="17" t="s">
        <v>79</v>
      </c>
      <c r="G21" s="12"/>
      <c r="H21" s="12"/>
      <c r="I21" s="12"/>
      <c r="J21" s="12"/>
      <c r="K21" s="21"/>
      <c r="L21" s="12"/>
      <c r="M21" s="12"/>
      <c r="N21" s="494"/>
      <c r="O21" s="12"/>
      <c r="P21" s="21"/>
      <c r="Q21" s="21"/>
      <c r="R21" s="19"/>
      <c r="S21" s="19"/>
      <c r="T21" s="19"/>
      <c r="U21" s="9"/>
    </row>
    <row r="22" spans="2:21" ht="13.5" customHeight="1" x14ac:dyDescent="0.25">
      <c r="B22" s="9"/>
      <c r="C22" s="10"/>
      <c r="D22" s="17"/>
      <c r="E22" s="12"/>
      <c r="F22" s="17" t="s">
        <v>80</v>
      </c>
      <c r="G22" s="12"/>
      <c r="H22" s="12"/>
      <c r="I22" s="12"/>
      <c r="J22" s="15"/>
      <c r="K22" s="22"/>
      <c r="L22" s="12"/>
      <c r="M22" s="12"/>
      <c r="N22" s="494"/>
      <c r="O22" s="12"/>
      <c r="P22" s="21"/>
      <c r="Q22" s="21"/>
      <c r="R22" s="19"/>
      <c r="S22" s="19"/>
      <c r="T22" s="19"/>
      <c r="U22" s="9"/>
    </row>
    <row r="23" spans="2:21" ht="13.5" customHeight="1" x14ac:dyDescent="0.25">
      <c r="B23" s="9"/>
      <c r="C23" s="10"/>
      <c r="D23" s="17"/>
      <c r="E23" s="12"/>
      <c r="F23" s="15"/>
      <c r="G23" s="14"/>
      <c r="H23" s="12"/>
      <c r="I23" s="12"/>
      <c r="J23" s="12"/>
      <c r="K23" s="15"/>
      <c r="L23" s="22"/>
      <c r="M23" s="12"/>
      <c r="N23" s="494"/>
      <c r="O23" s="12"/>
      <c r="P23" s="12"/>
      <c r="Q23" s="12"/>
      <c r="R23" s="19"/>
      <c r="S23" s="19"/>
      <c r="T23" s="19"/>
      <c r="U23" s="9"/>
    </row>
    <row r="24" spans="2:21" ht="13.5" customHeight="1" x14ac:dyDescent="0.25">
      <c r="B24" s="9"/>
      <c r="C24" s="10"/>
      <c r="D24" s="9"/>
      <c r="E24" s="21" t="s">
        <v>81</v>
      </c>
      <c r="F24" s="17" t="s">
        <v>82</v>
      </c>
      <c r="G24" s="14"/>
      <c r="H24" s="15"/>
      <c r="I24" s="12"/>
      <c r="J24" s="12"/>
      <c r="K24" s="15"/>
      <c r="L24" s="21"/>
      <c r="M24" s="12"/>
      <c r="N24" s="494"/>
      <c r="O24" s="12"/>
      <c r="P24" s="12"/>
      <c r="Q24" s="12"/>
      <c r="R24" s="19"/>
      <c r="S24" s="19"/>
      <c r="T24" s="19"/>
      <c r="U24" s="9"/>
    </row>
    <row r="25" spans="2:21" ht="13.5" customHeight="1" x14ac:dyDescent="0.25">
      <c r="B25" s="9"/>
      <c r="C25" s="10"/>
      <c r="D25" s="9"/>
      <c r="E25" s="19"/>
      <c r="F25" s="17" t="s">
        <v>83</v>
      </c>
      <c r="G25" s="12"/>
      <c r="H25" s="12"/>
      <c r="I25" s="12"/>
      <c r="J25" s="12"/>
      <c r="K25" s="15"/>
      <c r="L25" s="21"/>
      <c r="M25" s="23"/>
      <c r="N25" s="495" t="s">
        <v>84</v>
      </c>
      <c r="O25" s="12"/>
      <c r="P25" s="24">
        <v>4.95</v>
      </c>
      <c r="Q25" s="24"/>
      <c r="R25" s="19"/>
      <c r="S25" s="19"/>
      <c r="T25" s="19"/>
      <c r="U25" s="9"/>
    </row>
    <row r="26" spans="2:21" ht="13.5" customHeight="1" x14ac:dyDescent="0.25">
      <c r="B26" s="9"/>
      <c r="C26" s="9"/>
      <c r="D26" s="9"/>
      <c r="E26" s="19"/>
      <c r="F26" s="11"/>
      <c r="G26" s="12"/>
      <c r="H26" s="12"/>
      <c r="I26" s="12"/>
      <c r="J26" s="12"/>
      <c r="K26" s="15"/>
      <c r="L26" s="21"/>
      <c r="M26" s="23"/>
      <c r="N26" s="495" t="s">
        <v>85</v>
      </c>
      <c r="O26" s="12"/>
      <c r="P26" s="24">
        <v>3.95</v>
      </c>
      <c r="Q26" s="24"/>
      <c r="R26" s="19"/>
      <c r="S26" s="19"/>
      <c r="T26" s="19"/>
      <c r="U26" s="9"/>
    </row>
    <row r="27" spans="2:21" ht="13.5" customHeight="1" thickBot="1" x14ac:dyDescent="0.3">
      <c r="B27" s="9"/>
      <c r="C27" s="9"/>
      <c r="D27" s="17" t="s">
        <v>86</v>
      </c>
      <c r="E27" s="19"/>
      <c r="F27" s="11"/>
      <c r="G27" s="12"/>
      <c r="H27" s="12"/>
      <c r="I27" s="12"/>
      <c r="J27" s="12"/>
      <c r="K27" s="12"/>
      <c r="L27" s="12"/>
      <c r="M27" s="12"/>
      <c r="N27" s="494"/>
      <c r="O27" s="12"/>
      <c r="P27" s="12"/>
      <c r="Q27" s="12"/>
      <c r="R27" s="19"/>
      <c r="S27" s="19"/>
      <c r="T27" s="19"/>
      <c r="U27" s="9"/>
    </row>
    <row r="28" spans="2:21" ht="20.25" customHeight="1" thickTop="1" thickBot="1" x14ac:dyDescent="0.3">
      <c r="B28" s="632" t="s">
        <v>87</v>
      </c>
      <c r="C28" s="633"/>
      <c r="D28" s="633"/>
      <c r="E28" s="633"/>
      <c r="F28" s="633"/>
      <c r="G28" s="633"/>
      <c r="H28" s="633"/>
      <c r="I28" s="633"/>
      <c r="J28" s="633"/>
      <c r="K28" s="634"/>
      <c r="L28" s="632" t="str">
        <f>B12</f>
        <v>PEDIDO No. 167 (PERFILES DE ALUMINIO)</v>
      </c>
      <c r="M28" s="633"/>
      <c r="N28" s="633"/>
      <c r="O28" s="633"/>
      <c r="P28" s="634"/>
      <c r="Q28" s="12"/>
      <c r="R28" s="635" t="s">
        <v>137</v>
      </c>
      <c r="S28" s="636"/>
      <c r="T28" s="636"/>
      <c r="U28" s="637"/>
    </row>
    <row r="29" spans="2:21" ht="13.5" customHeight="1" thickTop="1" x14ac:dyDescent="0.25">
      <c r="B29" s="25" t="s">
        <v>88</v>
      </c>
      <c r="C29" s="26" t="s">
        <v>89</v>
      </c>
      <c r="D29" s="25" t="s">
        <v>90</v>
      </c>
      <c r="E29" s="25" t="s">
        <v>16</v>
      </c>
      <c r="F29" s="25" t="s">
        <v>91</v>
      </c>
      <c r="G29" s="25" t="s">
        <v>24</v>
      </c>
      <c r="H29" s="25" t="s">
        <v>92</v>
      </c>
      <c r="I29" s="25" t="s">
        <v>18</v>
      </c>
      <c r="J29" s="25" t="s">
        <v>19</v>
      </c>
      <c r="K29" s="27" t="s">
        <v>17</v>
      </c>
      <c r="L29" s="27" t="s">
        <v>93</v>
      </c>
      <c r="M29" s="27" t="s">
        <v>94</v>
      </c>
      <c r="N29" s="481" t="s">
        <v>26</v>
      </c>
      <c r="O29" s="25" t="s">
        <v>27</v>
      </c>
      <c r="P29" s="27" t="s">
        <v>95</v>
      </c>
      <c r="Q29" s="12"/>
      <c r="R29" s="658" t="s">
        <v>131</v>
      </c>
      <c r="S29" s="658" t="s">
        <v>130</v>
      </c>
      <c r="T29" s="658" t="s">
        <v>97</v>
      </c>
      <c r="U29" s="658" t="s">
        <v>23</v>
      </c>
    </row>
    <row r="30" spans="2:21" ht="18" customHeight="1" thickBot="1" x14ac:dyDescent="0.3">
      <c r="B30" s="28"/>
      <c r="C30" s="29"/>
      <c r="D30" s="28"/>
      <c r="E30" s="28"/>
      <c r="F30" s="28"/>
      <c r="G30" s="30"/>
      <c r="H30" s="30"/>
      <c r="I30" s="28"/>
      <c r="J30" s="28"/>
      <c r="K30" s="31"/>
      <c r="L30" s="31"/>
      <c r="M30" s="31"/>
      <c r="N30" s="496"/>
      <c r="O30" s="28"/>
      <c r="P30" s="31"/>
      <c r="Q30" s="12"/>
      <c r="R30" s="659"/>
      <c r="S30" s="659"/>
      <c r="T30" s="659"/>
      <c r="U30" s="659"/>
    </row>
    <row r="31" spans="2:21" ht="57.75" customHeight="1" thickTop="1" x14ac:dyDescent="0.25">
      <c r="B31" s="32">
        <v>1</v>
      </c>
      <c r="C31" s="33" t="s">
        <v>216</v>
      </c>
      <c r="D31" s="34" t="s">
        <v>121</v>
      </c>
      <c r="E31" s="35" t="s">
        <v>123</v>
      </c>
      <c r="F31" s="36"/>
      <c r="G31" s="37">
        <v>3.66</v>
      </c>
      <c r="H31" s="36" t="s">
        <v>5</v>
      </c>
      <c r="I31" s="38">
        <v>0.84899999999999998</v>
      </c>
      <c r="J31" s="38">
        <v>0</v>
      </c>
      <c r="K31" s="39" t="s">
        <v>6</v>
      </c>
      <c r="L31" s="485">
        <v>147</v>
      </c>
      <c r="M31" s="37">
        <f t="shared" ref="M31:M66" si="0">L31*G31</f>
        <v>538.02</v>
      </c>
      <c r="N31" s="497">
        <f t="shared" ref="N31:N66" si="1">M31*I31</f>
        <v>456.77897999999999</v>
      </c>
      <c r="O31" s="40">
        <f t="shared" ref="O31:O66" si="2">M31*J31</f>
        <v>0</v>
      </c>
      <c r="P31" s="41">
        <f t="shared" ref="P31:P66" si="3">($P$25*N31)+($P$26*O31)</f>
        <v>2261.0559509999998</v>
      </c>
      <c r="Q31" s="12"/>
      <c r="R31" s="277">
        <f t="shared" ref="R31:R37" si="4">+N31</f>
        <v>456.77897999999999</v>
      </c>
      <c r="S31" s="278">
        <f t="shared" ref="S31:S37" si="5">(500-$R31)</f>
        <v>43.22102000000001</v>
      </c>
      <c r="T31" s="278">
        <f t="shared" ref="T31:T33" si="6">$S31/$I31/$G31</f>
        <v>13.909330810275028</v>
      </c>
      <c r="U31" s="279" t="s">
        <v>238</v>
      </c>
    </row>
    <row r="32" spans="2:21" ht="57.75" customHeight="1" x14ac:dyDescent="0.25">
      <c r="B32" s="32">
        <f t="shared" ref="B32:B66" si="7">B31+1</f>
        <v>2</v>
      </c>
      <c r="C32" s="33" t="s">
        <v>217</v>
      </c>
      <c r="D32" s="34" t="s">
        <v>28</v>
      </c>
      <c r="E32" s="35" t="s">
        <v>29</v>
      </c>
      <c r="F32" s="36"/>
      <c r="G32" s="37">
        <v>3.66</v>
      </c>
      <c r="H32" s="36" t="s">
        <v>5</v>
      </c>
      <c r="I32" s="38">
        <v>1.641</v>
      </c>
      <c r="J32" s="38">
        <v>0</v>
      </c>
      <c r="K32" s="39" t="s">
        <v>6</v>
      </c>
      <c r="L32" s="485">
        <v>92</v>
      </c>
      <c r="M32" s="37">
        <f t="shared" si="0"/>
        <v>336.72</v>
      </c>
      <c r="N32" s="497">
        <f t="shared" si="1"/>
        <v>552.55752000000007</v>
      </c>
      <c r="O32" s="40">
        <f t="shared" si="2"/>
        <v>0</v>
      </c>
      <c r="P32" s="41">
        <f t="shared" si="3"/>
        <v>2735.1597240000006</v>
      </c>
      <c r="Q32" s="12"/>
      <c r="R32" s="280">
        <f t="shared" si="4"/>
        <v>552.55752000000007</v>
      </c>
      <c r="S32" s="281">
        <f t="shared" si="5"/>
        <v>-52.557520000000068</v>
      </c>
      <c r="T32" s="281">
        <f t="shared" si="6"/>
        <v>-8.7507484107717985</v>
      </c>
      <c r="U32" s="282" t="s">
        <v>239</v>
      </c>
    </row>
    <row r="33" spans="2:21" ht="57.75" customHeight="1" x14ac:dyDescent="0.25">
      <c r="B33" s="32">
        <f t="shared" si="7"/>
        <v>3</v>
      </c>
      <c r="C33" s="33" t="s">
        <v>217</v>
      </c>
      <c r="D33" s="484" t="s">
        <v>31</v>
      </c>
      <c r="E33" s="35" t="s">
        <v>32</v>
      </c>
      <c r="F33" s="36"/>
      <c r="G33" s="37">
        <v>3.66</v>
      </c>
      <c r="H33" s="36" t="s">
        <v>5</v>
      </c>
      <c r="I33" s="38">
        <v>3.3929999999999998</v>
      </c>
      <c r="J33" s="38">
        <v>0</v>
      </c>
      <c r="K33" s="39" t="s">
        <v>6</v>
      </c>
      <c r="L33" s="485">
        <v>3</v>
      </c>
      <c r="M33" s="37">
        <f t="shared" si="0"/>
        <v>10.98</v>
      </c>
      <c r="N33" s="497">
        <f t="shared" si="1"/>
        <v>37.255139999999997</v>
      </c>
      <c r="O33" s="40">
        <f t="shared" si="2"/>
        <v>0</v>
      </c>
      <c r="P33" s="41">
        <f t="shared" si="3"/>
        <v>184.41294299999998</v>
      </c>
      <c r="Q33" s="12"/>
      <c r="R33" s="280">
        <f t="shared" si="4"/>
        <v>37.255139999999997</v>
      </c>
      <c r="S33" s="281">
        <f t="shared" si="5"/>
        <v>462.74486000000002</v>
      </c>
      <c r="T33" s="281">
        <f t="shared" si="6"/>
        <v>37.262900635992779</v>
      </c>
      <c r="U33" s="282" t="s">
        <v>239</v>
      </c>
    </row>
    <row r="34" spans="2:21" ht="57.75" customHeight="1" x14ac:dyDescent="0.25">
      <c r="B34" s="32">
        <f t="shared" si="7"/>
        <v>4</v>
      </c>
      <c r="C34" s="487" t="s">
        <v>250</v>
      </c>
      <c r="D34" s="34">
        <v>10563</v>
      </c>
      <c r="E34" s="35" t="s">
        <v>254</v>
      </c>
      <c r="F34" s="489"/>
      <c r="G34" s="37">
        <v>6.1</v>
      </c>
      <c r="H34" s="36" t="s">
        <v>5</v>
      </c>
      <c r="I34" s="490">
        <v>0.54800000000000004</v>
      </c>
      <c r="J34" s="491">
        <v>0</v>
      </c>
      <c r="K34" s="489" t="s">
        <v>6</v>
      </c>
      <c r="L34" s="485">
        <v>9</v>
      </c>
      <c r="M34" s="492">
        <f t="shared" si="0"/>
        <v>54.9</v>
      </c>
      <c r="N34" s="497">
        <f t="shared" si="1"/>
        <v>30.0852</v>
      </c>
      <c r="O34" s="40">
        <f t="shared" si="2"/>
        <v>0</v>
      </c>
      <c r="P34" s="41">
        <f t="shared" si="3"/>
        <v>148.92174</v>
      </c>
      <c r="Q34" s="12"/>
      <c r="R34" s="503">
        <f t="shared" si="4"/>
        <v>30.0852</v>
      </c>
      <c r="S34" s="504">
        <f t="shared" si="5"/>
        <v>469.91480000000001</v>
      </c>
      <c r="T34" s="504">
        <f t="shared" ref="T34:T37" si="8">$S34/$I35/$G35</f>
        <v>175.87948199715547</v>
      </c>
      <c r="U34" s="282" t="s">
        <v>255</v>
      </c>
    </row>
    <row r="35" spans="2:21" ht="57.75" customHeight="1" x14ac:dyDescent="0.25">
      <c r="B35" s="32">
        <f t="shared" si="7"/>
        <v>5</v>
      </c>
      <c r="C35" s="487" t="s">
        <v>250</v>
      </c>
      <c r="D35" s="34" t="s">
        <v>34</v>
      </c>
      <c r="E35" s="35" t="s">
        <v>35</v>
      </c>
      <c r="F35" s="489"/>
      <c r="G35" s="37">
        <v>6.1</v>
      </c>
      <c r="H35" s="36" t="s">
        <v>5</v>
      </c>
      <c r="I35" s="490">
        <v>0.438</v>
      </c>
      <c r="J35" s="491">
        <v>0</v>
      </c>
      <c r="K35" s="489" t="s">
        <v>6</v>
      </c>
      <c r="L35" s="485">
        <v>56</v>
      </c>
      <c r="M35" s="492">
        <f t="shared" si="0"/>
        <v>341.59999999999997</v>
      </c>
      <c r="N35" s="497">
        <f t="shared" si="1"/>
        <v>149.62079999999997</v>
      </c>
      <c r="O35" s="40">
        <f t="shared" si="2"/>
        <v>0</v>
      </c>
      <c r="P35" s="41">
        <f t="shared" si="3"/>
        <v>740.62295999999992</v>
      </c>
      <c r="Q35" s="12"/>
      <c r="R35" s="503">
        <f t="shared" si="4"/>
        <v>149.62079999999997</v>
      </c>
      <c r="S35" s="504">
        <f t="shared" si="5"/>
        <v>350.37920000000003</v>
      </c>
      <c r="T35" s="504">
        <f t="shared" si="8"/>
        <v>116.74636811941892</v>
      </c>
      <c r="U35" s="282" t="s">
        <v>255</v>
      </c>
    </row>
    <row r="36" spans="2:21" ht="57.75" customHeight="1" x14ac:dyDescent="0.25">
      <c r="B36" s="32">
        <f t="shared" si="7"/>
        <v>6</v>
      </c>
      <c r="C36" s="487" t="s">
        <v>250</v>
      </c>
      <c r="D36" s="34" t="s">
        <v>256</v>
      </c>
      <c r="E36" s="35" t="s">
        <v>257</v>
      </c>
      <c r="F36" s="489"/>
      <c r="G36" s="37">
        <v>3.66</v>
      </c>
      <c r="H36" s="36" t="s">
        <v>5</v>
      </c>
      <c r="I36" s="490">
        <v>0.82</v>
      </c>
      <c r="J36" s="491">
        <v>0.19700000000000001</v>
      </c>
      <c r="K36" s="489" t="s">
        <v>39</v>
      </c>
      <c r="L36" s="37">
        <v>10</v>
      </c>
      <c r="M36" s="492">
        <f t="shared" si="0"/>
        <v>36.6</v>
      </c>
      <c r="N36" s="497">
        <f t="shared" si="1"/>
        <v>30.012</v>
      </c>
      <c r="O36" s="40">
        <f t="shared" si="2"/>
        <v>7.2102000000000004</v>
      </c>
      <c r="P36" s="41">
        <f t="shared" si="3"/>
        <v>177.03969000000001</v>
      </c>
      <c r="Q36" s="12"/>
      <c r="R36" s="482">
        <f t="shared" si="4"/>
        <v>30.012</v>
      </c>
      <c r="S36" s="504">
        <f t="shared" si="5"/>
        <v>469.988</v>
      </c>
      <c r="T36" s="504">
        <f t="shared" si="8"/>
        <v>213.30900640851081</v>
      </c>
      <c r="U36" s="282" t="s">
        <v>255</v>
      </c>
    </row>
    <row r="37" spans="2:21" ht="57.75" customHeight="1" x14ac:dyDescent="0.25">
      <c r="B37" s="32">
        <f t="shared" si="7"/>
        <v>7</v>
      </c>
      <c r="C37" s="487" t="s">
        <v>250</v>
      </c>
      <c r="D37" s="34" t="s">
        <v>258</v>
      </c>
      <c r="E37" s="35" t="s">
        <v>259</v>
      </c>
      <c r="F37" s="489"/>
      <c r="G37" s="37">
        <v>3.66</v>
      </c>
      <c r="H37" s="36" t="s">
        <v>5</v>
      </c>
      <c r="I37" s="490">
        <v>0.60199999999999998</v>
      </c>
      <c r="J37" s="491">
        <v>0.14599999999999999</v>
      </c>
      <c r="K37" s="489" t="s">
        <v>39</v>
      </c>
      <c r="L37" s="37">
        <v>19</v>
      </c>
      <c r="M37" s="492">
        <f t="shared" si="0"/>
        <v>69.540000000000006</v>
      </c>
      <c r="N37" s="497">
        <f t="shared" si="1"/>
        <v>41.863080000000004</v>
      </c>
      <c r="O37" s="40">
        <f t="shared" si="2"/>
        <v>10.152839999999999</v>
      </c>
      <c r="P37" s="41">
        <f t="shared" si="3"/>
        <v>247.325964</v>
      </c>
      <c r="Q37" s="12"/>
      <c r="R37" s="482">
        <f t="shared" si="4"/>
        <v>41.863080000000004</v>
      </c>
      <c r="S37" s="504">
        <f t="shared" si="5"/>
        <v>458.13691999999998</v>
      </c>
      <c r="T37" s="504">
        <f t="shared" si="8"/>
        <v>131.61828315329808</v>
      </c>
      <c r="U37" s="282" t="s">
        <v>255</v>
      </c>
    </row>
    <row r="38" spans="2:21" ht="57.75" customHeight="1" x14ac:dyDescent="0.25">
      <c r="B38" s="32">
        <f t="shared" si="7"/>
        <v>8</v>
      </c>
      <c r="C38" s="33" t="s">
        <v>228</v>
      </c>
      <c r="D38" s="34" t="s">
        <v>46</v>
      </c>
      <c r="E38" s="35" t="s">
        <v>47</v>
      </c>
      <c r="F38" s="36"/>
      <c r="G38" s="37">
        <v>3.8</v>
      </c>
      <c r="H38" s="36" t="s">
        <v>5</v>
      </c>
      <c r="I38" s="38">
        <v>0.91600000000000004</v>
      </c>
      <c r="J38" s="38">
        <v>0.33900000000000002</v>
      </c>
      <c r="K38" s="39" t="s">
        <v>39</v>
      </c>
      <c r="L38" s="485">
        <v>70</v>
      </c>
      <c r="M38" s="37">
        <f t="shared" ref="M38:M48" si="9">L38*G38</f>
        <v>266</v>
      </c>
      <c r="N38" s="497">
        <f t="shared" ref="N38:N48" si="10">M38*I38</f>
        <v>243.65600000000001</v>
      </c>
      <c r="O38" s="40">
        <f t="shared" ref="O38:O48" si="11">M38*J38</f>
        <v>90.174000000000007</v>
      </c>
      <c r="P38" s="41">
        <f t="shared" ref="P38:P48" si="12">($P$25*N38)+($P$26*O38)</f>
        <v>1562.2845000000002</v>
      </c>
      <c r="Q38" s="12"/>
      <c r="R38" s="638">
        <f>+N38+N39+N41</f>
        <v>482.18240000000003</v>
      </c>
      <c r="S38" s="639">
        <f>(500-$R38)</f>
        <v>17.81759999999997</v>
      </c>
      <c r="T38" s="639">
        <f>$S38/$I41/$G41</f>
        <v>3.1373432877870067</v>
      </c>
      <c r="U38" s="629" t="s">
        <v>239</v>
      </c>
    </row>
    <row r="39" spans="2:21" ht="57.75" customHeight="1" x14ac:dyDescent="0.25">
      <c r="B39" s="32">
        <f t="shared" si="7"/>
        <v>9</v>
      </c>
      <c r="C39" s="33" t="s">
        <v>226</v>
      </c>
      <c r="D39" s="34" t="s">
        <v>46</v>
      </c>
      <c r="E39" s="35" t="s">
        <v>47</v>
      </c>
      <c r="F39" s="36"/>
      <c r="G39" s="37">
        <v>5.2</v>
      </c>
      <c r="H39" s="36" t="s">
        <v>5</v>
      </c>
      <c r="I39" s="38">
        <v>0.91600000000000004</v>
      </c>
      <c r="J39" s="38">
        <v>0.33900000000000002</v>
      </c>
      <c r="K39" s="39" t="s">
        <v>39</v>
      </c>
      <c r="L39" s="485">
        <v>0</v>
      </c>
      <c r="M39" s="37">
        <f t="shared" si="9"/>
        <v>0</v>
      </c>
      <c r="N39" s="497">
        <f t="shared" si="10"/>
        <v>0</v>
      </c>
      <c r="O39" s="40">
        <f t="shared" si="11"/>
        <v>0</v>
      </c>
      <c r="P39" s="41">
        <f t="shared" si="12"/>
        <v>0</v>
      </c>
      <c r="Q39" s="12"/>
      <c r="R39" s="638"/>
      <c r="S39" s="639"/>
      <c r="T39" s="639"/>
      <c r="U39" s="630"/>
    </row>
    <row r="40" spans="2:21" ht="57.75" customHeight="1" x14ac:dyDescent="0.25">
      <c r="B40" s="32">
        <f t="shared" si="7"/>
        <v>10</v>
      </c>
      <c r="C40" s="33" t="s">
        <v>229</v>
      </c>
      <c r="D40" s="34" t="s">
        <v>46</v>
      </c>
      <c r="E40" s="35" t="s">
        <v>47</v>
      </c>
      <c r="F40" s="36"/>
      <c r="G40" s="37">
        <v>5.6</v>
      </c>
      <c r="H40" s="36" t="s">
        <v>5</v>
      </c>
      <c r="I40" s="38">
        <v>0.91600000000000004</v>
      </c>
      <c r="J40" s="38">
        <v>0.33900000000000002</v>
      </c>
      <c r="K40" s="39" t="s">
        <v>39</v>
      </c>
      <c r="L40" s="485">
        <v>18</v>
      </c>
      <c r="M40" s="37">
        <f t="shared" si="9"/>
        <v>100.8</v>
      </c>
      <c r="N40" s="497">
        <f t="shared" si="10"/>
        <v>92.332800000000006</v>
      </c>
      <c r="O40" s="40">
        <f t="shared" si="11"/>
        <v>34.171199999999999</v>
      </c>
      <c r="P40" s="41">
        <f t="shared" si="12"/>
        <v>592.02359999999999</v>
      </c>
      <c r="Q40" s="12"/>
      <c r="R40" s="638"/>
      <c r="S40" s="639"/>
      <c r="T40" s="639"/>
      <c r="U40" s="630"/>
    </row>
    <row r="41" spans="2:21" ht="57.75" customHeight="1" x14ac:dyDescent="0.25">
      <c r="B41" s="32">
        <f t="shared" si="7"/>
        <v>11</v>
      </c>
      <c r="C41" s="33" t="s">
        <v>229</v>
      </c>
      <c r="D41" s="34" t="s">
        <v>46</v>
      </c>
      <c r="E41" s="35" t="s">
        <v>47</v>
      </c>
      <c r="F41" s="36"/>
      <c r="G41" s="37">
        <v>6.2</v>
      </c>
      <c r="H41" s="36" t="s">
        <v>5</v>
      </c>
      <c r="I41" s="38">
        <v>0.91600000000000004</v>
      </c>
      <c r="J41" s="38">
        <v>0.33900000000000002</v>
      </c>
      <c r="K41" s="39" t="s">
        <v>39</v>
      </c>
      <c r="L41" s="485">
        <v>42</v>
      </c>
      <c r="M41" s="37">
        <f t="shared" si="9"/>
        <v>260.40000000000003</v>
      </c>
      <c r="N41" s="497">
        <f t="shared" si="10"/>
        <v>238.52640000000005</v>
      </c>
      <c r="O41" s="40">
        <f t="shared" si="11"/>
        <v>88.275600000000011</v>
      </c>
      <c r="P41" s="41">
        <f t="shared" si="12"/>
        <v>1529.3943000000004</v>
      </c>
      <c r="Q41" s="12"/>
      <c r="R41" s="638"/>
      <c r="S41" s="639"/>
      <c r="T41" s="639"/>
      <c r="U41" s="631"/>
    </row>
    <row r="42" spans="2:21" ht="57.75" customHeight="1" x14ac:dyDescent="0.25">
      <c r="B42" s="32">
        <f t="shared" si="7"/>
        <v>12</v>
      </c>
      <c r="C42" s="33" t="s">
        <v>228</v>
      </c>
      <c r="D42" s="34" t="s">
        <v>48</v>
      </c>
      <c r="E42" s="35" t="s">
        <v>49</v>
      </c>
      <c r="F42" s="36"/>
      <c r="G42" s="37">
        <v>3.8</v>
      </c>
      <c r="H42" s="36" t="s">
        <v>5</v>
      </c>
      <c r="I42" s="38">
        <v>0.81</v>
      </c>
      <c r="J42" s="38">
        <v>0.28999999999999998</v>
      </c>
      <c r="K42" s="39" t="s">
        <v>39</v>
      </c>
      <c r="L42" s="485">
        <v>70</v>
      </c>
      <c r="M42" s="37">
        <f t="shared" si="9"/>
        <v>266</v>
      </c>
      <c r="N42" s="497">
        <f t="shared" si="10"/>
        <v>215.46</v>
      </c>
      <c r="O42" s="40">
        <f t="shared" si="11"/>
        <v>77.14</v>
      </c>
      <c r="P42" s="41">
        <f t="shared" si="12"/>
        <v>1371.23</v>
      </c>
      <c r="Q42" s="12"/>
      <c r="R42" s="638">
        <f>+N42+N44+N45</f>
        <v>508.03200000000004</v>
      </c>
      <c r="S42" s="639">
        <f>(500-$R42)</f>
        <v>-8.0320000000000391</v>
      </c>
      <c r="T42" s="639">
        <f>$S42/$I45/$G45</f>
        <v>-1.5993628036638865</v>
      </c>
      <c r="U42" s="629" t="s">
        <v>239</v>
      </c>
    </row>
    <row r="43" spans="2:21" ht="57.75" customHeight="1" x14ac:dyDescent="0.25">
      <c r="B43" s="32">
        <f t="shared" si="7"/>
        <v>13</v>
      </c>
      <c r="C43" s="33" t="s">
        <v>226</v>
      </c>
      <c r="D43" s="34" t="s">
        <v>48</v>
      </c>
      <c r="E43" s="35" t="s">
        <v>49</v>
      </c>
      <c r="F43" s="36"/>
      <c r="G43" s="37">
        <v>5.2</v>
      </c>
      <c r="H43" s="36" t="s">
        <v>5</v>
      </c>
      <c r="I43" s="38">
        <v>0.81</v>
      </c>
      <c r="J43" s="38">
        <v>0.28999999999999998</v>
      </c>
      <c r="K43" s="39" t="s">
        <v>39</v>
      </c>
      <c r="L43" s="485">
        <v>0</v>
      </c>
      <c r="M43" s="37">
        <f t="shared" si="9"/>
        <v>0</v>
      </c>
      <c r="N43" s="497">
        <f t="shared" si="10"/>
        <v>0</v>
      </c>
      <c r="O43" s="40">
        <f t="shared" si="11"/>
        <v>0</v>
      </c>
      <c r="P43" s="41">
        <f t="shared" si="12"/>
        <v>0</v>
      </c>
      <c r="Q43" s="12"/>
      <c r="R43" s="638"/>
      <c r="S43" s="639"/>
      <c r="T43" s="639"/>
      <c r="U43" s="630"/>
    </row>
    <row r="44" spans="2:21" ht="57.75" customHeight="1" x14ac:dyDescent="0.25">
      <c r="B44" s="32">
        <f t="shared" si="7"/>
        <v>14</v>
      </c>
      <c r="C44" s="33" t="s">
        <v>226</v>
      </c>
      <c r="D44" s="34" t="s">
        <v>48</v>
      </c>
      <c r="E44" s="35" t="s">
        <v>49</v>
      </c>
      <c r="F44" s="36"/>
      <c r="G44" s="37">
        <v>5.6</v>
      </c>
      <c r="H44" s="36" t="s">
        <v>5</v>
      </c>
      <c r="I44" s="38">
        <v>0.81</v>
      </c>
      <c r="J44" s="38">
        <v>0.28999999999999998</v>
      </c>
      <c r="K44" s="39" t="s">
        <v>39</v>
      </c>
      <c r="L44" s="485">
        <v>18</v>
      </c>
      <c r="M44" s="37">
        <f t="shared" si="9"/>
        <v>100.8</v>
      </c>
      <c r="N44" s="497">
        <f t="shared" si="10"/>
        <v>81.647999999999996</v>
      </c>
      <c r="O44" s="40">
        <f t="shared" si="11"/>
        <v>29.231999999999996</v>
      </c>
      <c r="P44" s="41">
        <f t="shared" si="12"/>
        <v>519.62400000000002</v>
      </c>
      <c r="Q44" s="12"/>
      <c r="R44" s="638"/>
      <c r="S44" s="639"/>
      <c r="T44" s="639"/>
      <c r="U44" s="630"/>
    </row>
    <row r="45" spans="2:21" ht="57.75" customHeight="1" x14ac:dyDescent="0.25">
      <c r="B45" s="32">
        <f t="shared" si="7"/>
        <v>15</v>
      </c>
      <c r="C45" s="33" t="s">
        <v>229</v>
      </c>
      <c r="D45" s="34" t="s">
        <v>48</v>
      </c>
      <c r="E45" s="35" t="s">
        <v>49</v>
      </c>
      <c r="F45" s="36"/>
      <c r="G45" s="37">
        <v>6.2</v>
      </c>
      <c r="H45" s="36" t="s">
        <v>5</v>
      </c>
      <c r="I45" s="38">
        <v>0.81</v>
      </c>
      <c r="J45" s="38">
        <v>0.28999999999999998</v>
      </c>
      <c r="K45" s="39" t="s">
        <v>39</v>
      </c>
      <c r="L45" s="485">
        <v>42</v>
      </c>
      <c r="M45" s="37">
        <f t="shared" si="9"/>
        <v>260.40000000000003</v>
      </c>
      <c r="N45" s="497">
        <f t="shared" si="10"/>
        <v>210.92400000000004</v>
      </c>
      <c r="O45" s="40">
        <f t="shared" si="11"/>
        <v>75.516000000000005</v>
      </c>
      <c r="P45" s="41">
        <f t="shared" si="12"/>
        <v>1342.3620000000001</v>
      </c>
      <c r="Q45" s="12"/>
      <c r="R45" s="638"/>
      <c r="S45" s="639"/>
      <c r="T45" s="639"/>
      <c r="U45" s="631"/>
    </row>
    <row r="46" spans="2:21" ht="57.75" customHeight="1" x14ac:dyDescent="0.25">
      <c r="B46" s="32">
        <f t="shared" si="7"/>
        <v>16</v>
      </c>
      <c r="C46" s="33" t="s">
        <v>225</v>
      </c>
      <c r="D46" s="34" t="s">
        <v>126</v>
      </c>
      <c r="E46" s="35" t="s">
        <v>127</v>
      </c>
      <c r="F46" s="36"/>
      <c r="G46" s="37">
        <v>3.8</v>
      </c>
      <c r="H46" s="36" t="s">
        <v>5</v>
      </c>
      <c r="I46" s="38">
        <v>0.88800000000000001</v>
      </c>
      <c r="J46" s="38">
        <v>0.34</v>
      </c>
      <c r="K46" s="39" t="s">
        <v>39</v>
      </c>
      <c r="L46" s="485">
        <v>70</v>
      </c>
      <c r="M46" s="37">
        <f t="shared" si="9"/>
        <v>266</v>
      </c>
      <c r="N46" s="497">
        <f t="shared" si="10"/>
        <v>236.208</v>
      </c>
      <c r="O46" s="40">
        <f t="shared" si="11"/>
        <v>90.440000000000012</v>
      </c>
      <c r="P46" s="41">
        <f t="shared" si="12"/>
        <v>1526.4676000000002</v>
      </c>
      <c r="Q46" s="12"/>
      <c r="R46" s="638">
        <f>+N46+N47+N48</f>
        <v>325.71839999999997</v>
      </c>
      <c r="S46" s="639">
        <f>(500-$R46)</f>
        <v>174.28160000000003</v>
      </c>
      <c r="T46" s="639">
        <f>$S46/$I48/$G48</f>
        <v>35.046975546975553</v>
      </c>
      <c r="U46" s="282" t="s">
        <v>238</v>
      </c>
    </row>
    <row r="47" spans="2:21" ht="57.75" customHeight="1" x14ac:dyDescent="0.25">
      <c r="B47" s="32">
        <f t="shared" si="7"/>
        <v>17</v>
      </c>
      <c r="C47" s="33" t="s">
        <v>226</v>
      </c>
      <c r="D47" s="34" t="s">
        <v>126</v>
      </c>
      <c r="E47" s="35" t="s">
        <v>127</v>
      </c>
      <c r="F47" s="36"/>
      <c r="G47" s="37">
        <v>5.2</v>
      </c>
      <c r="H47" s="36" t="s">
        <v>5</v>
      </c>
      <c r="I47" s="38">
        <v>0.88800000000000001</v>
      </c>
      <c r="J47" s="38">
        <v>0.34</v>
      </c>
      <c r="K47" s="39" t="s">
        <v>39</v>
      </c>
      <c r="L47" s="485">
        <v>0</v>
      </c>
      <c r="M47" s="37">
        <f t="shared" si="9"/>
        <v>0</v>
      </c>
      <c r="N47" s="497">
        <f t="shared" si="10"/>
        <v>0</v>
      </c>
      <c r="O47" s="40">
        <f t="shared" si="11"/>
        <v>0</v>
      </c>
      <c r="P47" s="41">
        <f t="shared" si="12"/>
        <v>0</v>
      </c>
      <c r="Q47" s="12"/>
      <c r="R47" s="638"/>
      <c r="S47" s="639"/>
      <c r="T47" s="639"/>
      <c r="U47" s="657" t="s">
        <v>239</v>
      </c>
    </row>
    <row r="48" spans="2:21" ht="57.75" customHeight="1" x14ac:dyDescent="0.25">
      <c r="B48" s="32">
        <f t="shared" si="7"/>
        <v>18</v>
      </c>
      <c r="C48" s="33" t="s">
        <v>227</v>
      </c>
      <c r="D48" s="34" t="s">
        <v>126</v>
      </c>
      <c r="E48" s="35" t="s">
        <v>127</v>
      </c>
      <c r="F48" s="36"/>
      <c r="G48" s="37">
        <v>5.6</v>
      </c>
      <c r="H48" s="36" t="s">
        <v>5</v>
      </c>
      <c r="I48" s="38">
        <v>0.88800000000000001</v>
      </c>
      <c r="J48" s="38">
        <v>0.34</v>
      </c>
      <c r="K48" s="39" t="s">
        <v>39</v>
      </c>
      <c r="L48" s="485">
        <v>18</v>
      </c>
      <c r="M48" s="37">
        <f t="shared" si="9"/>
        <v>100.8</v>
      </c>
      <c r="N48" s="497">
        <f t="shared" si="10"/>
        <v>89.510400000000004</v>
      </c>
      <c r="O48" s="40">
        <f t="shared" si="11"/>
        <v>34.271999999999998</v>
      </c>
      <c r="P48" s="41">
        <f t="shared" si="12"/>
        <v>578.4508800000001</v>
      </c>
      <c r="Q48" s="12"/>
      <c r="R48" s="638"/>
      <c r="S48" s="639"/>
      <c r="T48" s="639"/>
      <c r="U48" s="657"/>
    </row>
    <row r="49" spans="2:21" ht="57.75" customHeight="1" x14ac:dyDescent="0.25">
      <c r="B49" s="32">
        <f t="shared" si="7"/>
        <v>19</v>
      </c>
      <c r="C49" s="33" t="s">
        <v>227</v>
      </c>
      <c r="D49" s="34" t="s">
        <v>126</v>
      </c>
      <c r="E49" s="35" t="s">
        <v>127</v>
      </c>
      <c r="F49" s="36"/>
      <c r="G49" s="37">
        <v>6.2</v>
      </c>
      <c r="H49" s="36" t="s">
        <v>5</v>
      </c>
      <c r="I49" s="38">
        <v>0.88800000000000001</v>
      </c>
      <c r="J49" s="38">
        <v>0.34</v>
      </c>
      <c r="K49" s="39" t="s">
        <v>39</v>
      </c>
      <c r="L49" s="485">
        <v>42</v>
      </c>
      <c r="M49" s="37">
        <f t="shared" ref="M49" si="13">L49*G49</f>
        <v>260.40000000000003</v>
      </c>
      <c r="N49" s="497">
        <f t="shared" ref="N49" si="14">M49*I49</f>
        <v>231.23520000000002</v>
      </c>
      <c r="O49" s="40">
        <f t="shared" ref="O49" si="15">M49*J49</f>
        <v>88.536000000000016</v>
      </c>
      <c r="P49" s="41">
        <f t="shared" ref="P49" si="16">($P$25*N49)+($P$26*O49)</f>
        <v>1494.3314400000002</v>
      </c>
      <c r="Q49" s="12"/>
      <c r="R49" s="482"/>
      <c r="S49" s="281"/>
      <c r="T49" s="281"/>
      <c r="U49" s="478"/>
    </row>
    <row r="50" spans="2:21" ht="57.75" customHeight="1" x14ac:dyDescent="0.25">
      <c r="B50" s="32">
        <f t="shared" si="7"/>
        <v>20</v>
      </c>
      <c r="C50" s="33" t="s">
        <v>225</v>
      </c>
      <c r="D50" s="34" t="s">
        <v>124</v>
      </c>
      <c r="E50" s="35" t="s">
        <v>125</v>
      </c>
      <c r="F50" s="36"/>
      <c r="G50" s="37">
        <v>3.8</v>
      </c>
      <c r="H50" s="36" t="s">
        <v>5</v>
      </c>
      <c r="I50" s="38">
        <v>2.109</v>
      </c>
      <c r="J50" s="38">
        <v>0.70199999999999996</v>
      </c>
      <c r="K50" s="39" t="s">
        <v>39</v>
      </c>
      <c r="L50" s="485">
        <v>70</v>
      </c>
      <c r="M50" s="37">
        <f t="shared" si="0"/>
        <v>266</v>
      </c>
      <c r="N50" s="497">
        <f t="shared" si="1"/>
        <v>560.99400000000003</v>
      </c>
      <c r="O50" s="40">
        <f t="shared" si="2"/>
        <v>186.732</v>
      </c>
      <c r="P50" s="41">
        <f t="shared" si="3"/>
        <v>3514.5117</v>
      </c>
      <c r="Q50" s="12"/>
      <c r="R50" s="638">
        <f>+N50+N51+N53</f>
        <v>1110.1776</v>
      </c>
      <c r="S50" s="639">
        <f>(500-$R50)</f>
        <v>-610.17759999999998</v>
      </c>
      <c r="T50" s="639">
        <f>$S50/$I53/$G53</f>
        <v>-46.664647669741044</v>
      </c>
      <c r="U50" s="629" t="s">
        <v>239</v>
      </c>
    </row>
    <row r="51" spans="2:21" ht="57.75" customHeight="1" x14ac:dyDescent="0.25">
      <c r="B51" s="32">
        <f t="shared" si="7"/>
        <v>21</v>
      </c>
      <c r="C51" s="33" t="s">
        <v>226</v>
      </c>
      <c r="D51" s="34" t="s">
        <v>124</v>
      </c>
      <c r="E51" s="35" t="s">
        <v>125</v>
      </c>
      <c r="F51" s="36"/>
      <c r="G51" s="37">
        <v>5.2</v>
      </c>
      <c r="H51" s="36" t="s">
        <v>5</v>
      </c>
      <c r="I51" s="38">
        <v>2.109</v>
      </c>
      <c r="J51" s="38">
        <v>0.70199999999999996</v>
      </c>
      <c r="K51" s="39" t="s">
        <v>39</v>
      </c>
      <c r="L51" s="485">
        <v>0</v>
      </c>
      <c r="M51" s="37">
        <f t="shared" si="0"/>
        <v>0</v>
      </c>
      <c r="N51" s="497">
        <f t="shared" si="1"/>
        <v>0</v>
      </c>
      <c r="O51" s="40">
        <f t="shared" si="2"/>
        <v>0</v>
      </c>
      <c r="P51" s="41">
        <f t="shared" si="3"/>
        <v>0</v>
      </c>
      <c r="Q51" s="12"/>
      <c r="R51" s="638"/>
      <c r="S51" s="639"/>
      <c r="T51" s="639"/>
      <c r="U51" s="630"/>
    </row>
    <row r="52" spans="2:21" ht="57.75" customHeight="1" x14ac:dyDescent="0.25">
      <c r="B52" s="32">
        <f t="shared" si="7"/>
        <v>22</v>
      </c>
      <c r="C52" s="33" t="s">
        <v>226</v>
      </c>
      <c r="D52" s="34" t="s">
        <v>124</v>
      </c>
      <c r="E52" s="35" t="s">
        <v>125</v>
      </c>
      <c r="F52" s="36"/>
      <c r="G52" s="37">
        <v>5.6</v>
      </c>
      <c r="H52" s="36" t="s">
        <v>5</v>
      </c>
      <c r="I52" s="38">
        <v>2.109</v>
      </c>
      <c r="J52" s="38">
        <v>0.70199999999999996</v>
      </c>
      <c r="K52" s="39" t="s">
        <v>39</v>
      </c>
      <c r="L52" s="485">
        <v>18</v>
      </c>
      <c r="M52" s="37">
        <f t="shared" si="0"/>
        <v>100.8</v>
      </c>
      <c r="N52" s="497">
        <f t="shared" si="1"/>
        <v>212.5872</v>
      </c>
      <c r="O52" s="40">
        <f t="shared" si="2"/>
        <v>70.761599999999987</v>
      </c>
      <c r="P52" s="41">
        <f t="shared" si="3"/>
        <v>1331.8149599999999</v>
      </c>
      <c r="Q52" s="12"/>
      <c r="R52" s="638"/>
      <c r="S52" s="639"/>
      <c r="T52" s="639"/>
      <c r="U52" s="630"/>
    </row>
    <row r="53" spans="2:21" ht="57.75" customHeight="1" x14ac:dyDescent="0.25">
      <c r="B53" s="32">
        <f t="shared" si="7"/>
        <v>23</v>
      </c>
      <c r="C53" s="33" t="s">
        <v>227</v>
      </c>
      <c r="D53" s="34" t="s">
        <v>124</v>
      </c>
      <c r="E53" s="35" t="s">
        <v>125</v>
      </c>
      <c r="F53" s="36"/>
      <c r="G53" s="37">
        <v>6.2</v>
      </c>
      <c r="H53" s="36" t="s">
        <v>5</v>
      </c>
      <c r="I53" s="38">
        <v>2.109</v>
      </c>
      <c r="J53" s="38">
        <v>0.70199999999999996</v>
      </c>
      <c r="K53" s="39" t="s">
        <v>39</v>
      </c>
      <c r="L53" s="485">
        <v>42</v>
      </c>
      <c r="M53" s="37">
        <f t="shared" si="0"/>
        <v>260.40000000000003</v>
      </c>
      <c r="N53" s="497">
        <f t="shared" si="1"/>
        <v>549.18360000000007</v>
      </c>
      <c r="O53" s="40">
        <f t="shared" si="2"/>
        <v>182.80080000000001</v>
      </c>
      <c r="P53" s="41">
        <f t="shared" si="3"/>
        <v>3440.5219800000004</v>
      </c>
      <c r="Q53" s="12"/>
      <c r="R53" s="638"/>
      <c r="S53" s="639"/>
      <c r="T53" s="639"/>
      <c r="U53" s="631"/>
    </row>
    <row r="54" spans="2:21" ht="57.75" customHeight="1" x14ac:dyDescent="0.25">
      <c r="B54" s="32">
        <f t="shared" si="7"/>
        <v>24</v>
      </c>
      <c r="C54" s="33" t="s">
        <v>216</v>
      </c>
      <c r="D54" s="34" t="s">
        <v>245</v>
      </c>
      <c r="E54" s="35" t="s">
        <v>246</v>
      </c>
      <c r="F54" s="36"/>
      <c r="G54" s="37">
        <v>5.2</v>
      </c>
      <c r="H54" s="36" t="s">
        <v>5</v>
      </c>
      <c r="I54" s="38">
        <v>2.4009999999999998</v>
      </c>
      <c r="J54" s="38">
        <v>0.80400000000000005</v>
      </c>
      <c r="K54" s="39" t="s">
        <v>39</v>
      </c>
      <c r="L54" s="485">
        <v>0</v>
      </c>
      <c r="M54" s="37">
        <f t="shared" si="0"/>
        <v>0</v>
      </c>
      <c r="N54" s="497">
        <f t="shared" si="1"/>
        <v>0</v>
      </c>
      <c r="O54" s="40">
        <f t="shared" si="2"/>
        <v>0</v>
      </c>
      <c r="P54" s="41">
        <f t="shared" si="3"/>
        <v>0</v>
      </c>
      <c r="Q54" s="12"/>
      <c r="R54" s="482"/>
      <c r="S54" s="281"/>
      <c r="T54" s="281"/>
      <c r="U54" s="480"/>
    </row>
    <row r="55" spans="2:21" ht="57.75" customHeight="1" x14ac:dyDescent="0.25">
      <c r="B55" s="32">
        <f t="shared" si="7"/>
        <v>25</v>
      </c>
      <c r="C55" s="33" t="s">
        <v>220</v>
      </c>
      <c r="D55" s="34" t="s">
        <v>247</v>
      </c>
      <c r="E55" s="35" t="s">
        <v>248</v>
      </c>
      <c r="F55" s="36"/>
      <c r="G55" s="37">
        <v>3.8</v>
      </c>
      <c r="H55" s="36" t="s">
        <v>5</v>
      </c>
      <c r="I55" s="38">
        <v>1.238</v>
      </c>
      <c r="J55" s="38">
        <v>0.33200000000000002</v>
      </c>
      <c r="K55" s="39" t="s">
        <v>39</v>
      </c>
      <c r="L55" s="485">
        <v>0</v>
      </c>
      <c r="M55" s="37">
        <f t="shared" si="0"/>
        <v>0</v>
      </c>
      <c r="N55" s="497">
        <f t="shared" si="1"/>
        <v>0</v>
      </c>
      <c r="O55" s="40">
        <f t="shared" si="2"/>
        <v>0</v>
      </c>
      <c r="P55" s="41">
        <f t="shared" si="3"/>
        <v>0</v>
      </c>
      <c r="Q55" s="12"/>
      <c r="R55" s="650">
        <f>+N55+N56+N57</f>
        <v>0</v>
      </c>
      <c r="S55" s="652">
        <f>(500-$R55)</f>
        <v>500</v>
      </c>
      <c r="T55" s="652">
        <f>$S55/$I57/$G57</f>
        <v>77.668696408599487</v>
      </c>
      <c r="U55" s="629" t="s">
        <v>249</v>
      </c>
    </row>
    <row r="56" spans="2:21" ht="57.75" customHeight="1" x14ac:dyDescent="0.25">
      <c r="B56" s="32">
        <f t="shared" si="7"/>
        <v>26</v>
      </c>
      <c r="C56" s="33" t="s">
        <v>221</v>
      </c>
      <c r="D56" s="34" t="s">
        <v>247</v>
      </c>
      <c r="E56" s="35" t="s">
        <v>248</v>
      </c>
      <c r="F56" s="36"/>
      <c r="G56" s="37">
        <v>4.4000000000000004</v>
      </c>
      <c r="H56" s="36" t="s">
        <v>5</v>
      </c>
      <c r="I56" s="38">
        <v>1.238</v>
      </c>
      <c r="J56" s="38">
        <v>0.33200000000000002</v>
      </c>
      <c r="K56" s="39" t="s">
        <v>39</v>
      </c>
      <c r="L56" s="485">
        <v>0</v>
      </c>
      <c r="M56" s="37">
        <f t="shared" si="0"/>
        <v>0</v>
      </c>
      <c r="N56" s="497">
        <f t="shared" si="1"/>
        <v>0</v>
      </c>
      <c r="O56" s="40">
        <f t="shared" si="2"/>
        <v>0</v>
      </c>
      <c r="P56" s="41">
        <f t="shared" si="3"/>
        <v>0</v>
      </c>
      <c r="Q56" s="12"/>
      <c r="R56" s="654"/>
      <c r="S56" s="655"/>
      <c r="T56" s="655"/>
      <c r="U56" s="630"/>
    </row>
    <row r="57" spans="2:21" ht="57.75" customHeight="1" x14ac:dyDescent="0.25">
      <c r="B57" s="32">
        <f t="shared" si="7"/>
        <v>27</v>
      </c>
      <c r="C57" s="33" t="s">
        <v>222</v>
      </c>
      <c r="D57" s="34" t="s">
        <v>247</v>
      </c>
      <c r="E57" s="35" t="s">
        <v>248</v>
      </c>
      <c r="F57" s="36"/>
      <c r="G57" s="37">
        <v>5.2</v>
      </c>
      <c r="H57" s="36" t="s">
        <v>5</v>
      </c>
      <c r="I57" s="38">
        <v>1.238</v>
      </c>
      <c r="J57" s="38">
        <v>0.33200000000000002</v>
      </c>
      <c r="K57" s="39" t="s">
        <v>39</v>
      </c>
      <c r="L57" s="485">
        <v>0</v>
      </c>
      <c r="M57" s="37">
        <f t="shared" si="0"/>
        <v>0</v>
      </c>
      <c r="N57" s="497">
        <f t="shared" si="1"/>
        <v>0</v>
      </c>
      <c r="O57" s="40">
        <f t="shared" si="2"/>
        <v>0</v>
      </c>
      <c r="P57" s="41">
        <f t="shared" si="3"/>
        <v>0</v>
      </c>
      <c r="Q57" s="12"/>
      <c r="R57" s="651"/>
      <c r="S57" s="653"/>
      <c r="T57" s="653"/>
      <c r="U57" s="656"/>
    </row>
    <row r="58" spans="2:21" ht="57.75" customHeight="1" x14ac:dyDescent="0.25">
      <c r="B58" s="32">
        <f t="shared" si="7"/>
        <v>28</v>
      </c>
      <c r="C58" s="33" t="s">
        <v>222</v>
      </c>
      <c r="D58" s="34" t="s">
        <v>247</v>
      </c>
      <c r="E58" s="35" t="s">
        <v>248</v>
      </c>
      <c r="F58" s="36"/>
      <c r="G58" s="37">
        <v>6.2</v>
      </c>
      <c r="H58" s="36" t="s">
        <v>5</v>
      </c>
      <c r="I58" s="38">
        <v>1.238</v>
      </c>
      <c r="J58" s="38">
        <v>0.33200000000000002</v>
      </c>
      <c r="K58" s="39" t="s">
        <v>39</v>
      </c>
      <c r="L58" s="485">
        <v>0</v>
      </c>
      <c r="M58" s="37">
        <f t="shared" si="0"/>
        <v>0</v>
      </c>
      <c r="N58" s="497">
        <f t="shared" si="1"/>
        <v>0</v>
      </c>
      <c r="O58" s="40">
        <f t="shared" si="2"/>
        <v>0</v>
      </c>
      <c r="P58" s="41">
        <f t="shared" si="3"/>
        <v>0</v>
      </c>
      <c r="Q58" s="12"/>
      <c r="R58" s="486"/>
      <c r="S58" s="483"/>
      <c r="T58" s="483"/>
      <c r="U58" s="479"/>
    </row>
    <row r="59" spans="2:21" ht="57.75" customHeight="1" x14ac:dyDescent="0.25">
      <c r="B59" s="32">
        <f t="shared" si="7"/>
        <v>29</v>
      </c>
      <c r="C59" s="487" t="s">
        <v>250</v>
      </c>
      <c r="D59" s="34" t="s">
        <v>52</v>
      </c>
      <c r="E59" s="488" t="s">
        <v>53</v>
      </c>
      <c r="F59" s="489"/>
      <c r="G59" s="37">
        <v>3.8</v>
      </c>
      <c r="H59" s="36" t="s">
        <v>5</v>
      </c>
      <c r="I59" s="490">
        <v>0.97399999999999998</v>
      </c>
      <c r="J59" s="491">
        <v>0.216</v>
      </c>
      <c r="K59" s="489" t="s">
        <v>39</v>
      </c>
      <c r="L59" s="37">
        <v>35</v>
      </c>
      <c r="M59" s="492">
        <f t="shared" si="0"/>
        <v>133</v>
      </c>
      <c r="N59" s="497">
        <f t="shared" si="1"/>
        <v>129.542</v>
      </c>
      <c r="O59" s="40">
        <f t="shared" si="2"/>
        <v>28.727999999999998</v>
      </c>
      <c r="P59" s="41">
        <f t="shared" si="3"/>
        <v>754.70850000000007</v>
      </c>
      <c r="Q59" s="12"/>
      <c r="R59" s="638">
        <f>+N59+N60+N61</f>
        <v>212.13720000000001</v>
      </c>
      <c r="S59" s="639">
        <f t="shared" ref="S59" si="17">(500-$R59)</f>
        <v>287.86279999999999</v>
      </c>
      <c r="T59" s="639">
        <f>$S59/$I61/$G61</f>
        <v>47.668874610849834</v>
      </c>
      <c r="U59" s="629" t="s">
        <v>7</v>
      </c>
    </row>
    <row r="60" spans="2:21" ht="57.75" customHeight="1" x14ac:dyDescent="0.25">
      <c r="B60" s="32">
        <f t="shared" si="7"/>
        <v>30</v>
      </c>
      <c r="C60" s="487"/>
      <c r="D60" s="34" t="s">
        <v>52</v>
      </c>
      <c r="E60" s="488" t="s">
        <v>53</v>
      </c>
      <c r="F60" s="489"/>
      <c r="G60" s="37">
        <v>5</v>
      </c>
      <c r="H60" s="36" t="s">
        <v>5</v>
      </c>
      <c r="I60" s="490">
        <v>0.97399999999999998</v>
      </c>
      <c r="J60" s="491">
        <v>0.216</v>
      </c>
      <c r="K60" s="489" t="s">
        <v>39</v>
      </c>
      <c r="L60" s="37">
        <v>12</v>
      </c>
      <c r="M60" s="492">
        <f t="shared" si="0"/>
        <v>60</v>
      </c>
      <c r="N60" s="497">
        <f t="shared" si="1"/>
        <v>58.44</v>
      </c>
      <c r="O60" s="40">
        <f t="shared" si="2"/>
        <v>12.959999999999999</v>
      </c>
      <c r="P60" s="41">
        <f t="shared" si="3"/>
        <v>340.47</v>
      </c>
      <c r="Q60" s="12"/>
      <c r="R60" s="638"/>
      <c r="S60" s="639"/>
      <c r="T60" s="639"/>
      <c r="U60" s="630"/>
    </row>
    <row r="61" spans="2:21" ht="57.75" customHeight="1" x14ac:dyDescent="0.25">
      <c r="B61" s="32">
        <f t="shared" si="7"/>
        <v>31</v>
      </c>
      <c r="C61" s="487"/>
      <c r="D61" s="34" t="s">
        <v>52</v>
      </c>
      <c r="E61" s="488" t="s">
        <v>53</v>
      </c>
      <c r="F61" s="489"/>
      <c r="G61" s="37">
        <v>6.2</v>
      </c>
      <c r="H61" s="36" t="s">
        <v>5</v>
      </c>
      <c r="I61" s="490">
        <v>0.97399999999999998</v>
      </c>
      <c r="J61" s="491">
        <v>0.216</v>
      </c>
      <c r="K61" s="489" t="s">
        <v>39</v>
      </c>
      <c r="L61" s="37">
        <v>4</v>
      </c>
      <c r="M61" s="492">
        <f t="shared" si="0"/>
        <v>24.8</v>
      </c>
      <c r="N61" s="497">
        <f t="shared" si="1"/>
        <v>24.155200000000001</v>
      </c>
      <c r="O61" s="40">
        <f t="shared" si="2"/>
        <v>5.3567999999999998</v>
      </c>
      <c r="P61" s="41">
        <f t="shared" si="3"/>
        <v>140.7276</v>
      </c>
      <c r="Q61" s="12"/>
      <c r="R61" s="638"/>
      <c r="S61" s="639"/>
      <c r="T61" s="639"/>
      <c r="U61" s="631"/>
    </row>
    <row r="62" spans="2:21" ht="57.75" customHeight="1" x14ac:dyDescent="0.25">
      <c r="B62" s="32">
        <f t="shared" si="7"/>
        <v>32</v>
      </c>
      <c r="C62" s="487"/>
      <c r="D62" s="34" t="s">
        <v>54</v>
      </c>
      <c r="E62" s="35" t="s">
        <v>55</v>
      </c>
      <c r="F62" s="36"/>
      <c r="G62" s="37">
        <v>3.8</v>
      </c>
      <c r="H62" s="36" t="s">
        <v>5</v>
      </c>
      <c r="I62" s="490">
        <v>1.2410000000000001</v>
      </c>
      <c r="J62" s="491">
        <v>0.32674979999999998</v>
      </c>
      <c r="K62" s="489" t="s">
        <v>39</v>
      </c>
      <c r="L62" s="37">
        <v>54</v>
      </c>
      <c r="M62" s="492">
        <f t="shared" si="0"/>
        <v>205.2</v>
      </c>
      <c r="N62" s="497">
        <f t="shared" si="1"/>
        <v>254.6532</v>
      </c>
      <c r="O62" s="40">
        <f t="shared" si="2"/>
        <v>67.049058959999996</v>
      </c>
      <c r="P62" s="41">
        <f t="shared" si="3"/>
        <v>1525.377122892</v>
      </c>
      <c r="Q62" s="12"/>
      <c r="R62" s="638">
        <f>+N62+N63+N64</f>
        <v>415.23860000000002</v>
      </c>
      <c r="S62" s="639">
        <f>(500-$R62)</f>
        <v>84.761399999999981</v>
      </c>
      <c r="T62" s="639">
        <f>$S62/$I64/$G64</f>
        <v>11.016271997088714</v>
      </c>
      <c r="U62" s="629" t="s">
        <v>7</v>
      </c>
    </row>
    <row r="63" spans="2:21" ht="57.75" customHeight="1" x14ac:dyDescent="0.25">
      <c r="B63" s="32">
        <f t="shared" si="7"/>
        <v>33</v>
      </c>
      <c r="C63" s="487" t="s">
        <v>250</v>
      </c>
      <c r="D63" s="34" t="s">
        <v>54</v>
      </c>
      <c r="E63" s="35" t="s">
        <v>55</v>
      </c>
      <c r="F63" s="36"/>
      <c r="G63" s="37">
        <v>5</v>
      </c>
      <c r="H63" s="36" t="s">
        <v>5</v>
      </c>
      <c r="I63" s="490">
        <v>1.2410000000000001</v>
      </c>
      <c r="J63" s="491">
        <v>0.32674979999999998</v>
      </c>
      <c r="K63" s="489" t="s">
        <v>39</v>
      </c>
      <c r="L63" s="37">
        <v>11</v>
      </c>
      <c r="M63" s="492">
        <f t="shared" si="0"/>
        <v>55</v>
      </c>
      <c r="N63" s="497">
        <f t="shared" si="1"/>
        <v>68.25500000000001</v>
      </c>
      <c r="O63" s="40">
        <f t="shared" si="2"/>
        <v>17.971238999999997</v>
      </c>
      <c r="P63" s="41">
        <f t="shared" si="3"/>
        <v>408.84864405000008</v>
      </c>
      <c r="Q63" s="12"/>
      <c r="R63" s="638"/>
      <c r="S63" s="639"/>
      <c r="T63" s="639"/>
      <c r="U63" s="630"/>
    </row>
    <row r="64" spans="2:21" ht="57.75" customHeight="1" x14ac:dyDescent="0.25">
      <c r="B64" s="32">
        <f t="shared" si="7"/>
        <v>34</v>
      </c>
      <c r="C64" s="487" t="s">
        <v>251</v>
      </c>
      <c r="D64" s="34" t="s">
        <v>54</v>
      </c>
      <c r="E64" s="35" t="s">
        <v>55</v>
      </c>
      <c r="F64" s="36"/>
      <c r="G64" s="37">
        <v>6.2</v>
      </c>
      <c r="H64" s="36" t="s">
        <v>5</v>
      </c>
      <c r="I64" s="490">
        <v>1.2410000000000001</v>
      </c>
      <c r="J64" s="491">
        <v>0.32674979999999998</v>
      </c>
      <c r="K64" s="489" t="s">
        <v>39</v>
      </c>
      <c r="L64" s="37">
        <v>12</v>
      </c>
      <c r="M64" s="492">
        <f t="shared" si="0"/>
        <v>74.400000000000006</v>
      </c>
      <c r="N64" s="497">
        <f t="shared" si="1"/>
        <v>92.330400000000012</v>
      </c>
      <c r="O64" s="40">
        <f t="shared" si="2"/>
        <v>24.31018512</v>
      </c>
      <c r="P64" s="41">
        <f t="shared" si="3"/>
        <v>553.0607112240001</v>
      </c>
      <c r="Q64" s="12"/>
      <c r="R64" s="638"/>
      <c r="S64" s="639"/>
      <c r="T64" s="639"/>
      <c r="U64" s="631"/>
    </row>
    <row r="65" spans="2:21" ht="57.75" customHeight="1" x14ac:dyDescent="0.25">
      <c r="B65" s="32">
        <f t="shared" si="7"/>
        <v>35</v>
      </c>
      <c r="C65" s="487" t="s">
        <v>252</v>
      </c>
      <c r="D65" s="34">
        <v>10757</v>
      </c>
      <c r="E65" s="35" t="s">
        <v>253</v>
      </c>
      <c r="F65" s="36"/>
      <c r="G65" s="37">
        <v>3.8</v>
      </c>
      <c r="H65" s="36" t="s">
        <v>5</v>
      </c>
      <c r="I65" s="38">
        <v>1.5309999999999999</v>
      </c>
      <c r="J65" s="38">
        <v>0.32674979999999998</v>
      </c>
      <c r="K65" s="489" t="s">
        <v>39</v>
      </c>
      <c r="L65" s="37">
        <v>4</v>
      </c>
      <c r="M65" s="492">
        <f t="shared" si="0"/>
        <v>15.2</v>
      </c>
      <c r="N65" s="497">
        <f t="shared" si="1"/>
        <v>23.271199999999997</v>
      </c>
      <c r="O65" s="40">
        <f t="shared" si="2"/>
        <v>4.9665969599999995</v>
      </c>
      <c r="P65" s="41">
        <f t="shared" si="3"/>
        <v>134.81049799199999</v>
      </c>
      <c r="Q65" s="12"/>
      <c r="R65" s="650" t="e">
        <f>+N65+N66+#REF!</f>
        <v>#REF!</v>
      </c>
      <c r="S65" s="652" t="e">
        <f>(500-$R65)</f>
        <v>#REF!</v>
      </c>
      <c r="T65" s="652" t="e">
        <f>$S65/$I66/$G66</f>
        <v>#REF!</v>
      </c>
      <c r="U65" s="629" t="s">
        <v>7</v>
      </c>
    </row>
    <row r="66" spans="2:21" ht="57.75" customHeight="1" x14ac:dyDescent="0.25">
      <c r="B66" s="32">
        <f t="shared" si="7"/>
        <v>36</v>
      </c>
      <c r="C66" s="487" t="s">
        <v>252</v>
      </c>
      <c r="D66" s="34">
        <v>10757</v>
      </c>
      <c r="E66" s="35" t="s">
        <v>253</v>
      </c>
      <c r="F66" s="36"/>
      <c r="G66" s="37">
        <v>6.2</v>
      </c>
      <c r="H66" s="36" t="s">
        <v>5</v>
      </c>
      <c r="I66" s="38">
        <v>1.5309999999999999</v>
      </c>
      <c r="J66" s="38">
        <v>0.32674979999999998</v>
      </c>
      <c r="K66" s="489" t="s">
        <v>39</v>
      </c>
      <c r="L66" s="37">
        <v>5</v>
      </c>
      <c r="M66" s="492">
        <f t="shared" si="0"/>
        <v>31</v>
      </c>
      <c r="N66" s="497">
        <f t="shared" si="1"/>
        <v>47.460999999999999</v>
      </c>
      <c r="O66" s="40">
        <f t="shared" si="2"/>
        <v>10.129243799999999</v>
      </c>
      <c r="P66" s="41">
        <f t="shared" si="3"/>
        <v>274.94246300999998</v>
      </c>
      <c r="Q66" s="12"/>
      <c r="R66" s="651"/>
      <c r="S66" s="653"/>
      <c r="T66" s="653"/>
      <c r="U66" s="630"/>
    </row>
    <row r="67" spans="2:21" ht="13.5" customHeight="1" thickBot="1" x14ac:dyDescent="0.3">
      <c r="B67" s="43"/>
      <c r="C67" s="44"/>
      <c r="D67" s="43"/>
      <c r="E67" s="43"/>
      <c r="F67" s="45"/>
      <c r="G67" s="46"/>
      <c r="H67" s="43"/>
      <c r="I67" s="47"/>
      <c r="J67" s="48"/>
      <c r="K67" s="47"/>
      <c r="L67" s="49"/>
      <c r="M67" s="46"/>
      <c r="N67" s="498"/>
      <c r="O67" s="50"/>
      <c r="P67" s="50"/>
      <c r="Q67" s="42"/>
      <c r="R67" s="283"/>
      <c r="S67" s="284"/>
      <c r="T67" s="284"/>
      <c r="U67" s="285"/>
    </row>
    <row r="68" spans="2:21" ht="13.5" customHeight="1" thickTop="1" thickBot="1" x14ac:dyDescent="0.3">
      <c r="B68" s="19"/>
      <c r="C68" s="8"/>
      <c r="D68" s="51"/>
      <c r="E68" s="52"/>
      <c r="F68" s="12"/>
      <c r="G68" s="12"/>
      <c r="H68" s="12"/>
      <c r="I68" s="53"/>
      <c r="J68" s="53"/>
      <c r="K68" s="54"/>
      <c r="L68" s="54"/>
      <c r="M68" s="54"/>
      <c r="N68" s="499"/>
      <c r="O68" s="55"/>
      <c r="P68" s="56"/>
      <c r="Q68" s="56"/>
      <c r="R68" s="19"/>
      <c r="S68" s="19"/>
      <c r="T68" s="19"/>
    </row>
    <row r="69" spans="2:21" ht="13.5" customHeight="1" thickBot="1" x14ac:dyDescent="0.3">
      <c r="B69" s="19"/>
      <c r="C69" s="57"/>
      <c r="D69" s="58"/>
      <c r="E69" s="52"/>
      <c r="G69" s="12"/>
      <c r="H69" s="12"/>
      <c r="I69" s="53"/>
      <c r="J69" s="59" t="s">
        <v>98</v>
      </c>
      <c r="K69" s="60"/>
      <c r="L69" s="61">
        <f>SUM(L30:L68)</f>
        <v>993</v>
      </c>
      <c r="M69" s="62">
        <f>SUM(M30:M68)</f>
        <v>4495.76</v>
      </c>
      <c r="N69" s="500">
        <f>SUM(N30:N68)</f>
        <v>4958.5463200000004</v>
      </c>
      <c r="O69" s="63">
        <f>SUM(O30:O68)</f>
        <v>1236.8853638400001</v>
      </c>
      <c r="P69" s="64">
        <f>SUM(P30:P68)</f>
        <v>29430.501471168001</v>
      </c>
      <c r="Q69" s="65"/>
      <c r="R69" s="19"/>
      <c r="S69" s="19"/>
      <c r="T69" s="19"/>
    </row>
    <row r="70" spans="2:21" ht="13.5" customHeight="1" thickBot="1" x14ac:dyDescent="0.3">
      <c r="B70" s="19"/>
      <c r="C70" s="57"/>
      <c r="D70" s="58"/>
      <c r="E70" s="52"/>
      <c r="G70" s="12"/>
      <c r="H70" s="12"/>
      <c r="I70" s="53"/>
      <c r="J70" s="452"/>
      <c r="K70" s="453"/>
      <c r="L70" s="454"/>
      <c r="M70" s="455"/>
      <c r="N70" s="501"/>
      <c r="O70" s="455"/>
      <c r="P70" s="456"/>
      <c r="Q70" s="65"/>
      <c r="R70" s="19"/>
      <c r="S70" s="19"/>
      <c r="T70" s="19"/>
    </row>
    <row r="71" spans="2:21" ht="13.5" customHeight="1" thickTop="1" thickBot="1" x14ac:dyDescent="0.3">
      <c r="B71" s="66"/>
      <c r="D71" s="19"/>
      <c r="E71" s="67" t="s">
        <v>99</v>
      </c>
      <c r="F71" s="68" t="s">
        <v>100</v>
      </c>
      <c r="G71" s="69" t="s">
        <v>240</v>
      </c>
      <c r="H71" s="12"/>
      <c r="I71" s="70"/>
      <c r="J71" s="53"/>
      <c r="K71" s="54"/>
      <c r="L71" s="54"/>
      <c r="M71" s="54"/>
      <c r="N71" s="499"/>
      <c r="O71" s="12"/>
      <c r="P71" s="56"/>
      <c r="Q71" s="56"/>
      <c r="R71" s="19"/>
      <c r="S71" s="19"/>
      <c r="T71" s="19"/>
    </row>
    <row r="72" spans="2:21" ht="13.5" customHeight="1" thickTop="1" thickBot="1" x14ac:dyDescent="0.3">
      <c r="B72" s="71" t="s">
        <v>101</v>
      </c>
      <c r="D72" s="71" t="s">
        <v>60</v>
      </c>
      <c r="E72" s="71" t="s">
        <v>102</v>
      </c>
      <c r="F72" s="71" t="s">
        <v>103</v>
      </c>
      <c r="G72" s="72">
        <v>45709</v>
      </c>
      <c r="H72" s="15"/>
      <c r="I72" s="73"/>
      <c r="J72" s="21"/>
      <c r="K72" s="73"/>
      <c r="L72" s="21"/>
      <c r="M72" s="21"/>
      <c r="N72" s="502"/>
      <c r="O72" s="20" t="s">
        <v>104</v>
      </c>
      <c r="P72" s="74">
        <f>(N69*P25)+(O69*P26)</f>
        <v>29430.501471168001</v>
      </c>
      <c r="Q72" s="74"/>
      <c r="R72" s="19"/>
      <c r="S72" s="19"/>
      <c r="T72" s="19"/>
    </row>
    <row r="73" spans="2:21" ht="13.5" customHeight="1" thickTop="1" x14ac:dyDescent="0.25">
      <c r="B73" s="75">
        <v>1</v>
      </c>
      <c r="D73" s="76" t="s">
        <v>105</v>
      </c>
      <c r="E73" s="77">
        <v>115000</v>
      </c>
      <c r="F73" s="77">
        <v>28000</v>
      </c>
      <c r="G73" s="261"/>
      <c r="H73" s="12"/>
      <c r="I73" s="73"/>
      <c r="J73" s="21"/>
      <c r="K73" s="73"/>
      <c r="L73" s="21"/>
      <c r="M73" s="21"/>
      <c r="N73" s="502"/>
      <c r="O73" s="78" t="s">
        <v>106</v>
      </c>
      <c r="P73" s="79">
        <f>+P72*1</f>
        <v>29430.501471168001</v>
      </c>
      <c r="Q73" s="74"/>
      <c r="R73" s="19"/>
      <c r="S73" s="19"/>
      <c r="T73" s="19"/>
    </row>
    <row r="74" spans="2:21" ht="13.5" customHeight="1" x14ac:dyDescent="0.25">
      <c r="B74" s="32">
        <v>2</v>
      </c>
      <c r="D74" s="32">
        <v>54</v>
      </c>
      <c r="E74" s="80">
        <v>-12748.35</v>
      </c>
      <c r="F74" s="81">
        <v>-2690.6</v>
      </c>
      <c r="H74" s="12"/>
      <c r="I74" s="73"/>
      <c r="J74" s="21"/>
      <c r="K74" s="73"/>
      <c r="L74" s="21"/>
      <c r="M74" s="21"/>
      <c r="N74" s="502"/>
      <c r="O74" s="20" t="s">
        <v>96</v>
      </c>
      <c r="P74" s="74">
        <f>+P72-P73</f>
        <v>0</v>
      </c>
      <c r="Q74" s="74"/>
      <c r="R74" s="19"/>
      <c r="S74" s="19"/>
      <c r="T74" s="19"/>
    </row>
    <row r="75" spans="2:21" ht="13.5" customHeight="1" x14ac:dyDescent="0.25">
      <c r="B75" s="32">
        <v>3</v>
      </c>
      <c r="D75" s="32">
        <v>55</v>
      </c>
      <c r="E75" s="80">
        <v>-1902.77</v>
      </c>
      <c r="F75" s="81">
        <v>-562.97</v>
      </c>
      <c r="H75" s="82"/>
      <c r="I75" s="73"/>
      <c r="J75" s="83" t="s">
        <v>57</v>
      </c>
      <c r="K75" s="73"/>
      <c r="L75" s="21"/>
      <c r="M75" s="21"/>
      <c r="N75" s="502"/>
      <c r="O75" s="84" t="s">
        <v>107</v>
      </c>
      <c r="P75" s="85">
        <f>+P74*0.16</f>
        <v>0</v>
      </c>
      <c r="Q75" s="85"/>
      <c r="R75" s="19"/>
      <c r="S75" s="19"/>
      <c r="T75" s="19"/>
    </row>
    <row r="76" spans="2:21" ht="13.5" customHeight="1" x14ac:dyDescent="0.25">
      <c r="B76" s="32">
        <v>4</v>
      </c>
      <c r="D76" s="32">
        <v>63</v>
      </c>
      <c r="E76" s="80">
        <v>-444.93</v>
      </c>
      <c r="F76" s="81">
        <v>-342.25</v>
      </c>
      <c r="H76" s="82"/>
      <c r="I76" s="12"/>
      <c r="J76" s="3" t="s">
        <v>58</v>
      </c>
      <c r="K76" s="73"/>
      <c r="L76" s="21"/>
      <c r="M76" s="21"/>
      <c r="N76" s="502"/>
      <c r="O76" s="84" t="s">
        <v>7</v>
      </c>
      <c r="P76" s="85">
        <f>+P74+P75</f>
        <v>0</v>
      </c>
      <c r="Q76" s="85"/>
      <c r="R76" s="19"/>
      <c r="S76" s="19"/>
      <c r="T76" s="19"/>
    </row>
    <row r="77" spans="2:21" ht="13.5" customHeight="1" x14ac:dyDescent="0.25">
      <c r="B77" s="32">
        <v>5</v>
      </c>
      <c r="D77" s="32">
        <v>75</v>
      </c>
      <c r="E77" s="80">
        <v>-353.79</v>
      </c>
      <c r="F77" s="81">
        <v>-69.61</v>
      </c>
      <c r="H77" s="82"/>
      <c r="I77" s="12"/>
      <c r="J77" s="2" t="s">
        <v>8</v>
      </c>
      <c r="K77" s="73"/>
      <c r="L77" s="21"/>
      <c r="M77" s="21"/>
      <c r="N77" s="502"/>
      <c r="O77" s="20"/>
      <c r="P77" s="74"/>
      <c r="Q77" s="74"/>
      <c r="R77" s="19"/>
      <c r="S77" s="19"/>
      <c r="T77" s="19"/>
    </row>
    <row r="78" spans="2:21" ht="13.5" customHeight="1" x14ac:dyDescent="0.25">
      <c r="B78" s="32">
        <v>6</v>
      </c>
      <c r="D78" s="32" t="s">
        <v>108</v>
      </c>
      <c r="E78" s="80">
        <v>-10418.290000000001</v>
      </c>
      <c r="F78" s="81">
        <v>-2180.73</v>
      </c>
      <c r="H78" s="82"/>
      <c r="I78" s="86"/>
      <c r="J78" s="2" t="s">
        <v>9</v>
      </c>
      <c r="K78" s="73"/>
      <c r="L78" s="21"/>
      <c r="M78" s="21"/>
      <c r="N78" s="502"/>
      <c r="O78" s="84" t="s">
        <v>109</v>
      </c>
      <c r="P78" s="24">
        <f>+P76*20</f>
        <v>0</v>
      </c>
      <c r="Q78" s="24"/>
      <c r="R78" s="19"/>
      <c r="S78" s="19"/>
      <c r="T78" s="19"/>
    </row>
    <row r="79" spans="2:21" ht="13.5" customHeight="1" x14ac:dyDescent="0.25">
      <c r="B79" s="32">
        <v>7</v>
      </c>
      <c r="D79" s="32" t="s">
        <v>110</v>
      </c>
      <c r="E79" s="80">
        <v>-620.26</v>
      </c>
      <c r="F79" s="81">
        <v>-193.97</v>
      </c>
      <c r="H79" s="12"/>
      <c r="I79" s="53"/>
      <c r="J79" s="87" t="s">
        <v>10</v>
      </c>
      <c r="K79" s="12"/>
      <c r="L79" s="21"/>
      <c r="M79" s="21"/>
      <c r="N79" s="502"/>
      <c r="O79" s="12"/>
      <c r="P79" s="21"/>
      <c r="Q79" s="21"/>
      <c r="R79" s="19"/>
      <c r="S79" s="19"/>
      <c r="T79" s="19"/>
    </row>
    <row r="80" spans="2:21" ht="13.5" customHeight="1" x14ac:dyDescent="0.25">
      <c r="B80" s="32">
        <v>8</v>
      </c>
      <c r="D80" s="32" t="s">
        <v>111</v>
      </c>
      <c r="E80" s="80">
        <f>-N69</f>
        <v>-4958.5463200000004</v>
      </c>
      <c r="F80" s="81">
        <f>-O69</f>
        <v>-1236.8853638400001</v>
      </c>
      <c r="H80" s="12"/>
      <c r="I80" s="53"/>
      <c r="J80" s="15"/>
      <c r="K80" s="12"/>
      <c r="L80" s="21"/>
      <c r="M80" s="21"/>
      <c r="N80" s="502"/>
      <c r="O80" s="12"/>
      <c r="P80" s="21"/>
      <c r="Q80" s="21"/>
      <c r="R80" s="19"/>
      <c r="S80" s="19"/>
      <c r="T80" s="19"/>
    </row>
    <row r="81" spans="2:6" ht="15.75" customHeight="1" x14ac:dyDescent="0.25">
      <c r="B81" s="32">
        <v>9</v>
      </c>
      <c r="D81" s="32"/>
      <c r="E81" s="80"/>
      <c r="F81" s="81"/>
    </row>
    <row r="82" spans="2:6" ht="15.75" customHeight="1" thickBot="1" x14ac:dyDescent="0.3">
      <c r="B82" s="88"/>
      <c r="D82" s="88"/>
      <c r="E82" s="89"/>
      <c r="F82" s="90"/>
    </row>
    <row r="83" spans="2:6" ht="15.75" customHeight="1" thickTop="1" thickBot="1" x14ac:dyDescent="0.3">
      <c r="B83" s="91"/>
      <c r="D83" s="92" t="s">
        <v>112</v>
      </c>
      <c r="E83" s="93">
        <f t="shared" ref="E83:F83" si="18">SUM(E73:E82)</f>
        <v>83553.063680000007</v>
      </c>
      <c r="F83" s="94">
        <f t="shared" si="18"/>
        <v>20722.984636159999</v>
      </c>
    </row>
    <row r="84" spans="2:6" ht="15.75" customHeight="1" thickTop="1" x14ac:dyDescent="0.25">
      <c r="C84" s="8"/>
    </row>
    <row r="85" spans="2:6" ht="15.75" customHeight="1" x14ac:dyDescent="0.25">
      <c r="C85" s="8"/>
    </row>
    <row r="86" spans="2:6" ht="15.75" customHeight="1" x14ac:dyDescent="0.25">
      <c r="C86" s="8"/>
    </row>
    <row r="87" spans="2:6" ht="15.75" customHeight="1" x14ac:dyDescent="0.25">
      <c r="C87" s="8"/>
    </row>
    <row r="88" spans="2:6" ht="15.75" customHeight="1" x14ac:dyDescent="0.25">
      <c r="C88" s="8"/>
    </row>
    <row r="89" spans="2:6" ht="15.75" customHeight="1" x14ac:dyDescent="0.25">
      <c r="C89" s="8"/>
    </row>
    <row r="90" spans="2:6" ht="15.75" customHeight="1" x14ac:dyDescent="0.25">
      <c r="C90" s="8"/>
    </row>
    <row r="91" spans="2:6" ht="15.75" customHeight="1" x14ac:dyDescent="0.25">
      <c r="C91" s="8"/>
    </row>
    <row r="92" spans="2:6" ht="15.75" customHeight="1" x14ac:dyDescent="0.25">
      <c r="C92" s="8"/>
    </row>
    <row r="93" spans="2:6" ht="15.75" customHeight="1" x14ac:dyDescent="0.25">
      <c r="C93" s="8"/>
    </row>
    <row r="94" spans="2:6" ht="15.75" customHeight="1" x14ac:dyDescent="0.25">
      <c r="C94" s="8"/>
    </row>
    <row r="95" spans="2:6" ht="15.75" customHeight="1" x14ac:dyDescent="0.25">
      <c r="C95" s="8"/>
    </row>
    <row r="96" spans="2:6" ht="15.75" customHeight="1" x14ac:dyDescent="0.25">
      <c r="C96" s="8"/>
    </row>
    <row r="97" spans="3:3" ht="15.75" customHeight="1" x14ac:dyDescent="0.25">
      <c r="C97" s="8"/>
    </row>
    <row r="98" spans="3:3" ht="15.75" customHeight="1" x14ac:dyDescent="0.25">
      <c r="C98" s="8"/>
    </row>
    <row r="99" spans="3:3" ht="15.75" customHeight="1" x14ac:dyDescent="0.25">
      <c r="C99" s="8"/>
    </row>
    <row r="100" spans="3:3" ht="15.75" customHeight="1" x14ac:dyDescent="0.25">
      <c r="C100" s="8"/>
    </row>
    <row r="101" spans="3:3" ht="15.75" customHeight="1" x14ac:dyDescent="0.25">
      <c r="C101" s="8"/>
    </row>
    <row r="102" spans="3:3" ht="15.75" customHeight="1" x14ac:dyDescent="0.25">
      <c r="C102" s="8"/>
    </row>
    <row r="103" spans="3:3" ht="15.75" customHeight="1" x14ac:dyDescent="0.25">
      <c r="C103" s="8"/>
    </row>
    <row r="104" spans="3:3" ht="15.75" customHeight="1" x14ac:dyDescent="0.25">
      <c r="C104" s="8"/>
    </row>
    <row r="105" spans="3:3" ht="15.75" customHeight="1" x14ac:dyDescent="0.25">
      <c r="C105" s="8"/>
    </row>
    <row r="106" spans="3:3" ht="15.75" customHeight="1" x14ac:dyDescent="0.25">
      <c r="C106" s="8"/>
    </row>
    <row r="107" spans="3:3" ht="15.75" customHeight="1" x14ac:dyDescent="0.25">
      <c r="C107" s="8"/>
    </row>
    <row r="108" spans="3:3" ht="15.75" customHeight="1" x14ac:dyDescent="0.25">
      <c r="C108" s="8"/>
    </row>
    <row r="109" spans="3:3" ht="15.75" customHeight="1" x14ac:dyDescent="0.25">
      <c r="C109" s="8"/>
    </row>
    <row r="110" spans="3:3" ht="15.75" customHeight="1" x14ac:dyDescent="0.25">
      <c r="C110" s="8"/>
    </row>
    <row r="111" spans="3:3" ht="15.75" customHeight="1" x14ac:dyDescent="0.25">
      <c r="C111" s="8"/>
    </row>
    <row r="112" spans="3:3" ht="15.75" customHeight="1" x14ac:dyDescent="0.25">
      <c r="C112" s="8"/>
    </row>
    <row r="113" spans="3:3" ht="15.75" customHeight="1" x14ac:dyDescent="0.25">
      <c r="C113" s="8"/>
    </row>
    <row r="114" spans="3:3" ht="15.75" customHeight="1" x14ac:dyDescent="0.25">
      <c r="C114" s="8"/>
    </row>
    <row r="115" spans="3:3" ht="15.75" customHeight="1" x14ac:dyDescent="0.25">
      <c r="C115" s="8"/>
    </row>
    <row r="116" spans="3:3" ht="15.75" customHeight="1" x14ac:dyDescent="0.25">
      <c r="C116" s="8"/>
    </row>
    <row r="117" spans="3:3" ht="15.75" customHeight="1" x14ac:dyDescent="0.25">
      <c r="C117" s="8"/>
    </row>
    <row r="118" spans="3:3" ht="15.75" customHeight="1" x14ac:dyDescent="0.25">
      <c r="C118" s="8"/>
    </row>
    <row r="119" spans="3:3" ht="15.75" customHeight="1" x14ac:dyDescent="0.25">
      <c r="C119" s="8"/>
    </row>
    <row r="120" spans="3:3" ht="15.75" customHeight="1" x14ac:dyDescent="0.25">
      <c r="C120" s="8"/>
    </row>
    <row r="121" spans="3:3" ht="15.75" customHeight="1" x14ac:dyDescent="0.25">
      <c r="C121" s="8"/>
    </row>
    <row r="122" spans="3:3" ht="15.75" customHeight="1" x14ac:dyDescent="0.25">
      <c r="C122" s="8"/>
    </row>
    <row r="123" spans="3:3" ht="15.75" customHeight="1" x14ac:dyDescent="0.25">
      <c r="C123" s="8"/>
    </row>
    <row r="124" spans="3:3" ht="15.75" customHeight="1" x14ac:dyDescent="0.25">
      <c r="C124" s="8"/>
    </row>
    <row r="125" spans="3:3" ht="15.75" customHeight="1" x14ac:dyDescent="0.25">
      <c r="C125" s="8"/>
    </row>
    <row r="126" spans="3:3" ht="15.75" customHeight="1" x14ac:dyDescent="0.25">
      <c r="C126" s="8"/>
    </row>
    <row r="127" spans="3:3" ht="15.75" customHeight="1" x14ac:dyDescent="0.25">
      <c r="C127" s="8"/>
    </row>
    <row r="128" spans="3:3" ht="15.75" customHeight="1" x14ac:dyDescent="0.25">
      <c r="C128" s="8"/>
    </row>
    <row r="129" spans="3:3" ht="15.75" customHeight="1" x14ac:dyDescent="0.25">
      <c r="C129" s="8"/>
    </row>
    <row r="130" spans="3:3" ht="15.75" customHeight="1" x14ac:dyDescent="0.25">
      <c r="C130" s="8"/>
    </row>
    <row r="131" spans="3:3" ht="15.75" customHeight="1" x14ac:dyDescent="0.25">
      <c r="C131" s="8"/>
    </row>
    <row r="132" spans="3:3" ht="15.75" customHeight="1" x14ac:dyDescent="0.25">
      <c r="C132" s="8"/>
    </row>
    <row r="133" spans="3:3" ht="15.75" customHeight="1" x14ac:dyDescent="0.25">
      <c r="C133" s="8"/>
    </row>
    <row r="134" spans="3:3" ht="15.75" customHeight="1" x14ac:dyDescent="0.25">
      <c r="C134" s="8"/>
    </row>
    <row r="135" spans="3:3" ht="15.75" customHeight="1" x14ac:dyDescent="0.25">
      <c r="C135" s="8"/>
    </row>
    <row r="136" spans="3:3" ht="15.75" customHeight="1" x14ac:dyDescent="0.25">
      <c r="C136" s="8"/>
    </row>
    <row r="137" spans="3:3" ht="15.75" customHeight="1" x14ac:dyDescent="0.25">
      <c r="C137" s="8"/>
    </row>
    <row r="138" spans="3:3" ht="15.75" customHeight="1" x14ac:dyDescent="0.25">
      <c r="C138" s="8"/>
    </row>
    <row r="139" spans="3:3" ht="15.75" customHeight="1" x14ac:dyDescent="0.25">
      <c r="C139" s="8"/>
    </row>
    <row r="140" spans="3:3" ht="15.75" customHeight="1" x14ac:dyDescent="0.25">
      <c r="C140" s="8"/>
    </row>
    <row r="141" spans="3:3" ht="15.75" customHeight="1" x14ac:dyDescent="0.25">
      <c r="C141" s="8"/>
    </row>
    <row r="142" spans="3:3" ht="15.75" customHeight="1" x14ac:dyDescent="0.25">
      <c r="C142" s="8"/>
    </row>
    <row r="143" spans="3:3" ht="15.75" customHeight="1" x14ac:dyDescent="0.25">
      <c r="C143" s="8"/>
    </row>
    <row r="144" spans="3:3" ht="15.75" customHeight="1" x14ac:dyDescent="0.25">
      <c r="C144" s="8"/>
    </row>
    <row r="145" spans="3:3" ht="15.75" customHeight="1" x14ac:dyDescent="0.25">
      <c r="C145" s="8"/>
    </row>
    <row r="146" spans="3:3" ht="15.75" customHeight="1" x14ac:dyDescent="0.25">
      <c r="C146" s="8"/>
    </row>
    <row r="147" spans="3:3" ht="15.75" customHeight="1" x14ac:dyDescent="0.25">
      <c r="C147" s="8"/>
    </row>
    <row r="148" spans="3:3" ht="15.75" customHeight="1" x14ac:dyDescent="0.25">
      <c r="C148" s="8"/>
    </row>
    <row r="149" spans="3:3" ht="15.75" customHeight="1" x14ac:dyDescent="0.25">
      <c r="C149" s="8"/>
    </row>
    <row r="150" spans="3:3" ht="15.75" customHeight="1" x14ac:dyDescent="0.25">
      <c r="C150" s="8"/>
    </row>
    <row r="151" spans="3:3" ht="15.75" customHeight="1" x14ac:dyDescent="0.25">
      <c r="C151" s="8"/>
    </row>
    <row r="152" spans="3:3" ht="15.75" customHeight="1" x14ac:dyDescent="0.25">
      <c r="C152" s="8"/>
    </row>
    <row r="153" spans="3:3" ht="15.75" customHeight="1" x14ac:dyDescent="0.25">
      <c r="C153" s="8"/>
    </row>
    <row r="154" spans="3:3" ht="15.75" customHeight="1" x14ac:dyDescent="0.25">
      <c r="C154" s="8"/>
    </row>
    <row r="155" spans="3:3" ht="15.75" customHeight="1" x14ac:dyDescent="0.25">
      <c r="C155" s="8"/>
    </row>
    <row r="156" spans="3:3" ht="15.75" customHeight="1" x14ac:dyDescent="0.25">
      <c r="C156" s="8"/>
    </row>
    <row r="157" spans="3:3" ht="15.75" customHeight="1" x14ac:dyDescent="0.25">
      <c r="C157" s="8"/>
    </row>
    <row r="158" spans="3:3" ht="15.75" customHeight="1" x14ac:dyDescent="0.25">
      <c r="C158" s="8"/>
    </row>
    <row r="159" spans="3:3" ht="15.75" customHeight="1" x14ac:dyDescent="0.25">
      <c r="C159" s="8"/>
    </row>
    <row r="160" spans="3:3" ht="15.75" customHeight="1" x14ac:dyDescent="0.25">
      <c r="C160" s="8"/>
    </row>
    <row r="161" spans="3:3" ht="15.75" customHeight="1" x14ac:dyDescent="0.25">
      <c r="C161" s="8"/>
    </row>
    <row r="162" spans="3:3" ht="15.75" customHeight="1" x14ac:dyDescent="0.25">
      <c r="C162" s="8"/>
    </row>
    <row r="163" spans="3:3" ht="15.75" customHeight="1" x14ac:dyDescent="0.25">
      <c r="C163" s="8"/>
    </row>
    <row r="164" spans="3:3" ht="15.75" customHeight="1" x14ac:dyDescent="0.25">
      <c r="C164" s="8"/>
    </row>
    <row r="165" spans="3:3" ht="15.75" customHeight="1" x14ac:dyDescent="0.25">
      <c r="C165" s="8"/>
    </row>
    <row r="166" spans="3:3" ht="15.75" customHeight="1" x14ac:dyDescent="0.25">
      <c r="C166" s="8"/>
    </row>
    <row r="167" spans="3:3" ht="15.75" customHeight="1" x14ac:dyDescent="0.25">
      <c r="C167" s="8"/>
    </row>
    <row r="168" spans="3:3" ht="15.75" customHeight="1" x14ac:dyDescent="0.25">
      <c r="C168" s="8"/>
    </row>
    <row r="169" spans="3:3" ht="15.75" customHeight="1" x14ac:dyDescent="0.25">
      <c r="C169" s="8"/>
    </row>
    <row r="170" spans="3:3" ht="15.75" customHeight="1" x14ac:dyDescent="0.25">
      <c r="C170" s="8"/>
    </row>
    <row r="171" spans="3:3" ht="15.75" customHeight="1" x14ac:dyDescent="0.25">
      <c r="C171" s="8"/>
    </row>
    <row r="172" spans="3:3" ht="15.75" customHeight="1" x14ac:dyDescent="0.25">
      <c r="C172" s="8"/>
    </row>
    <row r="173" spans="3:3" ht="15.75" customHeight="1" x14ac:dyDescent="0.25">
      <c r="C173" s="8"/>
    </row>
    <row r="174" spans="3:3" ht="15.75" customHeight="1" x14ac:dyDescent="0.25">
      <c r="C174" s="8"/>
    </row>
    <row r="175" spans="3:3" ht="15.75" customHeight="1" x14ac:dyDescent="0.25">
      <c r="C175" s="8"/>
    </row>
    <row r="176" spans="3:3" ht="15.75" customHeight="1" x14ac:dyDescent="0.25">
      <c r="C176" s="8"/>
    </row>
    <row r="177" spans="3:3" ht="15.75" customHeight="1" x14ac:dyDescent="0.25">
      <c r="C177" s="8"/>
    </row>
    <row r="178" spans="3:3" ht="15.75" customHeight="1" x14ac:dyDescent="0.25">
      <c r="C178" s="8"/>
    </row>
    <row r="179" spans="3:3" ht="15.75" customHeight="1" x14ac:dyDescent="0.25">
      <c r="C179" s="8"/>
    </row>
    <row r="180" spans="3:3" ht="15.75" customHeight="1" x14ac:dyDescent="0.25">
      <c r="C180" s="8"/>
    </row>
    <row r="181" spans="3:3" ht="15.75" customHeight="1" x14ac:dyDescent="0.25">
      <c r="C181" s="8"/>
    </row>
    <row r="182" spans="3:3" ht="15.75" customHeight="1" x14ac:dyDescent="0.25">
      <c r="C182" s="8"/>
    </row>
    <row r="183" spans="3:3" ht="15.75" customHeight="1" x14ac:dyDescent="0.25">
      <c r="C183" s="8"/>
    </row>
    <row r="184" spans="3:3" ht="15.75" customHeight="1" x14ac:dyDescent="0.25">
      <c r="C184" s="8"/>
    </row>
    <row r="185" spans="3:3" ht="15.75" customHeight="1" x14ac:dyDescent="0.25">
      <c r="C185" s="8"/>
    </row>
    <row r="186" spans="3:3" ht="15.75" customHeight="1" x14ac:dyDescent="0.25">
      <c r="C186" s="8"/>
    </row>
    <row r="187" spans="3:3" ht="15.75" customHeight="1" x14ac:dyDescent="0.25">
      <c r="C187" s="8"/>
    </row>
    <row r="188" spans="3:3" ht="15.75" customHeight="1" x14ac:dyDescent="0.25">
      <c r="C188" s="8"/>
    </row>
    <row r="189" spans="3:3" ht="15.75" customHeight="1" x14ac:dyDescent="0.25">
      <c r="C189" s="8"/>
    </row>
    <row r="190" spans="3:3" ht="15.75" customHeight="1" x14ac:dyDescent="0.25">
      <c r="C190" s="8"/>
    </row>
    <row r="191" spans="3:3" ht="15.75" customHeight="1" x14ac:dyDescent="0.25">
      <c r="C191" s="8"/>
    </row>
    <row r="192" spans="3:3" ht="15.75" customHeight="1" x14ac:dyDescent="0.25">
      <c r="C192" s="8"/>
    </row>
    <row r="193" spans="3:3" ht="15.75" customHeight="1" x14ac:dyDescent="0.25">
      <c r="C193" s="8"/>
    </row>
    <row r="194" spans="3:3" ht="15.75" customHeight="1" x14ac:dyDescent="0.25">
      <c r="C194" s="8"/>
    </row>
    <row r="195" spans="3:3" ht="15.75" customHeight="1" x14ac:dyDescent="0.25">
      <c r="C195" s="8"/>
    </row>
    <row r="196" spans="3:3" ht="15.75" customHeight="1" x14ac:dyDescent="0.25">
      <c r="C196" s="8"/>
    </row>
    <row r="197" spans="3:3" ht="15.75" customHeight="1" x14ac:dyDescent="0.25">
      <c r="C197" s="8"/>
    </row>
    <row r="198" spans="3:3" ht="15.75" customHeight="1" x14ac:dyDescent="0.25">
      <c r="C198" s="8"/>
    </row>
    <row r="199" spans="3:3" ht="15.75" customHeight="1" x14ac:dyDescent="0.25">
      <c r="C199" s="8"/>
    </row>
    <row r="200" spans="3:3" ht="15.75" customHeight="1" x14ac:dyDescent="0.25">
      <c r="C200" s="8"/>
    </row>
    <row r="201" spans="3:3" ht="15.75" customHeight="1" x14ac:dyDescent="0.25">
      <c r="C201" s="8"/>
    </row>
    <row r="202" spans="3:3" ht="15.75" customHeight="1" x14ac:dyDescent="0.25">
      <c r="C202" s="8"/>
    </row>
    <row r="203" spans="3:3" ht="15.75" customHeight="1" x14ac:dyDescent="0.25">
      <c r="C203" s="8"/>
    </row>
    <row r="204" spans="3:3" ht="15.75" customHeight="1" x14ac:dyDescent="0.25">
      <c r="C204" s="8"/>
    </row>
    <row r="205" spans="3:3" ht="15.75" customHeight="1" x14ac:dyDescent="0.25">
      <c r="C205" s="8"/>
    </row>
    <row r="206" spans="3:3" ht="15.75" customHeight="1" x14ac:dyDescent="0.25">
      <c r="C206" s="8"/>
    </row>
    <row r="207" spans="3:3" ht="15.75" customHeight="1" x14ac:dyDescent="0.25">
      <c r="C207" s="8"/>
    </row>
    <row r="208" spans="3:3" ht="15.75" customHeight="1" x14ac:dyDescent="0.25">
      <c r="C208" s="8"/>
    </row>
    <row r="209" spans="3:3" ht="15.75" customHeight="1" x14ac:dyDescent="0.25">
      <c r="C209" s="8"/>
    </row>
    <row r="210" spans="3:3" ht="15.75" customHeight="1" x14ac:dyDescent="0.25">
      <c r="C210" s="8"/>
    </row>
    <row r="211" spans="3:3" ht="15.75" customHeight="1" x14ac:dyDescent="0.25">
      <c r="C211" s="8"/>
    </row>
    <row r="212" spans="3:3" ht="15.75" customHeight="1" x14ac:dyDescent="0.25">
      <c r="C212" s="8"/>
    </row>
    <row r="213" spans="3:3" ht="15.75" customHeight="1" x14ac:dyDescent="0.25">
      <c r="C213" s="8"/>
    </row>
    <row r="214" spans="3:3" ht="15.75" customHeight="1" x14ac:dyDescent="0.25">
      <c r="C214" s="8"/>
    </row>
    <row r="215" spans="3:3" ht="15.75" customHeight="1" x14ac:dyDescent="0.25">
      <c r="C215" s="8"/>
    </row>
    <row r="216" spans="3:3" ht="15.75" customHeight="1" x14ac:dyDescent="0.25">
      <c r="C216" s="8"/>
    </row>
    <row r="217" spans="3:3" ht="15.75" customHeight="1" x14ac:dyDescent="0.25">
      <c r="C217" s="8"/>
    </row>
    <row r="218" spans="3:3" ht="15.75" customHeight="1" x14ac:dyDescent="0.25">
      <c r="C218" s="8"/>
    </row>
    <row r="219" spans="3:3" ht="15.75" customHeight="1" x14ac:dyDescent="0.25">
      <c r="C219" s="8"/>
    </row>
    <row r="220" spans="3:3" ht="15.75" customHeight="1" x14ac:dyDescent="0.25">
      <c r="C220" s="8"/>
    </row>
    <row r="221" spans="3:3" ht="15.75" customHeight="1" x14ac:dyDescent="0.25">
      <c r="C221" s="8"/>
    </row>
    <row r="222" spans="3:3" ht="15.75" customHeight="1" x14ac:dyDescent="0.25">
      <c r="C222" s="8"/>
    </row>
    <row r="223" spans="3:3" ht="15.75" customHeight="1" x14ac:dyDescent="0.25">
      <c r="C223" s="8"/>
    </row>
    <row r="224" spans="3:3" ht="15.75" customHeight="1" x14ac:dyDescent="0.25">
      <c r="C224" s="8"/>
    </row>
    <row r="225" spans="3:3" ht="15.75" customHeight="1" x14ac:dyDescent="0.25">
      <c r="C225" s="8"/>
    </row>
    <row r="226" spans="3:3" ht="15.75" customHeight="1" x14ac:dyDescent="0.25">
      <c r="C226" s="8"/>
    </row>
    <row r="227" spans="3:3" ht="15.75" customHeight="1" x14ac:dyDescent="0.25">
      <c r="C227" s="8"/>
    </row>
    <row r="228" spans="3:3" ht="15.75" customHeight="1" x14ac:dyDescent="0.25">
      <c r="C228" s="8"/>
    </row>
    <row r="229" spans="3:3" ht="15.75" customHeight="1" x14ac:dyDescent="0.25">
      <c r="C229" s="8"/>
    </row>
    <row r="230" spans="3:3" ht="15.75" customHeight="1" x14ac:dyDescent="0.25">
      <c r="C230" s="8"/>
    </row>
    <row r="231" spans="3:3" ht="15.75" customHeight="1" x14ac:dyDescent="0.25">
      <c r="C231" s="8"/>
    </row>
    <row r="232" spans="3:3" ht="15.75" customHeight="1" x14ac:dyDescent="0.25">
      <c r="C232" s="8"/>
    </row>
    <row r="233" spans="3:3" ht="15.75" customHeight="1" x14ac:dyDescent="0.25">
      <c r="C233" s="8"/>
    </row>
    <row r="234" spans="3:3" ht="15.75" customHeight="1" x14ac:dyDescent="0.25">
      <c r="C234" s="8"/>
    </row>
    <row r="235" spans="3:3" ht="15.75" customHeight="1" x14ac:dyDescent="0.25">
      <c r="C235" s="8"/>
    </row>
    <row r="236" spans="3:3" ht="15.75" customHeight="1" x14ac:dyDescent="0.25">
      <c r="C236" s="8"/>
    </row>
    <row r="237" spans="3:3" ht="15.75" customHeight="1" x14ac:dyDescent="0.25">
      <c r="C237" s="8"/>
    </row>
    <row r="238" spans="3:3" ht="15.75" customHeight="1" x14ac:dyDescent="0.25">
      <c r="C238" s="8"/>
    </row>
    <row r="239" spans="3:3" ht="15.75" customHeight="1" x14ac:dyDescent="0.25">
      <c r="C239" s="8"/>
    </row>
    <row r="240" spans="3:3" ht="15.75" customHeight="1" x14ac:dyDescent="0.25">
      <c r="C240" s="8"/>
    </row>
    <row r="241" spans="3:3" ht="15.75" customHeight="1" x14ac:dyDescent="0.25">
      <c r="C241" s="8"/>
    </row>
    <row r="242" spans="3:3" ht="15.75" customHeight="1" x14ac:dyDescent="0.25">
      <c r="C242" s="8"/>
    </row>
    <row r="243" spans="3:3" ht="15.75" customHeight="1" x14ac:dyDescent="0.25">
      <c r="C243" s="8"/>
    </row>
    <row r="244" spans="3:3" ht="15.75" customHeight="1" x14ac:dyDescent="0.25">
      <c r="C244" s="8"/>
    </row>
    <row r="245" spans="3:3" ht="15.75" customHeight="1" x14ac:dyDescent="0.25">
      <c r="C245" s="8"/>
    </row>
    <row r="246" spans="3:3" ht="15.75" customHeight="1" x14ac:dyDescent="0.25">
      <c r="C246" s="8"/>
    </row>
    <row r="247" spans="3:3" ht="15.75" customHeight="1" x14ac:dyDescent="0.25">
      <c r="C247" s="8"/>
    </row>
    <row r="248" spans="3:3" ht="15.75" customHeight="1" x14ac:dyDescent="0.25">
      <c r="C248" s="8"/>
    </row>
    <row r="249" spans="3:3" ht="15.75" customHeight="1" x14ac:dyDescent="0.25">
      <c r="C249" s="8"/>
    </row>
    <row r="250" spans="3:3" ht="15.75" customHeight="1" x14ac:dyDescent="0.25">
      <c r="C250" s="8"/>
    </row>
    <row r="251" spans="3:3" ht="15.75" customHeight="1" x14ac:dyDescent="0.25">
      <c r="C251" s="8"/>
    </row>
    <row r="252" spans="3:3" ht="15.75" customHeight="1" x14ac:dyDescent="0.25">
      <c r="C252" s="8"/>
    </row>
    <row r="253" spans="3:3" ht="15.75" customHeight="1" x14ac:dyDescent="0.25">
      <c r="C253" s="8"/>
    </row>
    <row r="254" spans="3:3" ht="15.75" customHeight="1" x14ac:dyDescent="0.25">
      <c r="C254" s="8"/>
    </row>
    <row r="255" spans="3:3" ht="15.75" customHeight="1" x14ac:dyDescent="0.25">
      <c r="C255" s="8"/>
    </row>
    <row r="256" spans="3:3" ht="15.75" customHeight="1" x14ac:dyDescent="0.25">
      <c r="C256" s="8"/>
    </row>
    <row r="257" spans="3:3" ht="15.75" customHeight="1" x14ac:dyDescent="0.25">
      <c r="C257" s="8"/>
    </row>
    <row r="258" spans="3:3" ht="15.75" customHeight="1" x14ac:dyDescent="0.25">
      <c r="C258" s="8"/>
    </row>
    <row r="259" spans="3:3" ht="15.75" customHeight="1" x14ac:dyDescent="0.25">
      <c r="C259" s="8"/>
    </row>
    <row r="260" spans="3:3" ht="15.75" customHeight="1" x14ac:dyDescent="0.25">
      <c r="C260" s="8"/>
    </row>
    <row r="261" spans="3:3" ht="15.75" customHeight="1" x14ac:dyDescent="0.25">
      <c r="C261" s="8"/>
    </row>
    <row r="262" spans="3:3" ht="15.75" customHeight="1" x14ac:dyDescent="0.25">
      <c r="C262" s="8"/>
    </row>
    <row r="263" spans="3:3" ht="15.75" customHeight="1" x14ac:dyDescent="0.25">
      <c r="C263" s="8"/>
    </row>
    <row r="264" spans="3:3" ht="15.75" customHeight="1" x14ac:dyDescent="0.25">
      <c r="C264" s="8"/>
    </row>
    <row r="265" spans="3:3" ht="15.75" customHeight="1" x14ac:dyDescent="0.25">
      <c r="C265" s="8"/>
    </row>
    <row r="266" spans="3:3" ht="15.75" customHeight="1" x14ac:dyDescent="0.25">
      <c r="C266" s="8"/>
    </row>
    <row r="267" spans="3:3" ht="15.75" customHeight="1" x14ac:dyDescent="0.25">
      <c r="C267" s="8"/>
    </row>
    <row r="268" spans="3:3" ht="15.75" customHeight="1" x14ac:dyDescent="0.25">
      <c r="C268" s="8"/>
    </row>
    <row r="269" spans="3:3" ht="15.75" customHeight="1" x14ac:dyDescent="0.25">
      <c r="C269" s="8"/>
    </row>
    <row r="270" spans="3:3" ht="15.75" customHeight="1" x14ac:dyDescent="0.25">
      <c r="C270" s="8"/>
    </row>
    <row r="271" spans="3:3" ht="15.75" customHeight="1" x14ac:dyDescent="0.25">
      <c r="C271" s="8"/>
    </row>
    <row r="272" spans="3:3" ht="15.75" customHeight="1" x14ac:dyDescent="0.25">
      <c r="C272" s="8"/>
    </row>
    <row r="273" spans="3:3" ht="15.75" customHeight="1" x14ac:dyDescent="0.25">
      <c r="C273" s="8"/>
    </row>
    <row r="274" spans="3:3" ht="15.75" customHeight="1" x14ac:dyDescent="0.25">
      <c r="C274" s="8"/>
    </row>
    <row r="275" spans="3:3" ht="15.75" customHeight="1" x14ac:dyDescent="0.25">
      <c r="C275" s="8"/>
    </row>
    <row r="276" spans="3:3" ht="15.75" customHeight="1" x14ac:dyDescent="0.25">
      <c r="C276" s="8"/>
    </row>
    <row r="277" spans="3:3" ht="15.75" customHeight="1" x14ac:dyDescent="0.25">
      <c r="C277" s="8"/>
    </row>
    <row r="278" spans="3:3" ht="15.75" customHeight="1" x14ac:dyDescent="0.25">
      <c r="C278" s="8"/>
    </row>
    <row r="279" spans="3:3" ht="15.75" customHeight="1" x14ac:dyDescent="0.25">
      <c r="C279" s="8"/>
    </row>
    <row r="280" spans="3:3" ht="15.75" customHeight="1" x14ac:dyDescent="0.25">
      <c r="C280" s="8"/>
    </row>
    <row r="281" spans="3:3" ht="15.75" customHeight="1" x14ac:dyDescent="0.25">
      <c r="C281" s="8"/>
    </row>
    <row r="282" spans="3:3" ht="15.75" customHeight="1" x14ac:dyDescent="0.25">
      <c r="C282" s="8"/>
    </row>
    <row r="283" spans="3:3" ht="15.75" customHeight="1" x14ac:dyDescent="0.25">
      <c r="C283" s="8"/>
    </row>
    <row r="284" spans="3:3" ht="15.75" customHeight="1" x14ac:dyDescent="0.25">
      <c r="C284" s="8"/>
    </row>
    <row r="285" spans="3:3" ht="15.75" customHeight="1" x14ac:dyDescent="0.25">
      <c r="C285" s="8"/>
    </row>
    <row r="286" spans="3:3" ht="15.75" customHeight="1" x14ac:dyDescent="0.25">
      <c r="C286" s="8"/>
    </row>
    <row r="287" spans="3:3" ht="15.75" customHeight="1" x14ac:dyDescent="0.25">
      <c r="C287" s="8"/>
    </row>
    <row r="288" spans="3:3" ht="15.75" customHeight="1" x14ac:dyDescent="0.25">
      <c r="C288" s="8"/>
    </row>
    <row r="289" spans="3:3" ht="15.75" customHeight="1" x14ac:dyDescent="0.25">
      <c r="C289" s="8"/>
    </row>
    <row r="290" spans="3:3" ht="15.75" customHeight="1" x14ac:dyDescent="0.25">
      <c r="C290" s="8"/>
    </row>
    <row r="291" spans="3:3" ht="15.75" customHeight="1" x14ac:dyDescent="0.25">
      <c r="C291" s="8"/>
    </row>
    <row r="292" spans="3:3" ht="15.75" customHeight="1" x14ac:dyDescent="0.25">
      <c r="C292" s="8"/>
    </row>
    <row r="293" spans="3:3" ht="15.75" customHeight="1" x14ac:dyDescent="0.25">
      <c r="C293" s="8"/>
    </row>
    <row r="294" spans="3:3" ht="15.75" customHeight="1" x14ac:dyDescent="0.25">
      <c r="C294" s="8"/>
    </row>
    <row r="295" spans="3:3" ht="15.75" customHeight="1" x14ac:dyDescent="0.25">
      <c r="C295" s="8"/>
    </row>
    <row r="296" spans="3:3" ht="15.75" customHeight="1" x14ac:dyDescent="0.25">
      <c r="C296" s="8"/>
    </row>
    <row r="297" spans="3:3" ht="15.75" customHeight="1" x14ac:dyDescent="0.25">
      <c r="C297" s="8"/>
    </row>
    <row r="298" spans="3:3" ht="15.75" customHeight="1" x14ac:dyDescent="0.25">
      <c r="C298" s="8"/>
    </row>
    <row r="299" spans="3:3" ht="15.75" customHeight="1" x14ac:dyDescent="0.25">
      <c r="C299" s="8"/>
    </row>
    <row r="300" spans="3:3" ht="15.75" customHeight="1" x14ac:dyDescent="0.25">
      <c r="C300" s="8"/>
    </row>
    <row r="301" spans="3:3" ht="15.75" customHeight="1" x14ac:dyDescent="0.25">
      <c r="C301" s="8"/>
    </row>
    <row r="302" spans="3:3" ht="15.75" customHeight="1" x14ac:dyDescent="0.25">
      <c r="C302" s="8"/>
    </row>
    <row r="303" spans="3:3" ht="15.75" customHeight="1" x14ac:dyDescent="0.25">
      <c r="C303" s="8"/>
    </row>
    <row r="304" spans="3:3" ht="15.75" customHeight="1" x14ac:dyDescent="0.25">
      <c r="C304" s="8"/>
    </row>
    <row r="305" spans="3:3" ht="15.75" customHeight="1" x14ac:dyDescent="0.25">
      <c r="C305" s="8"/>
    </row>
    <row r="306" spans="3:3" ht="15.75" customHeight="1" x14ac:dyDescent="0.25">
      <c r="C306" s="8"/>
    </row>
    <row r="307" spans="3:3" ht="15.75" customHeight="1" x14ac:dyDescent="0.25">
      <c r="C307" s="8"/>
    </row>
    <row r="308" spans="3:3" ht="15.75" customHeight="1" x14ac:dyDescent="0.25">
      <c r="C308" s="8"/>
    </row>
    <row r="309" spans="3:3" ht="15.75" customHeight="1" x14ac:dyDescent="0.25">
      <c r="C309" s="8"/>
    </row>
    <row r="310" spans="3:3" ht="15.75" customHeight="1" x14ac:dyDescent="0.25">
      <c r="C310" s="8"/>
    </row>
    <row r="311" spans="3:3" ht="15.75" customHeight="1" x14ac:dyDescent="0.25">
      <c r="C311" s="8"/>
    </row>
    <row r="312" spans="3:3" ht="15.75" customHeight="1" x14ac:dyDescent="0.25">
      <c r="C312" s="8"/>
    </row>
    <row r="313" spans="3:3" ht="15.75" customHeight="1" x14ac:dyDescent="0.25">
      <c r="C313" s="8"/>
    </row>
    <row r="314" spans="3:3" ht="15.75" customHeight="1" x14ac:dyDescent="0.25">
      <c r="C314" s="8"/>
    </row>
    <row r="315" spans="3:3" ht="15.75" customHeight="1" x14ac:dyDescent="0.25">
      <c r="C315" s="8"/>
    </row>
    <row r="316" spans="3:3" ht="15.75" customHeight="1" x14ac:dyDescent="0.25">
      <c r="C316" s="8"/>
    </row>
    <row r="317" spans="3:3" ht="15.75" customHeight="1" x14ac:dyDescent="0.25">
      <c r="C317" s="8"/>
    </row>
    <row r="318" spans="3:3" ht="15.75" customHeight="1" x14ac:dyDescent="0.25">
      <c r="C318" s="8"/>
    </row>
    <row r="319" spans="3:3" ht="15.75" customHeight="1" x14ac:dyDescent="0.25">
      <c r="C319" s="8"/>
    </row>
    <row r="320" spans="3:3" ht="15.75" customHeight="1" x14ac:dyDescent="0.25">
      <c r="C320" s="8"/>
    </row>
    <row r="321" spans="3:3" ht="15.75" customHeight="1" x14ac:dyDescent="0.25">
      <c r="C321" s="8"/>
    </row>
    <row r="322" spans="3:3" ht="15.75" customHeight="1" x14ac:dyDescent="0.25">
      <c r="C322" s="8"/>
    </row>
    <row r="323" spans="3:3" ht="15.75" customHeight="1" x14ac:dyDescent="0.25">
      <c r="C323" s="8"/>
    </row>
    <row r="324" spans="3:3" ht="15.75" customHeight="1" x14ac:dyDescent="0.25">
      <c r="C324" s="8"/>
    </row>
    <row r="325" spans="3:3" ht="15.75" customHeight="1" x14ac:dyDescent="0.25">
      <c r="C325" s="8"/>
    </row>
    <row r="326" spans="3:3" ht="15.75" customHeight="1" x14ac:dyDescent="0.25">
      <c r="C326" s="8"/>
    </row>
    <row r="327" spans="3:3" ht="15.75" customHeight="1" x14ac:dyDescent="0.25">
      <c r="C327" s="8"/>
    </row>
    <row r="328" spans="3:3" ht="15.75" customHeight="1" x14ac:dyDescent="0.25">
      <c r="C328" s="8"/>
    </row>
    <row r="329" spans="3:3" ht="15.75" customHeight="1" x14ac:dyDescent="0.25">
      <c r="C329" s="8"/>
    </row>
    <row r="330" spans="3:3" ht="15.75" customHeight="1" x14ac:dyDescent="0.25">
      <c r="C330" s="8"/>
    </row>
    <row r="331" spans="3:3" ht="15.75" customHeight="1" x14ac:dyDescent="0.25">
      <c r="C331" s="8"/>
    </row>
    <row r="332" spans="3:3" ht="15.75" customHeight="1" x14ac:dyDescent="0.25">
      <c r="C332" s="8"/>
    </row>
    <row r="333" spans="3:3" ht="15.75" customHeight="1" x14ac:dyDescent="0.25">
      <c r="C333" s="8"/>
    </row>
    <row r="334" spans="3:3" ht="15.75" customHeight="1" x14ac:dyDescent="0.25">
      <c r="C334" s="8"/>
    </row>
    <row r="335" spans="3:3" ht="15.75" customHeight="1" x14ac:dyDescent="0.25">
      <c r="C335" s="8"/>
    </row>
    <row r="336" spans="3:3" ht="15.75" customHeight="1" x14ac:dyDescent="0.25">
      <c r="C336" s="8"/>
    </row>
    <row r="337" spans="3:3" ht="15.75" customHeight="1" x14ac:dyDescent="0.25">
      <c r="C337" s="8"/>
    </row>
    <row r="338" spans="3:3" ht="15.75" customHeight="1" x14ac:dyDescent="0.25">
      <c r="C338" s="8"/>
    </row>
    <row r="339" spans="3:3" ht="15.75" customHeight="1" x14ac:dyDescent="0.25">
      <c r="C339" s="8"/>
    </row>
    <row r="340" spans="3:3" ht="15.75" customHeight="1" x14ac:dyDescent="0.25">
      <c r="C340" s="8"/>
    </row>
    <row r="341" spans="3:3" ht="15.75" customHeight="1" x14ac:dyDescent="0.25">
      <c r="C341" s="8"/>
    </row>
    <row r="342" spans="3:3" ht="15.75" customHeight="1" x14ac:dyDescent="0.25">
      <c r="C342" s="8"/>
    </row>
    <row r="343" spans="3:3" ht="15.75" customHeight="1" x14ac:dyDescent="0.25">
      <c r="C343" s="8"/>
    </row>
    <row r="344" spans="3:3" ht="15.75" customHeight="1" x14ac:dyDescent="0.25">
      <c r="C344" s="8"/>
    </row>
    <row r="345" spans="3:3" ht="15.75" customHeight="1" x14ac:dyDescent="0.25">
      <c r="C345" s="8"/>
    </row>
    <row r="346" spans="3:3" ht="15.75" customHeight="1" x14ac:dyDescent="0.25">
      <c r="C346" s="8"/>
    </row>
    <row r="347" spans="3:3" ht="15.75" customHeight="1" x14ac:dyDescent="0.25">
      <c r="C347" s="8"/>
    </row>
    <row r="348" spans="3:3" ht="15.75" customHeight="1" x14ac:dyDescent="0.25">
      <c r="C348" s="8"/>
    </row>
    <row r="349" spans="3:3" ht="15.75" customHeight="1" x14ac:dyDescent="0.25">
      <c r="C349" s="8"/>
    </row>
    <row r="350" spans="3:3" ht="15.75" customHeight="1" x14ac:dyDescent="0.25">
      <c r="C350" s="8"/>
    </row>
    <row r="351" spans="3:3" ht="15.75" customHeight="1" x14ac:dyDescent="0.25">
      <c r="C351" s="8"/>
    </row>
    <row r="352" spans="3:3" ht="15.75" customHeight="1" x14ac:dyDescent="0.25">
      <c r="C352" s="8"/>
    </row>
    <row r="353" spans="3:3" ht="15.75" customHeight="1" x14ac:dyDescent="0.25">
      <c r="C353" s="8"/>
    </row>
    <row r="354" spans="3:3" ht="15.75" customHeight="1" x14ac:dyDescent="0.25">
      <c r="C354" s="8"/>
    </row>
    <row r="355" spans="3:3" ht="15.75" customHeight="1" x14ac:dyDescent="0.25">
      <c r="C355" s="8"/>
    </row>
    <row r="356" spans="3:3" ht="15.75" customHeight="1" x14ac:dyDescent="0.25">
      <c r="C356" s="8"/>
    </row>
    <row r="357" spans="3:3" ht="15.75" customHeight="1" x14ac:dyDescent="0.25">
      <c r="C357" s="8"/>
    </row>
    <row r="358" spans="3:3" ht="15.75" customHeight="1" x14ac:dyDescent="0.25">
      <c r="C358" s="8"/>
    </row>
    <row r="359" spans="3:3" ht="15.75" customHeight="1" x14ac:dyDescent="0.25">
      <c r="C359" s="8"/>
    </row>
    <row r="360" spans="3:3" ht="15.75" customHeight="1" x14ac:dyDescent="0.25">
      <c r="C360" s="8"/>
    </row>
    <row r="361" spans="3:3" ht="15.75" customHeight="1" x14ac:dyDescent="0.25">
      <c r="C361" s="8"/>
    </row>
    <row r="362" spans="3:3" ht="15.75" customHeight="1" x14ac:dyDescent="0.25">
      <c r="C362" s="8"/>
    </row>
    <row r="363" spans="3:3" ht="15.75" customHeight="1" x14ac:dyDescent="0.25">
      <c r="C363" s="8"/>
    </row>
    <row r="364" spans="3:3" ht="15.75" customHeight="1" x14ac:dyDescent="0.25">
      <c r="C364" s="8"/>
    </row>
    <row r="365" spans="3:3" ht="15.75" customHeight="1" x14ac:dyDescent="0.25">
      <c r="C365" s="8"/>
    </row>
    <row r="366" spans="3:3" ht="15.75" customHeight="1" x14ac:dyDescent="0.25">
      <c r="C366" s="8"/>
    </row>
    <row r="367" spans="3:3" ht="15.75" customHeight="1" x14ac:dyDescent="0.25">
      <c r="C367" s="8"/>
    </row>
    <row r="368" spans="3:3" ht="15.75" customHeight="1" x14ac:dyDescent="0.25">
      <c r="C368" s="8"/>
    </row>
    <row r="369" spans="3:3" ht="15.75" customHeight="1" x14ac:dyDescent="0.25">
      <c r="C369" s="8"/>
    </row>
    <row r="370" spans="3:3" ht="15.75" customHeight="1" x14ac:dyDescent="0.25">
      <c r="C370" s="8"/>
    </row>
    <row r="371" spans="3:3" ht="15.75" customHeight="1" x14ac:dyDescent="0.25">
      <c r="C371" s="8"/>
    </row>
    <row r="372" spans="3:3" ht="15.75" customHeight="1" x14ac:dyDescent="0.25">
      <c r="C372" s="8"/>
    </row>
    <row r="373" spans="3:3" ht="15.75" customHeight="1" x14ac:dyDescent="0.25">
      <c r="C373" s="8"/>
    </row>
    <row r="374" spans="3:3" ht="15.75" customHeight="1" x14ac:dyDescent="0.25">
      <c r="C374" s="8"/>
    </row>
    <row r="375" spans="3:3" ht="15.75" customHeight="1" x14ac:dyDescent="0.25">
      <c r="C375" s="8"/>
    </row>
    <row r="376" spans="3:3" ht="15.75" customHeight="1" x14ac:dyDescent="0.25">
      <c r="C376" s="8"/>
    </row>
    <row r="377" spans="3:3" ht="15.75" customHeight="1" x14ac:dyDescent="0.25">
      <c r="C377" s="8"/>
    </row>
    <row r="378" spans="3:3" ht="15.75" customHeight="1" x14ac:dyDescent="0.25">
      <c r="C378" s="8"/>
    </row>
    <row r="379" spans="3:3" ht="15.75" customHeight="1" x14ac:dyDescent="0.25">
      <c r="C379" s="8"/>
    </row>
    <row r="380" spans="3:3" ht="15.75" customHeight="1" x14ac:dyDescent="0.25">
      <c r="C380" s="8"/>
    </row>
    <row r="381" spans="3:3" ht="15.75" customHeight="1" x14ac:dyDescent="0.25">
      <c r="C381" s="8"/>
    </row>
    <row r="382" spans="3:3" ht="15.75" customHeight="1" x14ac:dyDescent="0.25">
      <c r="C382" s="8"/>
    </row>
    <row r="383" spans="3:3" ht="15.75" customHeight="1" x14ac:dyDescent="0.25">
      <c r="C383" s="8"/>
    </row>
    <row r="384" spans="3:3" ht="15.75" customHeight="1" x14ac:dyDescent="0.25">
      <c r="C384" s="8"/>
    </row>
    <row r="385" spans="3:3" ht="15.75" customHeight="1" x14ac:dyDescent="0.25">
      <c r="C385" s="8"/>
    </row>
    <row r="386" spans="3:3" ht="15.75" customHeight="1" x14ac:dyDescent="0.25">
      <c r="C386" s="8"/>
    </row>
    <row r="387" spans="3:3" ht="15.75" customHeight="1" x14ac:dyDescent="0.25">
      <c r="C387" s="8"/>
    </row>
    <row r="388" spans="3:3" ht="15.75" customHeight="1" x14ac:dyDescent="0.25">
      <c r="C388" s="8"/>
    </row>
    <row r="389" spans="3:3" ht="15.75" customHeight="1" x14ac:dyDescent="0.25">
      <c r="C389" s="8"/>
    </row>
    <row r="390" spans="3:3" ht="15.75" customHeight="1" x14ac:dyDescent="0.25">
      <c r="C390" s="8"/>
    </row>
    <row r="391" spans="3:3" ht="15.75" customHeight="1" x14ac:dyDescent="0.25">
      <c r="C391" s="8"/>
    </row>
    <row r="392" spans="3:3" ht="15.75" customHeight="1" x14ac:dyDescent="0.25">
      <c r="C392" s="8"/>
    </row>
    <row r="393" spans="3:3" ht="15.75" customHeight="1" x14ac:dyDescent="0.25">
      <c r="C393" s="8"/>
    </row>
    <row r="394" spans="3:3" ht="15.75" customHeight="1" x14ac:dyDescent="0.25">
      <c r="C394" s="8"/>
    </row>
    <row r="395" spans="3:3" ht="15.75" customHeight="1" x14ac:dyDescent="0.25">
      <c r="C395" s="8"/>
    </row>
    <row r="396" spans="3:3" ht="15.75" customHeight="1" x14ac:dyDescent="0.25">
      <c r="C396" s="8"/>
    </row>
    <row r="397" spans="3:3" ht="15.75" customHeight="1" x14ac:dyDescent="0.25">
      <c r="C397" s="8"/>
    </row>
    <row r="398" spans="3:3" ht="15.75" customHeight="1" x14ac:dyDescent="0.25">
      <c r="C398" s="8"/>
    </row>
    <row r="399" spans="3:3" ht="15.75" customHeight="1" x14ac:dyDescent="0.25">
      <c r="C399" s="8"/>
    </row>
    <row r="400" spans="3:3" ht="15.75" customHeight="1" x14ac:dyDescent="0.25">
      <c r="C400" s="8"/>
    </row>
    <row r="401" spans="3:3" ht="15.75" customHeight="1" x14ac:dyDescent="0.25">
      <c r="C401" s="8"/>
    </row>
    <row r="402" spans="3:3" ht="15.75" customHeight="1" x14ac:dyDescent="0.25">
      <c r="C402" s="8"/>
    </row>
    <row r="403" spans="3:3" ht="15.75" customHeight="1" x14ac:dyDescent="0.25">
      <c r="C403" s="8"/>
    </row>
    <row r="404" spans="3:3" ht="15.75" customHeight="1" x14ac:dyDescent="0.25">
      <c r="C404" s="8"/>
    </row>
    <row r="405" spans="3:3" ht="15.75" customHeight="1" x14ac:dyDescent="0.25">
      <c r="C405" s="8"/>
    </row>
    <row r="406" spans="3:3" ht="15.75" customHeight="1" x14ac:dyDescent="0.25">
      <c r="C406" s="8"/>
    </row>
    <row r="407" spans="3:3" ht="15.75" customHeight="1" x14ac:dyDescent="0.25">
      <c r="C407" s="8"/>
    </row>
    <row r="408" spans="3:3" ht="15.75" customHeight="1" x14ac:dyDescent="0.25">
      <c r="C408" s="8"/>
    </row>
    <row r="409" spans="3:3" ht="15.75" customHeight="1" x14ac:dyDescent="0.25">
      <c r="C409" s="8"/>
    </row>
    <row r="410" spans="3:3" ht="15.75" customHeight="1" x14ac:dyDescent="0.25">
      <c r="C410" s="8"/>
    </row>
    <row r="411" spans="3:3" ht="15.75" customHeight="1" x14ac:dyDescent="0.25">
      <c r="C411" s="8"/>
    </row>
    <row r="412" spans="3:3" ht="15.75" customHeight="1" x14ac:dyDescent="0.25">
      <c r="C412" s="8"/>
    </row>
    <row r="413" spans="3:3" ht="15.75" customHeight="1" x14ac:dyDescent="0.25">
      <c r="C413" s="8"/>
    </row>
    <row r="414" spans="3:3" ht="15.75" customHeight="1" x14ac:dyDescent="0.25">
      <c r="C414" s="8"/>
    </row>
    <row r="415" spans="3:3" ht="15.75" customHeight="1" x14ac:dyDescent="0.25">
      <c r="C415" s="8"/>
    </row>
    <row r="416" spans="3:3" ht="15.75" customHeight="1" x14ac:dyDescent="0.25">
      <c r="C416" s="8"/>
    </row>
    <row r="417" spans="3:3" ht="15.75" customHeight="1" x14ac:dyDescent="0.25">
      <c r="C417" s="8"/>
    </row>
    <row r="418" spans="3:3" ht="15.75" customHeight="1" x14ac:dyDescent="0.25">
      <c r="C418" s="8"/>
    </row>
    <row r="419" spans="3:3" ht="15.75" customHeight="1" x14ac:dyDescent="0.25">
      <c r="C419" s="8"/>
    </row>
    <row r="420" spans="3:3" ht="15.75" customHeight="1" x14ac:dyDescent="0.25">
      <c r="C420" s="8"/>
    </row>
    <row r="421" spans="3:3" ht="15.75" customHeight="1" x14ac:dyDescent="0.25">
      <c r="C421" s="8"/>
    </row>
    <row r="422" spans="3:3" ht="15.75" customHeight="1" x14ac:dyDescent="0.25">
      <c r="C422" s="8"/>
    </row>
    <row r="423" spans="3:3" ht="15.75" customHeight="1" x14ac:dyDescent="0.25">
      <c r="C423" s="8"/>
    </row>
    <row r="424" spans="3:3" ht="15.75" customHeight="1" x14ac:dyDescent="0.25">
      <c r="C424" s="8"/>
    </row>
    <row r="425" spans="3:3" ht="15.75" customHeight="1" x14ac:dyDescent="0.25">
      <c r="C425" s="8"/>
    </row>
    <row r="426" spans="3:3" ht="15.75" customHeight="1" x14ac:dyDescent="0.25">
      <c r="C426" s="8"/>
    </row>
    <row r="427" spans="3:3" ht="15.75" customHeight="1" x14ac:dyDescent="0.25">
      <c r="C427" s="8"/>
    </row>
    <row r="428" spans="3:3" ht="15.75" customHeight="1" x14ac:dyDescent="0.25">
      <c r="C428" s="8"/>
    </row>
    <row r="429" spans="3:3" ht="15.75" customHeight="1" x14ac:dyDescent="0.25">
      <c r="C429" s="8"/>
    </row>
    <row r="430" spans="3:3" ht="15.75" customHeight="1" x14ac:dyDescent="0.25">
      <c r="C430" s="8"/>
    </row>
    <row r="431" spans="3:3" ht="15.75" customHeight="1" x14ac:dyDescent="0.25">
      <c r="C431" s="8"/>
    </row>
    <row r="432" spans="3:3" ht="15.75" customHeight="1" x14ac:dyDescent="0.25">
      <c r="C432" s="8"/>
    </row>
    <row r="433" spans="3:3" ht="15.75" customHeight="1" x14ac:dyDescent="0.25">
      <c r="C433" s="8"/>
    </row>
    <row r="434" spans="3:3" ht="15.75" customHeight="1" x14ac:dyDescent="0.25">
      <c r="C434" s="8"/>
    </row>
    <row r="435" spans="3:3" ht="15.75" customHeight="1" x14ac:dyDescent="0.25">
      <c r="C435" s="8"/>
    </row>
    <row r="436" spans="3:3" ht="15.75" customHeight="1" x14ac:dyDescent="0.25">
      <c r="C436" s="8"/>
    </row>
    <row r="437" spans="3:3" ht="15.75" customHeight="1" x14ac:dyDescent="0.25">
      <c r="C437" s="8"/>
    </row>
    <row r="438" spans="3:3" ht="15.75" customHeight="1" x14ac:dyDescent="0.25">
      <c r="C438" s="8"/>
    </row>
    <row r="439" spans="3:3" ht="15.75" customHeight="1" x14ac:dyDescent="0.25">
      <c r="C439" s="8"/>
    </row>
    <row r="440" spans="3:3" ht="15.75" customHeight="1" x14ac:dyDescent="0.25">
      <c r="C440" s="8"/>
    </row>
    <row r="441" spans="3:3" ht="15.75" customHeight="1" x14ac:dyDescent="0.25">
      <c r="C441" s="8"/>
    </row>
    <row r="442" spans="3:3" ht="15.75" customHeight="1" x14ac:dyDescent="0.25">
      <c r="C442" s="8"/>
    </row>
    <row r="443" spans="3:3" ht="15.75" customHeight="1" x14ac:dyDescent="0.25">
      <c r="C443" s="8"/>
    </row>
    <row r="444" spans="3:3" ht="15.75" customHeight="1" x14ac:dyDescent="0.25">
      <c r="C444" s="8"/>
    </row>
    <row r="445" spans="3:3" ht="15.75" customHeight="1" x14ac:dyDescent="0.25">
      <c r="C445" s="8"/>
    </row>
    <row r="446" spans="3:3" ht="15.75" customHeight="1" x14ac:dyDescent="0.25">
      <c r="C446" s="8"/>
    </row>
    <row r="447" spans="3:3" ht="15.75" customHeight="1" x14ac:dyDescent="0.25">
      <c r="C447" s="8"/>
    </row>
    <row r="448" spans="3:3" ht="15.75" customHeight="1" x14ac:dyDescent="0.25">
      <c r="C448" s="8"/>
    </row>
    <row r="449" spans="3:3" ht="15.75" customHeight="1" x14ac:dyDescent="0.25">
      <c r="C449" s="8"/>
    </row>
    <row r="450" spans="3:3" ht="15.75" customHeight="1" x14ac:dyDescent="0.25">
      <c r="C450" s="8"/>
    </row>
    <row r="451" spans="3:3" ht="15.75" customHeight="1" x14ac:dyDescent="0.25">
      <c r="C451" s="8"/>
    </row>
    <row r="452" spans="3:3" ht="15.75" customHeight="1" x14ac:dyDescent="0.25">
      <c r="C452" s="8"/>
    </row>
    <row r="453" spans="3:3" ht="15.75" customHeight="1" x14ac:dyDescent="0.25">
      <c r="C453" s="8"/>
    </row>
    <row r="454" spans="3:3" ht="15.75" customHeight="1" x14ac:dyDescent="0.25">
      <c r="C454" s="8"/>
    </row>
    <row r="455" spans="3:3" ht="15.75" customHeight="1" x14ac:dyDescent="0.25">
      <c r="C455" s="8"/>
    </row>
    <row r="456" spans="3:3" ht="15.75" customHeight="1" x14ac:dyDescent="0.25">
      <c r="C456" s="8"/>
    </row>
    <row r="457" spans="3:3" ht="15.75" customHeight="1" x14ac:dyDescent="0.25">
      <c r="C457" s="8"/>
    </row>
    <row r="458" spans="3:3" ht="15.75" customHeight="1" x14ac:dyDescent="0.25">
      <c r="C458" s="8"/>
    </row>
    <row r="459" spans="3:3" ht="15.75" customHeight="1" x14ac:dyDescent="0.25">
      <c r="C459" s="8"/>
    </row>
    <row r="460" spans="3:3" ht="15.75" customHeight="1" x14ac:dyDescent="0.25">
      <c r="C460" s="8"/>
    </row>
    <row r="461" spans="3:3" ht="15.75" customHeight="1" x14ac:dyDescent="0.25">
      <c r="C461" s="8"/>
    </row>
    <row r="462" spans="3:3" ht="15.75" customHeight="1" x14ac:dyDescent="0.25">
      <c r="C462" s="8"/>
    </row>
    <row r="463" spans="3:3" ht="15.75" customHeight="1" x14ac:dyDescent="0.25">
      <c r="C463" s="8"/>
    </row>
    <row r="464" spans="3:3" ht="15.75" customHeight="1" x14ac:dyDescent="0.25">
      <c r="C464" s="8"/>
    </row>
    <row r="465" spans="3:3" ht="15.75" customHeight="1" x14ac:dyDescent="0.25">
      <c r="C465" s="8"/>
    </row>
    <row r="466" spans="3:3" ht="15.75" customHeight="1" x14ac:dyDescent="0.25">
      <c r="C466" s="8"/>
    </row>
    <row r="467" spans="3:3" ht="15.75" customHeight="1" x14ac:dyDescent="0.25">
      <c r="C467" s="8"/>
    </row>
    <row r="468" spans="3:3" ht="15.75" customHeight="1" x14ac:dyDescent="0.25">
      <c r="C468" s="8"/>
    </row>
    <row r="469" spans="3:3" ht="15.75" customHeight="1" x14ac:dyDescent="0.25">
      <c r="C469" s="8"/>
    </row>
    <row r="470" spans="3:3" ht="15.75" customHeight="1" x14ac:dyDescent="0.25">
      <c r="C470" s="8"/>
    </row>
    <row r="471" spans="3:3" ht="15.75" customHeight="1" x14ac:dyDescent="0.25">
      <c r="C471" s="8"/>
    </row>
    <row r="472" spans="3:3" ht="15.75" customHeight="1" x14ac:dyDescent="0.25">
      <c r="C472" s="8"/>
    </row>
    <row r="473" spans="3:3" ht="15.75" customHeight="1" x14ac:dyDescent="0.25">
      <c r="C473" s="8"/>
    </row>
    <row r="474" spans="3:3" ht="15.75" customHeight="1" x14ac:dyDescent="0.25">
      <c r="C474" s="8"/>
    </row>
    <row r="475" spans="3:3" ht="15.75" customHeight="1" x14ac:dyDescent="0.25">
      <c r="C475" s="8"/>
    </row>
    <row r="476" spans="3:3" ht="15.75" customHeight="1" x14ac:dyDescent="0.25">
      <c r="C476" s="8"/>
    </row>
    <row r="477" spans="3:3" ht="15.75" customHeight="1" x14ac:dyDescent="0.25">
      <c r="C477" s="8"/>
    </row>
    <row r="478" spans="3:3" ht="15.75" customHeight="1" x14ac:dyDescent="0.25">
      <c r="C478" s="8"/>
    </row>
    <row r="479" spans="3:3" ht="15.75" customHeight="1" x14ac:dyDescent="0.25">
      <c r="C479" s="8"/>
    </row>
    <row r="480" spans="3:3" ht="15.75" customHeight="1" x14ac:dyDescent="0.25">
      <c r="C480" s="8"/>
    </row>
    <row r="481" spans="3:3" ht="15.75" customHeight="1" x14ac:dyDescent="0.25">
      <c r="C481" s="8"/>
    </row>
    <row r="482" spans="3:3" ht="15.75" customHeight="1" x14ac:dyDescent="0.25">
      <c r="C482" s="8"/>
    </row>
    <row r="483" spans="3:3" ht="15.75" customHeight="1" x14ac:dyDescent="0.25">
      <c r="C483" s="8"/>
    </row>
    <row r="484" spans="3:3" ht="15.75" customHeight="1" x14ac:dyDescent="0.25">
      <c r="C484" s="8"/>
    </row>
    <row r="485" spans="3:3" ht="15.75" customHeight="1" x14ac:dyDescent="0.25">
      <c r="C485" s="8"/>
    </row>
    <row r="486" spans="3:3" ht="15.75" customHeight="1" x14ac:dyDescent="0.25">
      <c r="C486" s="8"/>
    </row>
    <row r="487" spans="3:3" ht="15.75" customHeight="1" x14ac:dyDescent="0.25">
      <c r="C487" s="8"/>
    </row>
    <row r="488" spans="3:3" ht="15.75" customHeight="1" x14ac:dyDescent="0.25">
      <c r="C488" s="8"/>
    </row>
    <row r="489" spans="3:3" ht="15.75" customHeight="1" x14ac:dyDescent="0.25">
      <c r="C489" s="8"/>
    </row>
    <row r="490" spans="3:3" ht="15.75" customHeight="1" x14ac:dyDescent="0.25">
      <c r="C490" s="8"/>
    </row>
    <row r="491" spans="3:3" ht="15.75" customHeight="1" x14ac:dyDescent="0.25">
      <c r="C491" s="8"/>
    </row>
    <row r="492" spans="3:3" ht="15.75" customHeight="1" x14ac:dyDescent="0.25">
      <c r="C492" s="8"/>
    </row>
    <row r="493" spans="3:3" ht="15.75" customHeight="1" x14ac:dyDescent="0.25">
      <c r="C493" s="8"/>
    </row>
    <row r="494" spans="3:3" ht="15.75" customHeight="1" x14ac:dyDescent="0.25">
      <c r="C494" s="8"/>
    </row>
    <row r="495" spans="3:3" ht="15.75" customHeight="1" x14ac:dyDescent="0.25">
      <c r="C495" s="8"/>
    </row>
    <row r="496" spans="3:3" ht="15.75" customHeight="1" x14ac:dyDescent="0.25">
      <c r="C496" s="8"/>
    </row>
    <row r="497" spans="3:3" ht="15.75" customHeight="1" x14ac:dyDescent="0.25">
      <c r="C497" s="8"/>
    </row>
    <row r="498" spans="3:3" ht="15.75" customHeight="1" x14ac:dyDescent="0.25">
      <c r="C498" s="8"/>
    </row>
    <row r="499" spans="3:3" ht="15.75" customHeight="1" x14ac:dyDescent="0.25">
      <c r="C499" s="8"/>
    </row>
    <row r="500" spans="3:3" ht="15.75" customHeight="1" x14ac:dyDescent="0.25">
      <c r="C500" s="8"/>
    </row>
    <row r="501" spans="3:3" ht="15.75" customHeight="1" x14ac:dyDescent="0.25">
      <c r="C501" s="8"/>
    </row>
    <row r="502" spans="3:3" ht="15.75" customHeight="1" x14ac:dyDescent="0.25">
      <c r="C502" s="8"/>
    </row>
    <row r="503" spans="3:3" ht="15.75" customHeight="1" x14ac:dyDescent="0.25">
      <c r="C503" s="8"/>
    </row>
    <row r="504" spans="3:3" ht="15.75" customHeight="1" x14ac:dyDescent="0.25">
      <c r="C504" s="8"/>
    </row>
    <row r="505" spans="3:3" ht="15.75" customHeight="1" x14ac:dyDescent="0.25">
      <c r="C505" s="8"/>
    </row>
    <row r="506" spans="3:3" ht="15.75" customHeight="1" x14ac:dyDescent="0.25">
      <c r="C506" s="8"/>
    </row>
    <row r="507" spans="3:3" ht="15.75" customHeight="1" x14ac:dyDescent="0.25">
      <c r="C507" s="8"/>
    </row>
    <row r="508" spans="3:3" ht="15.75" customHeight="1" x14ac:dyDescent="0.25">
      <c r="C508" s="8"/>
    </row>
    <row r="509" spans="3:3" ht="15.75" customHeight="1" x14ac:dyDescent="0.25">
      <c r="C509" s="8"/>
    </row>
    <row r="510" spans="3:3" ht="15.75" customHeight="1" x14ac:dyDescent="0.25">
      <c r="C510" s="8"/>
    </row>
    <row r="511" spans="3:3" ht="15.75" customHeight="1" x14ac:dyDescent="0.25">
      <c r="C511" s="8"/>
    </row>
    <row r="512" spans="3:3" ht="15.75" customHeight="1" x14ac:dyDescent="0.25">
      <c r="C512" s="8"/>
    </row>
    <row r="513" spans="3:3" ht="15.75" customHeight="1" x14ac:dyDescent="0.25">
      <c r="C513" s="8"/>
    </row>
    <row r="514" spans="3:3" ht="15.75" customHeight="1" x14ac:dyDescent="0.25">
      <c r="C514" s="8"/>
    </row>
    <row r="515" spans="3:3" ht="15.75" customHeight="1" x14ac:dyDescent="0.25">
      <c r="C515" s="8"/>
    </row>
    <row r="516" spans="3:3" ht="15.75" customHeight="1" x14ac:dyDescent="0.25">
      <c r="C516" s="8"/>
    </row>
    <row r="517" spans="3:3" ht="15.75" customHeight="1" x14ac:dyDescent="0.25">
      <c r="C517" s="8"/>
    </row>
    <row r="518" spans="3:3" ht="15.75" customHeight="1" x14ac:dyDescent="0.25">
      <c r="C518" s="8"/>
    </row>
    <row r="519" spans="3:3" ht="15.75" customHeight="1" x14ac:dyDescent="0.25">
      <c r="C519" s="8"/>
    </row>
    <row r="520" spans="3:3" ht="15.75" customHeight="1" x14ac:dyDescent="0.25">
      <c r="C520" s="8"/>
    </row>
    <row r="521" spans="3:3" ht="15.75" customHeight="1" x14ac:dyDescent="0.25">
      <c r="C521" s="8"/>
    </row>
    <row r="522" spans="3:3" ht="15.75" customHeight="1" x14ac:dyDescent="0.25">
      <c r="C522" s="8"/>
    </row>
    <row r="523" spans="3:3" ht="15.75" customHeight="1" x14ac:dyDescent="0.25">
      <c r="C523" s="8"/>
    </row>
    <row r="524" spans="3:3" ht="15.75" customHeight="1" x14ac:dyDescent="0.25">
      <c r="C524" s="8"/>
    </row>
    <row r="525" spans="3:3" ht="15.75" customHeight="1" x14ac:dyDescent="0.25">
      <c r="C525" s="8"/>
    </row>
    <row r="526" spans="3:3" ht="15.75" customHeight="1" x14ac:dyDescent="0.25">
      <c r="C526" s="8"/>
    </row>
    <row r="527" spans="3:3" ht="15.75" customHeight="1" x14ac:dyDescent="0.25">
      <c r="C527" s="8"/>
    </row>
    <row r="528" spans="3:3" ht="15.75" customHeight="1" x14ac:dyDescent="0.25">
      <c r="C528" s="8"/>
    </row>
    <row r="529" spans="3:3" ht="15.75" customHeight="1" x14ac:dyDescent="0.25">
      <c r="C529" s="8"/>
    </row>
    <row r="530" spans="3:3" ht="15.75" customHeight="1" x14ac:dyDescent="0.25">
      <c r="C530" s="8"/>
    </row>
    <row r="531" spans="3:3" ht="15.75" customHeight="1" x14ac:dyDescent="0.25">
      <c r="C531" s="8"/>
    </row>
    <row r="532" spans="3:3" ht="15.75" customHeight="1" x14ac:dyDescent="0.25">
      <c r="C532" s="8"/>
    </row>
    <row r="533" spans="3:3" ht="15.75" customHeight="1" x14ac:dyDescent="0.25">
      <c r="C533" s="8"/>
    </row>
    <row r="534" spans="3:3" ht="15.75" customHeight="1" x14ac:dyDescent="0.25">
      <c r="C534" s="8"/>
    </row>
    <row r="535" spans="3:3" ht="15.75" customHeight="1" x14ac:dyDescent="0.25">
      <c r="C535" s="8"/>
    </row>
    <row r="536" spans="3:3" ht="15.75" customHeight="1" x14ac:dyDescent="0.25">
      <c r="C536" s="8"/>
    </row>
    <row r="537" spans="3:3" ht="15.75" customHeight="1" x14ac:dyDescent="0.25">
      <c r="C537" s="8"/>
    </row>
    <row r="538" spans="3:3" ht="15.75" customHeight="1" x14ac:dyDescent="0.25">
      <c r="C538" s="8"/>
    </row>
    <row r="539" spans="3:3" ht="15.75" customHeight="1" x14ac:dyDescent="0.25">
      <c r="C539" s="8"/>
    </row>
    <row r="540" spans="3:3" ht="15.75" customHeight="1" x14ac:dyDescent="0.25">
      <c r="C540" s="8"/>
    </row>
    <row r="541" spans="3:3" ht="15.75" customHeight="1" x14ac:dyDescent="0.25">
      <c r="C541" s="8"/>
    </row>
    <row r="542" spans="3:3" ht="15.75" customHeight="1" x14ac:dyDescent="0.25">
      <c r="C542" s="8"/>
    </row>
    <row r="543" spans="3:3" ht="15.75" customHeight="1" x14ac:dyDescent="0.25">
      <c r="C543" s="8"/>
    </row>
    <row r="544" spans="3:3" ht="15.75" customHeight="1" x14ac:dyDescent="0.25">
      <c r="C544" s="8"/>
    </row>
    <row r="545" spans="3:3" ht="15.75" customHeight="1" x14ac:dyDescent="0.25">
      <c r="C545" s="8"/>
    </row>
    <row r="546" spans="3:3" ht="15.75" customHeight="1" x14ac:dyDescent="0.25">
      <c r="C546" s="8"/>
    </row>
    <row r="547" spans="3:3" ht="15.75" customHeight="1" x14ac:dyDescent="0.25">
      <c r="C547" s="8"/>
    </row>
    <row r="548" spans="3:3" ht="15.75" customHeight="1" x14ac:dyDescent="0.25">
      <c r="C548" s="8"/>
    </row>
    <row r="549" spans="3:3" ht="15.75" customHeight="1" x14ac:dyDescent="0.25">
      <c r="C549" s="8"/>
    </row>
    <row r="550" spans="3:3" ht="15.75" customHeight="1" x14ac:dyDescent="0.25">
      <c r="C550" s="8"/>
    </row>
    <row r="551" spans="3:3" ht="15.75" customHeight="1" x14ac:dyDescent="0.25">
      <c r="C551" s="8"/>
    </row>
    <row r="552" spans="3:3" ht="15.75" customHeight="1" x14ac:dyDescent="0.25">
      <c r="C552" s="8"/>
    </row>
    <row r="553" spans="3:3" ht="15.75" customHeight="1" x14ac:dyDescent="0.25">
      <c r="C553" s="8"/>
    </row>
    <row r="554" spans="3:3" ht="15.75" customHeight="1" x14ac:dyDescent="0.25">
      <c r="C554" s="8"/>
    </row>
    <row r="555" spans="3:3" ht="15.75" customHeight="1" x14ac:dyDescent="0.25">
      <c r="C555" s="8"/>
    </row>
    <row r="556" spans="3:3" ht="15.75" customHeight="1" x14ac:dyDescent="0.25">
      <c r="C556" s="8"/>
    </row>
    <row r="557" spans="3:3" ht="15.75" customHeight="1" x14ac:dyDescent="0.25">
      <c r="C557" s="8"/>
    </row>
    <row r="558" spans="3:3" ht="15.75" customHeight="1" x14ac:dyDescent="0.25">
      <c r="C558" s="8"/>
    </row>
    <row r="559" spans="3:3" ht="15.75" customHeight="1" x14ac:dyDescent="0.25">
      <c r="C559" s="8"/>
    </row>
    <row r="560" spans="3:3" ht="15.75" customHeight="1" x14ac:dyDescent="0.25">
      <c r="C560" s="8"/>
    </row>
    <row r="561" spans="3:3" ht="15.75" customHeight="1" x14ac:dyDescent="0.25">
      <c r="C561" s="8"/>
    </row>
    <row r="562" spans="3:3" ht="15.75" customHeight="1" x14ac:dyDescent="0.25">
      <c r="C562" s="8"/>
    </row>
    <row r="563" spans="3:3" ht="15.75" customHeight="1" x14ac:dyDescent="0.25">
      <c r="C563" s="8"/>
    </row>
    <row r="564" spans="3:3" ht="15.75" customHeight="1" x14ac:dyDescent="0.25">
      <c r="C564" s="8"/>
    </row>
    <row r="565" spans="3:3" ht="15.75" customHeight="1" x14ac:dyDescent="0.25">
      <c r="C565" s="8"/>
    </row>
    <row r="566" spans="3:3" ht="15.75" customHeight="1" x14ac:dyDescent="0.25">
      <c r="C566" s="8"/>
    </row>
    <row r="567" spans="3:3" ht="15.75" customHeight="1" x14ac:dyDescent="0.25">
      <c r="C567" s="8"/>
    </row>
    <row r="568" spans="3:3" ht="15.75" customHeight="1" x14ac:dyDescent="0.25">
      <c r="C568" s="8"/>
    </row>
    <row r="569" spans="3:3" ht="15.75" customHeight="1" x14ac:dyDescent="0.25">
      <c r="C569" s="8"/>
    </row>
    <row r="570" spans="3:3" ht="15.75" customHeight="1" x14ac:dyDescent="0.25">
      <c r="C570" s="8"/>
    </row>
    <row r="571" spans="3:3" ht="15.75" customHeight="1" x14ac:dyDescent="0.25">
      <c r="C571" s="8"/>
    </row>
    <row r="572" spans="3:3" ht="15.75" customHeight="1" x14ac:dyDescent="0.25">
      <c r="C572" s="8"/>
    </row>
    <row r="573" spans="3:3" ht="15.75" customHeight="1" x14ac:dyDescent="0.25">
      <c r="C573" s="8"/>
    </row>
    <row r="574" spans="3:3" ht="15.75" customHeight="1" x14ac:dyDescent="0.25">
      <c r="C574" s="8"/>
    </row>
    <row r="575" spans="3:3" ht="15.75" customHeight="1" x14ac:dyDescent="0.25">
      <c r="C575" s="8"/>
    </row>
    <row r="576" spans="3:3" ht="15.75" customHeight="1" x14ac:dyDescent="0.25">
      <c r="C576" s="8"/>
    </row>
    <row r="577" spans="3:3" ht="15.75" customHeight="1" x14ac:dyDescent="0.25">
      <c r="C577" s="8"/>
    </row>
    <row r="578" spans="3:3" ht="15.75" customHeight="1" x14ac:dyDescent="0.25">
      <c r="C578" s="8"/>
    </row>
    <row r="579" spans="3:3" ht="15.75" customHeight="1" x14ac:dyDescent="0.25">
      <c r="C579" s="8"/>
    </row>
    <row r="580" spans="3:3" ht="15.75" customHeight="1" x14ac:dyDescent="0.25">
      <c r="C580" s="8"/>
    </row>
    <row r="581" spans="3:3" ht="15.75" customHeight="1" x14ac:dyDescent="0.25">
      <c r="C581" s="8"/>
    </row>
    <row r="582" spans="3:3" ht="15.75" customHeight="1" x14ac:dyDescent="0.25">
      <c r="C582" s="8"/>
    </row>
    <row r="583" spans="3:3" ht="15.75" customHeight="1" x14ac:dyDescent="0.25">
      <c r="C583" s="8"/>
    </row>
    <row r="584" spans="3:3" ht="15.75" customHeight="1" x14ac:dyDescent="0.25">
      <c r="C584" s="8"/>
    </row>
    <row r="585" spans="3:3" ht="15.75" customHeight="1" x14ac:dyDescent="0.25">
      <c r="C585" s="8"/>
    </row>
    <row r="586" spans="3:3" ht="15.75" customHeight="1" x14ac:dyDescent="0.25">
      <c r="C586" s="8"/>
    </row>
    <row r="587" spans="3:3" ht="15.75" customHeight="1" x14ac:dyDescent="0.25">
      <c r="C587" s="8"/>
    </row>
    <row r="588" spans="3:3" ht="15.75" customHeight="1" x14ac:dyDescent="0.25">
      <c r="C588" s="8"/>
    </row>
    <row r="589" spans="3:3" ht="15.75" customHeight="1" x14ac:dyDescent="0.25">
      <c r="C589" s="8"/>
    </row>
    <row r="590" spans="3:3" ht="15.75" customHeight="1" x14ac:dyDescent="0.25">
      <c r="C590" s="8"/>
    </row>
    <row r="591" spans="3:3" ht="15.75" customHeight="1" x14ac:dyDescent="0.25">
      <c r="C591" s="8"/>
    </row>
    <row r="592" spans="3:3" ht="15.75" customHeight="1" x14ac:dyDescent="0.25">
      <c r="C592" s="8"/>
    </row>
    <row r="593" spans="3:3" ht="15.75" customHeight="1" x14ac:dyDescent="0.25">
      <c r="C593" s="8"/>
    </row>
    <row r="594" spans="3:3" ht="15.75" customHeight="1" x14ac:dyDescent="0.25">
      <c r="C594" s="8"/>
    </row>
    <row r="595" spans="3:3" ht="15.75" customHeight="1" x14ac:dyDescent="0.25">
      <c r="C595" s="8"/>
    </row>
    <row r="596" spans="3:3" ht="15.75" customHeight="1" x14ac:dyDescent="0.25">
      <c r="C596" s="8"/>
    </row>
    <row r="597" spans="3:3" ht="15.75" customHeight="1" x14ac:dyDescent="0.25">
      <c r="C597" s="8"/>
    </row>
    <row r="598" spans="3:3" ht="15.75" customHeight="1" x14ac:dyDescent="0.25">
      <c r="C598" s="8"/>
    </row>
    <row r="599" spans="3:3" ht="15.75" customHeight="1" x14ac:dyDescent="0.25">
      <c r="C599" s="8"/>
    </row>
    <row r="600" spans="3:3" ht="15.75" customHeight="1" x14ac:dyDescent="0.25">
      <c r="C600" s="8"/>
    </row>
    <row r="601" spans="3:3" ht="15.75" customHeight="1" x14ac:dyDescent="0.25">
      <c r="C601" s="8"/>
    </row>
    <row r="602" spans="3:3" ht="15.75" customHeight="1" x14ac:dyDescent="0.25">
      <c r="C602" s="8"/>
    </row>
    <row r="603" spans="3:3" ht="15.75" customHeight="1" x14ac:dyDescent="0.25">
      <c r="C603" s="8"/>
    </row>
    <row r="604" spans="3:3" ht="15.75" customHeight="1" x14ac:dyDescent="0.25">
      <c r="C604" s="8"/>
    </row>
    <row r="605" spans="3:3" ht="15.75" customHeight="1" x14ac:dyDescent="0.25">
      <c r="C605" s="8"/>
    </row>
    <row r="606" spans="3:3" ht="15.75" customHeight="1" x14ac:dyDescent="0.25">
      <c r="C606" s="8"/>
    </row>
    <row r="607" spans="3:3" ht="15.75" customHeight="1" x14ac:dyDescent="0.25">
      <c r="C607" s="8"/>
    </row>
    <row r="608" spans="3:3" ht="15.75" customHeight="1" x14ac:dyDescent="0.25">
      <c r="C608" s="8"/>
    </row>
    <row r="609" spans="3:3" ht="15.75" customHeight="1" x14ac:dyDescent="0.25">
      <c r="C609" s="8"/>
    </row>
    <row r="610" spans="3:3" ht="15.75" customHeight="1" x14ac:dyDescent="0.25">
      <c r="C610" s="8"/>
    </row>
    <row r="611" spans="3:3" ht="15.75" customHeight="1" x14ac:dyDescent="0.25">
      <c r="C611" s="8"/>
    </row>
    <row r="612" spans="3:3" ht="15.75" customHeight="1" x14ac:dyDescent="0.25">
      <c r="C612" s="8"/>
    </row>
    <row r="613" spans="3:3" ht="15.75" customHeight="1" x14ac:dyDescent="0.25">
      <c r="C613" s="8"/>
    </row>
    <row r="614" spans="3:3" ht="15.75" customHeight="1" x14ac:dyDescent="0.25">
      <c r="C614" s="8"/>
    </row>
    <row r="615" spans="3:3" ht="15.75" customHeight="1" x14ac:dyDescent="0.25">
      <c r="C615" s="8"/>
    </row>
    <row r="616" spans="3:3" ht="15.75" customHeight="1" x14ac:dyDescent="0.25">
      <c r="C616" s="8"/>
    </row>
    <row r="617" spans="3:3" ht="15.75" customHeight="1" x14ac:dyDescent="0.25">
      <c r="C617" s="8"/>
    </row>
    <row r="618" spans="3:3" ht="15.75" customHeight="1" x14ac:dyDescent="0.25">
      <c r="C618" s="8"/>
    </row>
    <row r="619" spans="3:3" ht="15.75" customHeight="1" x14ac:dyDescent="0.25">
      <c r="C619" s="8"/>
    </row>
    <row r="620" spans="3:3" ht="15.75" customHeight="1" x14ac:dyDescent="0.25">
      <c r="C620" s="8"/>
    </row>
    <row r="621" spans="3:3" ht="15.75" customHeight="1" x14ac:dyDescent="0.25">
      <c r="C621" s="8"/>
    </row>
    <row r="622" spans="3:3" ht="15.75" customHeight="1" x14ac:dyDescent="0.25">
      <c r="C622" s="8"/>
    </row>
    <row r="623" spans="3:3" ht="15.75" customHeight="1" x14ac:dyDescent="0.25">
      <c r="C623" s="8"/>
    </row>
    <row r="624" spans="3:3" ht="15.75" customHeight="1" x14ac:dyDescent="0.25">
      <c r="C624" s="8"/>
    </row>
    <row r="625" spans="3:3" ht="15.75" customHeight="1" x14ac:dyDescent="0.25">
      <c r="C625" s="8"/>
    </row>
    <row r="626" spans="3:3" ht="15.75" customHeight="1" x14ac:dyDescent="0.25">
      <c r="C626" s="8"/>
    </row>
    <row r="627" spans="3:3" ht="15.75" customHeight="1" x14ac:dyDescent="0.25">
      <c r="C627" s="8"/>
    </row>
    <row r="628" spans="3:3" ht="15.75" customHeight="1" x14ac:dyDescent="0.25">
      <c r="C628" s="8"/>
    </row>
    <row r="629" spans="3:3" ht="15.75" customHeight="1" x14ac:dyDescent="0.25">
      <c r="C629" s="8"/>
    </row>
    <row r="630" spans="3:3" ht="15.75" customHeight="1" x14ac:dyDescent="0.25">
      <c r="C630" s="8"/>
    </row>
    <row r="631" spans="3:3" ht="15.75" customHeight="1" x14ac:dyDescent="0.25">
      <c r="C631" s="8"/>
    </row>
    <row r="632" spans="3:3" ht="15.75" customHeight="1" x14ac:dyDescent="0.25">
      <c r="C632" s="8"/>
    </row>
    <row r="633" spans="3:3" ht="15.75" customHeight="1" x14ac:dyDescent="0.25">
      <c r="C633" s="8"/>
    </row>
    <row r="634" spans="3:3" ht="15.75" customHeight="1" x14ac:dyDescent="0.25">
      <c r="C634" s="8"/>
    </row>
    <row r="635" spans="3:3" ht="15.75" customHeight="1" x14ac:dyDescent="0.25">
      <c r="C635" s="8"/>
    </row>
    <row r="636" spans="3:3" ht="15.75" customHeight="1" x14ac:dyDescent="0.25">
      <c r="C636" s="8"/>
    </row>
    <row r="637" spans="3:3" ht="15.75" customHeight="1" x14ac:dyDescent="0.25">
      <c r="C637" s="8"/>
    </row>
    <row r="638" spans="3:3" ht="15.75" customHeight="1" x14ac:dyDescent="0.25">
      <c r="C638" s="8"/>
    </row>
    <row r="639" spans="3:3" ht="15.75" customHeight="1" x14ac:dyDescent="0.25">
      <c r="C639" s="8"/>
    </row>
    <row r="640" spans="3:3" ht="15.75" customHeight="1" x14ac:dyDescent="0.25">
      <c r="C640" s="8"/>
    </row>
    <row r="641" spans="3:3" ht="15.75" customHeight="1" x14ac:dyDescent="0.25">
      <c r="C641" s="8"/>
    </row>
    <row r="642" spans="3:3" ht="15.75" customHeight="1" x14ac:dyDescent="0.25">
      <c r="C642" s="8"/>
    </row>
    <row r="643" spans="3:3" ht="15.75" customHeight="1" x14ac:dyDescent="0.25">
      <c r="C643" s="8"/>
    </row>
    <row r="644" spans="3:3" ht="15.75" customHeight="1" x14ac:dyDescent="0.25">
      <c r="C644" s="8"/>
    </row>
    <row r="645" spans="3:3" ht="15.75" customHeight="1" x14ac:dyDescent="0.25">
      <c r="C645" s="8"/>
    </row>
    <row r="646" spans="3:3" ht="15.75" customHeight="1" x14ac:dyDescent="0.25">
      <c r="C646" s="8"/>
    </row>
    <row r="647" spans="3:3" ht="15.75" customHeight="1" x14ac:dyDescent="0.25">
      <c r="C647" s="8"/>
    </row>
    <row r="648" spans="3:3" ht="15.75" customHeight="1" x14ac:dyDescent="0.25">
      <c r="C648" s="8"/>
    </row>
    <row r="649" spans="3:3" ht="15.75" customHeight="1" x14ac:dyDescent="0.25">
      <c r="C649" s="8"/>
    </row>
    <row r="650" spans="3:3" ht="15.75" customHeight="1" x14ac:dyDescent="0.25">
      <c r="C650" s="8"/>
    </row>
    <row r="651" spans="3:3" ht="15.75" customHeight="1" x14ac:dyDescent="0.25">
      <c r="C651" s="8"/>
    </row>
    <row r="652" spans="3:3" ht="15.75" customHeight="1" x14ac:dyDescent="0.25">
      <c r="C652" s="8"/>
    </row>
    <row r="653" spans="3:3" ht="15.75" customHeight="1" x14ac:dyDescent="0.25">
      <c r="C653" s="8"/>
    </row>
    <row r="654" spans="3:3" ht="15.75" customHeight="1" x14ac:dyDescent="0.25">
      <c r="C654" s="8"/>
    </row>
    <row r="655" spans="3:3" ht="15.75" customHeight="1" x14ac:dyDescent="0.25">
      <c r="C655" s="8"/>
    </row>
    <row r="656" spans="3:3" ht="15.75" customHeight="1" x14ac:dyDescent="0.25">
      <c r="C656" s="8"/>
    </row>
    <row r="657" spans="3:3" ht="15.75" customHeight="1" x14ac:dyDescent="0.25">
      <c r="C657" s="8"/>
    </row>
    <row r="658" spans="3:3" ht="15.75" customHeight="1" x14ac:dyDescent="0.25">
      <c r="C658" s="8"/>
    </row>
    <row r="659" spans="3:3" ht="15.75" customHeight="1" x14ac:dyDescent="0.25">
      <c r="C659" s="8"/>
    </row>
    <row r="660" spans="3:3" ht="15.75" customHeight="1" x14ac:dyDescent="0.25">
      <c r="C660" s="8"/>
    </row>
    <row r="661" spans="3:3" ht="15.75" customHeight="1" x14ac:dyDescent="0.25">
      <c r="C661" s="8"/>
    </row>
    <row r="662" spans="3:3" ht="15.75" customHeight="1" x14ac:dyDescent="0.25">
      <c r="C662" s="8"/>
    </row>
    <row r="663" spans="3:3" ht="15.75" customHeight="1" x14ac:dyDescent="0.25">
      <c r="C663" s="8"/>
    </row>
    <row r="664" spans="3:3" ht="15.75" customHeight="1" x14ac:dyDescent="0.25">
      <c r="C664" s="8"/>
    </row>
    <row r="665" spans="3:3" ht="15.75" customHeight="1" x14ac:dyDescent="0.25">
      <c r="C665" s="8"/>
    </row>
    <row r="666" spans="3:3" ht="15.75" customHeight="1" x14ac:dyDescent="0.25">
      <c r="C666" s="8"/>
    </row>
    <row r="667" spans="3:3" ht="15.75" customHeight="1" x14ac:dyDescent="0.25">
      <c r="C667" s="8"/>
    </row>
    <row r="668" spans="3:3" ht="15.75" customHeight="1" x14ac:dyDescent="0.25">
      <c r="C668" s="8"/>
    </row>
    <row r="669" spans="3:3" ht="15.75" customHeight="1" x14ac:dyDescent="0.25">
      <c r="C669" s="8"/>
    </row>
    <row r="670" spans="3:3" ht="15.75" customHeight="1" x14ac:dyDescent="0.25">
      <c r="C670" s="8"/>
    </row>
    <row r="671" spans="3:3" ht="15.75" customHeight="1" x14ac:dyDescent="0.25">
      <c r="C671" s="8"/>
    </row>
    <row r="672" spans="3:3" ht="15.75" customHeight="1" x14ac:dyDescent="0.25">
      <c r="C672" s="8"/>
    </row>
    <row r="673" spans="3:3" ht="15.75" customHeight="1" x14ac:dyDescent="0.25">
      <c r="C673" s="8"/>
    </row>
    <row r="674" spans="3:3" ht="15.75" customHeight="1" x14ac:dyDescent="0.25">
      <c r="C674" s="8"/>
    </row>
    <row r="675" spans="3:3" ht="15.75" customHeight="1" x14ac:dyDescent="0.25">
      <c r="C675" s="8"/>
    </row>
    <row r="676" spans="3:3" ht="15.75" customHeight="1" x14ac:dyDescent="0.25">
      <c r="C676" s="8"/>
    </row>
    <row r="677" spans="3:3" ht="15.75" customHeight="1" x14ac:dyDescent="0.25">
      <c r="C677" s="8"/>
    </row>
    <row r="678" spans="3:3" ht="15.75" customHeight="1" x14ac:dyDescent="0.25">
      <c r="C678" s="8"/>
    </row>
    <row r="679" spans="3:3" ht="15.75" customHeight="1" x14ac:dyDescent="0.25">
      <c r="C679" s="8"/>
    </row>
    <row r="680" spans="3:3" ht="15.75" customHeight="1" x14ac:dyDescent="0.25">
      <c r="C680" s="8"/>
    </row>
    <row r="681" spans="3:3" ht="15.75" customHeight="1" x14ac:dyDescent="0.25">
      <c r="C681" s="8"/>
    </row>
    <row r="682" spans="3:3" ht="15.75" customHeight="1" x14ac:dyDescent="0.25">
      <c r="C682" s="8"/>
    </row>
    <row r="683" spans="3:3" ht="15.75" customHeight="1" x14ac:dyDescent="0.25">
      <c r="C683" s="8"/>
    </row>
    <row r="684" spans="3:3" ht="15.75" customHeight="1" x14ac:dyDescent="0.25">
      <c r="C684" s="8"/>
    </row>
    <row r="685" spans="3:3" ht="15.75" customHeight="1" x14ac:dyDescent="0.25">
      <c r="C685" s="8"/>
    </row>
    <row r="686" spans="3:3" ht="15.75" customHeight="1" x14ac:dyDescent="0.25">
      <c r="C686" s="8"/>
    </row>
    <row r="687" spans="3:3" ht="15.75" customHeight="1" x14ac:dyDescent="0.25">
      <c r="C687" s="8"/>
    </row>
    <row r="688" spans="3:3" ht="15.75" customHeight="1" x14ac:dyDescent="0.25">
      <c r="C688" s="8"/>
    </row>
    <row r="689" spans="3:3" ht="15.75" customHeight="1" x14ac:dyDescent="0.25">
      <c r="C689" s="8"/>
    </row>
    <row r="690" spans="3:3" ht="15.75" customHeight="1" x14ac:dyDescent="0.25">
      <c r="C690" s="8"/>
    </row>
    <row r="691" spans="3:3" ht="15.75" customHeight="1" x14ac:dyDescent="0.25">
      <c r="C691" s="8"/>
    </row>
    <row r="692" spans="3:3" ht="15.75" customHeight="1" x14ac:dyDescent="0.25">
      <c r="C692" s="8"/>
    </row>
    <row r="693" spans="3:3" ht="15.75" customHeight="1" x14ac:dyDescent="0.25">
      <c r="C693" s="8"/>
    </row>
    <row r="694" spans="3:3" ht="15.75" customHeight="1" x14ac:dyDescent="0.25">
      <c r="C694" s="8"/>
    </row>
    <row r="695" spans="3:3" ht="15.75" customHeight="1" x14ac:dyDescent="0.25">
      <c r="C695" s="8"/>
    </row>
    <row r="696" spans="3:3" ht="15.75" customHeight="1" x14ac:dyDescent="0.25">
      <c r="C696" s="8"/>
    </row>
    <row r="697" spans="3:3" ht="15.75" customHeight="1" x14ac:dyDescent="0.25">
      <c r="C697" s="8"/>
    </row>
    <row r="698" spans="3:3" ht="15.75" customHeight="1" x14ac:dyDescent="0.25">
      <c r="C698" s="8"/>
    </row>
    <row r="699" spans="3:3" ht="15.75" customHeight="1" x14ac:dyDescent="0.25">
      <c r="C699" s="8"/>
    </row>
    <row r="700" spans="3:3" ht="15.75" customHeight="1" x14ac:dyDescent="0.25">
      <c r="C700" s="8"/>
    </row>
    <row r="701" spans="3:3" ht="15.75" customHeight="1" x14ac:dyDescent="0.25">
      <c r="C701" s="8"/>
    </row>
    <row r="702" spans="3:3" ht="15.75" customHeight="1" x14ac:dyDescent="0.25">
      <c r="C702" s="8"/>
    </row>
    <row r="703" spans="3:3" ht="15.75" customHeight="1" x14ac:dyDescent="0.25">
      <c r="C703" s="8"/>
    </row>
    <row r="704" spans="3:3" ht="15.75" customHeight="1" x14ac:dyDescent="0.25">
      <c r="C704" s="8"/>
    </row>
    <row r="705" spans="3:3" ht="15.75" customHeight="1" x14ac:dyDescent="0.25">
      <c r="C705" s="8"/>
    </row>
    <row r="706" spans="3:3" ht="15.75" customHeight="1" x14ac:dyDescent="0.25">
      <c r="C706" s="8"/>
    </row>
    <row r="707" spans="3:3" ht="15.75" customHeight="1" x14ac:dyDescent="0.25">
      <c r="C707" s="8"/>
    </row>
    <row r="708" spans="3:3" ht="15.75" customHeight="1" x14ac:dyDescent="0.25">
      <c r="C708" s="8"/>
    </row>
    <row r="709" spans="3:3" ht="15.75" customHeight="1" x14ac:dyDescent="0.25">
      <c r="C709" s="8"/>
    </row>
    <row r="710" spans="3:3" ht="15.75" customHeight="1" x14ac:dyDescent="0.25">
      <c r="C710" s="8"/>
    </row>
    <row r="711" spans="3:3" ht="15.75" customHeight="1" x14ac:dyDescent="0.25">
      <c r="C711" s="8"/>
    </row>
    <row r="712" spans="3:3" ht="15.75" customHeight="1" x14ac:dyDescent="0.25">
      <c r="C712" s="8"/>
    </row>
    <row r="713" spans="3:3" ht="15.75" customHeight="1" x14ac:dyDescent="0.25">
      <c r="C713" s="8"/>
    </row>
    <row r="714" spans="3:3" ht="15.75" customHeight="1" x14ac:dyDescent="0.25">
      <c r="C714" s="8"/>
    </row>
    <row r="715" spans="3:3" ht="15.75" customHeight="1" x14ac:dyDescent="0.25">
      <c r="C715" s="8"/>
    </row>
    <row r="716" spans="3:3" ht="15.75" customHeight="1" x14ac:dyDescent="0.25">
      <c r="C716" s="8"/>
    </row>
    <row r="717" spans="3:3" ht="15.75" customHeight="1" x14ac:dyDescent="0.25">
      <c r="C717" s="8"/>
    </row>
    <row r="718" spans="3:3" ht="15.75" customHeight="1" x14ac:dyDescent="0.25">
      <c r="C718" s="8"/>
    </row>
    <row r="719" spans="3:3" ht="15.75" customHeight="1" x14ac:dyDescent="0.25">
      <c r="C719" s="8"/>
    </row>
    <row r="720" spans="3:3" ht="15.75" customHeight="1" x14ac:dyDescent="0.25">
      <c r="C720" s="8"/>
    </row>
    <row r="721" spans="3:3" ht="15.75" customHeight="1" x14ac:dyDescent="0.25">
      <c r="C721" s="8"/>
    </row>
    <row r="722" spans="3:3" ht="15.75" customHeight="1" x14ac:dyDescent="0.25">
      <c r="C722" s="8"/>
    </row>
    <row r="723" spans="3:3" ht="15.75" customHeight="1" x14ac:dyDescent="0.25">
      <c r="C723" s="8"/>
    </row>
    <row r="724" spans="3:3" ht="15.75" customHeight="1" x14ac:dyDescent="0.25">
      <c r="C724" s="8"/>
    </row>
    <row r="725" spans="3:3" ht="15.75" customHeight="1" x14ac:dyDescent="0.25">
      <c r="C725" s="8"/>
    </row>
    <row r="726" spans="3:3" ht="15.75" customHeight="1" x14ac:dyDescent="0.25">
      <c r="C726" s="8"/>
    </row>
    <row r="727" spans="3:3" ht="15.75" customHeight="1" x14ac:dyDescent="0.25">
      <c r="C727" s="8"/>
    </row>
    <row r="728" spans="3:3" ht="15.75" customHeight="1" x14ac:dyDescent="0.25">
      <c r="C728" s="8"/>
    </row>
    <row r="729" spans="3:3" ht="15.75" customHeight="1" x14ac:dyDescent="0.25">
      <c r="C729" s="8"/>
    </row>
    <row r="730" spans="3:3" ht="15.75" customHeight="1" x14ac:dyDescent="0.25">
      <c r="C730" s="8"/>
    </row>
    <row r="731" spans="3:3" ht="15.75" customHeight="1" x14ac:dyDescent="0.25">
      <c r="C731" s="8"/>
    </row>
    <row r="732" spans="3:3" ht="15.75" customHeight="1" x14ac:dyDescent="0.25">
      <c r="C732" s="8"/>
    </row>
    <row r="733" spans="3:3" ht="15.75" customHeight="1" x14ac:dyDescent="0.25">
      <c r="C733" s="8"/>
    </row>
    <row r="734" spans="3:3" ht="15.75" customHeight="1" x14ac:dyDescent="0.25">
      <c r="C734" s="8"/>
    </row>
    <row r="735" spans="3:3" ht="15.75" customHeight="1" x14ac:dyDescent="0.25">
      <c r="C735" s="8"/>
    </row>
    <row r="736" spans="3:3" ht="15.75" customHeight="1" x14ac:dyDescent="0.25">
      <c r="C736" s="8"/>
    </row>
    <row r="737" spans="3:3" ht="15.75" customHeight="1" x14ac:dyDescent="0.25">
      <c r="C737" s="8"/>
    </row>
    <row r="738" spans="3:3" ht="15.75" customHeight="1" x14ac:dyDescent="0.25">
      <c r="C738" s="8"/>
    </row>
    <row r="739" spans="3:3" ht="15.75" customHeight="1" x14ac:dyDescent="0.25">
      <c r="C739" s="8"/>
    </row>
    <row r="740" spans="3:3" ht="15.75" customHeight="1" x14ac:dyDescent="0.25">
      <c r="C740" s="8"/>
    </row>
    <row r="741" spans="3:3" ht="15.75" customHeight="1" x14ac:dyDescent="0.25">
      <c r="C741" s="8"/>
    </row>
    <row r="742" spans="3:3" ht="15.75" customHeight="1" x14ac:dyDescent="0.25">
      <c r="C742" s="8"/>
    </row>
    <row r="743" spans="3:3" ht="15.75" customHeight="1" x14ac:dyDescent="0.25">
      <c r="C743" s="8"/>
    </row>
    <row r="744" spans="3:3" ht="15.75" customHeight="1" x14ac:dyDescent="0.25">
      <c r="C744" s="8"/>
    </row>
    <row r="745" spans="3:3" ht="15.75" customHeight="1" x14ac:dyDescent="0.25">
      <c r="C745" s="8"/>
    </row>
    <row r="746" spans="3:3" ht="15.75" customHeight="1" x14ac:dyDescent="0.25">
      <c r="C746" s="8"/>
    </row>
    <row r="747" spans="3:3" ht="15.75" customHeight="1" x14ac:dyDescent="0.25">
      <c r="C747" s="8"/>
    </row>
    <row r="748" spans="3:3" ht="15.75" customHeight="1" x14ac:dyDescent="0.25">
      <c r="C748" s="8"/>
    </row>
    <row r="749" spans="3:3" ht="15.75" customHeight="1" x14ac:dyDescent="0.25">
      <c r="C749" s="8"/>
    </row>
    <row r="750" spans="3:3" ht="15.75" customHeight="1" x14ac:dyDescent="0.25">
      <c r="C750" s="8"/>
    </row>
    <row r="751" spans="3:3" ht="15.75" customHeight="1" x14ac:dyDescent="0.25">
      <c r="C751" s="8"/>
    </row>
    <row r="752" spans="3:3" ht="15.75" customHeight="1" x14ac:dyDescent="0.25">
      <c r="C752" s="8"/>
    </row>
    <row r="753" spans="3:3" ht="15.75" customHeight="1" x14ac:dyDescent="0.25">
      <c r="C753" s="8"/>
    </row>
    <row r="754" spans="3:3" ht="15.75" customHeight="1" x14ac:dyDescent="0.25">
      <c r="C754" s="8"/>
    </row>
    <row r="755" spans="3:3" ht="15.75" customHeight="1" x14ac:dyDescent="0.25">
      <c r="C755" s="8"/>
    </row>
    <row r="756" spans="3:3" ht="15.75" customHeight="1" x14ac:dyDescent="0.25">
      <c r="C756" s="8"/>
    </row>
    <row r="757" spans="3:3" ht="15.75" customHeight="1" x14ac:dyDescent="0.25">
      <c r="C757" s="8"/>
    </row>
    <row r="758" spans="3:3" ht="15.75" customHeight="1" x14ac:dyDescent="0.25">
      <c r="C758" s="8"/>
    </row>
    <row r="759" spans="3:3" ht="15.75" customHeight="1" x14ac:dyDescent="0.25">
      <c r="C759" s="8"/>
    </row>
    <row r="760" spans="3:3" ht="15.75" customHeight="1" x14ac:dyDescent="0.25">
      <c r="C760" s="8"/>
    </row>
    <row r="761" spans="3:3" ht="15.75" customHeight="1" x14ac:dyDescent="0.25">
      <c r="C761" s="8"/>
    </row>
    <row r="762" spans="3:3" ht="15.75" customHeight="1" x14ac:dyDescent="0.25">
      <c r="C762" s="8"/>
    </row>
    <row r="763" spans="3:3" ht="15.75" customHeight="1" x14ac:dyDescent="0.25">
      <c r="C763" s="8"/>
    </row>
    <row r="764" spans="3:3" ht="15.75" customHeight="1" x14ac:dyDescent="0.25">
      <c r="C764" s="8"/>
    </row>
    <row r="765" spans="3:3" ht="15.75" customHeight="1" x14ac:dyDescent="0.25">
      <c r="C765" s="8"/>
    </row>
    <row r="766" spans="3:3" ht="15.75" customHeight="1" x14ac:dyDescent="0.25">
      <c r="C766" s="8"/>
    </row>
    <row r="767" spans="3:3" ht="15.75" customHeight="1" x14ac:dyDescent="0.25">
      <c r="C767" s="8"/>
    </row>
    <row r="768" spans="3:3" ht="15.75" customHeight="1" x14ac:dyDescent="0.25">
      <c r="C768" s="8"/>
    </row>
    <row r="769" spans="3:3" ht="15.75" customHeight="1" x14ac:dyDescent="0.25">
      <c r="C769" s="8"/>
    </row>
    <row r="770" spans="3:3" ht="15.75" customHeight="1" x14ac:dyDescent="0.25">
      <c r="C770" s="8"/>
    </row>
    <row r="771" spans="3:3" ht="15.75" customHeight="1" x14ac:dyDescent="0.25">
      <c r="C771" s="8"/>
    </row>
    <row r="772" spans="3:3" ht="15.75" customHeight="1" x14ac:dyDescent="0.25">
      <c r="C772" s="8"/>
    </row>
    <row r="773" spans="3:3" ht="15.75" customHeight="1" x14ac:dyDescent="0.25">
      <c r="C773" s="8"/>
    </row>
    <row r="774" spans="3:3" ht="15.75" customHeight="1" x14ac:dyDescent="0.25">
      <c r="C774" s="8"/>
    </row>
    <row r="775" spans="3:3" ht="15.75" customHeight="1" x14ac:dyDescent="0.25">
      <c r="C775" s="8"/>
    </row>
    <row r="776" spans="3:3" ht="15.75" customHeight="1" x14ac:dyDescent="0.25">
      <c r="C776" s="8"/>
    </row>
    <row r="777" spans="3:3" ht="15.75" customHeight="1" x14ac:dyDescent="0.25">
      <c r="C777" s="8"/>
    </row>
    <row r="778" spans="3:3" ht="15.75" customHeight="1" x14ac:dyDescent="0.25">
      <c r="C778" s="8"/>
    </row>
    <row r="779" spans="3:3" ht="15.75" customHeight="1" x14ac:dyDescent="0.25">
      <c r="C779" s="8"/>
    </row>
    <row r="780" spans="3:3" ht="15.75" customHeight="1" x14ac:dyDescent="0.25">
      <c r="C780" s="8"/>
    </row>
    <row r="781" spans="3:3" ht="15.75" customHeight="1" x14ac:dyDescent="0.25">
      <c r="C781" s="8"/>
    </row>
    <row r="782" spans="3:3" ht="15.75" customHeight="1" x14ac:dyDescent="0.25">
      <c r="C782" s="8"/>
    </row>
    <row r="783" spans="3:3" ht="15.75" customHeight="1" x14ac:dyDescent="0.25">
      <c r="C783" s="8"/>
    </row>
    <row r="784" spans="3:3" ht="15.75" customHeight="1" x14ac:dyDescent="0.25">
      <c r="C784" s="8"/>
    </row>
    <row r="785" spans="3:3" ht="15.75" customHeight="1" x14ac:dyDescent="0.25">
      <c r="C785" s="8"/>
    </row>
    <row r="786" spans="3:3" ht="15.75" customHeight="1" x14ac:dyDescent="0.25">
      <c r="C786" s="8"/>
    </row>
    <row r="787" spans="3:3" ht="15.75" customHeight="1" x14ac:dyDescent="0.25">
      <c r="C787" s="8"/>
    </row>
    <row r="788" spans="3:3" ht="15.75" customHeight="1" x14ac:dyDescent="0.25">
      <c r="C788" s="8"/>
    </row>
    <row r="789" spans="3:3" ht="15.75" customHeight="1" x14ac:dyDescent="0.25">
      <c r="C789" s="8"/>
    </row>
    <row r="790" spans="3:3" ht="15.75" customHeight="1" x14ac:dyDescent="0.25">
      <c r="C790" s="8"/>
    </row>
    <row r="791" spans="3:3" ht="15.75" customHeight="1" x14ac:dyDescent="0.25">
      <c r="C791" s="8"/>
    </row>
    <row r="792" spans="3:3" ht="15.75" customHeight="1" x14ac:dyDescent="0.25">
      <c r="C792" s="8"/>
    </row>
    <row r="793" spans="3:3" ht="15.75" customHeight="1" x14ac:dyDescent="0.25">
      <c r="C793" s="8"/>
    </row>
    <row r="794" spans="3:3" ht="15.75" customHeight="1" x14ac:dyDescent="0.25">
      <c r="C794" s="8"/>
    </row>
    <row r="795" spans="3:3" ht="15.75" customHeight="1" x14ac:dyDescent="0.25">
      <c r="C795" s="8"/>
    </row>
    <row r="796" spans="3:3" ht="15.75" customHeight="1" x14ac:dyDescent="0.25">
      <c r="C796" s="8"/>
    </row>
    <row r="797" spans="3:3" ht="15.75" customHeight="1" x14ac:dyDescent="0.25">
      <c r="C797" s="8"/>
    </row>
    <row r="798" spans="3:3" ht="15.75" customHeight="1" x14ac:dyDescent="0.25">
      <c r="C798" s="8"/>
    </row>
    <row r="799" spans="3:3" ht="15.75" customHeight="1" x14ac:dyDescent="0.25">
      <c r="C799" s="8"/>
    </row>
    <row r="800" spans="3:3" ht="15.75" customHeight="1" x14ac:dyDescent="0.25">
      <c r="C800" s="8"/>
    </row>
    <row r="801" spans="3:3" ht="15.75" customHeight="1" x14ac:dyDescent="0.25">
      <c r="C801" s="8"/>
    </row>
    <row r="802" spans="3:3" ht="15.75" customHeight="1" x14ac:dyDescent="0.25">
      <c r="C802" s="8"/>
    </row>
    <row r="803" spans="3:3" ht="15.75" customHeight="1" x14ac:dyDescent="0.25">
      <c r="C803" s="8"/>
    </row>
    <row r="804" spans="3:3" ht="15.75" customHeight="1" x14ac:dyDescent="0.25">
      <c r="C804" s="8"/>
    </row>
    <row r="805" spans="3:3" ht="15.75" customHeight="1" x14ac:dyDescent="0.25">
      <c r="C805" s="8"/>
    </row>
    <row r="806" spans="3:3" ht="15.75" customHeight="1" x14ac:dyDescent="0.25">
      <c r="C806" s="8"/>
    </row>
    <row r="807" spans="3:3" ht="15.75" customHeight="1" x14ac:dyDescent="0.25">
      <c r="C807" s="8"/>
    </row>
    <row r="808" spans="3:3" ht="15.75" customHeight="1" x14ac:dyDescent="0.25">
      <c r="C808" s="8"/>
    </row>
    <row r="809" spans="3:3" ht="15.75" customHeight="1" x14ac:dyDescent="0.25">
      <c r="C809" s="8"/>
    </row>
    <row r="810" spans="3:3" ht="15.75" customHeight="1" x14ac:dyDescent="0.25">
      <c r="C810" s="8"/>
    </row>
    <row r="811" spans="3:3" ht="15.75" customHeight="1" x14ac:dyDescent="0.25">
      <c r="C811" s="8"/>
    </row>
    <row r="812" spans="3:3" ht="15.75" customHeight="1" x14ac:dyDescent="0.25">
      <c r="C812" s="8"/>
    </row>
    <row r="813" spans="3:3" ht="15.75" customHeight="1" x14ac:dyDescent="0.25">
      <c r="C813" s="8"/>
    </row>
    <row r="814" spans="3:3" ht="15.75" customHeight="1" x14ac:dyDescent="0.25">
      <c r="C814" s="8"/>
    </row>
    <row r="815" spans="3:3" ht="15.75" customHeight="1" x14ac:dyDescent="0.25">
      <c r="C815" s="8"/>
    </row>
    <row r="816" spans="3:3" ht="15.75" customHeight="1" x14ac:dyDescent="0.25">
      <c r="C816" s="8"/>
    </row>
    <row r="817" spans="3:3" ht="15.75" customHeight="1" x14ac:dyDescent="0.25">
      <c r="C817" s="8"/>
    </row>
    <row r="818" spans="3:3" ht="15.75" customHeight="1" x14ac:dyDescent="0.25">
      <c r="C818" s="8"/>
    </row>
    <row r="819" spans="3:3" ht="15.75" customHeight="1" x14ac:dyDescent="0.25">
      <c r="C819" s="8"/>
    </row>
    <row r="820" spans="3:3" ht="15.75" customHeight="1" x14ac:dyDescent="0.25">
      <c r="C820" s="8"/>
    </row>
    <row r="821" spans="3:3" ht="15.75" customHeight="1" x14ac:dyDescent="0.25">
      <c r="C821" s="8"/>
    </row>
    <row r="822" spans="3:3" ht="15.75" customHeight="1" x14ac:dyDescent="0.25">
      <c r="C822" s="8"/>
    </row>
    <row r="823" spans="3:3" ht="15.75" customHeight="1" x14ac:dyDescent="0.25">
      <c r="C823" s="8"/>
    </row>
    <row r="824" spans="3:3" ht="15.75" customHeight="1" x14ac:dyDescent="0.25">
      <c r="C824" s="8"/>
    </row>
    <row r="825" spans="3:3" ht="15.75" customHeight="1" x14ac:dyDescent="0.25">
      <c r="C825" s="8"/>
    </row>
    <row r="826" spans="3:3" ht="15.75" customHeight="1" x14ac:dyDescent="0.25">
      <c r="C826" s="8"/>
    </row>
    <row r="827" spans="3:3" ht="15.75" customHeight="1" x14ac:dyDescent="0.25">
      <c r="C827" s="8"/>
    </row>
    <row r="828" spans="3:3" ht="15.75" customHeight="1" x14ac:dyDescent="0.25">
      <c r="C828" s="8"/>
    </row>
    <row r="829" spans="3:3" ht="15.75" customHeight="1" x14ac:dyDescent="0.25">
      <c r="C829" s="8"/>
    </row>
    <row r="830" spans="3:3" ht="15.75" customHeight="1" x14ac:dyDescent="0.25">
      <c r="C830" s="8"/>
    </row>
    <row r="831" spans="3:3" ht="15.75" customHeight="1" x14ac:dyDescent="0.25">
      <c r="C831" s="8"/>
    </row>
    <row r="832" spans="3:3" ht="15.75" customHeight="1" x14ac:dyDescent="0.25">
      <c r="C832" s="8"/>
    </row>
    <row r="833" spans="3:3" ht="15.75" customHeight="1" x14ac:dyDescent="0.25">
      <c r="C833" s="8"/>
    </row>
    <row r="834" spans="3:3" ht="15.75" customHeight="1" x14ac:dyDescent="0.25">
      <c r="C834" s="8"/>
    </row>
    <row r="835" spans="3:3" ht="15.75" customHeight="1" x14ac:dyDescent="0.25">
      <c r="C835" s="8"/>
    </row>
    <row r="836" spans="3:3" ht="15.75" customHeight="1" x14ac:dyDescent="0.25">
      <c r="C836" s="8"/>
    </row>
    <row r="837" spans="3:3" ht="15.75" customHeight="1" x14ac:dyDescent="0.25">
      <c r="C837" s="8"/>
    </row>
    <row r="838" spans="3:3" ht="15.75" customHeight="1" x14ac:dyDescent="0.25">
      <c r="C838" s="8"/>
    </row>
    <row r="839" spans="3:3" ht="15.75" customHeight="1" x14ac:dyDescent="0.25">
      <c r="C839" s="8"/>
    </row>
    <row r="840" spans="3:3" ht="15.75" customHeight="1" x14ac:dyDescent="0.25">
      <c r="C840" s="8"/>
    </row>
    <row r="841" spans="3:3" ht="15.75" customHeight="1" x14ac:dyDescent="0.25">
      <c r="C841" s="8"/>
    </row>
    <row r="842" spans="3:3" ht="15.75" customHeight="1" x14ac:dyDescent="0.25">
      <c r="C842" s="8"/>
    </row>
    <row r="843" spans="3:3" ht="15.75" customHeight="1" x14ac:dyDescent="0.25">
      <c r="C843" s="8"/>
    </row>
    <row r="844" spans="3:3" ht="15.75" customHeight="1" x14ac:dyDescent="0.25">
      <c r="C844" s="8"/>
    </row>
    <row r="845" spans="3:3" ht="15.75" customHeight="1" x14ac:dyDescent="0.25">
      <c r="C845" s="8"/>
    </row>
    <row r="846" spans="3:3" ht="15.75" customHeight="1" x14ac:dyDescent="0.25">
      <c r="C846" s="8"/>
    </row>
    <row r="847" spans="3:3" ht="15.75" customHeight="1" x14ac:dyDescent="0.25">
      <c r="C847" s="8"/>
    </row>
    <row r="848" spans="3:3" ht="15.75" customHeight="1" x14ac:dyDescent="0.25">
      <c r="C848" s="8"/>
    </row>
    <row r="849" spans="3:3" ht="15.75" customHeight="1" x14ac:dyDescent="0.25">
      <c r="C849" s="8"/>
    </row>
    <row r="850" spans="3:3" ht="15.75" customHeight="1" x14ac:dyDescent="0.25">
      <c r="C850" s="8"/>
    </row>
    <row r="851" spans="3:3" ht="15.75" customHeight="1" x14ac:dyDescent="0.25">
      <c r="C851" s="8"/>
    </row>
    <row r="852" spans="3:3" ht="15.75" customHeight="1" x14ac:dyDescent="0.25">
      <c r="C852" s="8"/>
    </row>
    <row r="853" spans="3:3" ht="15.75" customHeight="1" x14ac:dyDescent="0.25">
      <c r="C853" s="8"/>
    </row>
    <row r="854" spans="3:3" ht="15.75" customHeight="1" x14ac:dyDescent="0.25">
      <c r="C854" s="8"/>
    </row>
    <row r="855" spans="3:3" ht="15.75" customHeight="1" x14ac:dyDescent="0.25">
      <c r="C855" s="8"/>
    </row>
    <row r="856" spans="3:3" ht="15.75" customHeight="1" x14ac:dyDescent="0.25">
      <c r="C856" s="8"/>
    </row>
    <row r="857" spans="3:3" ht="15.75" customHeight="1" x14ac:dyDescent="0.25">
      <c r="C857" s="8"/>
    </row>
    <row r="858" spans="3:3" ht="15.75" customHeight="1" x14ac:dyDescent="0.25">
      <c r="C858" s="8"/>
    </row>
    <row r="859" spans="3:3" ht="15.75" customHeight="1" x14ac:dyDescent="0.25">
      <c r="C859" s="8"/>
    </row>
    <row r="860" spans="3:3" ht="15.75" customHeight="1" x14ac:dyDescent="0.25">
      <c r="C860" s="8"/>
    </row>
    <row r="861" spans="3:3" ht="15.75" customHeight="1" x14ac:dyDescent="0.25">
      <c r="C861" s="8"/>
    </row>
    <row r="862" spans="3:3" ht="15.75" customHeight="1" x14ac:dyDescent="0.25">
      <c r="C862" s="8"/>
    </row>
    <row r="863" spans="3:3" ht="15.75" customHeight="1" x14ac:dyDescent="0.25">
      <c r="C863" s="8"/>
    </row>
    <row r="864" spans="3:3" ht="15.75" customHeight="1" x14ac:dyDescent="0.25">
      <c r="C864" s="8"/>
    </row>
    <row r="865" spans="3:3" ht="15.75" customHeight="1" x14ac:dyDescent="0.25">
      <c r="C865" s="8"/>
    </row>
    <row r="866" spans="3:3" ht="15.75" customHeight="1" x14ac:dyDescent="0.25">
      <c r="C866" s="8"/>
    </row>
    <row r="867" spans="3:3" ht="15.75" customHeight="1" x14ac:dyDescent="0.25">
      <c r="C867" s="8"/>
    </row>
    <row r="868" spans="3:3" ht="15.75" customHeight="1" x14ac:dyDescent="0.25">
      <c r="C868" s="8"/>
    </row>
    <row r="869" spans="3:3" ht="15.75" customHeight="1" x14ac:dyDescent="0.25">
      <c r="C869" s="8"/>
    </row>
    <row r="870" spans="3:3" ht="15.75" customHeight="1" x14ac:dyDescent="0.25">
      <c r="C870" s="8"/>
    </row>
    <row r="871" spans="3:3" ht="15.75" customHeight="1" x14ac:dyDescent="0.25">
      <c r="C871" s="8"/>
    </row>
    <row r="872" spans="3:3" ht="15.75" customHeight="1" x14ac:dyDescent="0.25">
      <c r="C872" s="8"/>
    </row>
    <row r="873" spans="3:3" ht="15.75" customHeight="1" x14ac:dyDescent="0.25">
      <c r="C873" s="8"/>
    </row>
    <row r="874" spans="3:3" ht="15.75" customHeight="1" x14ac:dyDescent="0.25">
      <c r="C874" s="8"/>
    </row>
    <row r="875" spans="3:3" ht="15.75" customHeight="1" x14ac:dyDescent="0.25">
      <c r="C875" s="8"/>
    </row>
    <row r="876" spans="3:3" ht="15.75" customHeight="1" x14ac:dyDescent="0.25">
      <c r="C876" s="8"/>
    </row>
    <row r="877" spans="3:3" ht="15.75" customHeight="1" x14ac:dyDescent="0.25">
      <c r="C877" s="8"/>
    </row>
    <row r="878" spans="3:3" ht="15.75" customHeight="1" x14ac:dyDescent="0.25">
      <c r="C878" s="8"/>
    </row>
    <row r="879" spans="3:3" ht="15.75" customHeight="1" x14ac:dyDescent="0.25">
      <c r="C879" s="8"/>
    </row>
    <row r="880" spans="3:3" ht="15.75" customHeight="1" x14ac:dyDescent="0.25">
      <c r="C880" s="8"/>
    </row>
    <row r="881" spans="3:3" ht="15.75" customHeight="1" x14ac:dyDescent="0.25">
      <c r="C881" s="8"/>
    </row>
    <row r="882" spans="3:3" ht="15.75" customHeight="1" x14ac:dyDescent="0.25">
      <c r="C882" s="8"/>
    </row>
    <row r="883" spans="3:3" ht="15.75" customHeight="1" x14ac:dyDescent="0.25">
      <c r="C883" s="8"/>
    </row>
    <row r="884" spans="3:3" ht="15.75" customHeight="1" x14ac:dyDescent="0.25">
      <c r="C884" s="8"/>
    </row>
    <row r="885" spans="3:3" ht="15.75" customHeight="1" x14ac:dyDescent="0.25">
      <c r="C885" s="8"/>
    </row>
    <row r="886" spans="3:3" ht="15.75" customHeight="1" x14ac:dyDescent="0.25">
      <c r="C886" s="8"/>
    </row>
    <row r="887" spans="3:3" ht="15.75" customHeight="1" x14ac:dyDescent="0.25">
      <c r="C887" s="8"/>
    </row>
    <row r="888" spans="3:3" ht="15.75" customHeight="1" x14ac:dyDescent="0.25">
      <c r="C888" s="8"/>
    </row>
    <row r="889" spans="3:3" ht="15.75" customHeight="1" x14ac:dyDescent="0.25">
      <c r="C889" s="8"/>
    </row>
    <row r="890" spans="3:3" ht="15.75" customHeight="1" x14ac:dyDescent="0.25">
      <c r="C890" s="8"/>
    </row>
    <row r="891" spans="3:3" ht="15.75" customHeight="1" x14ac:dyDescent="0.25">
      <c r="C891" s="8"/>
    </row>
    <row r="892" spans="3:3" ht="15.75" customHeight="1" x14ac:dyDescent="0.25">
      <c r="C892" s="8"/>
    </row>
    <row r="893" spans="3:3" ht="15.75" customHeight="1" x14ac:dyDescent="0.25">
      <c r="C893" s="8"/>
    </row>
    <row r="894" spans="3:3" ht="15.75" customHeight="1" x14ac:dyDescent="0.25">
      <c r="C894" s="8"/>
    </row>
    <row r="895" spans="3:3" ht="15.75" customHeight="1" x14ac:dyDescent="0.25">
      <c r="C895" s="8"/>
    </row>
    <row r="896" spans="3:3" ht="15.75" customHeight="1" x14ac:dyDescent="0.25">
      <c r="C896" s="8"/>
    </row>
    <row r="897" spans="3:3" ht="15.75" customHeight="1" x14ac:dyDescent="0.25">
      <c r="C897" s="8"/>
    </row>
    <row r="898" spans="3:3" ht="15.75" customHeight="1" x14ac:dyDescent="0.25">
      <c r="C898" s="8"/>
    </row>
    <row r="899" spans="3:3" ht="15.75" customHeight="1" x14ac:dyDescent="0.25">
      <c r="C899" s="8"/>
    </row>
    <row r="900" spans="3:3" ht="15.75" customHeight="1" x14ac:dyDescent="0.25">
      <c r="C900" s="8"/>
    </row>
    <row r="901" spans="3:3" ht="15.75" customHeight="1" x14ac:dyDescent="0.25">
      <c r="C901" s="8"/>
    </row>
    <row r="902" spans="3:3" ht="15.75" customHeight="1" x14ac:dyDescent="0.25">
      <c r="C902" s="8"/>
    </row>
    <row r="903" spans="3:3" ht="15.75" customHeight="1" x14ac:dyDescent="0.25">
      <c r="C903" s="8"/>
    </row>
    <row r="904" spans="3:3" ht="15.75" customHeight="1" x14ac:dyDescent="0.25">
      <c r="C904" s="8"/>
    </row>
    <row r="905" spans="3:3" ht="15.75" customHeight="1" x14ac:dyDescent="0.25">
      <c r="C905" s="8"/>
    </row>
    <row r="906" spans="3:3" ht="15.75" customHeight="1" x14ac:dyDescent="0.25">
      <c r="C906" s="8"/>
    </row>
    <row r="907" spans="3:3" ht="15.75" customHeight="1" x14ac:dyDescent="0.25">
      <c r="C907" s="8"/>
    </row>
    <row r="908" spans="3:3" ht="15.75" customHeight="1" x14ac:dyDescent="0.25">
      <c r="C908" s="8"/>
    </row>
    <row r="909" spans="3:3" ht="15.75" customHeight="1" x14ac:dyDescent="0.25">
      <c r="C909" s="8"/>
    </row>
    <row r="910" spans="3:3" ht="15.75" customHeight="1" x14ac:dyDescent="0.25">
      <c r="C910" s="8"/>
    </row>
    <row r="911" spans="3:3" ht="15.75" customHeight="1" x14ac:dyDescent="0.25">
      <c r="C911" s="8"/>
    </row>
    <row r="912" spans="3:3" ht="15.75" customHeight="1" x14ac:dyDescent="0.25">
      <c r="C912" s="8"/>
    </row>
    <row r="913" spans="3:3" ht="15.75" customHeight="1" x14ac:dyDescent="0.25">
      <c r="C913" s="8"/>
    </row>
    <row r="914" spans="3:3" ht="15.75" customHeight="1" x14ac:dyDescent="0.25">
      <c r="C914" s="8"/>
    </row>
    <row r="915" spans="3:3" ht="15.75" customHeight="1" x14ac:dyDescent="0.25">
      <c r="C915" s="8"/>
    </row>
    <row r="916" spans="3:3" ht="15.75" customHeight="1" x14ac:dyDescent="0.25">
      <c r="C916" s="8"/>
    </row>
    <row r="917" spans="3:3" ht="15.75" customHeight="1" x14ac:dyDescent="0.25">
      <c r="C917" s="8"/>
    </row>
    <row r="918" spans="3:3" ht="15.75" customHeight="1" x14ac:dyDescent="0.25">
      <c r="C918" s="8"/>
    </row>
    <row r="919" spans="3:3" ht="15.75" customHeight="1" x14ac:dyDescent="0.25">
      <c r="C919" s="8"/>
    </row>
    <row r="920" spans="3:3" ht="15.75" customHeight="1" x14ac:dyDescent="0.25">
      <c r="C920" s="8"/>
    </row>
    <row r="921" spans="3:3" ht="15.75" customHeight="1" x14ac:dyDescent="0.25">
      <c r="C921" s="8"/>
    </row>
    <row r="922" spans="3:3" ht="15.75" customHeight="1" x14ac:dyDescent="0.25">
      <c r="C922" s="8"/>
    </row>
    <row r="923" spans="3:3" ht="15.75" customHeight="1" x14ac:dyDescent="0.25">
      <c r="C923" s="8"/>
    </row>
    <row r="924" spans="3:3" ht="15.75" customHeight="1" x14ac:dyDescent="0.25">
      <c r="C924" s="8"/>
    </row>
    <row r="925" spans="3:3" ht="15.75" customHeight="1" x14ac:dyDescent="0.25">
      <c r="C925" s="8"/>
    </row>
    <row r="926" spans="3:3" ht="15.75" customHeight="1" x14ac:dyDescent="0.25">
      <c r="C926" s="8"/>
    </row>
    <row r="927" spans="3:3" ht="15.75" customHeight="1" x14ac:dyDescent="0.25">
      <c r="C927" s="8"/>
    </row>
    <row r="928" spans="3:3" ht="15.75" customHeight="1" x14ac:dyDescent="0.25">
      <c r="C928" s="8"/>
    </row>
    <row r="929" spans="3:3" ht="15.75" customHeight="1" x14ac:dyDescent="0.25">
      <c r="C929" s="8"/>
    </row>
    <row r="930" spans="3:3" ht="15.75" customHeight="1" x14ac:dyDescent="0.25">
      <c r="C930" s="8"/>
    </row>
    <row r="931" spans="3:3" ht="15.75" customHeight="1" x14ac:dyDescent="0.25">
      <c r="C931" s="8"/>
    </row>
    <row r="932" spans="3:3" ht="15.75" customHeight="1" x14ac:dyDescent="0.25">
      <c r="C932" s="8"/>
    </row>
    <row r="933" spans="3:3" ht="15.75" customHeight="1" x14ac:dyDescent="0.25">
      <c r="C933" s="8"/>
    </row>
    <row r="934" spans="3:3" ht="15.75" customHeight="1" x14ac:dyDescent="0.25">
      <c r="C934" s="8"/>
    </row>
    <row r="935" spans="3:3" ht="15.75" customHeight="1" x14ac:dyDescent="0.25">
      <c r="C935" s="8"/>
    </row>
    <row r="936" spans="3:3" ht="15.75" customHeight="1" x14ac:dyDescent="0.25">
      <c r="C936" s="8"/>
    </row>
    <row r="937" spans="3:3" ht="15.75" customHeight="1" x14ac:dyDescent="0.25">
      <c r="C937" s="8"/>
    </row>
    <row r="938" spans="3:3" ht="15.75" customHeight="1" x14ac:dyDescent="0.25">
      <c r="C938" s="8"/>
    </row>
    <row r="939" spans="3:3" ht="15.75" customHeight="1" x14ac:dyDescent="0.25">
      <c r="C939" s="8"/>
    </row>
    <row r="940" spans="3:3" ht="15.75" customHeight="1" x14ac:dyDescent="0.25">
      <c r="C940" s="8"/>
    </row>
    <row r="941" spans="3:3" ht="15.75" customHeight="1" x14ac:dyDescent="0.25">
      <c r="C941" s="8"/>
    </row>
    <row r="942" spans="3:3" ht="15.75" customHeight="1" x14ac:dyDescent="0.25">
      <c r="C942" s="8"/>
    </row>
    <row r="943" spans="3:3" ht="15.75" customHeight="1" x14ac:dyDescent="0.25">
      <c r="C943" s="8"/>
    </row>
    <row r="944" spans="3:3" ht="15.75" customHeight="1" x14ac:dyDescent="0.25">
      <c r="C944" s="8"/>
    </row>
    <row r="945" spans="3:3" ht="15.75" customHeight="1" x14ac:dyDescent="0.25">
      <c r="C945" s="8"/>
    </row>
    <row r="946" spans="3:3" ht="15.75" customHeight="1" x14ac:dyDescent="0.25">
      <c r="C946" s="8"/>
    </row>
    <row r="947" spans="3:3" ht="15.75" customHeight="1" x14ac:dyDescent="0.25">
      <c r="C947" s="8"/>
    </row>
    <row r="948" spans="3:3" ht="15.75" customHeight="1" x14ac:dyDescent="0.25">
      <c r="C948" s="8"/>
    </row>
    <row r="949" spans="3:3" ht="15.75" customHeight="1" x14ac:dyDescent="0.25">
      <c r="C949" s="8"/>
    </row>
    <row r="950" spans="3:3" ht="15.75" customHeight="1" x14ac:dyDescent="0.25">
      <c r="C950" s="8"/>
    </row>
    <row r="951" spans="3:3" ht="15.75" customHeight="1" x14ac:dyDescent="0.25">
      <c r="C951" s="8"/>
    </row>
    <row r="952" spans="3:3" ht="15.75" customHeight="1" x14ac:dyDescent="0.25">
      <c r="C952" s="8"/>
    </row>
    <row r="953" spans="3:3" ht="15.75" customHeight="1" x14ac:dyDescent="0.25">
      <c r="C953" s="8"/>
    </row>
    <row r="954" spans="3:3" ht="15.75" customHeight="1" x14ac:dyDescent="0.25">
      <c r="C954" s="8"/>
    </row>
    <row r="955" spans="3:3" ht="15.75" customHeight="1" x14ac:dyDescent="0.25">
      <c r="C955" s="8"/>
    </row>
    <row r="956" spans="3:3" ht="15.75" customHeight="1" x14ac:dyDescent="0.25">
      <c r="C956" s="8"/>
    </row>
    <row r="957" spans="3:3" ht="15.75" customHeight="1" x14ac:dyDescent="0.25">
      <c r="C957" s="8"/>
    </row>
    <row r="958" spans="3:3" ht="15.75" customHeight="1" x14ac:dyDescent="0.25">
      <c r="C958" s="8"/>
    </row>
    <row r="959" spans="3:3" ht="15.75" customHeight="1" x14ac:dyDescent="0.25">
      <c r="C959" s="8"/>
    </row>
    <row r="960" spans="3:3" ht="15.75" customHeight="1" x14ac:dyDescent="0.25">
      <c r="C960" s="8"/>
    </row>
    <row r="961" spans="3:3" ht="15.75" customHeight="1" x14ac:dyDescent="0.25">
      <c r="C961" s="8"/>
    </row>
    <row r="962" spans="3:3" ht="15.75" customHeight="1" x14ac:dyDescent="0.25">
      <c r="C962" s="8"/>
    </row>
    <row r="963" spans="3:3" ht="15.75" customHeight="1" x14ac:dyDescent="0.25">
      <c r="C963" s="8"/>
    </row>
    <row r="964" spans="3:3" ht="15.75" customHeight="1" x14ac:dyDescent="0.25">
      <c r="C964" s="8"/>
    </row>
    <row r="965" spans="3:3" ht="15.75" customHeight="1" x14ac:dyDescent="0.25">
      <c r="C965" s="8"/>
    </row>
    <row r="966" spans="3:3" ht="15.75" customHeight="1" x14ac:dyDescent="0.25">
      <c r="C966" s="8"/>
    </row>
    <row r="967" spans="3:3" ht="15.75" customHeight="1" x14ac:dyDescent="0.25">
      <c r="C967" s="8"/>
    </row>
    <row r="968" spans="3:3" ht="15.75" customHeight="1" x14ac:dyDescent="0.25">
      <c r="C968" s="8"/>
    </row>
    <row r="969" spans="3:3" ht="15.75" customHeight="1" x14ac:dyDescent="0.25">
      <c r="C969" s="8"/>
    </row>
    <row r="970" spans="3:3" ht="15.75" customHeight="1" x14ac:dyDescent="0.25">
      <c r="C970" s="8"/>
    </row>
    <row r="971" spans="3:3" ht="15.75" customHeight="1" x14ac:dyDescent="0.25">
      <c r="C971" s="8"/>
    </row>
    <row r="972" spans="3:3" ht="15.75" customHeight="1" x14ac:dyDescent="0.25">
      <c r="C972" s="8"/>
    </row>
    <row r="973" spans="3:3" ht="15.75" customHeight="1" x14ac:dyDescent="0.25">
      <c r="C973" s="8"/>
    </row>
    <row r="974" spans="3:3" ht="15.75" customHeight="1" x14ac:dyDescent="0.25">
      <c r="C974" s="8"/>
    </row>
    <row r="975" spans="3:3" ht="15.75" customHeight="1" x14ac:dyDescent="0.25">
      <c r="C975" s="8"/>
    </row>
    <row r="976" spans="3:3" ht="15.75" customHeight="1" x14ac:dyDescent="0.25">
      <c r="C976" s="8"/>
    </row>
    <row r="977" spans="3:3" ht="15.75" customHeight="1" x14ac:dyDescent="0.25">
      <c r="C977" s="8"/>
    </row>
    <row r="978" spans="3:3" ht="15.75" customHeight="1" x14ac:dyDescent="0.25">
      <c r="C978" s="8"/>
    </row>
    <row r="979" spans="3:3" ht="15.75" customHeight="1" x14ac:dyDescent="0.25">
      <c r="C979" s="8"/>
    </row>
    <row r="980" spans="3:3" ht="15.75" customHeight="1" x14ac:dyDescent="0.25">
      <c r="C980" s="8"/>
    </row>
    <row r="981" spans="3:3" ht="15.75" customHeight="1" x14ac:dyDescent="0.25">
      <c r="C981" s="8"/>
    </row>
    <row r="982" spans="3:3" ht="15.75" customHeight="1" x14ac:dyDescent="0.25">
      <c r="C982" s="8"/>
    </row>
    <row r="983" spans="3:3" ht="15.75" customHeight="1" x14ac:dyDescent="0.25">
      <c r="C983" s="8"/>
    </row>
    <row r="984" spans="3:3" ht="15.75" customHeight="1" x14ac:dyDescent="0.25">
      <c r="C984" s="8"/>
    </row>
    <row r="985" spans="3:3" ht="15.75" customHeight="1" x14ac:dyDescent="0.25">
      <c r="C985" s="8"/>
    </row>
    <row r="986" spans="3:3" ht="15.75" customHeight="1" x14ac:dyDescent="0.25">
      <c r="C986" s="8"/>
    </row>
    <row r="987" spans="3:3" ht="15.75" customHeight="1" x14ac:dyDescent="0.25">
      <c r="C987" s="8"/>
    </row>
    <row r="988" spans="3:3" ht="15.75" customHeight="1" x14ac:dyDescent="0.25">
      <c r="C988" s="8"/>
    </row>
    <row r="989" spans="3:3" ht="15.75" customHeight="1" x14ac:dyDescent="0.25">
      <c r="C989" s="8"/>
    </row>
    <row r="990" spans="3:3" ht="15.75" customHeight="1" x14ac:dyDescent="0.25">
      <c r="C990" s="8"/>
    </row>
    <row r="991" spans="3:3" ht="15.75" customHeight="1" x14ac:dyDescent="0.25">
      <c r="C991" s="8"/>
    </row>
    <row r="992" spans="3:3" ht="15.75" customHeight="1" x14ac:dyDescent="0.25">
      <c r="C992" s="8"/>
    </row>
    <row r="993" spans="3:3" ht="15.75" customHeight="1" x14ac:dyDescent="0.25">
      <c r="C993" s="8"/>
    </row>
    <row r="994" spans="3:3" ht="15.75" customHeight="1" x14ac:dyDescent="0.25">
      <c r="C994" s="8"/>
    </row>
    <row r="995" spans="3:3" ht="15.75" customHeight="1" x14ac:dyDescent="0.25">
      <c r="C995" s="8"/>
    </row>
    <row r="996" spans="3:3" ht="15.75" customHeight="1" x14ac:dyDescent="0.25">
      <c r="C996" s="8"/>
    </row>
    <row r="997" spans="3:3" ht="15.75" customHeight="1" x14ac:dyDescent="0.25">
      <c r="C997" s="8"/>
    </row>
    <row r="998" spans="3:3" ht="15.75" customHeight="1" x14ac:dyDescent="0.25">
      <c r="C998" s="8"/>
    </row>
    <row r="999" spans="3:3" ht="15.75" customHeight="1" x14ac:dyDescent="0.25">
      <c r="C999" s="8"/>
    </row>
    <row r="1000" spans="3:3" ht="15.75" customHeight="1" x14ac:dyDescent="0.25">
      <c r="C1000" s="8"/>
    </row>
    <row r="1001" spans="3:3" ht="15.75" customHeight="1" x14ac:dyDescent="0.25">
      <c r="C1001" s="8"/>
    </row>
    <row r="1002" spans="3:3" ht="15.75" customHeight="1" x14ac:dyDescent="0.25">
      <c r="C1002" s="8"/>
    </row>
    <row r="1003" spans="3:3" ht="15.75" customHeight="1" x14ac:dyDescent="0.25">
      <c r="C1003" s="8"/>
    </row>
    <row r="1004" spans="3:3" ht="15.75" customHeight="1" x14ac:dyDescent="0.25">
      <c r="C1004" s="8"/>
    </row>
    <row r="1005" spans="3:3" ht="15.75" customHeight="1" x14ac:dyDescent="0.25">
      <c r="C1005" s="8"/>
    </row>
    <row r="1006" spans="3:3" ht="15.75" customHeight="1" x14ac:dyDescent="0.25">
      <c r="C1006" s="8"/>
    </row>
    <row r="1007" spans="3:3" ht="15.75" customHeight="1" x14ac:dyDescent="0.25">
      <c r="C1007" s="8"/>
    </row>
    <row r="1008" spans="3:3" ht="15.75" customHeight="1" x14ac:dyDescent="0.25">
      <c r="C1008" s="8"/>
    </row>
    <row r="1009" spans="3:3" ht="15.75" customHeight="1" x14ac:dyDescent="0.25">
      <c r="C1009" s="8"/>
    </row>
    <row r="1010" spans="3:3" ht="15.75" customHeight="1" x14ac:dyDescent="0.25">
      <c r="C1010" s="8"/>
    </row>
    <row r="1011" spans="3:3" ht="15.75" customHeight="1" x14ac:dyDescent="0.25">
      <c r="C1011" s="8"/>
    </row>
    <row r="1012" spans="3:3" ht="15.75" customHeight="1" x14ac:dyDescent="0.25">
      <c r="C1012" s="8"/>
    </row>
  </sheetData>
  <autoFilter ref="B29:P67" xr:uid="{00000000-0009-0000-0000-000003000000}"/>
  <mergeCells count="39">
    <mergeCell ref="B28:K28"/>
    <mergeCell ref="L28:P28"/>
    <mergeCell ref="R28:U28"/>
    <mergeCell ref="R29:R30"/>
    <mergeCell ref="S29:S30"/>
    <mergeCell ref="T29:T30"/>
    <mergeCell ref="U29:U30"/>
    <mergeCell ref="R38:R41"/>
    <mergeCell ref="S38:S41"/>
    <mergeCell ref="T38:T41"/>
    <mergeCell ref="U38:U41"/>
    <mergeCell ref="R42:R45"/>
    <mergeCell ref="S42:S45"/>
    <mergeCell ref="T42:T45"/>
    <mergeCell ref="U42:U45"/>
    <mergeCell ref="R46:R48"/>
    <mergeCell ref="S46:S48"/>
    <mergeCell ref="T46:T48"/>
    <mergeCell ref="U47:U48"/>
    <mergeCell ref="R50:R53"/>
    <mergeCell ref="S50:S53"/>
    <mergeCell ref="T50:T53"/>
    <mergeCell ref="U50:U53"/>
    <mergeCell ref="R55:R57"/>
    <mergeCell ref="S55:S57"/>
    <mergeCell ref="T55:T57"/>
    <mergeCell ref="U55:U57"/>
    <mergeCell ref="R59:R61"/>
    <mergeCell ref="S59:S61"/>
    <mergeCell ref="T59:T61"/>
    <mergeCell ref="U59:U61"/>
    <mergeCell ref="R62:R64"/>
    <mergeCell ref="S62:S64"/>
    <mergeCell ref="T62:T64"/>
    <mergeCell ref="U62:U64"/>
    <mergeCell ref="R65:R66"/>
    <mergeCell ref="S65:S66"/>
    <mergeCell ref="T65:T66"/>
    <mergeCell ref="U65:U66"/>
  </mergeCells>
  <hyperlinks>
    <hyperlink ref="J79" r:id="rId1" xr:uid="{39F832DB-35ED-4827-8177-A5AAB9AA01BC}"/>
  </hyperlinks>
  <printOptions horizontalCentered="1"/>
  <pageMargins left="0.47244094488188981" right="0.47244094488188981" top="0.47244094488188981" bottom="0.47244094488188981" header="0" footer="0"/>
  <pageSetup scale="53" fitToHeight="3" orientation="landscape" r:id="rId2"/>
  <rowBreaks count="1" manualBreakCount="1">
    <brk id="69" max="15" man="1"/>
  </row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B1:U1009"/>
  <sheetViews>
    <sheetView view="pageBreakPreview" topLeftCell="A42" zoomScale="60" zoomScaleNormal="55" workbookViewId="0">
      <selection activeCell="N44" sqref="N44"/>
    </sheetView>
  </sheetViews>
  <sheetFormatPr defaultColWidth="14.42578125" defaultRowHeight="15" customHeight="1" x14ac:dyDescent="0.25"/>
  <cols>
    <col min="1" max="1" width="5.7109375" customWidth="1"/>
    <col min="2" max="2" width="9.42578125" customWidth="1"/>
    <col min="3" max="3" width="30.7109375" customWidth="1"/>
    <col min="4" max="4" width="24.5703125" customWidth="1"/>
    <col min="5" max="5" width="26.140625" customWidth="1"/>
    <col min="6" max="6" width="22.42578125" customWidth="1"/>
    <col min="7" max="8" width="14.85546875" customWidth="1"/>
    <col min="9" max="10" width="13.7109375" customWidth="1"/>
    <col min="11" max="11" width="16.28515625" customWidth="1"/>
    <col min="12" max="12" width="10.42578125" customWidth="1"/>
    <col min="13" max="14" width="11.85546875" customWidth="1"/>
    <col min="15" max="15" width="10.7109375" customWidth="1"/>
    <col min="16" max="16" width="20.7109375" customWidth="1"/>
    <col min="17" max="17" width="3.5703125" customWidth="1"/>
    <col min="18" max="20" width="15.7109375" customWidth="1"/>
    <col min="21" max="21" width="25.7109375" customWidth="1"/>
  </cols>
  <sheetData>
    <row r="1" spans="2:6" x14ac:dyDescent="0.25">
      <c r="C1" s="8"/>
    </row>
    <row r="2" spans="2:6" ht="13.5" customHeight="1" x14ac:dyDescent="0.25">
      <c r="B2" s="9"/>
      <c r="C2" s="10"/>
      <c r="D2" s="11"/>
      <c r="E2" s="12" t="s">
        <v>128</v>
      </c>
    </row>
    <row r="3" spans="2:6" ht="13.5" customHeight="1" x14ac:dyDescent="0.25">
      <c r="B3" s="9"/>
      <c r="C3" s="10"/>
      <c r="D3" s="12"/>
      <c r="E3" s="11"/>
    </row>
    <row r="4" spans="2:6" ht="13.5" customHeight="1" x14ac:dyDescent="0.25">
      <c r="B4" s="9"/>
      <c r="C4" s="10"/>
      <c r="D4" s="12"/>
      <c r="E4" s="13" t="s">
        <v>63</v>
      </c>
    </row>
    <row r="5" spans="2:6" ht="13.5" customHeight="1" x14ac:dyDescent="0.25">
      <c r="B5" s="9"/>
      <c r="C5" s="10"/>
      <c r="D5" s="12"/>
      <c r="E5" s="14" t="s">
        <v>64</v>
      </c>
    </row>
    <row r="6" spans="2:6" ht="13.5" customHeight="1" x14ac:dyDescent="0.25">
      <c r="B6" s="9"/>
      <c r="C6" s="10"/>
      <c r="D6" s="12"/>
      <c r="E6" s="14" t="s">
        <v>65</v>
      </c>
    </row>
    <row r="7" spans="2:6" ht="13.5" customHeight="1" x14ac:dyDescent="0.25">
      <c r="B7" s="9"/>
      <c r="C7" s="10"/>
      <c r="D7" s="12"/>
      <c r="E7" s="14" t="s">
        <v>66</v>
      </c>
    </row>
    <row r="8" spans="2:6" ht="13.5" customHeight="1" x14ac:dyDescent="0.25">
      <c r="B8" s="9"/>
      <c r="C8" s="10"/>
      <c r="D8" s="12"/>
      <c r="E8" s="14" t="s">
        <v>67</v>
      </c>
    </row>
    <row r="9" spans="2:6" ht="13.5" customHeight="1" x14ac:dyDescent="0.25">
      <c r="B9" s="12"/>
      <c r="C9" s="8"/>
      <c r="D9" s="12"/>
      <c r="E9" s="14" t="s">
        <v>68</v>
      </c>
    </row>
    <row r="10" spans="2:6" ht="13.5" customHeight="1" x14ac:dyDescent="0.25">
      <c r="B10" s="9"/>
      <c r="C10" s="10"/>
      <c r="D10" s="15"/>
      <c r="E10" s="14" t="s">
        <v>69</v>
      </c>
    </row>
    <row r="11" spans="2:6" ht="13.5" customHeight="1" x14ac:dyDescent="0.25">
      <c r="B11" s="15"/>
      <c r="C11" s="16"/>
      <c r="D11" s="15"/>
      <c r="E11" s="14" t="s">
        <v>70</v>
      </c>
    </row>
    <row r="12" spans="2:6" ht="13.5" customHeight="1" x14ac:dyDescent="0.25">
      <c r="B12" s="15" t="s">
        <v>129</v>
      </c>
      <c r="C12" s="16"/>
      <c r="D12" s="15"/>
      <c r="E12" s="12"/>
    </row>
    <row r="13" spans="2:6" ht="13.5" customHeight="1" x14ac:dyDescent="0.25">
      <c r="B13" s="17" t="s">
        <v>71</v>
      </c>
      <c r="C13" s="16"/>
      <c r="D13" s="15"/>
      <c r="E13" s="12" t="s">
        <v>72</v>
      </c>
    </row>
    <row r="14" spans="2:6" ht="13.5" customHeight="1" x14ac:dyDescent="0.25">
      <c r="B14" s="450" t="s">
        <v>237</v>
      </c>
      <c r="C14" s="451"/>
      <c r="D14" s="15"/>
      <c r="E14" s="12" t="s">
        <v>73</v>
      </c>
    </row>
    <row r="15" spans="2:6" ht="13.5" customHeight="1" x14ac:dyDescent="0.25">
      <c r="B15" s="18"/>
      <c r="C15" s="10"/>
      <c r="D15" s="9"/>
      <c r="E15" s="19"/>
      <c r="F15" s="11"/>
    </row>
    <row r="16" spans="2:6" ht="13.5" customHeight="1" x14ac:dyDescent="0.25">
      <c r="B16" s="18"/>
      <c r="C16" s="10"/>
      <c r="D16" s="9"/>
      <c r="E16" s="20" t="s">
        <v>0</v>
      </c>
      <c r="F16" s="15" t="s">
        <v>11</v>
      </c>
    </row>
    <row r="17" spans="2:21" ht="13.5" customHeight="1" x14ac:dyDescent="0.25">
      <c r="B17" s="18"/>
      <c r="C17" s="10"/>
      <c r="D17" s="9"/>
      <c r="E17" s="20" t="s">
        <v>74</v>
      </c>
      <c r="F17" s="15" t="s">
        <v>75</v>
      </c>
      <c r="G17" s="14"/>
      <c r="H17" s="12"/>
      <c r="I17" s="12"/>
      <c r="J17" s="15"/>
      <c r="K17" s="12"/>
      <c r="L17" s="12"/>
      <c r="M17" s="12"/>
      <c r="N17" s="12"/>
      <c r="O17" s="12"/>
      <c r="P17" s="21"/>
      <c r="Q17" s="21"/>
      <c r="R17" s="19"/>
      <c r="S17" s="19"/>
      <c r="T17" s="19"/>
      <c r="U17" s="12"/>
    </row>
    <row r="18" spans="2:21" ht="13.5" customHeight="1" x14ac:dyDescent="0.25">
      <c r="B18" s="9"/>
      <c r="C18" s="10"/>
      <c r="D18" s="17"/>
      <c r="E18" s="12"/>
      <c r="F18" s="15"/>
      <c r="G18" s="14"/>
      <c r="H18" s="12"/>
      <c r="I18" s="12"/>
      <c r="J18" s="15"/>
      <c r="K18" s="12"/>
      <c r="L18" s="12"/>
      <c r="M18" s="15"/>
      <c r="N18" s="12"/>
      <c r="O18" s="12"/>
      <c r="P18" s="21"/>
      <c r="Q18" s="21"/>
      <c r="R18" s="19"/>
      <c r="S18" s="19"/>
      <c r="T18" s="19"/>
      <c r="U18" s="12"/>
    </row>
    <row r="19" spans="2:21" ht="13.5" customHeight="1" x14ac:dyDescent="0.25">
      <c r="B19" s="9"/>
      <c r="C19" s="10"/>
      <c r="D19" s="17"/>
      <c r="E19" s="20" t="s">
        <v>76</v>
      </c>
      <c r="F19" s="17" t="s">
        <v>77</v>
      </c>
      <c r="G19" s="14"/>
      <c r="H19" s="12"/>
      <c r="I19" s="12"/>
      <c r="J19" s="15"/>
      <c r="K19" s="12"/>
      <c r="L19" s="12"/>
      <c r="M19" s="12"/>
      <c r="N19" s="12"/>
      <c r="O19" s="12"/>
      <c r="P19" s="21"/>
      <c r="Q19" s="21"/>
      <c r="R19" s="19"/>
      <c r="S19" s="19"/>
      <c r="T19" s="19"/>
      <c r="U19" s="12"/>
    </row>
    <row r="20" spans="2:21" ht="13.5" customHeight="1" x14ac:dyDescent="0.25">
      <c r="B20" s="9"/>
      <c r="C20" s="10"/>
      <c r="D20" s="17"/>
      <c r="E20" s="20"/>
      <c r="F20" s="17" t="s">
        <v>78</v>
      </c>
      <c r="G20" s="14"/>
      <c r="H20" s="12"/>
      <c r="I20" s="12"/>
      <c r="J20" s="15"/>
      <c r="K20" s="12"/>
      <c r="L20" s="12"/>
      <c r="M20" s="12"/>
      <c r="N20" s="12"/>
      <c r="O20" s="12"/>
      <c r="P20" s="21"/>
      <c r="Q20" s="21"/>
      <c r="R20" s="19"/>
      <c r="S20" s="19"/>
      <c r="T20" s="19"/>
      <c r="U20" s="12"/>
    </row>
    <row r="21" spans="2:21" ht="13.5" customHeight="1" x14ac:dyDescent="0.25">
      <c r="B21" s="9"/>
      <c r="C21" s="10"/>
      <c r="D21" s="17"/>
      <c r="E21" s="12"/>
      <c r="F21" s="17" t="s">
        <v>79</v>
      </c>
      <c r="G21" s="12"/>
      <c r="H21" s="12"/>
      <c r="I21" s="12"/>
      <c r="J21" s="12"/>
      <c r="K21" s="21"/>
      <c r="L21" s="12"/>
      <c r="M21" s="12"/>
      <c r="N21" s="12"/>
      <c r="O21" s="12"/>
      <c r="P21" s="21"/>
      <c r="Q21" s="21"/>
      <c r="R21" s="19"/>
      <c r="S21" s="19"/>
      <c r="T21" s="19"/>
      <c r="U21" s="12"/>
    </row>
    <row r="22" spans="2:21" ht="13.5" customHeight="1" x14ac:dyDescent="0.25">
      <c r="B22" s="9"/>
      <c r="C22" s="10"/>
      <c r="D22" s="17"/>
      <c r="E22" s="12"/>
      <c r="F22" s="17" t="s">
        <v>80</v>
      </c>
      <c r="G22" s="12"/>
      <c r="H22" s="12"/>
      <c r="I22" s="12"/>
      <c r="J22" s="15"/>
      <c r="K22" s="22"/>
      <c r="L22" s="12"/>
      <c r="M22" s="12"/>
      <c r="N22" s="12"/>
      <c r="O22" s="12"/>
      <c r="P22" s="21"/>
      <c r="Q22" s="21"/>
      <c r="R22" s="19"/>
      <c r="S22" s="19"/>
      <c r="T22" s="19"/>
      <c r="U22" s="12"/>
    </row>
    <row r="23" spans="2:21" ht="13.5" customHeight="1" x14ac:dyDescent="0.25">
      <c r="B23" s="9"/>
      <c r="C23" s="10"/>
      <c r="D23" s="17"/>
      <c r="E23" s="12"/>
      <c r="F23" s="15"/>
      <c r="G23" s="14"/>
      <c r="H23" s="12"/>
      <c r="I23" s="12"/>
      <c r="J23" s="12"/>
      <c r="K23" s="15"/>
      <c r="L23" s="22"/>
      <c r="M23" s="12"/>
      <c r="N23" s="12"/>
      <c r="O23" s="12"/>
      <c r="P23" s="12"/>
      <c r="Q23" s="12"/>
      <c r="R23" s="19"/>
      <c r="S23" s="19"/>
      <c r="T23" s="19"/>
      <c r="U23" s="12"/>
    </row>
    <row r="24" spans="2:21" ht="13.5" customHeight="1" x14ac:dyDescent="0.25">
      <c r="B24" s="9"/>
      <c r="C24" s="10"/>
      <c r="D24" s="9"/>
      <c r="E24" s="21" t="s">
        <v>81</v>
      </c>
      <c r="F24" s="17" t="s">
        <v>82</v>
      </c>
      <c r="G24" s="14"/>
      <c r="H24" s="15"/>
      <c r="I24" s="12"/>
      <c r="J24" s="12"/>
      <c r="K24" s="15"/>
      <c r="L24" s="21"/>
      <c r="M24" s="12"/>
      <c r="N24" s="12"/>
      <c r="O24" s="12"/>
      <c r="P24" s="12"/>
      <c r="Q24" s="12"/>
      <c r="R24" s="19"/>
      <c r="S24" s="19"/>
      <c r="T24" s="19"/>
      <c r="U24" s="12"/>
    </row>
    <row r="25" spans="2:21" ht="13.5" customHeight="1" x14ac:dyDescent="0.25">
      <c r="B25" s="9"/>
      <c r="C25" s="10"/>
      <c r="D25" s="9"/>
      <c r="E25" s="19"/>
      <c r="F25" s="17" t="s">
        <v>83</v>
      </c>
      <c r="G25" s="12"/>
      <c r="H25" s="12"/>
      <c r="I25" s="12"/>
      <c r="J25" s="12"/>
      <c r="K25" s="15"/>
      <c r="L25" s="21"/>
      <c r="M25" s="23"/>
      <c r="N25" s="20" t="s">
        <v>84</v>
      </c>
      <c r="O25" s="12"/>
      <c r="P25" s="24">
        <v>4.95</v>
      </c>
      <c r="Q25" s="24"/>
      <c r="R25" s="19"/>
      <c r="S25" s="19"/>
      <c r="T25" s="19"/>
      <c r="U25" s="12"/>
    </row>
    <row r="26" spans="2:21" ht="13.5" customHeight="1" x14ac:dyDescent="0.25">
      <c r="B26" s="9"/>
      <c r="C26" s="9"/>
      <c r="D26" s="9"/>
      <c r="E26" s="19"/>
      <c r="F26" s="11"/>
      <c r="G26" s="12"/>
      <c r="H26" s="12"/>
      <c r="I26" s="12"/>
      <c r="J26" s="12"/>
      <c r="K26" s="15"/>
      <c r="L26" s="21"/>
      <c r="M26" s="23"/>
      <c r="N26" s="20" t="s">
        <v>85</v>
      </c>
      <c r="O26" s="12"/>
      <c r="P26" s="24">
        <v>3.95</v>
      </c>
      <c r="Q26" s="24"/>
      <c r="R26" s="19"/>
      <c r="S26" s="19"/>
      <c r="T26" s="19"/>
      <c r="U26" s="12"/>
    </row>
    <row r="27" spans="2:21" ht="13.5" customHeight="1" thickBot="1" x14ac:dyDescent="0.3">
      <c r="B27" s="9"/>
      <c r="C27" s="9"/>
      <c r="D27" s="17" t="s">
        <v>86</v>
      </c>
      <c r="E27" s="19"/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9"/>
      <c r="S27" s="19"/>
      <c r="T27" s="19"/>
      <c r="U27" s="12"/>
    </row>
    <row r="28" spans="2:21" ht="20.25" customHeight="1" thickTop="1" thickBot="1" x14ac:dyDescent="0.3">
      <c r="B28" s="632" t="s">
        <v>87</v>
      </c>
      <c r="C28" s="633"/>
      <c r="D28" s="633"/>
      <c r="E28" s="633"/>
      <c r="F28" s="633"/>
      <c r="G28" s="633"/>
      <c r="H28" s="633"/>
      <c r="I28" s="633"/>
      <c r="J28" s="633"/>
      <c r="K28" s="634"/>
      <c r="L28" s="632" t="str">
        <f>B12</f>
        <v>PEDIDO No. TOTAL (PERFILES DE ALUMINIO Y PINTURA)</v>
      </c>
      <c r="M28" s="633"/>
      <c r="N28" s="633"/>
      <c r="O28" s="633"/>
      <c r="P28" s="634"/>
      <c r="Q28" s="12"/>
      <c r="R28" s="635" t="s">
        <v>137</v>
      </c>
      <c r="S28" s="636"/>
      <c r="T28" s="636"/>
      <c r="U28" s="637"/>
    </row>
    <row r="29" spans="2:21" ht="13.5" customHeight="1" thickTop="1" x14ac:dyDescent="0.25">
      <c r="B29" s="25" t="s">
        <v>88</v>
      </c>
      <c r="C29" s="26" t="s">
        <v>89</v>
      </c>
      <c r="D29" s="25" t="s">
        <v>90</v>
      </c>
      <c r="E29" s="25" t="s">
        <v>16</v>
      </c>
      <c r="F29" s="25" t="s">
        <v>91</v>
      </c>
      <c r="G29" s="25" t="s">
        <v>24</v>
      </c>
      <c r="H29" s="25" t="s">
        <v>92</v>
      </c>
      <c r="I29" s="25" t="s">
        <v>18</v>
      </c>
      <c r="J29" s="25" t="s">
        <v>19</v>
      </c>
      <c r="K29" s="27" t="s">
        <v>17</v>
      </c>
      <c r="L29" s="27" t="s">
        <v>93</v>
      </c>
      <c r="M29" s="27" t="s">
        <v>94</v>
      </c>
      <c r="N29" s="25" t="s">
        <v>26</v>
      </c>
      <c r="O29" s="25" t="s">
        <v>27</v>
      </c>
      <c r="P29" s="27" t="s">
        <v>95</v>
      </c>
      <c r="Q29" s="12"/>
      <c r="R29" s="658" t="s">
        <v>131</v>
      </c>
      <c r="S29" s="658" t="s">
        <v>130</v>
      </c>
      <c r="T29" s="658" t="s">
        <v>97</v>
      </c>
      <c r="U29" s="658" t="s">
        <v>23</v>
      </c>
    </row>
    <row r="30" spans="2:21" ht="18" customHeight="1" thickBot="1" x14ac:dyDescent="0.3">
      <c r="B30" s="28"/>
      <c r="C30" s="29"/>
      <c r="D30" s="28"/>
      <c r="E30" s="28"/>
      <c r="F30" s="28"/>
      <c r="G30" s="30"/>
      <c r="H30" s="30"/>
      <c r="I30" s="28"/>
      <c r="J30" s="28"/>
      <c r="K30" s="31"/>
      <c r="L30" s="31"/>
      <c r="M30" s="31"/>
      <c r="N30" s="28"/>
      <c r="O30" s="28"/>
      <c r="P30" s="31"/>
      <c r="Q30" s="12"/>
      <c r="R30" s="659"/>
      <c r="S30" s="659"/>
      <c r="T30" s="659"/>
      <c r="U30" s="659"/>
    </row>
    <row r="31" spans="2:21" ht="57.75" customHeight="1" thickTop="1" x14ac:dyDescent="0.25">
      <c r="B31" s="32">
        <v>1</v>
      </c>
      <c r="C31" s="33" t="s">
        <v>216</v>
      </c>
      <c r="D31" s="34" t="s">
        <v>121</v>
      </c>
      <c r="E31" s="35" t="s">
        <v>123</v>
      </c>
      <c r="F31" s="36"/>
      <c r="G31" s="37">
        <v>3.66</v>
      </c>
      <c r="H31" s="36" t="s">
        <v>5</v>
      </c>
      <c r="I31" s="38">
        <v>0.84899999999999998</v>
      </c>
      <c r="J31" s="38">
        <v>0</v>
      </c>
      <c r="K31" s="39" t="s">
        <v>6</v>
      </c>
      <c r="L31" s="37">
        <v>429</v>
      </c>
      <c r="M31" s="37">
        <f t="shared" ref="M31" si="0">L31*G31</f>
        <v>1570.14</v>
      </c>
      <c r="N31" s="40">
        <f t="shared" ref="N31" si="1">M31*I31</f>
        <v>1333.0488600000001</v>
      </c>
      <c r="O31" s="40">
        <f t="shared" ref="O31" si="2">M31*J31</f>
        <v>0</v>
      </c>
      <c r="P31" s="41">
        <f t="shared" ref="P31" si="3">($P$25*N31)+($P$26*O31)</f>
        <v>6598.5918570000003</v>
      </c>
      <c r="Q31" s="12"/>
      <c r="R31" s="277">
        <f t="shared" ref="R31" si="4">+N31</f>
        <v>1333.0488600000001</v>
      </c>
      <c r="S31" s="278">
        <f t="shared" ref="S31:S32" si="5">(500-$R31)</f>
        <v>-833.0488600000001</v>
      </c>
      <c r="T31" s="281">
        <f t="shared" ref="T31:T32" si="6">$S31/$I31/$G31</f>
        <v>-268.09066918972502</v>
      </c>
      <c r="U31" s="279"/>
    </row>
    <row r="32" spans="2:21" ht="57.75" customHeight="1" x14ac:dyDescent="0.25">
      <c r="B32" s="32">
        <f t="shared" ref="B32:B64" si="7">B31+1</f>
        <v>2</v>
      </c>
      <c r="C32" s="33" t="s">
        <v>217</v>
      </c>
      <c r="D32" s="34" t="s">
        <v>28</v>
      </c>
      <c r="E32" s="35" t="s">
        <v>29</v>
      </c>
      <c r="F32" s="36"/>
      <c r="G32" s="37">
        <v>3.66</v>
      </c>
      <c r="H32" s="36" t="s">
        <v>5</v>
      </c>
      <c r="I32" s="38">
        <v>1.641</v>
      </c>
      <c r="J32" s="38">
        <v>0</v>
      </c>
      <c r="K32" s="39" t="s">
        <v>6</v>
      </c>
      <c r="L32" s="37">
        <v>343</v>
      </c>
      <c r="M32" s="37">
        <f t="shared" ref="M32:M58" si="8">L32*G32</f>
        <v>1255.3800000000001</v>
      </c>
      <c r="N32" s="40">
        <f t="shared" ref="N32:N58" si="9">M32*I32</f>
        <v>2060.0785800000003</v>
      </c>
      <c r="O32" s="40">
        <f t="shared" ref="O32:O58" si="10">M32*J32</f>
        <v>0</v>
      </c>
      <c r="P32" s="41">
        <f t="shared" ref="P32:P58" si="11">($P$25*N32)+($P$26*O32)</f>
        <v>10197.388971000002</v>
      </c>
      <c r="Q32" s="12"/>
      <c r="R32" s="280">
        <f t="shared" ref="R32:R35" si="12">+N32</f>
        <v>2060.0785800000003</v>
      </c>
      <c r="S32" s="281">
        <f t="shared" si="5"/>
        <v>-1560.0785800000003</v>
      </c>
      <c r="T32" s="281">
        <f t="shared" si="6"/>
        <v>-259.75074841077185</v>
      </c>
      <c r="U32" s="282"/>
    </row>
    <row r="33" spans="2:21" s="297" customFormat="1" ht="57.75" customHeight="1" x14ac:dyDescent="0.25">
      <c r="B33" s="286">
        <f t="shared" si="7"/>
        <v>3</v>
      </c>
      <c r="C33" s="287" t="s">
        <v>218</v>
      </c>
      <c r="D33" s="288" t="s">
        <v>31</v>
      </c>
      <c r="E33" s="289" t="s">
        <v>32</v>
      </c>
      <c r="F33" s="290"/>
      <c r="G33" s="291">
        <v>3.66</v>
      </c>
      <c r="H33" s="290" t="s">
        <v>5</v>
      </c>
      <c r="I33" s="292">
        <v>3.3929999999999998</v>
      </c>
      <c r="J33" s="292">
        <v>0</v>
      </c>
      <c r="K33" s="293" t="s">
        <v>6</v>
      </c>
      <c r="L33" s="291">
        <v>1</v>
      </c>
      <c r="M33" s="291">
        <f t="shared" si="8"/>
        <v>3.66</v>
      </c>
      <c r="N33" s="294">
        <f t="shared" si="9"/>
        <v>12.418379999999999</v>
      </c>
      <c r="O33" s="294">
        <f t="shared" si="10"/>
        <v>0</v>
      </c>
      <c r="P33" s="295">
        <f t="shared" si="11"/>
        <v>61.470980999999995</v>
      </c>
      <c r="Q33" s="296"/>
      <c r="R33" s="302">
        <f t="shared" si="12"/>
        <v>12.418379999999999</v>
      </c>
      <c r="S33" s="300">
        <f>(500-$R33)</f>
        <v>487.58161999999999</v>
      </c>
      <c r="T33" s="300">
        <f>$S33/$I33/$G33</f>
        <v>39.262900635992779</v>
      </c>
      <c r="U33" s="301" t="s">
        <v>139</v>
      </c>
    </row>
    <row r="34" spans="2:21" s="297" customFormat="1" ht="57.75" customHeight="1" x14ac:dyDescent="0.25">
      <c r="B34" s="286">
        <f t="shared" si="7"/>
        <v>4</v>
      </c>
      <c r="C34" s="287" t="s">
        <v>219</v>
      </c>
      <c r="D34" s="288" t="s">
        <v>34</v>
      </c>
      <c r="E34" s="289" t="s">
        <v>113</v>
      </c>
      <c r="F34" s="290"/>
      <c r="G34" s="291">
        <v>6.1</v>
      </c>
      <c r="H34" s="290" t="s">
        <v>5</v>
      </c>
      <c r="I34" s="292">
        <v>0.438</v>
      </c>
      <c r="J34" s="292">
        <v>0</v>
      </c>
      <c r="K34" s="293" t="s">
        <v>6</v>
      </c>
      <c r="L34" s="291">
        <v>2</v>
      </c>
      <c r="M34" s="291">
        <f t="shared" ref="M34" si="13">L34*G34</f>
        <v>12.2</v>
      </c>
      <c r="N34" s="294">
        <f t="shared" ref="N34" si="14">M34*I34</f>
        <v>5.3435999999999995</v>
      </c>
      <c r="O34" s="294">
        <f t="shared" ref="O34" si="15">M34*J34</f>
        <v>0</v>
      </c>
      <c r="P34" s="295">
        <f t="shared" ref="P34" si="16">($P$25*N34)+($P$26*O34)</f>
        <v>26.450819999999997</v>
      </c>
      <c r="Q34" s="296"/>
      <c r="R34" s="302">
        <f t="shared" ref="R34" si="17">+N34</f>
        <v>5.3435999999999995</v>
      </c>
      <c r="S34" s="300">
        <f t="shared" ref="S34:S44" si="18">(500-$R34)</f>
        <v>494.65640000000002</v>
      </c>
      <c r="T34" s="300">
        <f t="shared" ref="T34:T35" si="19">$S34/$I34/$G34</f>
        <v>185.13975596975826</v>
      </c>
      <c r="U34" s="301" t="s">
        <v>139</v>
      </c>
    </row>
    <row r="35" spans="2:21" ht="57.75" customHeight="1" x14ac:dyDescent="0.25">
      <c r="B35" s="32">
        <f t="shared" si="7"/>
        <v>5</v>
      </c>
      <c r="C35" s="33" t="s">
        <v>220</v>
      </c>
      <c r="D35" s="34">
        <v>10926</v>
      </c>
      <c r="E35" s="35" t="s">
        <v>36</v>
      </c>
      <c r="F35" s="36"/>
      <c r="G35" s="37">
        <v>6.1</v>
      </c>
      <c r="H35" s="36" t="s">
        <v>5</v>
      </c>
      <c r="I35" s="38">
        <v>0.76700000000000002</v>
      </c>
      <c r="J35" s="38">
        <v>0</v>
      </c>
      <c r="K35" s="39" t="s">
        <v>6</v>
      </c>
      <c r="L35" s="37">
        <v>53</v>
      </c>
      <c r="M35" s="37">
        <f t="shared" si="8"/>
        <v>323.29999999999995</v>
      </c>
      <c r="N35" s="40">
        <f t="shared" si="9"/>
        <v>247.97109999999998</v>
      </c>
      <c r="O35" s="40">
        <f t="shared" si="10"/>
        <v>0</v>
      </c>
      <c r="P35" s="41">
        <f t="shared" si="11"/>
        <v>1227.4569449999999</v>
      </c>
      <c r="Q35" s="12"/>
      <c r="R35" s="280">
        <f t="shared" si="12"/>
        <v>247.97109999999998</v>
      </c>
      <c r="S35" s="281">
        <f t="shared" si="18"/>
        <v>252.02890000000002</v>
      </c>
      <c r="T35" s="281">
        <f t="shared" si="19"/>
        <v>53.867292196550338</v>
      </c>
      <c r="U35" s="282" t="s">
        <v>138</v>
      </c>
    </row>
    <row r="36" spans="2:21" ht="57.75" customHeight="1" x14ac:dyDescent="0.25">
      <c r="B36" s="32">
        <f t="shared" si="7"/>
        <v>6</v>
      </c>
      <c r="C36" s="33" t="s">
        <v>221</v>
      </c>
      <c r="D36" s="34" t="s">
        <v>37</v>
      </c>
      <c r="E36" s="35" t="s">
        <v>38</v>
      </c>
      <c r="F36" s="36"/>
      <c r="G36" s="37">
        <v>4.5999999999999996</v>
      </c>
      <c r="H36" s="36" t="s">
        <v>5</v>
      </c>
      <c r="I36" s="38">
        <v>0.29899999999999999</v>
      </c>
      <c r="J36" s="38">
        <v>0.13900000000000001</v>
      </c>
      <c r="K36" s="39" t="s">
        <v>39</v>
      </c>
      <c r="L36" s="37">
        <v>51</v>
      </c>
      <c r="M36" s="37">
        <f t="shared" si="8"/>
        <v>234.6</v>
      </c>
      <c r="N36" s="40">
        <f t="shared" si="9"/>
        <v>70.145399999999995</v>
      </c>
      <c r="O36" s="40">
        <f t="shared" si="10"/>
        <v>32.609400000000001</v>
      </c>
      <c r="P36" s="41">
        <f t="shared" si="11"/>
        <v>476.02685999999994</v>
      </c>
      <c r="Q36" s="12"/>
      <c r="R36" s="638">
        <f>+N36+N37</f>
        <v>336.79360000000003</v>
      </c>
      <c r="S36" s="639">
        <f t="shared" si="18"/>
        <v>163.20639999999997</v>
      </c>
      <c r="T36" s="652">
        <f>$S36/$I37/$G37</f>
        <v>111.39608217869085</v>
      </c>
      <c r="U36" s="657" t="s">
        <v>138</v>
      </c>
    </row>
    <row r="37" spans="2:21" ht="57.75" customHeight="1" x14ac:dyDescent="0.25">
      <c r="B37" s="32">
        <f t="shared" si="7"/>
        <v>7</v>
      </c>
      <c r="C37" s="33" t="s">
        <v>222</v>
      </c>
      <c r="D37" s="34" t="s">
        <v>37</v>
      </c>
      <c r="E37" s="35" t="s">
        <v>38</v>
      </c>
      <c r="F37" s="36"/>
      <c r="G37" s="37">
        <v>4.9000000000000004</v>
      </c>
      <c r="H37" s="36" t="s">
        <v>5</v>
      </c>
      <c r="I37" s="38">
        <v>0.29899999999999999</v>
      </c>
      <c r="J37" s="38">
        <v>0.13900000000000001</v>
      </c>
      <c r="K37" s="39" t="s">
        <v>39</v>
      </c>
      <c r="L37" s="37">
        <v>182</v>
      </c>
      <c r="M37" s="37">
        <f t="shared" si="8"/>
        <v>891.80000000000007</v>
      </c>
      <c r="N37" s="40">
        <f t="shared" si="9"/>
        <v>266.64820000000003</v>
      </c>
      <c r="O37" s="40">
        <f t="shared" si="10"/>
        <v>123.96020000000001</v>
      </c>
      <c r="P37" s="41">
        <f t="shared" si="11"/>
        <v>1809.5513800000003</v>
      </c>
      <c r="Q37" s="12"/>
      <c r="R37" s="638"/>
      <c r="S37" s="639"/>
      <c r="T37" s="653"/>
      <c r="U37" s="657"/>
    </row>
    <row r="38" spans="2:21" ht="57.75" customHeight="1" x14ac:dyDescent="0.25">
      <c r="B38" s="32">
        <f t="shared" si="7"/>
        <v>8</v>
      </c>
      <c r="C38" s="33" t="s">
        <v>221</v>
      </c>
      <c r="D38" s="34" t="s">
        <v>40</v>
      </c>
      <c r="E38" s="35" t="s">
        <v>41</v>
      </c>
      <c r="F38" s="36"/>
      <c r="G38" s="37">
        <v>4.5999999999999996</v>
      </c>
      <c r="H38" s="36" t="s">
        <v>5</v>
      </c>
      <c r="I38" s="38">
        <v>0.27700000000000002</v>
      </c>
      <c r="J38" s="38">
        <v>0.114</v>
      </c>
      <c r="K38" s="39" t="s">
        <v>39</v>
      </c>
      <c r="L38" s="37">
        <v>51</v>
      </c>
      <c r="M38" s="37">
        <f t="shared" si="8"/>
        <v>234.6</v>
      </c>
      <c r="N38" s="40">
        <f t="shared" si="9"/>
        <v>64.984200000000001</v>
      </c>
      <c r="O38" s="40">
        <f t="shared" si="10"/>
        <v>26.744399999999999</v>
      </c>
      <c r="P38" s="41">
        <f t="shared" si="11"/>
        <v>427.31217000000004</v>
      </c>
      <c r="Q38" s="12"/>
      <c r="R38" s="638">
        <f>+N38+N39</f>
        <v>312.01280000000003</v>
      </c>
      <c r="S38" s="639">
        <f t="shared" si="18"/>
        <v>187.98719999999997</v>
      </c>
      <c r="T38" s="652">
        <f>$S38/$I39/$G39</f>
        <v>138.50084727031603</v>
      </c>
      <c r="U38" s="657" t="s">
        <v>138</v>
      </c>
    </row>
    <row r="39" spans="2:21" ht="57.75" customHeight="1" x14ac:dyDescent="0.25">
      <c r="B39" s="32">
        <f t="shared" si="7"/>
        <v>9</v>
      </c>
      <c r="C39" s="33" t="s">
        <v>222</v>
      </c>
      <c r="D39" s="34" t="s">
        <v>40</v>
      </c>
      <c r="E39" s="35" t="s">
        <v>41</v>
      </c>
      <c r="F39" s="36"/>
      <c r="G39" s="37">
        <v>4.9000000000000004</v>
      </c>
      <c r="H39" s="36" t="s">
        <v>5</v>
      </c>
      <c r="I39" s="38">
        <v>0.27700000000000002</v>
      </c>
      <c r="J39" s="38">
        <v>0.114</v>
      </c>
      <c r="K39" s="39" t="s">
        <v>39</v>
      </c>
      <c r="L39" s="37">
        <v>182</v>
      </c>
      <c r="M39" s="37">
        <f t="shared" si="8"/>
        <v>891.80000000000007</v>
      </c>
      <c r="N39" s="40">
        <f t="shared" si="9"/>
        <v>247.02860000000004</v>
      </c>
      <c r="O39" s="40">
        <f t="shared" si="10"/>
        <v>101.66520000000001</v>
      </c>
      <c r="P39" s="41">
        <f t="shared" si="11"/>
        <v>1624.3691100000003</v>
      </c>
      <c r="Q39" s="12"/>
      <c r="R39" s="638"/>
      <c r="S39" s="639"/>
      <c r="T39" s="653"/>
      <c r="U39" s="657"/>
    </row>
    <row r="40" spans="2:21" ht="57.75" customHeight="1" x14ac:dyDescent="0.25">
      <c r="B40" s="32">
        <f t="shared" si="7"/>
        <v>10</v>
      </c>
      <c r="C40" s="33" t="s">
        <v>221</v>
      </c>
      <c r="D40" s="34" t="s">
        <v>42</v>
      </c>
      <c r="E40" s="35" t="s">
        <v>43</v>
      </c>
      <c r="F40" s="36"/>
      <c r="G40" s="37">
        <v>4.5999999999999996</v>
      </c>
      <c r="H40" s="36" t="s">
        <v>5</v>
      </c>
      <c r="I40" s="38">
        <v>1.72</v>
      </c>
      <c r="J40" s="38">
        <v>0.32400000000000001</v>
      </c>
      <c r="K40" s="39" t="s">
        <v>39</v>
      </c>
      <c r="L40" s="37">
        <v>51</v>
      </c>
      <c r="M40" s="37">
        <f t="shared" si="8"/>
        <v>234.6</v>
      </c>
      <c r="N40" s="40">
        <f t="shared" si="9"/>
        <v>403.512</v>
      </c>
      <c r="O40" s="40">
        <f t="shared" si="10"/>
        <v>76.010400000000004</v>
      </c>
      <c r="P40" s="41">
        <f t="shared" si="11"/>
        <v>2297.6254800000002</v>
      </c>
      <c r="Q40" s="12"/>
      <c r="R40" s="638">
        <f>+N40+N41</f>
        <v>1937.4080000000001</v>
      </c>
      <c r="S40" s="639">
        <f t="shared" si="18"/>
        <v>-1437.4080000000001</v>
      </c>
      <c r="T40" s="652">
        <f>$S40/$I41/$G41</f>
        <v>-170.55149501661131</v>
      </c>
      <c r="U40" s="657"/>
    </row>
    <row r="41" spans="2:21" ht="57.75" customHeight="1" x14ac:dyDescent="0.25">
      <c r="B41" s="32">
        <f t="shared" si="7"/>
        <v>11</v>
      </c>
      <c r="C41" s="33" t="s">
        <v>222</v>
      </c>
      <c r="D41" s="34" t="s">
        <v>42</v>
      </c>
      <c r="E41" s="35" t="s">
        <v>43</v>
      </c>
      <c r="F41" s="36"/>
      <c r="G41" s="37">
        <v>4.9000000000000004</v>
      </c>
      <c r="H41" s="36" t="s">
        <v>5</v>
      </c>
      <c r="I41" s="38">
        <v>1.72</v>
      </c>
      <c r="J41" s="38">
        <v>0.32400000000000001</v>
      </c>
      <c r="K41" s="39" t="s">
        <v>39</v>
      </c>
      <c r="L41" s="37">
        <v>182</v>
      </c>
      <c r="M41" s="37">
        <f t="shared" si="8"/>
        <v>891.80000000000007</v>
      </c>
      <c r="N41" s="40">
        <f t="shared" si="9"/>
        <v>1533.8960000000002</v>
      </c>
      <c r="O41" s="40">
        <f t="shared" si="10"/>
        <v>288.94320000000005</v>
      </c>
      <c r="P41" s="41">
        <f t="shared" si="11"/>
        <v>8734.1108400000012</v>
      </c>
      <c r="Q41" s="12"/>
      <c r="R41" s="638"/>
      <c r="S41" s="639"/>
      <c r="T41" s="653"/>
      <c r="U41" s="657"/>
    </row>
    <row r="42" spans="2:21" ht="57.75" customHeight="1" x14ac:dyDescent="0.25">
      <c r="B42" s="32">
        <f t="shared" si="7"/>
        <v>12</v>
      </c>
      <c r="C42" s="33" t="s">
        <v>223</v>
      </c>
      <c r="D42" s="34">
        <v>20626</v>
      </c>
      <c r="E42" s="35" t="s">
        <v>44</v>
      </c>
      <c r="F42" s="36"/>
      <c r="G42" s="37">
        <v>4.9000000000000004</v>
      </c>
      <c r="H42" s="36" t="s">
        <v>5</v>
      </c>
      <c r="I42" s="38">
        <v>2.7930000000000001</v>
      </c>
      <c r="J42" s="38">
        <v>0.45068000000000003</v>
      </c>
      <c r="K42" s="39" t="s">
        <v>39</v>
      </c>
      <c r="L42" s="37">
        <v>294</v>
      </c>
      <c r="M42" s="37">
        <f t="shared" si="8"/>
        <v>1440.6000000000001</v>
      </c>
      <c r="N42" s="40">
        <f t="shared" si="9"/>
        <v>4023.5958000000005</v>
      </c>
      <c r="O42" s="40">
        <f t="shared" si="10"/>
        <v>649.24960800000008</v>
      </c>
      <c r="P42" s="41">
        <f t="shared" si="11"/>
        <v>22481.335161600004</v>
      </c>
      <c r="Q42" s="12"/>
      <c r="R42" s="638">
        <f>+N42+N43</f>
        <v>4363.2246000000005</v>
      </c>
      <c r="S42" s="639">
        <f t="shared" si="18"/>
        <v>-3863.2246000000005</v>
      </c>
      <c r="T42" s="652">
        <f>$S42/$I43/$G43</f>
        <v>-216.12203499820981</v>
      </c>
      <c r="U42" s="657"/>
    </row>
    <row r="43" spans="2:21" ht="57.75" customHeight="1" x14ac:dyDescent="0.25">
      <c r="B43" s="32">
        <f t="shared" si="7"/>
        <v>13</v>
      </c>
      <c r="C43" s="33" t="s">
        <v>224</v>
      </c>
      <c r="D43" s="34">
        <v>20626</v>
      </c>
      <c r="E43" s="35" t="s">
        <v>44</v>
      </c>
      <c r="F43" s="36"/>
      <c r="G43" s="37">
        <v>6.4</v>
      </c>
      <c r="H43" s="36" t="s">
        <v>5</v>
      </c>
      <c r="I43" s="38">
        <v>2.7930000000000001</v>
      </c>
      <c r="J43" s="38">
        <v>0.45068000000000003</v>
      </c>
      <c r="K43" s="39" t="s">
        <v>39</v>
      </c>
      <c r="L43" s="37">
        <v>19</v>
      </c>
      <c r="M43" s="37">
        <f t="shared" si="8"/>
        <v>121.60000000000001</v>
      </c>
      <c r="N43" s="40">
        <f t="shared" si="9"/>
        <v>339.62880000000007</v>
      </c>
      <c r="O43" s="40">
        <f t="shared" si="10"/>
        <v>54.802688000000003</v>
      </c>
      <c r="P43" s="41">
        <f t="shared" si="11"/>
        <v>1897.6331776000004</v>
      </c>
      <c r="Q43" s="12"/>
      <c r="R43" s="638"/>
      <c r="S43" s="639"/>
      <c r="T43" s="653"/>
      <c r="U43" s="657"/>
    </row>
    <row r="44" spans="2:21" ht="57.75" customHeight="1" x14ac:dyDescent="0.25">
      <c r="B44" s="32">
        <f t="shared" si="7"/>
        <v>14</v>
      </c>
      <c r="C44" s="33" t="s">
        <v>223</v>
      </c>
      <c r="D44" s="34">
        <v>21825</v>
      </c>
      <c r="E44" s="35" t="s">
        <v>45</v>
      </c>
      <c r="F44" s="36"/>
      <c r="G44" s="37">
        <v>4.9000000000000004</v>
      </c>
      <c r="H44" s="36" t="s">
        <v>5</v>
      </c>
      <c r="I44" s="38">
        <v>0.999</v>
      </c>
      <c r="J44" s="38">
        <v>0.23799999999999999</v>
      </c>
      <c r="K44" s="39" t="s">
        <v>39</v>
      </c>
      <c r="L44" s="37">
        <v>405</v>
      </c>
      <c r="M44" s="37">
        <f t="shared" si="8"/>
        <v>1984.5000000000002</v>
      </c>
      <c r="N44" s="40">
        <f t="shared" si="9"/>
        <v>1982.5155000000002</v>
      </c>
      <c r="O44" s="40">
        <f t="shared" si="10"/>
        <v>472.31100000000004</v>
      </c>
      <c r="P44" s="41">
        <f t="shared" si="11"/>
        <v>11679.080175000001</v>
      </c>
      <c r="Q44" s="12"/>
      <c r="R44" s="638">
        <f>+N44+N45+N46</f>
        <v>2827.2699000000002</v>
      </c>
      <c r="S44" s="639">
        <f t="shared" si="18"/>
        <v>-2327.2699000000002</v>
      </c>
      <c r="T44" s="652">
        <f>$S44/$I46/$G46</f>
        <v>-363.99992179679685</v>
      </c>
      <c r="U44" s="629"/>
    </row>
    <row r="45" spans="2:21" ht="57.75" customHeight="1" x14ac:dyDescent="0.25">
      <c r="B45" s="32">
        <f t="shared" si="7"/>
        <v>15</v>
      </c>
      <c r="C45" s="33" t="s">
        <v>224</v>
      </c>
      <c r="D45" s="34">
        <v>21825</v>
      </c>
      <c r="E45" s="35" t="s">
        <v>45</v>
      </c>
      <c r="F45" s="36"/>
      <c r="G45" s="37">
        <v>5.8</v>
      </c>
      <c r="H45" s="36" t="s">
        <v>5</v>
      </c>
      <c r="I45" s="38">
        <v>0.999</v>
      </c>
      <c r="J45" s="38">
        <v>0.23799999999999999</v>
      </c>
      <c r="K45" s="39" t="s">
        <v>39</v>
      </c>
      <c r="L45" s="37">
        <v>52</v>
      </c>
      <c r="M45" s="37">
        <f t="shared" ref="M45" si="20">L45*G45</f>
        <v>301.59999999999997</v>
      </c>
      <c r="N45" s="40">
        <f t="shared" ref="N45" si="21">M45*I45</f>
        <v>301.29839999999996</v>
      </c>
      <c r="O45" s="40">
        <f t="shared" ref="O45" si="22">M45*J45</f>
        <v>71.780799999999985</v>
      </c>
      <c r="P45" s="41">
        <f t="shared" ref="P45" si="23">($P$25*N45)+($P$26*O45)</f>
        <v>1774.9612399999999</v>
      </c>
      <c r="Q45" s="12"/>
      <c r="R45" s="638"/>
      <c r="S45" s="639"/>
      <c r="T45" s="655"/>
      <c r="U45" s="630"/>
    </row>
    <row r="46" spans="2:21" ht="57.75" customHeight="1" x14ac:dyDescent="0.25">
      <c r="B46" s="32">
        <f t="shared" si="7"/>
        <v>16</v>
      </c>
      <c r="C46" s="33" t="s">
        <v>224</v>
      </c>
      <c r="D46" s="34">
        <v>21825</v>
      </c>
      <c r="E46" s="35" t="s">
        <v>45</v>
      </c>
      <c r="F46" s="36"/>
      <c r="G46" s="37">
        <v>6.4</v>
      </c>
      <c r="H46" s="36" t="s">
        <v>5</v>
      </c>
      <c r="I46" s="38">
        <v>0.999</v>
      </c>
      <c r="J46" s="38">
        <v>0.23799999999999999</v>
      </c>
      <c r="K46" s="39" t="s">
        <v>39</v>
      </c>
      <c r="L46" s="37">
        <v>85</v>
      </c>
      <c r="M46" s="37">
        <f t="shared" si="8"/>
        <v>544</v>
      </c>
      <c r="N46" s="40">
        <f t="shared" si="9"/>
        <v>543.45600000000002</v>
      </c>
      <c r="O46" s="40">
        <f t="shared" si="10"/>
        <v>129.47199999999998</v>
      </c>
      <c r="P46" s="41">
        <f t="shared" si="11"/>
        <v>3201.5216000000005</v>
      </c>
      <c r="Q46" s="12"/>
      <c r="R46" s="638"/>
      <c r="S46" s="639"/>
      <c r="T46" s="653"/>
      <c r="U46" s="631"/>
    </row>
    <row r="47" spans="2:21" ht="57.75" customHeight="1" x14ac:dyDescent="0.25">
      <c r="B47" s="32">
        <f t="shared" si="7"/>
        <v>17</v>
      </c>
      <c r="C47" s="33" t="s">
        <v>225</v>
      </c>
      <c r="D47" s="34" t="s">
        <v>124</v>
      </c>
      <c r="E47" s="35" t="s">
        <v>125</v>
      </c>
      <c r="F47" s="36"/>
      <c r="G47" s="37">
        <v>4.9000000000000004</v>
      </c>
      <c r="H47" s="36" t="s">
        <v>5</v>
      </c>
      <c r="I47" s="38">
        <v>2.109</v>
      </c>
      <c r="J47" s="38">
        <v>0.70199999999999996</v>
      </c>
      <c r="K47" s="39" t="s">
        <v>39</v>
      </c>
      <c r="L47" s="37">
        <v>112</v>
      </c>
      <c r="M47" s="37">
        <f t="shared" ref="M47:M52" si="24">L47*G47</f>
        <v>548.80000000000007</v>
      </c>
      <c r="N47" s="40">
        <f t="shared" ref="N47:N52" si="25">M47*I47</f>
        <v>1157.4192</v>
      </c>
      <c r="O47" s="40">
        <f t="shared" ref="O47:O52" si="26">M47*J47</f>
        <v>385.25760000000002</v>
      </c>
      <c r="P47" s="41">
        <f t="shared" ref="P47:P52" si="27">($P$25*N47)+($P$26*O47)</f>
        <v>7250.9925600000006</v>
      </c>
      <c r="Q47" s="12"/>
      <c r="R47" s="638">
        <f>+N47+N48+N49</f>
        <v>2711.3303999999998</v>
      </c>
      <c r="S47" s="639">
        <f>(500-$R47)</f>
        <v>-2211.3303999999998</v>
      </c>
      <c r="T47" s="652">
        <f>$S47/$I49/$G49</f>
        <v>-163.83137743006162</v>
      </c>
      <c r="U47" s="629"/>
    </row>
    <row r="48" spans="2:21" ht="57.75" customHeight="1" x14ac:dyDescent="0.25">
      <c r="B48" s="32">
        <f t="shared" si="7"/>
        <v>18</v>
      </c>
      <c r="C48" s="33" t="s">
        <v>226</v>
      </c>
      <c r="D48" s="34" t="s">
        <v>124</v>
      </c>
      <c r="E48" s="35" t="s">
        <v>125</v>
      </c>
      <c r="F48" s="36"/>
      <c r="G48" s="37">
        <v>5.8</v>
      </c>
      <c r="H48" s="36" t="s">
        <v>5</v>
      </c>
      <c r="I48" s="38">
        <v>2.109</v>
      </c>
      <c r="J48" s="38">
        <v>0.70199999999999996</v>
      </c>
      <c r="K48" s="39" t="s">
        <v>39</v>
      </c>
      <c r="L48" s="37">
        <v>52</v>
      </c>
      <c r="M48" s="37">
        <f t="shared" ref="M48" si="28">L48*G48</f>
        <v>301.59999999999997</v>
      </c>
      <c r="N48" s="40">
        <f t="shared" ref="N48" si="29">M48*I48</f>
        <v>636.07439999999997</v>
      </c>
      <c r="O48" s="40">
        <f t="shared" ref="O48" si="30">M48*J48</f>
        <v>211.72319999999996</v>
      </c>
      <c r="P48" s="41">
        <f t="shared" ref="P48" si="31">($P$25*N48)+($P$26*O48)</f>
        <v>3984.8749199999997</v>
      </c>
      <c r="Q48" s="12"/>
      <c r="R48" s="638"/>
      <c r="S48" s="639"/>
      <c r="T48" s="655"/>
      <c r="U48" s="630"/>
    </row>
    <row r="49" spans="2:21" ht="57.75" customHeight="1" x14ac:dyDescent="0.25">
      <c r="B49" s="32">
        <f t="shared" si="7"/>
        <v>19</v>
      </c>
      <c r="C49" s="33" t="s">
        <v>227</v>
      </c>
      <c r="D49" s="34" t="s">
        <v>124</v>
      </c>
      <c r="E49" s="35" t="s">
        <v>125</v>
      </c>
      <c r="F49" s="36"/>
      <c r="G49" s="37">
        <v>6.4</v>
      </c>
      <c r="H49" s="36" t="s">
        <v>5</v>
      </c>
      <c r="I49" s="38">
        <v>2.109</v>
      </c>
      <c r="J49" s="38">
        <v>0.70199999999999996</v>
      </c>
      <c r="K49" s="39" t="s">
        <v>39</v>
      </c>
      <c r="L49" s="37">
        <v>68</v>
      </c>
      <c r="M49" s="37">
        <f t="shared" si="24"/>
        <v>435.20000000000005</v>
      </c>
      <c r="N49" s="40">
        <f t="shared" si="25"/>
        <v>917.83680000000004</v>
      </c>
      <c r="O49" s="40">
        <f t="shared" si="26"/>
        <v>305.5104</v>
      </c>
      <c r="P49" s="41">
        <f t="shared" si="27"/>
        <v>5750.0582400000003</v>
      </c>
      <c r="Q49" s="12"/>
      <c r="R49" s="638"/>
      <c r="S49" s="639"/>
      <c r="T49" s="653"/>
      <c r="U49" s="631"/>
    </row>
    <row r="50" spans="2:21" ht="57.75" customHeight="1" x14ac:dyDescent="0.25">
      <c r="B50" s="32">
        <f t="shared" si="7"/>
        <v>20</v>
      </c>
      <c r="C50" s="33" t="s">
        <v>225</v>
      </c>
      <c r="D50" s="34" t="s">
        <v>126</v>
      </c>
      <c r="E50" s="35" t="s">
        <v>127</v>
      </c>
      <c r="F50" s="36"/>
      <c r="G50" s="37">
        <v>4.9000000000000004</v>
      </c>
      <c r="H50" s="36" t="s">
        <v>5</v>
      </c>
      <c r="I50" s="38">
        <v>0.88800000000000001</v>
      </c>
      <c r="J50" s="38">
        <v>0.34</v>
      </c>
      <c r="K50" s="39" t="s">
        <v>39</v>
      </c>
      <c r="L50" s="37">
        <v>112</v>
      </c>
      <c r="M50" s="37">
        <f t="shared" si="24"/>
        <v>548.80000000000007</v>
      </c>
      <c r="N50" s="40">
        <f t="shared" si="25"/>
        <v>487.33440000000007</v>
      </c>
      <c r="O50" s="40">
        <f t="shared" si="26"/>
        <v>186.59200000000004</v>
      </c>
      <c r="P50" s="41">
        <f t="shared" si="27"/>
        <v>3149.3436800000009</v>
      </c>
      <c r="Q50" s="12"/>
      <c r="R50" s="638">
        <f>+N50+N51+N52</f>
        <v>1141.6128000000001</v>
      </c>
      <c r="S50" s="639">
        <f>(500-$R50)</f>
        <v>-641.61280000000011</v>
      </c>
      <c r="T50" s="652">
        <f>$S50/$I52/$G52</f>
        <v>-112.89639639639641</v>
      </c>
      <c r="U50" s="629"/>
    </row>
    <row r="51" spans="2:21" ht="57.75" customHeight="1" x14ac:dyDescent="0.25">
      <c r="B51" s="32">
        <f t="shared" si="7"/>
        <v>21</v>
      </c>
      <c r="C51" s="33" t="s">
        <v>226</v>
      </c>
      <c r="D51" s="34" t="s">
        <v>126</v>
      </c>
      <c r="E51" s="35" t="s">
        <v>127</v>
      </c>
      <c r="F51" s="36"/>
      <c r="G51" s="37">
        <v>5.8</v>
      </c>
      <c r="H51" s="36" t="s">
        <v>5</v>
      </c>
      <c r="I51" s="38">
        <v>0.88800000000000001</v>
      </c>
      <c r="J51" s="38">
        <v>0.34</v>
      </c>
      <c r="K51" s="39" t="s">
        <v>39</v>
      </c>
      <c r="L51" s="37">
        <v>52</v>
      </c>
      <c r="M51" s="37">
        <f t="shared" ref="M51" si="32">L51*G51</f>
        <v>301.59999999999997</v>
      </c>
      <c r="N51" s="40">
        <f t="shared" ref="N51" si="33">M51*I51</f>
        <v>267.82079999999996</v>
      </c>
      <c r="O51" s="40">
        <f t="shared" ref="O51" si="34">M51*J51</f>
        <v>102.544</v>
      </c>
      <c r="P51" s="41">
        <f t="shared" ref="P51" si="35">($P$25*N51)+($P$26*O51)</f>
        <v>1730.7617599999999</v>
      </c>
      <c r="Q51" s="12"/>
      <c r="R51" s="638"/>
      <c r="S51" s="639"/>
      <c r="T51" s="655"/>
      <c r="U51" s="630"/>
    </row>
    <row r="52" spans="2:21" ht="57.75" customHeight="1" x14ac:dyDescent="0.25">
      <c r="B52" s="32">
        <f t="shared" si="7"/>
        <v>22</v>
      </c>
      <c r="C52" s="33" t="s">
        <v>227</v>
      </c>
      <c r="D52" s="34" t="s">
        <v>126</v>
      </c>
      <c r="E52" s="35" t="s">
        <v>127</v>
      </c>
      <c r="F52" s="36"/>
      <c r="G52" s="37">
        <v>6.4</v>
      </c>
      <c r="H52" s="36" t="s">
        <v>5</v>
      </c>
      <c r="I52" s="38">
        <v>0.88800000000000001</v>
      </c>
      <c r="J52" s="38">
        <v>0.34</v>
      </c>
      <c r="K52" s="39" t="s">
        <v>39</v>
      </c>
      <c r="L52" s="37">
        <v>68</v>
      </c>
      <c r="M52" s="37">
        <f t="shared" si="24"/>
        <v>435.20000000000005</v>
      </c>
      <c r="N52" s="40">
        <f t="shared" si="25"/>
        <v>386.45760000000007</v>
      </c>
      <c r="O52" s="40">
        <f t="shared" si="26"/>
        <v>147.96800000000002</v>
      </c>
      <c r="P52" s="41">
        <f t="shared" si="27"/>
        <v>2497.4387200000006</v>
      </c>
      <c r="Q52" s="12"/>
      <c r="R52" s="638"/>
      <c r="S52" s="639"/>
      <c r="T52" s="653"/>
      <c r="U52" s="631"/>
    </row>
    <row r="53" spans="2:21" ht="57.75" customHeight="1" x14ac:dyDescent="0.25">
      <c r="B53" s="32">
        <f t="shared" si="7"/>
        <v>23</v>
      </c>
      <c r="C53" s="33" t="s">
        <v>228</v>
      </c>
      <c r="D53" s="34" t="s">
        <v>46</v>
      </c>
      <c r="E53" s="35" t="s">
        <v>47</v>
      </c>
      <c r="F53" s="36"/>
      <c r="G53" s="37">
        <v>4.9000000000000004</v>
      </c>
      <c r="H53" s="36" t="s">
        <v>5</v>
      </c>
      <c r="I53" s="38">
        <v>0.91600000000000004</v>
      </c>
      <c r="J53" s="38">
        <v>0.33900000000000002</v>
      </c>
      <c r="K53" s="39" t="s">
        <v>39</v>
      </c>
      <c r="L53" s="37">
        <v>405</v>
      </c>
      <c r="M53" s="37">
        <f t="shared" si="8"/>
        <v>1984.5000000000002</v>
      </c>
      <c r="N53" s="40">
        <f t="shared" si="9"/>
        <v>1817.8020000000004</v>
      </c>
      <c r="O53" s="40">
        <f t="shared" si="10"/>
        <v>672.74550000000011</v>
      </c>
      <c r="P53" s="41">
        <f t="shared" si="11"/>
        <v>11655.464625000002</v>
      </c>
      <c r="Q53" s="12"/>
      <c r="R53" s="638">
        <f>+N53+N54+N55</f>
        <v>2592.3716000000004</v>
      </c>
      <c r="S53" s="639">
        <f>(500-$R53)</f>
        <v>-2092.3716000000004</v>
      </c>
      <c r="T53" s="652">
        <f>$S53/$I55/$G55</f>
        <v>-356.91382368995636</v>
      </c>
      <c r="U53" s="629"/>
    </row>
    <row r="54" spans="2:21" ht="57.75" customHeight="1" x14ac:dyDescent="0.25">
      <c r="B54" s="32">
        <f t="shared" si="7"/>
        <v>24</v>
      </c>
      <c r="C54" s="33" t="s">
        <v>226</v>
      </c>
      <c r="D54" s="34" t="s">
        <v>46</v>
      </c>
      <c r="E54" s="35" t="s">
        <v>47</v>
      </c>
      <c r="F54" s="36"/>
      <c r="G54" s="37">
        <v>5.8</v>
      </c>
      <c r="H54" s="36" t="s">
        <v>5</v>
      </c>
      <c r="I54" s="38">
        <v>0.91600000000000004</v>
      </c>
      <c r="J54" s="38">
        <v>0.33900000000000002</v>
      </c>
      <c r="K54" s="39" t="s">
        <v>39</v>
      </c>
      <c r="L54" s="37">
        <v>52</v>
      </c>
      <c r="M54" s="37">
        <f t="shared" si="8"/>
        <v>301.59999999999997</v>
      </c>
      <c r="N54" s="40">
        <f t="shared" si="9"/>
        <v>276.26560000000001</v>
      </c>
      <c r="O54" s="40">
        <f t="shared" si="10"/>
        <v>102.24239999999999</v>
      </c>
      <c r="P54" s="41">
        <f t="shared" si="11"/>
        <v>1771.3722</v>
      </c>
      <c r="Q54" s="12"/>
      <c r="R54" s="638"/>
      <c r="S54" s="639"/>
      <c r="T54" s="655"/>
      <c r="U54" s="630"/>
    </row>
    <row r="55" spans="2:21" ht="57.75" customHeight="1" x14ac:dyDescent="0.25">
      <c r="B55" s="32">
        <f t="shared" si="7"/>
        <v>25</v>
      </c>
      <c r="C55" s="33" t="s">
        <v>229</v>
      </c>
      <c r="D55" s="34" t="s">
        <v>46</v>
      </c>
      <c r="E55" s="35" t="s">
        <v>47</v>
      </c>
      <c r="F55" s="36"/>
      <c r="G55" s="37">
        <v>6.4</v>
      </c>
      <c r="H55" s="36" t="s">
        <v>5</v>
      </c>
      <c r="I55" s="38">
        <v>0.91600000000000004</v>
      </c>
      <c r="J55" s="38">
        <v>0.33900000000000002</v>
      </c>
      <c r="K55" s="39" t="s">
        <v>39</v>
      </c>
      <c r="L55" s="37">
        <v>85</v>
      </c>
      <c r="M55" s="37">
        <f t="shared" si="8"/>
        <v>544</v>
      </c>
      <c r="N55" s="40">
        <f t="shared" si="9"/>
        <v>498.30400000000003</v>
      </c>
      <c r="O55" s="40">
        <f t="shared" si="10"/>
        <v>184.41600000000003</v>
      </c>
      <c r="P55" s="41">
        <f t="shared" si="11"/>
        <v>3195.0480000000002</v>
      </c>
      <c r="Q55" s="12"/>
      <c r="R55" s="638"/>
      <c r="S55" s="639"/>
      <c r="T55" s="653"/>
      <c r="U55" s="631"/>
    </row>
    <row r="56" spans="2:21" ht="57.75" customHeight="1" x14ac:dyDescent="0.25">
      <c r="B56" s="32">
        <f t="shared" si="7"/>
        <v>26</v>
      </c>
      <c r="C56" s="33" t="s">
        <v>228</v>
      </c>
      <c r="D56" s="34" t="s">
        <v>48</v>
      </c>
      <c r="E56" s="35" t="s">
        <v>49</v>
      </c>
      <c r="F56" s="36"/>
      <c r="G56" s="37">
        <v>4.9000000000000004</v>
      </c>
      <c r="H56" s="36" t="s">
        <v>5</v>
      </c>
      <c r="I56" s="38">
        <v>0.81</v>
      </c>
      <c r="J56" s="38">
        <v>0.28999999999999998</v>
      </c>
      <c r="K56" s="39" t="s">
        <v>39</v>
      </c>
      <c r="L56" s="37">
        <v>405</v>
      </c>
      <c r="M56" s="37">
        <f t="shared" si="8"/>
        <v>1984.5000000000002</v>
      </c>
      <c r="N56" s="40">
        <f t="shared" si="9"/>
        <v>1607.4450000000004</v>
      </c>
      <c r="O56" s="40">
        <f t="shared" si="10"/>
        <v>575.505</v>
      </c>
      <c r="P56" s="41">
        <f t="shared" si="11"/>
        <v>10230.097500000002</v>
      </c>
      <c r="Q56" s="12"/>
      <c r="R56" s="638">
        <f>+N56+N57+N58</f>
        <v>2292.3810000000003</v>
      </c>
      <c r="S56" s="639">
        <f>(500-$R56)</f>
        <v>-1792.3810000000003</v>
      </c>
      <c r="T56" s="652">
        <f>$S56/$I58/$G58</f>
        <v>-345.75250771604942</v>
      </c>
      <c r="U56" s="629"/>
    </row>
    <row r="57" spans="2:21" ht="57.75" customHeight="1" x14ac:dyDescent="0.25">
      <c r="B57" s="32">
        <f t="shared" si="7"/>
        <v>27</v>
      </c>
      <c r="C57" s="33" t="s">
        <v>226</v>
      </c>
      <c r="D57" s="34" t="s">
        <v>48</v>
      </c>
      <c r="E57" s="35" t="s">
        <v>49</v>
      </c>
      <c r="F57" s="36"/>
      <c r="G57" s="37">
        <v>5.8</v>
      </c>
      <c r="H57" s="36" t="s">
        <v>5</v>
      </c>
      <c r="I57" s="38">
        <v>0.81</v>
      </c>
      <c r="J57" s="38">
        <v>0.28999999999999998</v>
      </c>
      <c r="K57" s="39" t="s">
        <v>39</v>
      </c>
      <c r="L57" s="37">
        <v>52</v>
      </c>
      <c r="M57" s="37">
        <f t="shared" si="8"/>
        <v>301.59999999999997</v>
      </c>
      <c r="N57" s="40">
        <f t="shared" si="9"/>
        <v>244.29599999999999</v>
      </c>
      <c r="O57" s="40">
        <f t="shared" si="10"/>
        <v>87.463999999999984</v>
      </c>
      <c r="P57" s="41">
        <f t="shared" si="11"/>
        <v>1554.748</v>
      </c>
      <c r="Q57" s="12"/>
      <c r="R57" s="638"/>
      <c r="S57" s="639"/>
      <c r="T57" s="655"/>
      <c r="U57" s="630"/>
    </row>
    <row r="58" spans="2:21" ht="57.75" customHeight="1" x14ac:dyDescent="0.25">
      <c r="B58" s="32">
        <f t="shared" si="7"/>
        <v>28</v>
      </c>
      <c r="C58" s="33" t="s">
        <v>229</v>
      </c>
      <c r="D58" s="34" t="s">
        <v>48</v>
      </c>
      <c r="E58" s="35" t="s">
        <v>49</v>
      </c>
      <c r="F58" s="36"/>
      <c r="G58" s="37">
        <v>6.4</v>
      </c>
      <c r="H58" s="36" t="s">
        <v>5</v>
      </c>
      <c r="I58" s="38">
        <v>0.81</v>
      </c>
      <c r="J58" s="38">
        <v>0.28999999999999998</v>
      </c>
      <c r="K58" s="39" t="s">
        <v>39</v>
      </c>
      <c r="L58" s="37">
        <v>85</v>
      </c>
      <c r="M58" s="37">
        <f t="shared" si="8"/>
        <v>544</v>
      </c>
      <c r="N58" s="40">
        <f t="shared" si="9"/>
        <v>440.64000000000004</v>
      </c>
      <c r="O58" s="40">
        <f t="shared" si="10"/>
        <v>157.76</v>
      </c>
      <c r="P58" s="41">
        <f t="shared" si="11"/>
        <v>2804.32</v>
      </c>
      <c r="Q58" s="12"/>
      <c r="R58" s="638"/>
      <c r="S58" s="639"/>
      <c r="T58" s="653"/>
      <c r="U58" s="631"/>
    </row>
    <row r="59" spans="2:21" ht="57.75" customHeight="1" x14ac:dyDescent="0.25">
      <c r="B59" s="32">
        <f t="shared" si="7"/>
        <v>29</v>
      </c>
      <c r="C59" s="33" t="s">
        <v>230</v>
      </c>
      <c r="D59" s="34" t="s">
        <v>50</v>
      </c>
      <c r="E59" s="35" t="s">
        <v>51</v>
      </c>
      <c r="F59" s="36"/>
      <c r="G59" s="37">
        <v>4.9000000000000004</v>
      </c>
      <c r="H59" s="36" t="s">
        <v>5</v>
      </c>
      <c r="I59" s="38">
        <v>1.7110000000000001</v>
      </c>
      <c r="J59" s="38">
        <v>0.34200000000000003</v>
      </c>
      <c r="K59" s="39" t="s">
        <v>39</v>
      </c>
      <c r="L59" s="37">
        <v>43</v>
      </c>
      <c r="M59" s="37">
        <f t="shared" ref="M59:M62" si="36">L59*G59</f>
        <v>210.70000000000002</v>
      </c>
      <c r="N59" s="40">
        <f t="shared" ref="N59:N62" si="37">M59*I59</f>
        <v>360.50770000000006</v>
      </c>
      <c r="O59" s="40">
        <f t="shared" ref="O59:O62" si="38">M59*J59</f>
        <v>72.059400000000011</v>
      </c>
      <c r="P59" s="41">
        <f t="shared" ref="P59:P62" si="39">($P$25*N59)+($P$26*O59)</f>
        <v>2069.1477450000007</v>
      </c>
      <c r="Q59" s="12"/>
      <c r="R59" s="638">
        <f>+N59+N60</f>
        <v>466.58970000000005</v>
      </c>
      <c r="S59" s="639">
        <f t="shared" ref="S59" si="40">(500-$R59)</f>
        <v>33.41029999999995</v>
      </c>
      <c r="T59" s="652">
        <f>$S59/$I60/$G60</f>
        <v>3.1494787051526125</v>
      </c>
      <c r="U59" s="657" t="s">
        <v>138</v>
      </c>
    </row>
    <row r="60" spans="2:21" ht="57.75" customHeight="1" x14ac:dyDescent="0.25">
      <c r="B60" s="32">
        <f t="shared" si="7"/>
        <v>30</v>
      </c>
      <c r="C60" s="33" t="s">
        <v>231</v>
      </c>
      <c r="D60" s="34" t="s">
        <v>50</v>
      </c>
      <c r="E60" s="35" t="s">
        <v>51</v>
      </c>
      <c r="F60" s="36"/>
      <c r="G60" s="37">
        <v>6.2</v>
      </c>
      <c r="H60" s="36" t="s">
        <v>5</v>
      </c>
      <c r="I60" s="38">
        <v>1.7110000000000001</v>
      </c>
      <c r="J60" s="38">
        <v>0.34200000000000003</v>
      </c>
      <c r="K60" s="39" t="s">
        <v>39</v>
      </c>
      <c r="L60" s="37">
        <v>10</v>
      </c>
      <c r="M60" s="37">
        <f t="shared" si="36"/>
        <v>62</v>
      </c>
      <c r="N60" s="40">
        <f t="shared" si="37"/>
        <v>106.08200000000001</v>
      </c>
      <c r="O60" s="40">
        <f t="shared" si="38"/>
        <v>21.204000000000001</v>
      </c>
      <c r="P60" s="41">
        <f t="shared" si="39"/>
        <v>608.86170000000004</v>
      </c>
      <c r="Q60" s="12"/>
      <c r="R60" s="638"/>
      <c r="S60" s="639"/>
      <c r="T60" s="653"/>
      <c r="U60" s="657"/>
    </row>
    <row r="61" spans="2:21" ht="57.75" customHeight="1" x14ac:dyDescent="0.25">
      <c r="B61" s="32">
        <f t="shared" si="7"/>
        <v>31</v>
      </c>
      <c r="C61" s="33" t="s">
        <v>232</v>
      </c>
      <c r="D61" s="34" t="s">
        <v>114</v>
      </c>
      <c r="E61" s="35" t="s">
        <v>115</v>
      </c>
      <c r="F61" s="36"/>
      <c r="G61" s="37">
        <v>4.9000000000000004</v>
      </c>
      <c r="H61" s="36" t="s">
        <v>5</v>
      </c>
      <c r="I61" s="38">
        <v>0.83499999999999996</v>
      </c>
      <c r="J61" s="38">
        <v>0.21299999999999999</v>
      </c>
      <c r="K61" s="39" t="s">
        <v>39</v>
      </c>
      <c r="L61" s="37">
        <v>43</v>
      </c>
      <c r="M61" s="37">
        <f t="shared" si="36"/>
        <v>210.70000000000002</v>
      </c>
      <c r="N61" s="40">
        <f t="shared" si="37"/>
        <v>175.93450000000001</v>
      </c>
      <c r="O61" s="40">
        <f t="shared" si="38"/>
        <v>44.879100000000001</v>
      </c>
      <c r="P61" s="41">
        <f t="shared" si="39"/>
        <v>1048.14822</v>
      </c>
      <c r="Q61" s="12"/>
      <c r="R61" s="638">
        <f>+N61+N62</f>
        <v>227.7045</v>
      </c>
      <c r="S61" s="639">
        <f t="shared" ref="S61" si="41">(500-$R61)</f>
        <v>272.2955</v>
      </c>
      <c r="T61" s="652">
        <f>$S61/$I62/$G62</f>
        <v>52.597160517674325</v>
      </c>
      <c r="U61" s="657" t="s">
        <v>138</v>
      </c>
    </row>
    <row r="62" spans="2:21" ht="57.75" customHeight="1" x14ac:dyDescent="0.25">
      <c r="B62" s="32">
        <f t="shared" si="7"/>
        <v>32</v>
      </c>
      <c r="C62" s="33" t="s">
        <v>233</v>
      </c>
      <c r="D62" s="34" t="s">
        <v>114</v>
      </c>
      <c r="E62" s="35" t="s">
        <v>115</v>
      </c>
      <c r="F62" s="36"/>
      <c r="G62" s="37">
        <v>6.2</v>
      </c>
      <c r="H62" s="36" t="s">
        <v>5</v>
      </c>
      <c r="I62" s="38">
        <v>0.83499999999999996</v>
      </c>
      <c r="J62" s="38">
        <v>0.21299999999999999</v>
      </c>
      <c r="K62" s="39" t="s">
        <v>39</v>
      </c>
      <c r="L62" s="37">
        <v>10</v>
      </c>
      <c r="M62" s="37">
        <f t="shared" si="36"/>
        <v>62</v>
      </c>
      <c r="N62" s="40">
        <f t="shared" si="37"/>
        <v>51.769999999999996</v>
      </c>
      <c r="O62" s="40">
        <f t="shared" si="38"/>
        <v>13.206</v>
      </c>
      <c r="P62" s="41">
        <f t="shared" si="39"/>
        <v>308.42520000000002</v>
      </c>
      <c r="Q62" s="12"/>
      <c r="R62" s="638"/>
      <c r="S62" s="639"/>
      <c r="T62" s="653"/>
      <c r="U62" s="657"/>
    </row>
    <row r="63" spans="2:21" s="297" customFormat="1" ht="57.75" customHeight="1" x14ac:dyDescent="0.25">
      <c r="B63" s="286">
        <f t="shared" si="7"/>
        <v>33</v>
      </c>
      <c r="C63" s="287"/>
      <c r="D63" s="288" t="s">
        <v>52</v>
      </c>
      <c r="E63" s="289" t="s">
        <v>53</v>
      </c>
      <c r="F63" s="290"/>
      <c r="G63" s="291">
        <v>5</v>
      </c>
      <c r="H63" s="290" t="s">
        <v>5</v>
      </c>
      <c r="I63" s="292">
        <v>0.97399999999999998</v>
      </c>
      <c r="J63" s="292">
        <v>0.216</v>
      </c>
      <c r="K63" s="293" t="s">
        <v>39</v>
      </c>
      <c r="L63" s="291">
        <v>6</v>
      </c>
      <c r="M63" s="291">
        <f t="shared" ref="M63:M64" si="42">L63*G63</f>
        <v>30</v>
      </c>
      <c r="N63" s="294">
        <f t="shared" ref="N63:N64" si="43">M63*I63</f>
        <v>29.22</v>
      </c>
      <c r="O63" s="294">
        <f t="shared" ref="O63:O64" si="44">M63*J63</f>
        <v>6.4799999999999995</v>
      </c>
      <c r="P63" s="295">
        <f t="shared" ref="P63:P64" si="45">($P$25*N63)+($P$26*O63)</f>
        <v>170.23500000000001</v>
      </c>
      <c r="Q63" s="296"/>
      <c r="R63" s="298">
        <f t="shared" ref="R63" si="46">+N63</f>
        <v>29.22</v>
      </c>
      <c r="S63" s="299">
        <f t="shared" ref="S63:S64" si="47">(500-$R63)</f>
        <v>470.78</v>
      </c>
      <c r="T63" s="300">
        <f t="shared" ref="T63:T64" si="48">$S63/$I63/$G63</f>
        <v>96.669404517453785</v>
      </c>
      <c r="U63" s="301" t="s">
        <v>139</v>
      </c>
    </row>
    <row r="64" spans="2:21" s="297" customFormat="1" ht="57.75" customHeight="1" x14ac:dyDescent="0.25">
      <c r="B64" s="286">
        <f t="shared" si="7"/>
        <v>34</v>
      </c>
      <c r="C64" s="287"/>
      <c r="D64" s="288" t="s">
        <v>54</v>
      </c>
      <c r="E64" s="289" t="s">
        <v>55</v>
      </c>
      <c r="F64" s="290"/>
      <c r="G64" s="291">
        <v>5</v>
      </c>
      <c r="H64" s="290" t="s">
        <v>5</v>
      </c>
      <c r="I64" s="292">
        <v>1.2410000000000001</v>
      </c>
      <c r="J64" s="292">
        <v>0.32674979999999998</v>
      </c>
      <c r="K64" s="293" t="s">
        <v>39</v>
      </c>
      <c r="L64" s="291">
        <v>6</v>
      </c>
      <c r="M64" s="291">
        <f t="shared" si="42"/>
        <v>30</v>
      </c>
      <c r="N64" s="294">
        <f t="shared" si="43"/>
        <v>37.230000000000004</v>
      </c>
      <c r="O64" s="294">
        <f t="shared" si="44"/>
        <v>9.8024939999999994</v>
      </c>
      <c r="P64" s="295">
        <f t="shared" si="45"/>
        <v>223.00835130000002</v>
      </c>
      <c r="Q64" s="296"/>
      <c r="R64" s="298">
        <f t="shared" ref="R64" si="49">+N64</f>
        <v>37.230000000000004</v>
      </c>
      <c r="S64" s="299">
        <f t="shared" si="47"/>
        <v>462.77</v>
      </c>
      <c r="T64" s="300">
        <f t="shared" si="48"/>
        <v>74.580177276390003</v>
      </c>
      <c r="U64" s="301" t="s">
        <v>139</v>
      </c>
    </row>
    <row r="65" spans="2:21" ht="13.5" customHeight="1" thickBot="1" x14ac:dyDescent="0.3">
      <c r="B65" s="43"/>
      <c r="C65" s="44"/>
      <c r="D65" s="43"/>
      <c r="E65" s="43"/>
      <c r="F65" s="45"/>
      <c r="G65" s="46"/>
      <c r="H65" s="43"/>
      <c r="I65" s="47"/>
      <c r="J65" s="48"/>
      <c r="K65" s="47"/>
      <c r="L65" s="49"/>
      <c r="M65" s="46"/>
      <c r="N65" s="50"/>
      <c r="O65" s="50"/>
      <c r="P65" s="50"/>
      <c r="Q65" s="42"/>
      <c r="R65" s="283"/>
      <c r="S65" s="284"/>
      <c r="T65" s="284"/>
      <c r="U65" s="285"/>
    </row>
    <row r="66" spans="2:21" ht="13.5" customHeight="1" thickTop="1" thickBot="1" x14ac:dyDescent="0.3">
      <c r="B66" s="19"/>
      <c r="C66" s="8"/>
      <c r="D66" s="51"/>
      <c r="E66" s="52"/>
      <c r="F66" s="12"/>
      <c r="G66" s="12"/>
      <c r="H66" s="12"/>
      <c r="I66" s="53"/>
      <c r="J66" s="53"/>
      <c r="K66" s="54"/>
      <c r="L66" s="54"/>
      <c r="M66" s="54"/>
      <c r="N66" s="54"/>
      <c r="O66" s="55"/>
      <c r="P66" s="56"/>
      <c r="Q66" s="56"/>
      <c r="R66" s="19"/>
      <c r="S66" s="19"/>
      <c r="T66" s="19"/>
    </row>
    <row r="67" spans="2:21" ht="13.5" customHeight="1" x14ac:dyDescent="0.25">
      <c r="B67" s="19"/>
      <c r="C67" s="57"/>
      <c r="D67" s="58"/>
      <c r="E67" s="52"/>
      <c r="G67" s="12"/>
      <c r="H67" s="12"/>
      <c r="I67" s="53"/>
      <c r="J67" s="59" t="s">
        <v>98</v>
      </c>
      <c r="K67" s="60"/>
      <c r="L67" s="61">
        <f>SUM(L30:L66)</f>
        <v>4048</v>
      </c>
      <c r="M67" s="62">
        <f>SUM(M30:M66)</f>
        <v>19772.980000000003</v>
      </c>
      <c r="N67" s="62">
        <f>SUM(N30:N66)</f>
        <v>22934.009419999995</v>
      </c>
      <c r="O67" s="63">
        <f>SUM(O30:O66)</f>
        <v>5314.9079899999997</v>
      </c>
      <c r="P67" s="64">
        <f>SUM(P30:P66)</f>
        <v>134517.23318950002</v>
      </c>
      <c r="Q67" s="65"/>
      <c r="R67" s="19"/>
      <c r="S67" s="19"/>
      <c r="T67" s="19"/>
    </row>
    <row r="68" spans="2:21" ht="13.5" customHeight="1" x14ac:dyDescent="0.25">
      <c r="B68" s="66"/>
      <c r="C68" s="19"/>
      <c r="D68" s="67" t="s">
        <v>99</v>
      </c>
      <c r="E68" s="68" t="s">
        <v>100</v>
      </c>
      <c r="F68" s="69" t="s">
        <v>33</v>
      </c>
      <c r="G68" s="12"/>
      <c r="H68" s="12"/>
      <c r="I68" s="70"/>
      <c r="J68" s="53"/>
      <c r="K68" s="54"/>
      <c r="L68" s="54"/>
      <c r="M68" s="54"/>
      <c r="N68" s="54"/>
      <c r="O68" s="12"/>
      <c r="P68" s="56"/>
      <c r="Q68" s="56"/>
      <c r="R68" s="19"/>
      <c r="S68" s="19"/>
      <c r="T68" s="19"/>
    </row>
    <row r="69" spans="2:21" ht="13.5" customHeight="1" x14ac:dyDescent="0.25">
      <c r="B69" s="71" t="s">
        <v>101</v>
      </c>
      <c r="C69" s="71" t="s">
        <v>60</v>
      </c>
      <c r="D69" s="71" t="s">
        <v>102</v>
      </c>
      <c r="E69" s="71" t="s">
        <v>103</v>
      </c>
      <c r="F69" s="72">
        <v>45684</v>
      </c>
      <c r="G69" s="12"/>
      <c r="H69" s="15"/>
      <c r="I69" s="73"/>
      <c r="J69" s="21"/>
      <c r="K69" s="73"/>
      <c r="L69" s="21"/>
      <c r="M69" s="21"/>
      <c r="N69" s="21"/>
      <c r="O69" s="20" t="s">
        <v>104</v>
      </c>
      <c r="P69" s="74">
        <f>(N67*P25)+(O67*P26)</f>
        <v>134517.23318949997</v>
      </c>
      <c r="Q69" s="74"/>
      <c r="R69" s="19"/>
      <c r="S69" s="19"/>
      <c r="T69" s="19"/>
    </row>
    <row r="70" spans="2:21" ht="13.5" customHeight="1" x14ac:dyDescent="0.25">
      <c r="B70" s="75">
        <v>1</v>
      </c>
      <c r="C70" s="76" t="s">
        <v>105</v>
      </c>
      <c r="D70" s="77">
        <v>115000</v>
      </c>
      <c r="E70" s="77">
        <v>28000</v>
      </c>
      <c r="H70" s="12"/>
      <c r="I70" s="73"/>
      <c r="J70" s="21"/>
      <c r="K70" s="73"/>
      <c r="L70" s="21"/>
      <c r="M70" s="21"/>
      <c r="N70" s="21"/>
      <c r="O70" s="78" t="s">
        <v>106</v>
      </c>
      <c r="P70" s="79">
        <f>+P69*1</f>
        <v>134517.23318949997</v>
      </c>
      <c r="Q70" s="74"/>
      <c r="R70" s="19"/>
      <c r="S70" s="19"/>
      <c r="T70" s="19"/>
    </row>
    <row r="71" spans="2:21" ht="13.5" customHeight="1" x14ac:dyDescent="0.25">
      <c r="B71" s="32">
        <v>2</v>
      </c>
      <c r="C71" s="32">
        <v>54</v>
      </c>
      <c r="D71" s="80">
        <v>-12748.35</v>
      </c>
      <c r="E71" s="81">
        <v>-2690.6</v>
      </c>
      <c r="H71" s="12"/>
      <c r="I71" s="73"/>
      <c r="J71" s="21"/>
      <c r="K71" s="73"/>
      <c r="L71" s="21"/>
      <c r="M71" s="21"/>
      <c r="N71" s="21"/>
      <c r="O71" s="20" t="s">
        <v>96</v>
      </c>
      <c r="P71" s="74">
        <f>+P69-P70</f>
        <v>0</v>
      </c>
      <c r="Q71" s="74"/>
      <c r="R71" s="19"/>
      <c r="S71" s="19"/>
      <c r="T71" s="19"/>
    </row>
    <row r="72" spans="2:21" ht="13.5" customHeight="1" x14ac:dyDescent="0.25">
      <c r="B72" s="32">
        <v>3</v>
      </c>
      <c r="C72" s="32">
        <v>55</v>
      </c>
      <c r="D72" s="80">
        <v>-1902.77</v>
      </c>
      <c r="E72" s="81">
        <v>-562.97</v>
      </c>
      <c r="H72" s="82"/>
      <c r="I72" s="73"/>
      <c r="J72" s="83" t="s">
        <v>57</v>
      </c>
      <c r="K72" s="73"/>
      <c r="L72" s="21"/>
      <c r="M72" s="21"/>
      <c r="N72" s="21"/>
      <c r="O72" s="84" t="s">
        <v>107</v>
      </c>
      <c r="P72" s="85">
        <f>+P71*0.16</f>
        <v>0</v>
      </c>
      <c r="Q72" s="85"/>
      <c r="R72" s="19"/>
      <c r="S72" s="19"/>
      <c r="T72" s="19"/>
    </row>
    <row r="73" spans="2:21" ht="13.5" customHeight="1" x14ac:dyDescent="0.25">
      <c r="B73" s="32">
        <v>4</v>
      </c>
      <c r="C73" s="32">
        <v>63</v>
      </c>
      <c r="D73" s="80">
        <v>-444.93</v>
      </c>
      <c r="E73" s="81">
        <v>-342.25</v>
      </c>
      <c r="H73" s="82"/>
      <c r="I73" s="12"/>
      <c r="J73" s="3" t="s">
        <v>58</v>
      </c>
      <c r="K73" s="73"/>
      <c r="L73" s="21"/>
      <c r="M73" s="21"/>
      <c r="N73" s="21"/>
      <c r="O73" s="84" t="s">
        <v>7</v>
      </c>
      <c r="P73" s="85">
        <f>+P71+P72</f>
        <v>0</v>
      </c>
      <c r="Q73" s="85"/>
      <c r="R73" s="19"/>
      <c r="S73" s="19"/>
      <c r="T73" s="19"/>
    </row>
    <row r="74" spans="2:21" ht="13.5" customHeight="1" x14ac:dyDescent="0.25">
      <c r="B74" s="32">
        <v>5</v>
      </c>
      <c r="C74" s="32">
        <v>75</v>
      </c>
      <c r="D74" s="80">
        <v>-353.79</v>
      </c>
      <c r="E74" s="81">
        <v>-69.61</v>
      </c>
      <c r="H74" s="82"/>
      <c r="I74" s="12"/>
      <c r="J74" s="2" t="s">
        <v>8</v>
      </c>
      <c r="K74" s="73"/>
      <c r="L74" s="21"/>
      <c r="M74" s="21"/>
      <c r="N74" s="21"/>
      <c r="O74" s="20"/>
      <c r="P74" s="74"/>
      <c r="Q74" s="74"/>
      <c r="R74" s="19"/>
      <c r="S74" s="19"/>
      <c r="T74" s="19"/>
    </row>
    <row r="75" spans="2:21" ht="13.5" customHeight="1" x14ac:dyDescent="0.25">
      <c r="B75" s="32">
        <v>6</v>
      </c>
      <c r="C75" s="32" t="s">
        <v>108</v>
      </c>
      <c r="D75" s="80">
        <v>-10418.290000000001</v>
      </c>
      <c r="E75" s="81">
        <v>-2180.73</v>
      </c>
      <c r="H75" s="82"/>
      <c r="I75" s="86"/>
      <c r="J75" s="2" t="s">
        <v>9</v>
      </c>
      <c r="K75" s="73"/>
      <c r="L75" s="21"/>
      <c r="M75" s="21"/>
      <c r="N75" s="21"/>
      <c r="O75" s="84" t="s">
        <v>109</v>
      </c>
      <c r="P75" s="24">
        <f>+P73*20</f>
        <v>0</v>
      </c>
      <c r="Q75" s="24"/>
      <c r="R75" s="19"/>
      <c r="S75" s="19"/>
      <c r="T75" s="19"/>
    </row>
    <row r="76" spans="2:21" ht="13.5" customHeight="1" x14ac:dyDescent="0.25">
      <c r="B76" s="32">
        <v>7</v>
      </c>
      <c r="C76" s="32" t="s">
        <v>110</v>
      </c>
      <c r="D76" s="80">
        <v>-620.26</v>
      </c>
      <c r="E76" s="81">
        <v>-193.97</v>
      </c>
      <c r="H76" s="12"/>
      <c r="I76" s="53"/>
      <c r="J76" s="87" t="s">
        <v>10</v>
      </c>
      <c r="K76" s="12"/>
      <c r="L76" s="21"/>
      <c r="M76" s="21"/>
      <c r="N76" s="21"/>
      <c r="O76" s="12"/>
      <c r="P76" s="21"/>
      <c r="Q76" s="21"/>
      <c r="R76" s="19"/>
      <c r="S76" s="19"/>
      <c r="T76" s="19"/>
    </row>
    <row r="77" spans="2:21" ht="13.5" customHeight="1" x14ac:dyDescent="0.25">
      <c r="B77" s="32">
        <v>8</v>
      </c>
      <c r="C77" s="32" t="s">
        <v>7</v>
      </c>
      <c r="D77" s="80">
        <f>N67</f>
        <v>22934.009419999995</v>
      </c>
      <c r="E77" s="81">
        <f>O67</f>
        <v>5314.9079899999997</v>
      </c>
      <c r="H77" s="12"/>
      <c r="I77" s="53"/>
      <c r="J77" s="15"/>
      <c r="K77" s="12"/>
      <c r="L77" s="21"/>
      <c r="M77" s="21"/>
      <c r="N77" s="21"/>
      <c r="O77" s="12"/>
      <c r="P77" s="21"/>
      <c r="Q77" s="21"/>
      <c r="R77" s="19"/>
      <c r="S77" s="19"/>
      <c r="T77" s="19"/>
    </row>
    <row r="78" spans="2:21" ht="15.75" customHeight="1" x14ac:dyDescent="0.25">
      <c r="B78" s="32">
        <v>9</v>
      </c>
      <c r="C78" s="32"/>
      <c r="D78" s="80"/>
      <c r="E78" s="81"/>
    </row>
    <row r="79" spans="2:21" ht="15.75" customHeight="1" x14ac:dyDescent="0.25">
      <c r="B79" s="88"/>
      <c r="C79" s="88"/>
      <c r="D79" s="89"/>
      <c r="E79" s="90"/>
    </row>
    <row r="80" spans="2:21" ht="15.75" customHeight="1" x14ac:dyDescent="0.25">
      <c r="B80" s="91"/>
      <c r="C80" s="92" t="s">
        <v>112</v>
      </c>
      <c r="D80" s="93">
        <f t="shared" ref="D80:E80" si="50">SUM(D70:D79)</f>
        <v>111445.61942</v>
      </c>
      <c r="E80" s="94">
        <f t="shared" si="50"/>
        <v>27274.777989999999</v>
      </c>
    </row>
    <row r="81" spans="3:3" ht="15.75" customHeight="1" x14ac:dyDescent="0.25">
      <c r="C81" s="8"/>
    </row>
    <row r="82" spans="3:3" ht="15.75" customHeight="1" x14ac:dyDescent="0.25">
      <c r="C82" s="8"/>
    </row>
    <row r="83" spans="3:3" ht="15.75" customHeight="1" x14ac:dyDescent="0.25">
      <c r="C83" s="8"/>
    </row>
    <row r="84" spans="3:3" ht="15.75" customHeight="1" x14ac:dyDescent="0.25">
      <c r="C84" s="8"/>
    </row>
    <row r="85" spans="3:3" ht="15.75" customHeight="1" x14ac:dyDescent="0.25">
      <c r="C85" s="8"/>
    </row>
    <row r="86" spans="3:3" ht="15.75" customHeight="1" x14ac:dyDescent="0.25">
      <c r="C86" s="8"/>
    </row>
    <row r="87" spans="3:3" ht="15.75" customHeight="1" x14ac:dyDescent="0.25">
      <c r="C87" s="8"/>
    </row>
    <row r="88" spans="3:3" ht="15.75" customHeight="1" x14ac:dyDescent="0.25">
      <c r="C88" s="8"/>
    </row>
    <row r="89" spans="3:3" ht="15.75" customHeight="1" x14ac:dyDescent="0.25">
      <c r="C89" s="8"/>
    </row>
    <row r="90" spans="3:3" ht="15.75" customHeight="1" x14ac:dyDescent="0.25">
      <c r="C90" s="8"/>
    </row>
    <row r="91" spans="3:3" ht="15.75" customHeight="1" x14ac:dyDescent="0.25">
      <c r="C91" s="8"/>
    </row>
    <row r="92" spans="3:3" ht="15.75" customHeight="1" x14ac:dyDescent="0.25">
      <c r="C92" s="8"/>
    </row>
    <row r="93" spans="3:3" ht="15.75" customHeight="1" x14ac:dyDescent="0.25">
      <c r="C93" s="8"/>
    </row>
    <row r="94" spans="3:3" ht="15.75" customHeight="1" x14ac:dyDescent="0.25">
      <c r="C94" s="8"/>
    </row>
    <row r="95" spans="3:3" ht="15.75" customHeight="1" x14ac:dyDescent="0.25">
      <c r="C95" s="8"/>
    </row>
    <row r="96" spans="3:3" ht="15.75" customHeight="1" x14ac:dyDescent="0.25">
      <c r="C96" s="8"/>
    </row>
    <row r="97" spans="3:3" ht="15.75" customHeight="1" x14ac:dyDescent="0.25">
      <c r="C97" s="8"/>
    </row>
    <row r="98" spans="3:3" ht="15.75" customHeight="1" x14ac:dyDescent="0.25">
      <c r="C98" s="8"/>
    </row>
    <row r="99" spans="3:3" ht="15.75" customHeight="1" x14ac:dyDescent="0.25">
      <c r="C99" s="8"/>
    </row>
    <row r="100" spans="3:3" ht="15.75" customHeight="1" x14ac:dyDescent="0.25">
      <c r="C100" s="8"/>
    </row>
    <row r="101" spans="3:3" ht="15.75" customHeight="1" x14ac:dyDescent="0.25">
      <c r="C101" s="8"/>
    </row>
    <row r="102" spans="3:3" ht="15.75" customHeight="1" x14ac:dyDescent="0.25">
      <c r="C102" s="8"/>
    </row>
    <row r="103" spans="3:3" ht="15.75" customHeight="1" x14ac:dyDescent="0.25">
      <c r="C103" s="8"/>
    </row>
    <row r="104" spans="3:3" ht="15.75" customHeight="1" x14ac:dyDescent="0.25">
      <c r="C104" s="8"/>
    </row>
    <row r="105" spans="3:3" ht="15.75" customHeight="1" x14ac:dyDescent="0.25">
      <c r="C105" s="8"/>
    </row>
    <row r="106" spans="3:3" ht="15.75" customHeight="1" x14ac:dyDescent="0.25">
      <c r="C106" s="8"/>
    </row>
    <row r="107" spans="3:3" ht="15.75" customHeight="1" x14ac:dyDescent="0.25">
      <c r="C107" s="8"/>
    </row>
    <row r="108" spans="3:3" ht="15.75" customHeight="1" x14ac:dyDescent="0.25">
      <c r="C108" s="8"/>
    </row>
    <row r="109" spans="3:3" ht="15.75" customHeight="1" x14ac:dyDescent="0.25">
      <c r="C109" s="8"/>
    </row>
    <row r="110" spans="3:3" ht="15.75" customHeight="1" x14ac:dyDescent="0.25">
      <c r="C110" s="8"/>
    </row>
    <row r="111" spans="3:3" ht="15.75" customHeight="1" x14ac:dyDescent="0.25">
      <c r="C111" s="8"/>
    </row>
    <row r="112" spans="3:3" ht="15.75" customHeight="1" x14ac:dyDescent="0.25">
      <c r="C112" s="8"/>
    </row>
    <row r="113" spans="3:3" ht="15.75" customHeight="1" x14ac:dyDescent="0.25">
      <c r="C113" s="8"/>
    </row>
    <row r="114" spans="3:3" ht="15.75" customHeight="1" x14ac:dyDescent="0.25">
      <c r="C114" s="8"/>
    </row>
    <row r="115" spans="3:3" ht="15.75" customHeight="1" x14ac:dyDescent="0.25">
      <c r="C115" s="8"/>
    </row>
    <row r="116" spans="3:3" ht="15.75" customHeight="1" x14ac:dyDescent="0.25">
      <c r="C116" s="8"/>
    </row>
    <row r="117" spans="3:3" ht="15.75" customHeight="1" x14ac:dyDescent="0.25">
      <c r="C117" s="8"/>
    </row>
    <row r="118" spans="3:3" ht="15.75" customHeight="1" x14ac:dyDescent="0.25">
      <c r="C118" s="8"/>
    </row>
    <row r="119" spans="3:3" ht="15.75" customHeight="1" x14ac:dyDescent="0.25">
      <c r="C119" s="8"/>
    </row>
    <row r="120" spans="3:3" ht="15.75" customHeight="1" x14ac:dyDescent="0.25">
      <c r="C120" s="8"/>
    </row>
    <row r="121" spans="3:3" ht="15.75" customHeight="1" x14ac:dyDescent="0.25">
      <c r="C121" s="8"/>
    </row>
    <row r="122" spans="3:3" ht="15.75" customHeight="1" x14ac:dyDescent="0.25">
      <c r="C122" s="8"/>
    </row>
    <row r="123" spans="3:3" ht="15.75" customHeight="1" x14ac:dyDescent="0.25">
      <c r="C123" s="8"/>
    </row>
    <row r="124" spans="3:3" ht="15.75" customHeight="1" x14ac:dyDescent="0.25">
      <c r="C124" s="8"/>
    </row>
    <row r="125" spans="3:3" ht="15.75" customHeight="1" x14ac:dyDescent="0.25">
      <c r="C125" s="8"/>
    </row>
    <row r="126" spans="3:3" ht="15.75" customHeight="1" x14ac:dyDescent="0.25">
      <c r="C126" s="8"/>
    </row>
    <row r="127" spans="3:3" ht="15.75" customHeight="1" x14ac:dyDescent="0.25">
      <c r="C127" s="8"/>
    </row>
    <row r="128" spans="3:3" ht="15.75" customHeight="1" x14ac:dyDescent="0.25">
      <c r="C128" s="8"/>
    </row>
    <row r="129" spans="3:3" ht="15.75" customHeight="1" x14ac:dyDescent="0.25">
      <c r="C129" s="8"/>
    </row>
    <row r="130" spans="3:3" ht="15.75" customHeight="1" x14ac:dyDescent="0.25">
      <c r="C130" s="8"/>
    </row>
    <row r="131" spans="3:3" ht="15.75" customHeight="1" x14ac:dyDescent="0.25">
      <c r="C131" s="8"/>
    </row>
    <row r="132" spans="3:3" ht="15.75" customHeight="1" x14ac:dyDescent="0.25">
      <c r="C132" s="8"/>
    </row>
    <row r="133" spans="3:3" ht="15.75" customHeight="1" x14ac:dyDescent="0.25">
      <c r="C133" s="8"/>
    </row>
    <row r="134" spans="3:3" ht="15.75" customHeight="1" x14ac:dyDescent="0.25">
      <c r="C134" s="8"/>
    </row>
    <row r="135" spans="3:3" ht="15.75" customHeight="1" x14ac:dyDescent="0.25">
      <c r="C135" s="8"/>
    </row>
    <row r="136" spans="3:3" ht="15.75" customHeight="1" x14ac:dyDescent="0.25">
      <c r="C136" s="8"/>
    </row>
    <row r="137" spans="3:3" ht="15.75" customHeight="1" x14ac:dyDescent="0.25">
      <c r="C137" s="8"/>
    </row>
    <row r="138" spans="3:3" ht="15.75" customHeight="1" x14ac:dyDescent="0.25">
      <c r="C138" s="8"/>
    </row>
    <row r="139" spans="3:3" ht="15.75" customHeight="1" x14ac:dyDescent="0.25">
      <c r="C139" s="8"/>
    </row>
    <row r="140" spans="3:3" ht="15.75" customHeight="1" x14ac:dyDescent="0.25">
      <c r="C140" s="8"/>
    </row>
    <row r="141" spans="3:3" ht="15.75" customHeight="1" x14ac:dyDescent="0.25">
      <c r="C141" s="8"/>
    </row>
    <row r="142" spans="3:3" ht="15.75" customHeight="1" x14ac:dyDescent="0.25">
      <c r="C142" s="8"/>
    </row>
    <row r="143" spans="3:3" ht="15.75" customHeight="1" x14ac:dyDescent="0.25">
      <c r="C143" s="8"/>
    </row>
    <row r="144" spans="3:3" ht="15.75" customHeight="1" x14ac:dyDescent="0.25">
      <c r="C144" s="8"/>
    </row>
    <row r="145" spans="3:3" ht="15.75" customHeight="1" x14ac:dyDescent="0.25">
      <c r="C145" s="8"/>
    </row>
    <row r="146" spans="3:3" ht="15.75" customHeight="1" x14ac:dyDescent="0.25">
      <c r="C146" s="8"/>
    </row>
    <row r="147" spans="3:3" ht="15.75" customHeight="1" x14ac:dyDescent="0.25">
      <c r="C147" s="8"/>
    </row>
    <row r="148" spans="3:3" ht="15.75" customHeight="1" x14ac:dyDescent="0.25">
      <c r="C148" s="8"/>
    </row>
    <row r="149" spans="3:3" ht="15.75" customHeight="1" x14ac:dyDescent="0.25">
      <c r="C149" s="8"/>
    </row>
    <row r="150" spans="3:3" ht="15.75" customHeight="1" x14ac:dyDescent="0.25">
      <c r="C150" s="8"/>
    </row>
    <row r="151" spans="3:3" ht="15.75" customHeight="1" x14ac:dyDescent="0.25">
      <c r="C151" s="8"/>
    </row>
    <row r="152" spans="3:3" ht="15.75" customHeight="1" x14ac:dyDescent="0.25">
      <c r="C152" s="8"/>
    </row>
    <row r="153" spans="3:3" ht="15.75" customHeight="1" x14ac:dyDescent="0.25">
      <c r="C153" s="8"/>
    </row>
    <row r="154" spans="3:3" ht="15.75" customHeight="1" x14ac:dyDescent="0.25">
      <c r="C154" s="8"/>
    </row>
    <row r="155" spans="3:3" ht="15.75" customHeight="1" x14ac:dyDescent="0.25">
      <c r="C155" s="8"/>
    </row>
    <row r="156" spans="3:3" ht="15.75" customHeight="1" x14ac:dyDescent="0.25">
      <c r="C156" s="8"/>
    </row>
    <row r="157" spans="3:3" ht="15.75" customHeight="1" x14ac:dyDescent="0.25">
      <c r="C157" s="8"/>
    </row>
    <row r="158" spans="3:3" ht="15.75" customHeight="1" x14ac:dyDescent="0.25">
      <c r="C158" s="8"/>
    </row>
    <row r="159" spans="3:3" ht="15.75" customHeight="1" x14ac:dyDescent="0.25">
      <c r="C159" s="8"/>
    </row>
    <row r="160" spans="3:3" ht="15.75" customHeight="1" x14ac:dyDescent="0.25">
      <c r="C160" s="8"/>
    </row>
    <row r="161" spans="3:3" ht="15.75" customHeight="1" x14ac:dyDescent="0.25">
      <c r="C161" s="8"/>
    </row>
    <row r="162" spans="3:3" ht="15.75" customHeight="1" x14ac:dyDescent="0.25">
      <c r="C162" s="8"/>
    </row>
    <row r="163" spans="3:3" ht="15.75" customHeight="1" x14ac:dyDescent="0.25">
      <c r="C163" s="8"/>
    </row>
    <row r="164" spans="3:3" ht="15.75" customHeight="1" x14ac:dyDescent="0.25">
      <c r="C164" s="8"/>
    </row>
    <row r="165" spans="3:3" ht="15.75" customHeight="1" x14ac:dyDescent="0.25">
      <c r="C165" s="8"/>
    </row>
    <row r="166" spans="3:3" ht="15.75" customHeight="1" x14ac:dyDescent="0.25">
      <c r="C166" s="8"/>
    </row>
    <row r="167" spans="3:3" ht="15.75" customHeight="1" x14ac:dyDescent="0.25">
      <c r="C167" s="8"/>
    </row>
    <row r="168" spans="3:3" ht="15.75" customHeight="1" x14ac:dyDescent="0.25">
      <c r="C168" s="8"/>
    </row>
    <row r="169" spans="3:3" ht="15.75" customHeight="1" x14ac:dyDescent="0.25">
      <c r="C169" s="8"/>
    </row>
    <row r="170" spans="3:3" ht="15.75" customHeight="1" x14ac:dyDescent="0.25">
      <c r="C170" s="8"/>
    </row>
    <row r="171" spans="3:3" ht="15.75" customHeight="1" x14ac:dyDescent="0.25">
      <c r="C171" s="8"/>
    </row>
    <row r="172" spans="3:3" ht="15.75" customHeight="1" x14ac:dyDescent="0.25">
      <c r="C172" s="8"/>
    </row>
    <row r="173" spans="3:3" ht="15.75" customHeight="1" x14ac:dyDescent="0.25">
      <c r="C173" s="8"/>
    </row>
    <row r="174" spans="3:3" ht="15.75" customHeight="1" x14ac:dyDescent="0.25">
      <c r="C174" s="8"/>
    </row>
    <row r="175" spans="3:3" ht="15.75" customHeight="1" x14ac:dyDescent="0.25">
      <c r="C175" s="8"/>
    </row>
    <row r="176" spans="3:3" ht="15.75" customHeight="1" x14ac:dyDescent="0.25">
      <c r="C176" s="8"/>
    </row>
    <row r="177" spans="3:3" ht="15.75" customHeight="1" x14ac:dyDescent="0.25">
      <c r="C177" s="8"/>
    </row>
    <row r="178" spans="3:3" ht="15.75" customHeight="1" x14ac:dyDescent="0.25">
      <c r="C178" s="8"/>
    </row>
    <row r="179" spans="3:3" ht="15.75" customHeight="1" x14ac:dyDescent="0.25">
      <c r="C179" s="8"/>
    </row>
    <row r="180" spans="3:3" ht="15.75" customHeight="1" x14ac:dyDescent="0.25">
      <c r="C180" s="8"/>
    </row>
    <row r="181" spans="3:3" ht="15.75" customHeight="1" x14ac:dyDescent="0.25">
      <c r="C181" s="8"/>
    </row>
    <row r="182" spans="3:3" ht="15.75" customHeight="1" x14ac:dyDescent="0.25">
      <c r="C182" s="8"/>
    </row>
    <row r="183" spans="3:3" ht="15.75" customHeight="1" x14ac:dyDescent="0.25">
      <c r="C183" s="8"/>
    </row>
    <row r="184" spans="3:3" ht="15.75" customHeight="1" x14ac:dyDescent="0.25">
      <c r="C184" s="8"/>
    </row>
    <row r="185" spans="3:3" ht="15.75" customHeight="1" x14ac:dyDescent="0.25">
      <c r="C185" s="8"/>
    </row>
    <row r="186" spans="3:3" ht="15.75" customHeight="1" x14ac:dyDescent="0.25">
      <c r="C186" s="8"/>
    </row>
    <row r="187" spans="3:3" ht="15.75" customHeight="1" x14ac:dyDescent="0.25">
      <c r="C187" s="8"/>
    </row>
    <row r="188" spans="3:3" ht="15.75" customHeight="1" x14ac:dyDescent="0.25">
      <c r="C188" s="8"/>
    </row>
    <row r="189" spans="3:3" ht="15.75" customHeight="1" x14ac:dyDescent="0.25">
      <c r="C189" s="8"/>
    </row>
    <row r="190" spans="3:3" ht="15.75" customHeight="1" x14ac:dyDescent="0.25">
      <c r="C190" s="8"/>
    </row>
    <row r="191" spans="3:3" ht="15.75" customHeight="1" x14ac:dyDescent="0.25">
      <c r="C191" s="8"/>
    </row>
    <row r="192" spans="3:3" ht="15.75" customHeight="1" x14ac:dyDescent="0.25">
      <c r="C192" s="8"/>
    </row>
    <row r="193" spans="3:3" ht="15.75" customHeight="1" x14ac:dyDescent="0.25">
      <c r="C193" s="8"/>
    </row>
    <row r="194" spans="3:3" ht="15.75" customHeight="1" x14ac:dyDescent="0.25">
      <c r="C194" s="8"/>
    </row>
    <row r="195" spans="3:3" ht="15.75" customHeight="1" x14ac:dyDescent="0.25">
      <c r="C195" s="8"/>
    </row>
    <row r="196" spans="3:3" ht="15.75" customHeight="1" x14ac:dyDescent="0.25">
      <c r="C196" s="8"/>
    </row>
    <row r="197" spans="3:3" ht="15.75" customHeight="1" x14ac:dyDescent="0.25">
      <c r="C197" s="8"/>
    </row>
    <row r="198" spans="3:3" ht="15.75" customHeight="1" x14ac:dyDescent="0.25">
      <c r="C198" s="8"/>
    </row>
    <row r="199" spans="3:3" ht="15.75" customHeight="1" x14ac:dyDescent="0.25">
      <c r="C199" s="8"/>
    </row>
    <row r="200" spans="3:3" ht="15.75" customHeight="1" x14ac:dyDescent="0.25">
      <c r="C200" s="8"/>
    </row>
    <row r="201" spans="3:3" ht="15.75" customHeight="1" x14ac:dyDescent="0.25">
      <c r="C201" s="8"/>
    </row>
    <row r="202" spans="3:3" ht="15.75" customHeight="1" x14ac:dyDescent="0.25">
      <c r="C202" s="8"/>
    </row>
    <row r="203" spans="3:3" ht="15.75" customHeight="1" x14ac:dyDescent="0.25">
      <c r="C203" s="8"/>
    </row>
    <row r="204" spans="3:3" ht="15.75" customHeight="1" x14ac:dyDescent="0.25">
      <c r="C204" s="8"/>
    </row>
    <row r="205" spans="3:3" ht="15.75" customHeight="1" x14ac:dyDescent="0.25">
      <c r="C205" s="8"/>
    </row>
    <row r="206" spans="3:3" ht="15.75" customHeight="1" x14ac:dyDescent="0.25">
      <c r="C206" s="8"/>
    </row>
    <row r="207" spans="3:3" ht="15.75" customHeight="1" x14ac:dyDescent="0.25">
      <c r="C207" s="8"/>
    </row>
    <row r="208" spans="3:3" ht="15.75" customHeight="1" x14ac:dyDescent="0.25">
      <c r="C208" s="8"/>
    </row>
    <row r="209" spans="3:3" ht="15.75" customHeight="1" x14ac:dyDescent="0.25">
      <c r="C209" s="8"/>
    </row>
    <row r="210" spans="3:3" ht="15.75" customHeight="1" x14ac:dyDescent="0.25">
      <c r="C210" s="8"/>
    </row>
    <row r="211" spans="3:3" ht="15.75" customHeight="1" x14ac:dyDescent="0.25">
      <c r="C211" s="8"/>
    </row>
    <row r="212" spans="3:3" ht="15.75" customHeight="1" x14ac:dyDescent="0.25">
      <c r="C212" s="8"/>
    </row>
    <row r="213" spans="3:3" ht="15.75" customHeight="1" x14ac:dyDescent="0.25">
      <c r="C213" s="8"/>
    </row>
    <row r="214" spans="3:3" ht="15.75" customHeight="1" x14ac:dyDescent="0.25">
      <c r="C214" s="8"/>
    </row>
    <row r="215" spans="3:3" ht="15.75" customHeight="1" x14ac:dyDescent="0.25">
      <c r="C215" s="8"/>
    </row>
    <row r="216" spans="3:3" ht="15.75" customHeight="1" x14ac:dyDescent="0.25">
      <c r="C216" s="8"/>
    </row>
    <row r="217" spans="3:3" ht="15.75" customHeight="1" x14ac:dyDescent="0.25">
      <c r="C217" s="8"/>
    </row>
    <row r="218" spans="3:3" ht="15.75" customHeight="1" x14ac:dyDescent="0.25">
      <c r="C218" s="8"/>
    </row>
    <row r="219" spans="3:3" ht="15.75" customHeight="1" x14ac:dyDescent="0.25">
      <c r="C219" s="8"/>
    </row>
    <row r="220" spans="3:3" ht="15.75" customHeight="1" x14ac:dyDescent="0.25">
      <c r="C220" s="8"/>
    </row>
    <row r="221" spans="3:3" ht="15.75" customHeight="1" x14ac:dyDescent="0.25">
      <c r="C221" s="8"/>
    </row>
    <row r="222" spans="3:3" ht="15.75" customHeight="1" x14ac:dyDescent="0.25">
      <c r="C222" s="8"/>
    </row>
    <row r="223" spans="3:3" ht="15.75" customHeight="1" x14ac:dyDescent="0.25">
      <c r="C223" s="8"/>
    </row>
    <row r="224" spans="3:3" ht="15.75" customHeight="1" x14ac:dyDescent="0.25">
      <c r="C224" s="8"/>
    </row>
    <row r="225" spans="3:3" ht="15.75" customHeight="1" x14ac:dyDescent="0.25">
      <c r="C225" s="8"/>
    </row>
    <row r="226" spans="3:3" ht="15.75" customHeight="1" x14ac:dyDescent="0.25">
      <c r="C226" s="8"/>
    </row>
    <row r="227" spans="3:3" ht="15.75" customHeight="1" x14ac:dyDescent="0.25">
      <c r="C227" s="8"/>
    </row>
    <row r="228" spans="3:3" ht="15.75" customHeight="1" x14ac:dyDescent="0.25">
      <c r="C228" s="8"/>
    </row>
    <row r="229" spans="3:3" ht="15.75" customHeight="1" x14ac:dyDescent="0.25">
      <c r="C229" s="8"/>
    </row>
    <row r="230" spans="3:3" ht="15.75" customHeight="1" x14ac:dyDescent="0.25">
      <c r="C230" s="8"/>
    </row>
    <row r="231" spans="3:3" ht="15.75" customHeight="1" x14ac:dyDescent="0.25">
      <c r="C231" s="8"/>
    </row>
    <row r="232" spans="3:3" ht="15.75" customHeight="1" x14ac:dyDescent="0.25">
      <c r="C232" s="8"/>
    </row>
    <row r="233" spans="3:3" ht="15.75" customHeight="1" x14ac:dyDescent="0.25">
      <c r="C233" s="8"/>
    </row>
    <row r="234" spans="3:3" ht="15.75" customHeight="1" x14ac:dyDescent="0.25">
      <c r="C234" s="8"/>
    </row>
    <row r="235" spans="3:3" ht="15.75" customHeight="1" x14ac:dyDescent="0.25">
      <c r="C235" s="8"/>
    </row>
    <row r="236" spans="3:3" ht="15.75" customHeight="1" x14ac:dyDescent="0.25">
      <c r="C236" s="8"/>
    </row>
    <row r="237" spans="3:3" ht="15.75" customHeight="1" x14ac:dyDescent="0.25">
      <c r="C237" s="8"/>
    </row>
    <row r="238" spans="3:3" ht="15.75" customHeight="1" x14ac:dyDescent="0.25">
      <c r="C238" s="8"/>
    </row>
    <row r="239" spans="3:3" ht="15.75" customHeight="1" x14ac:dyDescent="0.25">
      <c r="C239" s="8"/>
    </row>
    <row r="240" spans="3:3" ht="15.75" customHeight="1" x14ac:dyDescent="0.25">
      <c r="C240" s="8"/>
    </row>
    <row r="241" spans="3:3" ht="15.75" customHeight="1" x14ac:dyDescent="0.25">
      <c r="C241" s="8"/>
    </row>
    <row r="242" spans="3:3" ht="15.75" customHeight="1" x14ac:dyDescent="0.25">
      <c r="C242" s="8"/>
    </row>
    <row r="243" spans="3:3" ht="15.75" customHeight="1" x14ac:dyDescent="0.25">
      <c r="C243" s="8"/>
    </row>
    <row r="244" spans="3:3" ht="15.75" customHeight="1" x14ac:dyDescent="0.25">
      <c r="C244" s="8"/>
    </row>
    <row r="245" spans="3:3" ht="15.75" customHeight="1" x14ac:dyDescent="0.25">
      <c r="C245" s="8"/>
    </row>
    <row r="246" spans="3:3" ht="15.75" customHeight="1" x14ac:dyDescent="0.25">
      <c r="C246" s="8"/>
    </row>
    <row r="247" spans="3:3" ht="15.75" customHeight="1" x14ac:dyDescent="0.25">
      <c r="C247" s="8"/>
    </row>
    <row r="248" spans="3:3" ht="15.75" customHeight="1" x14ac:dyDescent="0.25">
      <c r="C248" s="8"/>
    </row>
    <row r="249" spans="3:3" ht="15.75" customHeight="1" x14ac:dyDescent="0.25">
      <c r="C249" s="8"/>
    </row>
    <row r="250" spans="3:3" ht="15.75" customHeight="1" x14ac:dyDescent="0.25">
      <c r="C250" s="8"/>
    </row>
    <row r="251" spans="3:3" ht="15.75" customHeight="1" x14ac:dyDescent="0.25">
      <c r="C251" s="8"/>
    </row>
    <row r="252" spans="3:3" ht="15.75" customHeight="1" x14ac:dyDescent="0.25">
      <c r="C252" s="8"/>
    </row>
    <row r="253" spans="3:3" ht="15.75" customHeight="1" x14ac:dyDescent="0.25">
      <c r="C253" s="8"/>
    </row>
    <row r="254" spans="3:3" ht="15.75" customHeight="1" x14ac:dyDescent="0.25">
      <c r="C254" s="8"/>
    </row>
    <row r="255" spans="3:3" ht="15.75" customHeight="1" x14ac:dyDescent="0.25">
      <c r="C255" s="8"/>
    </row>
    <row r="256" spans="3:3" ht="15.75" customHeight="1" x14ac:dyDescent="0.25">
      <c r="C256" s="8"/>
    </row>
    <row r="257" spans="3:3" ht="15.75" customHeight="1" x14ac:dyDescent="0.25">
      <c r="C257" s="8"/>
    </row>
    <row r="258" spans="3:3" ht="15.75" customHeight="1" x14ac:dyDescent="0.25">
      <c r="C258" s="8"/>
    </row>
    <row r="259" spans="3:3" ht="15.75" customHeight="1" x14ac:dyDescent="0.25">
      <c r="C259" s="8"/>
    </row>
    <row r="260" spans="3:3" ht="15.75" customHeight="1" x14ac:dyDescent="0.25">
      <c r="C260" s="8"/>
    </row>
    <row r="261" spans="3:3" ht="15.75" customHeight="1" x14ac:dyDescent="0.25">
      <c r="C261" s="8"/>
    </row>
    <row r="262" spans="3:3" ht="15.75" customHeight="1" x14ac:dyDescent="0.25">
      <c r="C262" s="8"/>
    </row>
    <row r="263" spans="3:3" ht="15.75" customHeight="1" x14ac:dyDescent="0.25">
      <c r="C263" s="8"/>
    </row>
    <row r="264" spans="3:3" ht="15.75" customHeight="1" x14ac:dyDescent="0.25">
      <c r="C264" s="8"/>
    </row>
    <row r="265" spans="3:3" ht="15.75" customHeight="1" x14ac:dyDescent="0.25">
      <c r="C265" s="8"/>
    </row>
    <row r="266" spans="3:3" ht="15.75" customHeight="1" x14ac:dyDescent="0.25">
      <c r="C266" s="8"/>
    </row>
    <row r="267" spans="3:3" ht="15.75" customHeight="1" x14ac:dyDescent="0.25">
      <c r="C267" s="8"/>
    </row>
    <row r="268" spans="3:3" ht="15.75" customHeight="1" x14ac:dyDescent="0.25">
      <c r="C268" s="8"/>
    </row>
    <row r="269" spans="3:3" ht="15.75" customHeight="1" x14ac:dyDescent="0.25">
      <c r="C269" s="8"/>
    </row>
    <row r="270" spans="3:3" ht="15.75" customHeight="1" x14ac:dyDescent="0.25">
      <c r="C270" s="8"/>
    </row>
    <row r="271" spans="3:3" ht="15.75" customHeight="1" x14ac:dyDescent="0.25">
      <c r="C271" s="8"/>
    </row>
    <row r="272" spans="3:3" ht="15.75" customHeight="1" x14ac:dyDescent="0.25">
      <c r="C272" s="8"/>
    </row>
    <row r="273" spans="3:3" ht="15.75" customHeight="1" x14ac:dyDescent="0.25">
      <c r="C273" s="8"/>
    </row>
    <row r="274" spans="3:3" ht="15.75" customHeight="1" x14ac:dyDescent="0.25">
      <c r="C274" s="8"/>
    </row>
    <row r="275" spans="3:3" ht="15.75" customHeight="1" x14ac:dyDescent="0.25">
      <c r="C275" s="8"/>
    </row>
    <row r="276" spans="3:3" ht="15.75" customHeight="1" x14ac:dyDescent="0.25">
      <c r="C276" s="8"/>
    </row>
    <row r="277" spans="3:3" ht="15.75" customHeight="1" x14ac:dyDescent="0.25">
      <c r="C277" s="8"/>
    </row>
    <row r="278" spans="3:3" ht="15.75" customHeight="1" x14ac:dyDescent="0.25">
      <c r="C278" s="8"/>
    </row>
    <row r="279" spans="3:3" ht="15.75" customHeight="1" x14ac:dyDescent="0.25">
      <c r="C279" s="8"/>
    </row>
    <row r="280" spans="3:3" ht="15.75" customHeight="1" x14ac:dyDescent="0.25">
      <c r="C280" s="8"/>
    </row>
    <row r="281" spans="3:3" ht="15.75" customHeight="1" x14ac:dyDescent="0.25">
      <c r="C281" s="8"/>
    </row>
    <row r="282" spans="3:3" ht="15.75" customHeight="1" x14ac:dyDescent="0.25">
      <c r="C282" s="8"/>
    </row>
    <row r="283" spans="3:3" ht="15.75" customHeight="1" x14ac:dyDescent="0.25">
      <c r="C283" s="8"/>
    </row>
    <row r="284" spans="3:3" ht="15.75" customHeight="1" x14ac:dyDescent="0.25">
      <c r="C284" s="8"/>
    </row>
    <row r="285" spans="3:3" ht="15.75" customHeight="1" x14ac:dyDescent="0.25">
      <c r="C285" s="8"/>
    </row>
    <row r="286" spans="3:3" ht="15.75" customHeight="1" x14ac:dyDescent="0.25">
      <c r="C286" s="8"/>
    </row>
    <row r="287" spans="3:3" ht="15.75" customHeight="1" x14ac:dyDescent="0.25">
      <c r="C287" s="8"/>
    </row>
    <row r="288" spans="3:3" ht="15.75" customHeight="1" x14ac:dyDescent="0.25">
      <c r="C288" s="8"/>
    </row>
    <row r="289" spans="3:3" ht="15.75" customHeight="1" x14ac:dyDescent="0.25">
      <c r="C289" s="8"/>
    </row>
    <row r="290" spans="3:3" ht="15.75" customHeight="1" x14ac:dyDescent="0.25">
      <c r="C290" s="8"/>
    </row>
    <row r="291" spans="3:3" ht="15.75" customHeight="1" x14ac:dyDescent="0.25">
      <c r="C291" s="8"/>
    </row>
    <row r="292" spans="3:3" ht="15.75" customHeight="1" x14ac:dyDescent="0.25">
      <c r="C292" s="8"/>
    </row>
    <row r="293" spans="3:3" ht="15.75" customHeight="1" x14ac:dyDescent="0.25">
      <c r="C293" s="8"/>
    </row>
    <row r="294" spans="3:3" ht="15.75" customHeight="1" x14ac:dyDescent="0.25">
      <c r="C294" s="8"/>
    </row>
    <row r="295" spans="3:3" ht="15.75" customHeight="1" x14ac:dyDescent="0.25">
      <c r="C295" s="8"/>
    </row>
    <row r="296" spans="3:3" ht="15.75" customHeight="1" x14ac:dyDescent="0.25">
      <c r="C296" s="8"/>
    </row>
    <row r="297" spans="3:3" ht="15.75" customHeight="1" x14ac:dyDescent="0.25">
      <c r="C297" s="8"/>
    </row>
    <row r="298" spans="3:3" ht="15.75" customHeight="1" x14ac:dyDescent="0.25">
      <c r="C298" s="8"/>
    </row>
    <row r="299" spans="3:3" ht="15.75" customHeight="1" x14ac:dyDescent="0.25">
      <c r="C299" s="8"/>
    </row>
    <row r="300" spans="3:3" ht="15.75" customHeight="1" x14ac:dyDescent="0.25">
      <c r="C300" s="8"/>
    </row>
    <row r="301" spans="3:3" ht="15.75" customHeight="1" x14ac:dyDescent="0.25">
      <c r="C301" s="8"/>
    </row>
    <row r="302" spans="3:3" ht="15.75" customHeight="1" x14ac:dyDescent="0.25">
      <c r="C302" s="8"/>
    </row>
    <row r="303" spans="3:3" ht="15.75" customHeight="1" x14ac:dyDescent="0.25">
      <c r="C303" s="8"/>
    </row>
    <row r="304" spans="3:3" ht="15.75" customHeight="1" x14ac:dyDescent="0.25">
      <c r="C304" s="8"/>
    </row>
    <row r="305" spans="3:3" ht="15.75" customHeight="1" x14ac:dyDescent="0.25">
      <c r="C305" s="8"/>
    </row>
    <row r="306" spans="3:3" ht="15.75" customHeight="1" x14ac:dyDescent="0.25">
      <c r="C306" s="8"/>
    </row>
    <row r="307" spans="3:3" ht="15.75" customHeight="1" x14ac:dyDescent="0.25">
      <c r="C307" s="8"/>
    </row>
    <row r="308" spans="3:3" ht="15.75" customHeight="1" x14ac:dyDescent="0.25">
      <c r="C308" s="8"/>
    </row>
    <row r="309" spans="3:3" ht="15.75" customHeight="1" x14ac:dyDescent="0.25">
      <c r="C309" s="8"/>
    </row>
    <row r="310" spans="3:3" ht="15.75" customHeight="1" x14ac:dyDescent="0.25">
      <c r="C310" s="8"/>
    </row>
    <row r="311" spans="3:3" ht="15.75" customHeight="1" x14ac:dyDescent="0.25">
      <c r="C311" s="8"/>
    </row>
    <row r="312" spans="3:3" ht="15.75" customHeight="1" x14ac:dyDescent="0.25">
      <c r="C312" s="8"/>
    </row>
    <row r="313" spans="3:3" ht="15.75" customHeight="1" x14ac:dyDescent="0.25">
      <c r="C313" s="8"/>
    </row>
    <row r="314" spans="3:3" ht="15.75" customHeight="1" x14ac:dyDescent="0.25">
      <c r="C314" s="8"/>
    </row>
    <row r="315" spans="3:3" ht="15.75" customHeight="1" x14ac:dyDescent="0.25">
      <c r="C315" s="8"/>
    </row>
    <row r="316" spans="3:3" ht="15.75" customHeight="1" x14ac:dyDescent="0.25">
      <c r="C316" s="8"/>
    </row>
    <row r="317" spans="3:3" ht="15.75" customHeight="1" x14ac:dyDescent="0.25">
      <c r="C317" s="8"/>
    </row>
    <row r="318" spans="3:3" ht="15.75" customHeight="1" x14ac:dyDescent="0.25">
      <c r="C318" s="8"/>
    </row>
    <row r="319" spans="3:3" ht="15.75" customHeight="1" x14ac:dyDescent="0.25">
      <c r="C319" s="8"/>
    </row>
    <row r="320" spans="3:3" ht="15.75" customHeight="1" x14ac:dyDescent="0.25">
      <c r="C320" s="8"/>
    </row>
    <row r="321" spans="3:3" ht="15.75" customHeight="1" x14ac:dyDescent="0.25">
      <c r="C321" s="8"/>
    </row>
    <row r="322" spans="3:3" ht="15.75" customHeight="1" x14ac:dyDescent="0.25">
      <c r="C322" s="8"/>
    </row>
    <row r="323" spans="3:3" ht="15.75" customHeight="1" x14ac:dyDescent="0.25">
      <c r="C323" s="8"/>
    </row>
    <row r="324" spans="3:3" ht="15.75" customHeight="1" x14ac:dyDescent="0.25">
      <c r="C324" s="8"/>
    </row>
    <row r="325" spans="3:3" ht="15.75" customHeight="1" x14ac:dyDescent="0.25">
      <c r="C325" s="8"/>
    </row>
    <row r="326" spans="3:3" ht="15.75" customHeight="1" x14ac:dyDescent="0.25">
      <c r="C326" s="8"/>
    </row>
    <row r="327" spans="3:3" ht="15.75" customHeight="1" x14ac:dyDescent="0.25">
      <c r="C327" s="8"/>
    </row>
    <row r="328" spans="3:3" ht="15.75" customHeight="1" x14ac:dyDescent="0.25">
      <c r="C328" s="8"/>
    </row>
    <row r="329" spans="3:3" ht="15.75" customHeight="1" x14ac:dyDescent="0.25">
      <c r="C329" s="8"/>
    </row>
    <row r="330" spans="3:3" ht="15.75" customHeight="1" x14ac:dyDescent="0.25">
      <c r="C330" s="8"/>
    </row>
    <row r="331" spans="3:3" ht="15.75" customHeight="1" x14ac:dyDescent="0.25">
      <c r="C331" s="8"/>
    </row>
    <row r="332" spans="3:3" ht="15.75" customHeight="1" x14ac:dyDescent="0.25">
      <c r="C332" s="8"/>
    </row>
    <row r="333" spans="3:3" ht="15.75" customHeight="1" x14ac:dyDescent="0.25">
      <c r="C333" s="8"/>
    </row>
    <row r="334" spans="3:3" ht="15.75" customHeight="1" x14ac:dyDescent="0.25">
      <c r="C334" s="8"/>
    </row>
    <row r="335" spans="3:3" ht="15.75" customHeight="1" x14ac:dyDescent="0.25">
      <c r="C335" s="8"/>
    </row>
    <row r="336" spans="3:3" ht="15.75" customHeight="1" x14ac:dyDescent="0.25">
      <c r="C336" s="8"/>
    </row>
    <row r="337" spans="3:3" ht="15.75" customHeight="1" x14ac:dyDescent="0.25">
      <c r="C337" s="8"/>
    </row>
    <row r="338" spans="3:3" ht="15.75" customHeight="1" x14ac:dyDescent="0.25">
      <c r="C338" s="8"/>
    </row>
    <row r="339" spans="3:3" ht="15.75" customHeight="1" x14ac:dyDescent="0.25">
      <c r="C339" s="8"/>
    </row>
    <row r="340" spans="3:3" ht="15.75" customHeight="1" x14ac:dyDescent="0.25">
      <c r="C340" s="8"/>
    </row>
    <row r="341" spans="3:3" ht="15.75" customHeight="1" x14ac:dyDescent="0.25">
      <c r="C341" s="8"/>
    </row>
    <row r="342" spans="3:3" ht="15.75" customHeight="1" x14ac:dyDescent="0.25">
      <c r="C342" s="8"/>
    </row>
    <row r="343" spans="3:3" ht="15.75" customHeight="1" x14ac:dyDescent="0.25">
      <c r="C343" s="8"/>
    </row>
    <row r="344" spans="3:3" ht="15.75" customHeight="1" x14ac:dyDescent="0.25">
      <c r="C344" s="8"/>
    </row>
    <row r="345" spans="3:3" ht="15.75" customHeight="1" x14ac:dyDescent="0.25">
      <c r="C345" s="8"/>
    </row>
    <row r="346" spans="3:3" ht="15.75" customHeight="1" x14ac:dyDescent="0.25">
      <c r="C346" s="8"/>
    </row>
    <row r="347" spans="3:3" ht="15.75" customHeight="1" x14ac:dyDescent="0.25">
      <c r="C347" s="8"/>
    </row>
    <row r="348" spans="3:3" ht="15.75" customHeight="1" x14ac:dyDescent="0.25">
      <c r="C348" s="8"/>
    </row>
    <row r="349" spans="3:3" ht="15.75" customHeight="1" x14ac:dyDescent="0.25">
      <c r="C349" s="8"/>
    </row>
    <row r="350" spans="3:3" ht="15.75" customHeight="1" x14ac:dyDescent="0.25">
      <c r="C350" s="8"/>
    </row>
    <row r="351" spans="3:3" ht="15.75" customHeight="1" x14ac:dyDescent="0.25">
      <c r="C351" s="8"/>
    </row>
    <row r="352" spans="3:3" ht="15.75" customHeight="1" x14ac:dyDescent="0.25">
      <c r="C352" s="8"/>
    </row>
    <row r="353" spans="3:3" ht="15.75" customHeight="1" x14ac:dyDescent="0.25">
      <c r="C353" s="8"/>
    </row>
    <row r="354" spans="3:3" ht="15.75" customHeight="1" x14ac:dyDescent="0.25">
      <c r="C354" s="8"/>
    </row>
    <row r="355" spans="3:3" ht="15.75" customHeight="1" x14ac:dyDescent="0.25">
      <c r="C355" s="8"/>
    </row>
    <row r="356" spans="3:3" ht="15.75" customHeight="1" x14ac:dyDescent="0.25">
      <c r="C356" s="8"/>
    </row>
    <row r="357" spans="3:3" ht="15.75" customHeight="1" x14ac:dyDescent="0.25">
      <c r="C357" s="8"/>
    </row>
    <row r="358" spans="3:3" ht="15.75" customHeight="1" x14ac:dyDescent="0.25">
      <c r="C358" s="8"/>
    </row>
    <row r="359" spans="3:3" ht="15.75" customHeight="1" x14ac:dyDescent="0.25">
      <c r="C359" s="8"/>
    </row>
    <row r="360" spans="3:3" ht="15.75" customHeight="1" x14ac:dyDescent="0.25">
      <c r="C360" s="8"/>
    </row>
    <row r="361" spans="3:3" ht="15.75" customHeight="1" x14ac:dyDescent="0.25">
      <c r="C361" s="8"/>
    </row>
    <row r="362" spans="3:3" ht="15.75" customHeight="1" x14ac:dyDescent="0.25">
      <c r="C362" s="8"/>
    </row>
    <row r="363" spans="3:3" ht="15.75" customHeight="1" x14ac:dyDescent="0.25">
      <c r="C363" s="8"/>
    </row>
    <row r="364" spans="3:3" ht="15.75" customHeight="1" x14ac:dyDescent="0.25">
      <c r="C364" s="8"/>
    </row>
    <row r="365" spans="3:3" ht="15.75" customHeight="1" x14ac:dyDescent="0.25">
      <c r="C365" s="8"/>
    </row>
    <row r="366" spans="3:3" ht="15.75" customHeight="1" x14ac:dyDescent="0.25">
      <c r="C366" s="8"/>
    </row>
    <row r="367" spans="3:3" ht="15.75" customHeight="1" x14ac:dyDescent="0.25">
      <c r="C367" s="8"/>
    </row>
    <row r="368" spans="3:3" ht="15.75" customHeight="1" x14ac:dyDescent="0.25">
      <c r="C368" s="8"/>
    </row>
    <row r="369" spans="3:3" ht="15.75" customHeight="1" x14ac:dyDescent="0.25">
      <c r="C369" s="8"/>
    </row>
    <row r="370" spans="3:3" ht="15.75" customHeight="1" x14ac:dyDescent="0.25">
      <c r="C370" s="8"/>
    </row>
    <row r="371" spans="3:3" ht="15.75" customHeight="1" x14ac:dyDescent="0.25">
      <c r="C371" s="8"/>
    </row>
    <row r="372" spans="3:3" ht="15.75" customHeight="1" x14ac:dyDescent="0.25">
      <c r="C372" s="8"/>
    </row>
    <row r="373" spans="3:3" ht="15.75" customHeight="1" x14ac:dyDescent="0.25">
      <c r="C373" s="8"/>
    </row>
    <row r="374" spans="3:3" ht="15.75" customHeight="1" x14ac:dyDescent="0.25">
      <c r="C374" s="8"/>
    </row>
    <row r="375" spans="3:3" ht="15.75" customHeight="1" x14ac:dyDescent="0.25">
      <c r="C375" s="8"/>
    </row>
    <row r="376" spans="3:3" ht="15.75" customHeight="1" x14ac:dyDescent="0.25">
      <c r="C376" s="8"/>
    </row>
    <row r="377" spans="3:3" ht="15.75" customHeight="1" x14ac:dyDescent="0.25">
      <c r="C377" s="8"/>
    </row>
    <row r="378" spans="3:3" ht="15.75" customHeight="1" x14ac:dyDescent="0.25">
      <c r="C378" s="8"/>
    </row>
    <row r="379" spans="3:3" ht="15.75" customHeight="1" x14ac:dyDescent="0.25">
      <c r="C379" s="8"/>
    </row>
    <row r="380" spans="3:3" ht="15.75" customHeight="1" x14ac:dyDescent="0.25">
      <c r="C380" s="8"/>
    </row>
    <row r="381" spans="3:3" ht="15.75" customHeight="1" x14ac:dyDescent="0.25">
      <c r="C381" s="8"/>
    </row>
    <row r="382" spans="3:3" ht="15.75" customHeight="1" x14ac:dyDescent="0.25">
      <c r="C382" s="8"/>
    </row>
    <row r="383" spans="3:3" ht="15.75" customHeight="1" x14ac:dyDescent="0.25">
      <c r="C383" s="8"/>
    </row>
    <row r="384" spans="3:3" ht="15.75" customHeight="1" x14ac:dyDescent="0.25">
      <c r="C384" s="8"/>
    </row>
    <row r="385" spans="3:3" ht="15.75" customHeight="1" x14ac:dyDescent="0.25">
      <c r="C385" s="8"/>
    </row>
    <row r="386" spans="3:3" ht="15.75" customHeight="1" x14ac:dyDescent="0.25">
      <c r="C386" s="8"/>
    </row>
    <row r="387" spans="3:3" ht="15.75" customHeight="1" x14ac:dyDescent="0.25">
      <c r="C387" s="8"/>
    </row>
    <row r="388" spans="3:3" ht="15.75" customHeight="1" x14ac:dyDescent="0.25">
      <c r="C388" s="8"/>
    </row>
    <row r="389" spans="3:3" ht="15.75" customHeight="1" x14ac:dyDescent="0.25">
      <c r="C389" s="8"/>
    </row>
    <row r="390" spans="3:3" ht="15.75" customHeight="1" x14ac:dyDescent="0.25">
      <c r="C390" s="8"/>
    </row>
    <row r="391" spans="3:3" ht="15.75" customHeight="1" x14ac:dyDescent="0.25">
      <c r="C391" s="8"/>
    </row>
    <row r="392" spans="3:3" ht="15.75" customHeight="1" x14ac:dyDescent="0.25">
      <c r="C392" s="8"/>
    </row>
    <row r="393" spans="3:3" ht="15.75" customHeight="1" x14ac:dyDescent="0.25">
      <c r="C393" s="8"/>
    </row>
    <row r="394" spans="3:3" ht="15.75" customHeight="1" x14ac:dyDescent="0.25">
      <c r="C394" s="8"/>
    </row>
    <row r="395" spans="3:3" ht="15.75" customHeight="1" x14ac:dyDescent="0.25">
      <c r="C395" s="8"/>
    </row>
    <row r="396" spans="3:3" ht="15.75" customHeight="1" x14ac:dyDescent="0.25">
      <c r="C396" s="8"/>
    </row>
    <row r="397" spans="3:3" ht="15.75" customHeight="1" x14ac:dyDescent="0.25">
      <c r="C397" s="8"/>
    </row>
    <row r="398" spans="3:3" ht="15.75" customHeight="1" x14ac:dyDescent="0.25">
      <c r="C398" s="8"/>
    </row>
    <row r="399" spans="3:3" ht="15.75" customHeight="1" x14ac:dyDescent="0.25">
      <c r="C399" s="8"/>
    </row>
    <row r="400" spans="3:3" ht="15.75" customHeight="1" x14ac:dyDescent="0.25">
      <c r="C400" s="8"/>
    </row>
    <row r="401" spans="3:3" ht="15.75" customHeight="1" x14ac:dyDescent="0.25">
      <c r="C401" s="8"/>
    </row>
    <row r="402" spans="3:3" ht="15.75" customHeight="1" x14ac:dyDescent="0.25">
      <c r="C402" s="8"/>
    </row>
    <row r="403" spans="3:3" ht="15.75" customHeight="1" x14ac:dyDescent="0.25">
      <c r="C403" s="8"/>
    </row>
    <row r="404" spans="3:3" ht="15.75" customHeight="1" x14ac:dyDescent="0.25">
      <c r="C404" s="8"/>
    </row>
    <row r="405" spans="3:3" ht="15.75" customHeight="1" x14ac:dyDescent="0.25">
      <c r="C405" s="8"/>
    </row>
    <row r="406" spans="3:3" ht="15.75" customHeight="1" x14ac:dyDescent="0.25">
      <c r="C406" s="8"/>
    </row>
    <row r="407" spans="3:3" ht="15.75" customHeight="1" x14ac:dyDescent="0.25">
      <c r="C407" s="8"/>
    </row>
    <row r="408" spans="3:3" ht="15.75" customHeight="1" x14ac:dyDescent="0.25">
      <c r="C408" s="8"/>
    </row>
    <row r="409" spans="3:3" ht="15.75" customHeight="1" x14ac:dyDescent="0.25">
      <c r="C409" s="8"/>
    </row>
    <row r="410" spans="3:3" ht="15.75" customHeight="1" x14ac:dyDescent="0.25">
      <c r="C410" s="8"/>
    </row>
    <row r="411" spans="3:3" ht="15.75" customHeight="1" x14ac:dyDescent="0.25">
      <c r="C411" s="8"/>
    </row>
    <row r="412" spans="3:3" ht="15.75" customHeight="1" x14ac:dyDescent="0.25">
      <c r="C412" s="8"/>
    </row>
    <row r="413" spans="3:3" ht="15.75" customHeight="1" x14ac:dyDescent="0.25">
      <c r="C413" s="8"/>
    </row>
    <row r="414" spans="3:3" ht="15.75" customHeight="1" x14ac:dyDescent="0.25">
      <c r="C414" s="8"/>
    </row>
    <row r="415" spans="3:3" ht="15.75" customHeight="1" x14ac:dyDescent="0.25">
      <c r="C415" s="8"/>
    </row>
    <row r="416" spans="3:3" ht="15.75" customHeight="1" x14ac:dyDescent="0.25">
      <c r="C416" s="8"/>
    </row>
    <row r="417" spans="3:3" ht="15.75" customHeight="1" x14ac:dyDescent="0.25">
      <c r="C417" s="8"/>
    </row>
    <row r="418" spans="3:3" ht="15.75" customHeight="1" x14ac:dyDescent="0.25">
      <c r="C418" s="8"/>
    </row>
    <row r="419" spans="3:3" ht="15.75" customHeight="1" x14ac:dyDescent="0.25">
      <c r="C419" s="8"/>
    </row>
    <row r="420" spans="3:3" ht="15.75" customHeight="1" x14ac:dyDescent="0.25">
      <c r="C420" s="8"/>
    </row>
    <row r="421" spans="3:3" ht="15.75" customHeight="1" x14ac:dyDescent="0.25">
      <c r="C421" s="8"/>
    </row>
    <row r="422" spans="3:3" ht="15.75" customHeight="1" x14ac:dyDescent="0.25">
      <c r="C422" s="8"/>
    </row>
    <row r="423" spans="3:3" ht="15.75" customHeight="1" x14ac:dyDescent="0.25">
      <c r="C423" s="8"/>
    </row>
    <row r="424" spans="3:3" ht="15.75" customHeight="1" x14ac:dyDescent="0.25">
      <c r="C424" s="8"/>
    </row>
    <row r="425" spans="3:3" ht="15.75" customHeight="1" x14ac:dyDescent="0.25">
      <c r="C425" s="8"/>
    </row>
    <row r="426" spans="3:3" ht="15.75" customHeight="1" x14ac:dyDescent="0.25">
      <c r="C426" s="8"/>
    </row>
    <row r="427" spans="3:3" ht="15.75" customHeight="1" x14ac:dyDescent="0.25">
      <c r="C427" s="8"/>
    </row>
    <row r="428" spans="3:3" ht="15.75" customHeight="1" x14ac:dyDescent="0.25">
      <c r="C428" s="8"/>
    </row>
    <row r="429" spans="3:3" ht="15.75" customHeight="1" x14ac:dyDescent="0.25">
      <c r="C429" s="8"/>
    </row>
    <row r="430" spans="3:3" ht="15.75" customHeight="1" x14ac:dyDescent="0.25">
      <c r="C430" s="8"/>
    </row>
    <row r="431" spans="3:3" ht="15.75" customHeight="1" x14ac:dyDescent="0.25">
      <c r="C431" s="8"/>
    </row>
    <row r="432" spans="3:3" ht="15.75" customHeight="1" x14ac:dyDescent="0.25">
      <c r="C432" s="8"/>
    </row>
    <row r="433" spans="3:3" ht="15.75" customHeight="1" x14ac:dyDescent="0.25">
      <c r="C433" s="8"/>
    </row>
    <row r="434" spans="3:3" ht="15.75" customHeight="1" x14ac:dyDescent="0.25">
      <c r="C434" s="8"/>
    </row>
    <row r="435" spans="3:3" ht="15.75" customHeight="1" x14ac:dyDescent="0.25">
      <c r="C435" s="8"/>
    </row>
    <row r="436" spans="3:3" ht="15.75" customHeight="1" x14ac:dyDescent="0.25">
      <c r="C436" s="8"/>
    </row>
    <row r="437" spans="3:3" ht="15.75" customHeight="1" x14ac:dyDescent="0.25">
      <c r="C437" s="8"/>
    </row>
    <row r="438" spans="3:3" ht="15.75" customHeight="1" x14ac:dyDescent="0.25">
      <c r="C438" s="8"/>
    </row>
    <row r="439" spans="3:3" ht="15.75" customHeight="1" x14ac:dyDescent="0.25">
      <c r="C439" s="8"/>
    </row>
    <row r="440" spans="3:3" ht="15.75" customHeight="1" x14ac:dyDescent="0.25">
      <c r="C440" s="8"/>
    </row>
    <row r="441" spans="3:3" ht="15.75" customHeight="1" x14ac:dyDescent="0.25">
      <c r="C441" s="8"/>
    </row>
    <row r="442" spans="3:3" ht="15.75" customHeight="1" x14ac:dyDescent="0.25">
      <c r="C442" s="8"/>
    </row>
    <row r="443" spans="3:3" ht="15.75" customHeight="1" x14ac:dyDescent="0.25">
      <c r="C443" s="8"/>
    </row>
    <row r="444" spans="3:3" ht="15.75" customHeight="1" x14ac:dyDescent="0.25">
      <c r="C444" s="8"/>
    </row>
    <row r="445" spans="3:3" ht="15.75" customHeight="1" x14ac:dyDescent="0.25">
      <c r="C445" s="8"/>
    </row>
    <row r="446" spans="3:3" ht="15.75" customHeight="1" x14ac:dyDescent="0.25">
      <c r="C446" s="8"/>
    </row>
    <row r="447" spans="3:3" ht="15.75" customHeight="1" x14ac:dyDescent="0.25">
      <c r="C447" s="8"/>
    </row>
    <row r="448" spans="3:3" ht="15.75" customHeight="1" x14ac:dyDescent="0.25">
      <c r="C448" s="8"/>
    </row>
    <row r="449" spans="3:3" ht="15.75" customHeight="1" x14ac:dyDescent="0.25">
      <c r="C449" s="8"/>
    </row>
    <row r="450" spans="3:3" ht="15.75" customHeight="1" x14ac:dyDescent="0.25">
      <c r="C450" s="8"/>
    </row>
    <row r="451" spans="3:3" ht="15.75" customHeight="1" x14ac:dyDescent="0.25">
      <c r="C451" s="8"/>
    </row>
    <row r="452" spans="3:3" ht="15.75" customHeight="1" x14ac:dyDescent="0.25">
      <c r="C452" s="8"/>
    </row>
    <row r="453" spans="3:3" ht="15.75" customHeight="1" x14ac:dyDescent="0.25">
      <c r="C453" s="8"/>
    </row>
    <row r="454" spans="3:3" ht="15.75" customHeight="1" x14ac:dyDescent="0.25">
      <c r="C454" s="8"/>
    </row>
    <row r="455" spans="3:3" ht="15.75" customHeight="1" x14ac:dyDescent="0.25">
      <c r="C455" s="8"/>
    </row>
    <row r="456" spans="3:3" ht="15.75" customHeight="1" x14ac:dyDescent="0.25">
      <c r="C456" s="8"/>
    </row>
    <row r="457" spans="3:3" ht="15.75" customHeight="1" x14ac:dyDescent="0.25">
      <c r="C457" s="8"/>
    </row>
    <row r="458" spans="3:3" ht="15.75" customHeight="1" x14ac:dyDescent="0.25">
      <c r="C458" s="8"/>
    </row>
    <row r="459" spans="3:3" ht="15.75" customHeight="1" x14ac:dyDescent="0.25">
      <c r="C459" s="8"/>
    </row>
    <row r="460" spans="3:3" ht="15.75" customHeight="1" x14ac:dyDescent="0.25">
      <c r="C460" s="8"/>
    </row>
    <row r="461" spans="3:3" ht="15.75" customHeight="1" x14ac:dyDescent="0.25">
      <c r="C461" s="8"/>
    </row>
    <row r="462" spans="3:3" ht="15.75" customHeight="1" x14ac:dyDescent="0.25">
      <c r="C462" s="8"/>
    </row>
    <row r="463" spans="3:3" ht="15.75" customHeight="1" x14ac:dyDescent="0.25">
      <c r="C463" s="8"/>
    </row>
    <row r="464" spans="3:3" ht="15.75" customHeight="1" x14ac:dyDescent="0.25">
      <c r="C464" s="8"/>
    </row>
    <row r="465" spans="3:3" ht="15.75" customHeight="1" x14ac:dyDescent="0.25">
      <c r="C465" s="8"/>
    </row>
    <row r="466" spans="3:3" ht="15.75" customHeight="1" x14ac:dyDescent="0.25">
      <c r="C466" s="8"/>
    </row>
    <row r="467" spans="3:3" ht="15.75" customHeight="1" x14ac:dyDescent="0.25">
      <c r="C467" s="8"/>
    </row>
    <row r="468" spans="3:3" ht="15.75" customHeight="1" x14ac:dyDescent="0.25">
      <c r="C468" s="8"/>
    </row>
    <row r="469" spans="3:3" ht="15.75" customHeight="1" x14ac:dyDescent="0.25">
      <c r="C469" s="8"/>
    </row>
    <row r="470" spans="3:3" ht="15.75" customHeight="1" x14ac:dyDescent="0.25">
      <c r="C470" s="8"/>
    </row>
    <row r="471" spans="3:3" ht="15.75" customHeight="1" x14ac:dyDescent="0.25">
      <c r="C471" s="8"/>
    </row>
    <row r="472" spans="3:3" ht="15.75" customHeight="1" x14ac:dyDescent="0.25">
      <c r="C472" s="8"/>
    </row>
    <row r="473" spans="3:3" ht="15.75" customHeight="1" x14ac:dyDescent="0.25">
      <c r="C473" s="8"/>
    </row>
    <row r="474" spans="3:3" ht="15.75" customHeight="1" x14ac:dyDescent="0.25">
      <c r="C474" s="8"/>
    </row>
    <row r="475" spans="3:3" ht="15.75" customHeight="1" x14ac:dyDescent="0.25">
      <c r="C475" s="8"/>
    </row>
    <row r="476" spans="3:3" ht="15.75" customHeight="1" x14ac:dyDescent="0.25">
      <c r="C476" s="8"/>
    </row>
    <row r="477" spans="3:3" ht="15.75" customHeight="1" x14ac:dyDescent="0.25">
      <c r="C477" s="8"/>
    </row>
    <row r="478" spans="3:3" ht="15.75" customHeight="1" x14ac:dyDescent="0.25">
      <c r="C478" s="8"/>
    </row>
    <row r="479" spans="3:3" ht="15.75" customHeight="1" x14ac:dyDescent="0.25">
      <c r="C479" s="8"/>
    </row>
    <row r="480" spans="3:3" ht="15.75" customHeight="1" x14ac:dyDescent="0.25">
      <c r="C480" s="8"/>
    </row>
    <row r="481" spans="3:3" ht="15.75" customHeight="1" x14ac:dyDescent="0.25">
      <c r="C481" s="8"/>
    </row>
    <row r="482" spans="3:3" ht="15.75" customHeight="1" x14ac:dyDescent="0.25">
      <c r="C482" s="8"/>
    </row>
    <row r="483" spans="3:3" ht="15.75" customHeight="1" x14ac:dyDescent="0.25">
      <c r="C483" s="8"/>
    </row>
    <row r="484" spans="3:3" ht="15.75" customHeight="1" x14ac:dyDescent="0.25">
      <c r="C484" s="8"/>
    </row>
    <row r="485" spans="3:3" ht="15.75" customHeight="1" x14ac:dyDescent="0.25">
      <c r="C485" s="8"/>
    </row>
    <row r="486" spans="3:3" ht="15.75" customHeight="1" x14ac:dyDescent="0.25">
      <c r="C486" s="8"/>
    </row>
    <row r="487" spans="3:3" ht="15.75" customHeight="1" x14ac:dyDescent="0.25">
      <c r="C487" s="8"/>
    </row>
    <row r="488" spans="3:3" ht="15.75" customHeight="1" x14ac:dyDescent="0.25">
      <c r="C488" s="8"/>
    </row>
    <row r="489" spans="3:3" ht="15.75" customHeight="1" x14ac:dyDescent="0.25">
      <c r="C489" s="8"/>
    </row>
    <row r="490" spans="3:3" ht="15.75" customHeight="1" x14ac:dyDescent="0.25">
      <c r="C490" s="8"/>
    </row>
    <row r="491" spans="3:3" ht="15.75" customHeight="1" x14ac:dyDescent="0.25">
      <c r="C491" s="8"/>
    </row>
    <row r="492" spans="3:3" ht="15.75" customHeight="1" x14ac:dyDescent="0.25">
      <c r="C492" s="8"/>
    </row>
    <row r="493" spans="3:3" ht="15.75" customHeight="1" x14ac:dyDescent="0.25">
      <c r="C493" s="8"/>
    </row>
    <row r="494" spans="3:3" ht="15.75" customHeight="1" x14ac:dyDescent="0.25">
      <c r="C494" s="8"/>
    </row>
    <row r="495" spans="3:3" ht="15.75" customHeight="1" x14ac:dyDescent="0.25">
      <c r="C495" s="8"/>
    </row>
    <row r="496" spans="3:3" ht="15.75" customHeight="1" x14ac:dyDescent="0.25">
      <c r="C496" s="8"/>
    </row>
    <row r="497" spans="3:3" ht="15.75" customHeight="1" x14ac:dyDescent="0.25">
      <c r="C497" s="8"/>
    </row>
    <row r="498" spans="3:3" ht="15.75" customHeight="1" x14ac:dyDescent="0.25">
      <c r="C498" s="8"/>
    </row>
    <row r="499" spans="3:3" ht="15.75" customHeight="1" x14ac:dyDescent="0.25">
      <c r="C499" s="8"/>
    </row>
    <row r="500" spans="3:3" ht="15.75" customHeight="1" x14ac:dyDescent="0.25">
      <c r="C500" s="8"/>
    </row>
    <row r="501" spans="3:3" ht="15.75" customHeight="1" x14ac:dyDescent="0.25">
      <c r="C501" s="8"/>
    </row>
    <row r="502" spans="3:3" ht="15.75" customHeight="1" x14ac:dyDescent="0.25">
      <c r="C502" s="8"/>
    </row>
    <row r="503" spans="3:3" ht="15.75" customHeight="1" x14ac:dyDescent="0.25">
      <c r="C503" s="8"/>
    </row>
    <row r="504" spans="3:3" ht="15.75" customHeight="1" x14ac:dyDescent="0.25">
      <c r="C504" s="8"/>
    </row>
    <row r="505" spans="3:3" ht="15.75" customHeight="1" x14ac:dyDescent="0.25">
      <c r="C505" s="8"/>
    </row>
    <row r="506" spans="3:3" ht="15.75" customHeight="1" x14ac:dyDescent="0.25">
      <c r="C506" s="8"/>
    </row>
    <row r="507" spans="3:3" ht="15.75" customHeight="1" x14ac:dyDescent="0.25">
      <c r="C507" s="8"/>
    </row>
    <row r="508" spans="3:3" ht="15.75" customHeight="1" x14ac:dyDescent="0.25">
      <c r="C508" s="8"/>
    </row>
    <row r="509" spans="3:3" ht="15.75" customHeight="1" x14ac:dyDescent="0.25">
      <c r="C509" s="8"/>
    </row>
    <row r="510" spans="3:3" ht="15.75" customHeight="1" x14ac:dyDescent="0.25">
      <c r="C510" s="8"/>
    </row>
    <row r="511" spans="3:3" ht="15.75" customHeight="1" x14ac:dyDescent="0.25">
      <c r="C511" s="8"/>
    </row>
    <row r="512" spans="3:3" ht="15.75" customHeight="1" x14ac:dyDescent="0.25">
      <c r="C512" s="8"/>
    </row>
    <row r="513" spans="3:3" ht="15.75" customHeight="1" x14ac:dyDescent="0.25">
      <c r="C513" s="8"/>
    </row>
    <row r="514" spans="3:3" ht="15.75" customHeight="1" x14ac:dyDescent="0.25">
      <c r="C514" s="8"/>
    </row>
    <row r="515" spans="3:3" ht="15.75" customHeight="1" x14ac:dyDescent="0.25">
      <c r="C515" s="8"/>
    </row>
    <row r="516" spans="3:3" ht="15.75" customHeight="1" x14ac:dyDescent="0.25">
      <c r="C516" s="8"/>
    </row>
    <row r="517" spans="3:3" ht="15.75" customHeight="1" x14ac:dyDescent="0.25">
      <c r="C517" s="8"/>
    </row>
    <row r="518" spans="3:3" ht="15.75" customHeight="1" x14ac:dyDescent="0.25">
      <c r="C518" s="8"/>
    </row>
    <row r="519" spans="3:3" ht="15.75" customHeight="1" x14ac:dyDescent="0.25">
      <c r="C519" s="8"/>
    </row>
    <row r="520" spans="3:3" ht="15.75" customHeight="1" x14ac:dyDescent="0.25">
      <c r="C520" s="8"/>
    </row>
    <row r="521" spans="3:3" ht="15.75" customHeight="1" x14ac:dyDescent="0.25">
      <c r="C521" s="8"/>
    </row>
    <row r="522" spans="3:3" ht="15.75" customHeight="1" x14ac:dyDescent="0.25">
      <c r="C522" s="8"/>
    </row>
    <row r="523" spans="3:3" ht="15.75" customHeight="1" x14ac:dyDescent="0.25">
      <c r="C523" s="8"/>
    </row>
    <row r="524" spans="3:3" ht="15.75" customHeight="1" x14ac:dyDescent="0.25">
      <c r="C524" s="8"/>
    </row>
    <row r="525" spans="3:3" ht="15.75" customHeight="1" x14ac:dyDescent="0.25">
      <c r="C525" s="8"/>
    </row>
    <row r="526" spans="3:3" ht="15.75" customHeight="1" x14ac:dyDescent="0.25">
      <c r="C526" s="8"/>
    </row>
    <row r="527" spans="3:3" ht="15.75" customHeight="1" x14ac:dyDescent="0.25">
      <c r="C527" s="8"/>
    </row>
    <row r="528" spans="3:3" ht="15.75" customHeight="1" x14ac:dyDescent="0.25">
      <c r="C528" s="8"/>
    </row>
    <row r="529" spans="3:3" ht="15.75" customHeight="1" x14ac:dyDescent="0.25">
      <c r="C529" s="8"/>
    </row>
    <row r="530" spans="3:3" ht="15.75" customHeight="1" x14ac:dyDescent="0.25">
      <c r="C530" s="8"/>
    </row>
    <row r="531" spans="3:3" ht="15.75" customHeight="1" x14ac:dyDescent="0.25">
      <c r="C531" s="8"/>
    </row>
    <row r="532" spans="3:3" ht="15.75" customHeight="1" x14ac:dyDescent="0.25">
      <c r="C532" s="8"/>
    </row>
    <row r="533" spans="3:3" ht="15.75" customHeight="1" x14ac:dyDescent="0.25">
      <c r="C533" s="8"/>
    </row>
    <row r="534" spans="3:3" ht="15.75" customHeight="1" x14ac:dyDescent="0.25">
      <c r="C534" s="8"/>
    </row>
    <row r="535" spans="3:3" ht="15.75" customHeight="1" x14ac:dyDescent="0.25">
      <c r="C535" s="8"/>
    </row>
    <row r="536" spans="3:3" ht="15.75" customHeight="1" x14ac:dyDescent="0.25">
      <c r="C536" s="8"/>
    </row>
    <row r="537" spans="3:3" ht="15.75" customHeight="1" x14ac:dyDescent="0.25">
      <c r="C537" s="8"/>
    </row>
    <row r="538" spans="3:3" ht="15.75" customHeight="1" x14ac:dyDescent="0.25">
      <c r="C538" s="8"/>
    </row>
    <row r="539" spans="3:3" ht="15.75" customHeight="1" x14ac:dyDescent="0.25">
      <c r="C539" s="8"/>
    </row>
    <row r="540" spans="3:3" ht="15.75" customHeight="1" x14ac:dyDescent="0.25">
      <c r="C540" s="8"/>
    </row>
    <row r="541" spans="3:3" ht="15.75" customHeight="1" x14ac:dyDescent="0.25">
      <c r="C541" s="8"/>
    </row>
    <row r="542" spans="3:3" ht="15.75" customHeight="1" x14ac:dyDescent="0.25">
      <c r="C542" s="8"/>
    </row>
    <row r="543" spans="3:3" ht="15.75" customHeight="1" x14ac:dyDescent="0.25">
      <c r="C543" s="8"/>
    </row>
    <row r="544" spans="3:3" ht="15.75" customHeight="1" x14ac:dyDescent="0.25">
      <c r="C544" s="8"/>
    </row>
    <row r="545" spans="3:3" ht="15.75" customHeight="1" x14ac:dyDescent="0.25">
      <c r="C545" s="8"/>
    </row>
    <row r="546" spans="3:3" ht="15.75" customHeight="1" x14ac:dyDescent="0.25">
      <c r="C546" s="8"/>
    </row>
    <row r="547" spans="3:3" ht="15.75" customHeight="1" x14ac:dyDescent="0.25">
      <c r="C547" s="8"/>
    </row>
    <row r="548" spans="3:3" ht="15.75" customHeight="1" x14ac:dyDescent="0.25">
      <c r="C548" s="8"/>
    </row>
    <row r="549" spans="3:3" ht="15.75" customHeight="1" x14ac:dyDescent="0.25">
      <c r="C549" s="8"/>
    </row>
    <row r="550" spans="3:3" ht="15.75" customHeight="1" x14ac:dyDescent="0.25">
      <c r="C550" s="8"/>
    </row>
    <row r="551" spans="3:3" ht="15.75" customHeight="1" x14ac:dyDescent="0.25">
      <c r="C551" s="8"/>
    </row>
    <row r="552" spans="3:3" ht="15.75" customHeight="1" x14ac:dyDescent="0.25">
      <c r="C552" s="8"/>
    </row>
    <row r="553" spans="3:3" ht="15.75" customHeight="1" x14ac:dyDescent="0.25">
      <c r="C553" s="8"/>
    </row>
    <row r="554" spans="3:3" ht="15.75" customHeight="1" x14ac:dyDescent="0.25">
      <c r="C554" s="8"/>
    </row>
    <row r="555" spans="3:3" ht="15.75" customHeight="1" x14ac:dyDescent="0.25">
      <c r="C555" s="8"/>
    </row>
    <row r="556" spans="3:3" ht="15.75" customHeight="1" x14ac:dyDescent="0.25">
      <c r="C556" s="8"/>
    </row>
    <row r="557" spans="3:3" ht="15.75" customHeight="1" x14ac:dyDescent="0.25">
      <c r="C557" s="8"/>
    </row>
    <row r="558" spans="3:3" ht="15.75" customHeight="1" x14ac:dyDescent="0.25">
      <c r="C558" s="8"/>
    </row>
    <row r="559" spans="3:3" ht="15.75" customHeight="1" x14ac:dyDescent="0.25">
      <c r="C559" s="8"/>
    </row>
    <row r="560" spans="3:3" ht="15.75" customHeight="1" x14ac:dyDescent="0.25">
      <c r="C560" s="8"/>
    </row>
    <row r="561" spans="3:3" ht="15.75" customHeight="1" x14ac:dyDescent="0.25">
      <c r="C561" s="8"/>
    </row>
    <row r="562" spans="3:3" ht="15.75" customHeight="1" x14ac:dyDescent="0.25">
      <c r="C562" s="8"/>
    </row>
    <row r="563" spans="3:3" ht="15.75" customHeight="1" x14ac:dyDescent="0.25">
      <c r="C563" s="8"/>
    </row>
    <row r="564" spans="3:3" ht="15.75" customHeight="1" x14ac:dyDescent="0.25">
      <c r="C564" s="8"/>
    </row>
    <row r="565" spans="3:3" ht="15.75" customHeight="1" x14ac:dyDescent="0.25">
      <c r="C565" s="8"/>
    </row>
    <row r="566" spans="3:3" ht="15.75" customHeight="1" x14ac:dyDescent="0.25">
      <c r="C566" s="8"/>
    </row>
    <row r="567" spans="3:3" ht="15.75" customHeight="1" x14ac:dyDescent="0.25">
      <c r="C567" s="8"/>
    </row>
    <row r="568" spans="3:3" ht="15.75" customHeight="1" x14ac:dyDescent="0.25">
      <c r="C568" s="8"/>
    </row>
    <row r="569" spans="3:3" ht="15.75" customHeight="1" x14ac:dyDescent="0.25">
      <c r="C569" s="8"/>
    </row>
    <row r="570" spans="3:3" ht="15.75" customHeight="1" x14ac:dyDescent="0.25">
      <c r="C570" s="8"/>
    </row>
    <row r="571" spans="3:3" ht="15.75" customHeight="1" x14ac:dyDescent="0.25">
      <c r="C571" s="8"/>
    </row>
    <row r="572" spans="3:3" ht="15.75" customHeight="1" x14ac:dyDescent="0.25">
      <c r="C572" s="8"/>
    </row>
    <row r="573" spans="3:3" ht="15.75" customHeight="1" x14ac:dyDescent="0.25">
      <c r="C573" s="8"/>
    </row>
    <row r="574" spans="3:3" ht="15.75" customHeight="1" x14ac:dyDescent="0.25">
      <c r="C574" s="8"/>
    </row>
    <row r="575" spans="3:3" ht="15.75" customHeight="1" x14ac:dyDescent="0.25">
      <c r="C575" s="8"/>
    </row>
    <row r="576" spans="3:3" ht="15.75" customHeight="1" x14ac:dyDescent="0.25">
      <c r="C576" s="8"/>
    </row>
    <row r="577" spans="3:3" ht="15.75" customHeight="1" x14ac:dyDescent="0.25">
      <c r="C577" s="8"/>
    </row>
    <row r="578" spans="3:3" ht="15.75" customHeight="1" x14ac:dyDescent="0.25">
      <c r="C578" s="8"/>
    </row>
    <row r="579" spans="3:3" ht="15.75" customHeight="1" x14ac:dyDescent="0.25">
      <c r="C579" s="8"/>
    </row>
    <row r="580" spans="3:3" ht="15.75" customHeight="1" x14ac:dyDescent="0.25">
      <c r="C580" s="8"/>
    </row>
    <row r="581" spans="3:3" ht="15.75" customHeight="1" x14ac:dyDescent="0.25">
      <c r="C581" s="8"/>
    </row>
    <row r="582" spans="3:3" ht="15.75" customHeight="1" x14ac:dyDescent="0.25">
      <c r="C582" s="8"/>
    </row>
    <row r="583" spans="3:3" ht="15.75" customHeight="1" x14ac:dyDescent="0.25">
      <c r="C583" s="8"/>
    </row>
    <row r="584" spans="3:3" ht="15.75" customHeight="1" x14ac:dyDescent="0.25">
      <c r="C584" s="8"/>
    </row>
    <row r="585" spans="3:3" ht="15.75" customHeight="1" x14ac:dyDescent="0.25">
      <c r="C585" s="8"/>
    </row>
    <row r="586" spans="3:3" ht="15.75" customHeight="1" x14ac:dyDescent="0.25">
      <c r="C586" s="8"/>
    </row>
    <row r="587" spans="3:3" ht="15.75" customHeight="1" x14ac:dyDescent="0.25">
      <c r="C587" s="8"/>
    </row>
    <row r="588" spans="3:3" ht="15.75" customHeight="1" x14ac:dyDescent="0.25">
      <c r="C588" s="8"/>
    </row>
    <row r="589" spans="3:3" ht="15.75" customHeight="1" x14ac:dyDescent="0.25">
      <c r="C589" s="8"/>
    </row>
    <row r="590" spans="3:3" ht="15.75" customHeight="1" x14ac:dyDescent="0.25">
      <c r="C590" s="8"/>
    </row>
    <row r="591" spans="3:3" ht="15.75" customHeight="1" x14ac:dyDescent="0.25">
      <c r="C591" s="8"/>
    </row>
    <row r="592" spans="3:3" ht="15.75" customHeight="1" x14ac:dyDescent="0.25">
      <c r="C592" s="8"/>
    </row>
    <row r="593" spans="3:3" ht="15.75" customHeight="1" x14ac:dyDescent="0.25">
      <c r="C593" s="8"/>
    </row>
    <row r="594" spans="3:3" ht="15.75" customHeight="1" x14ac:dyDescent="0.25">
      <c r="C594" s="8"/>
    </row>
    <row r="595" spans="3:3" ht="15.75" customHeight="1" x14ac:dyDescent="0.25">
      <c r="C595" s="8"/>
    </row>
    <row r="596" spans="3:3" ht="15.75" customHeight="1" x14ac:dyDescent="0.25">
      <c r="C596" s="8"/>
    </row>
    <row r="597" spans="3:3" ht="15.75" customHeight="1" x14ac:dyDescent="0.25">
      <c r="C597" s="8"/>
    </row>
    <row r="598" spans="3:3" ht="15.75" customHeight="1" x14ac:dyDescent="0.25">
      <c r="C598" s="8"/>
    </row>
    <row r="599" spans="3:3" ht="15.75" customHeight="1" x14ac:dyDescent="0.25">
      <c r="C599" s="8"/>
    </row>
    <row r="600" spans="3:3" ht="15.75" customHeight="1" x14ac:dyDescent="0.25">
      <c r="C600" s="8"/>
    </row>
    <row r="601" spans="3:3" ht="15.75" customHeight="1" x14ac:dyDescent="0.25">
      <c r="C601" s="8"/>
    </row>
    <row r="602" spans="3:3" ht="15.75" customHeight="1" x14ac:dyDescent="0.25">
      <c r="C602" s="8"/>
    </row>
    <row r="603" spans="3:3" ht="15.75" customHeight="1" x14ac:dyDescent="0.25">
      <c r="C603" s="8"/>
    </row>
    <row r="604" spans="3:3" ht="15.75" customHeight="1" x14ac:dyDescent="0.25">
      <c r="C604" s="8"/>
    </row>
    <row r="605" spans="3:3" ht="15.75" customHeight="1" x14ac:dyDescent="0.25">
      <c r="C605" s="8"/>
    </row>
    <row r="606" spans="3:3" ht="15.75" customHeight="1" x14ac:dyDescent="0.25">
      <c r="C606" s="8"/>
    </row>
    <row r="607" spans="3:3" ht="15.75" customHeight="1" x14ac:dyDescent="0.25">
      <c r="C607" s="8"/>
    </row>
    <row r="608" spans="3:3" ht="15.75" customHeight="1" x14ac:dyDescent="0.25">
      <c r="C608" s="8"/>
    </row>
    <row r="609" spans="3:3" ht="15.75" customHeight="1" x14ac:dyDescent="0.25">
      <c r="C609" s="8"/>
    </row>
    <row r="610" spans="3:3" ht="15.75" customHeight="1" x14ac:dyDescent="0.25">
      <c r="C610" s="8"/>
    </row>
    <row r="611" spans="3:3" ht="15.75" customHeight="1" x14ac:dyDescent="0.25">
      <c r="C611" s="8"/>
    </row>
    <row r="612" spans="3:3" ht="15.75" customHeight="1" x14ac:dyDescent="0.25">
      <c r="C612" s="8"/>
    </row>
    <row r="613" spans="3:3" ht="15.75" customHeight="1" x14ac:dyDescent="0.25">
      <c r="C613" s="8"/>
    </row>
    <row r="614" spans="3:3" ht="15.75" customHeight="1" x14ac:dyDescent="0.25">
      <c r="C614" s="8"/>
    </row>
    <row r="615" spans="3:3" ht="15.75" customHeight="1" x14ac:dyDescent="0.25">
      <c r="C615" s="8"/>
    </row>
    <row r="616" spans="3:3" ht="15.75" customHeight="1" x14ac:dyDescent="0.25">
      <c r="C616" s="8"/>
    </row>
    <row r="617" spans="3:3" ht="15.75" customHeight="1" x14ac:dyDescent="0.25">
      <c r="C617" s="8"/>
    </row>
    <row r="618" spans="3:3" ht="15.75" customHeight="1" x14ac:dyDescent="0.25">
      <c r="C618" s="8"/>
    </row>
    <row r="619" spans="3:3" ht="15.75" customHeight="1" x14ac:dyDescent="0.25">
      <c r="C619" s="8"/>
    </row>
    <row r="620" spans="3:3" ht="15.75" customHeight="1" x14ac:dyDescent="0.25">
      <c r="C620" s="8"/>
    </row>
    <row r="621" spans="3:3" ht="15.75" customHeight="1" x14ac:dyDescent="0.25">
      <c r="C621" s="8"/>
    </row>
    <row r="622" spans="3:3" ht="15.75" customHeight="1" x14ac:dyDescent="0.25">
      <c r="C622" s="8"/>
    </row>
    <row r="623" spans="3:3" ht="15.75" customHeight="1" x14ac:dyDescent="0.25">
      <c r="C623" s="8"/>
    </row>
    <row r="624" spans="3:3" ht="15.75" customHeight="1" x14ac:dyDescent="0.25">
      <c r="C624" s="8"/>
    </row>
    <row r="625" spans="3:3" ht="15.75" customHeight="1" x14ac:dyDescent="0.25">
      <c r="C625" s="8"/>
    </row>
    <row r="626" spans="3:3" ht="15.75" customHeight="1" x14ac:dyDescent="0.25">
      <c r="C626" s="8"/>
    </row>
    <row r="627" spans="3:3" ht="15.75" customHeight="1" x14ac:dyDescent="0.25">
      <c r="C627" s="8"/>
    </row>
    <row r="628" spans="3:3" ht="15.75" customHeight="1" x14ac:dyDescent="0.25">
      <c r="C628" s="8"/>
    </row>
    <row r="629" spans="3:3" ht="15.75" customHeight="1" x14ac:dyDescent="0.25">
      <c r="C629" s="8"/>
    </row>
    <row r="630" spans="3:3" ht="15.75" customHeight="1" x14ac:dyDescent="0.25">
      <c r="C630" s="8"/>
    </row>
    <row r="631" spans="3:3" ht="15.75" customHeight="1" x14ac:dyDescent="0.25">
      <c r="C631" s="8"/>
    </row>
    <row r="632" spans="3:3" ht="15.75" customHeight="1" x14ac:dyDescent="0.25">
      <c r="C632" s="8"/>
    </row>
    <row r="633" spans="3:3" ht="15.75" customHeight="1" x14ac:dyDescent="0.25">
      <c r="C633" s="8"/>
    </row>
    <row r="634" spans="3:3" ht="15.75" customHeight="1" x14ac:dyDescent="0.25">
      <c r="C634" s="8"/>
    </row>
    <row r="635" spans="3:3" ht="15.75" customHeight="1" x14ac:dyDescent="0.25">
      <c r="C635" s="8"/>
    </row>
    <row r="636" spans="3:3" ht="15.75" customHeight="1" x14ac:dyDescent="0.25">
      <c r="C636" s="8"/>
    </row>
    <row r="637" spans="3:3" ht="15.75" customHeight="1" x14ac:dyDescent="0.25">
      <c r="C637" s="8"/>
    </row>
    <row r="638" spans="3:3" ht="15.75" customHeight="1" x14ac:dyDescent="0.25">
      <c r="C638" s="8"/>
    </row>
    <row r="639" spans="3:3" ht="15.75" customHeight="1" x14ac:dyDescent="0.25">
      <c r="C639" s="8"/>
    </row>
    <row r="640" spans="3:3" ht="15.75" customHeight="1" x14ac:dyDescent="0.25">
      <c r="C640" s="8"/>
    </row>
    <row r="641" spans="3:3" ht="15.75" customHeight="1" x14ac:dyDescent="0.25">
      <c r="C641" s="8"/>
    </row>
    <row r="642" spans="3:3" ht="15.75" customHeight="1" x14ac:dyDescent="0.25">
      <c r="C642" s="8"/>
    </row>
    <row r="643" spans="3:3" ht="15.75" customHeight="1" x14ac:dyDescent="0.25">
      <c r="C643" s="8"/>
    </row>
    <row r="644" spans="3:3" ht="15.75" customHeight="1" x14ac:dyDescent="0.25">
      <c r="C644" s="8"/>
    </row>
    <row r="645" spans="3:3" ht="15.75" customHeight="1" x14ac:dyDescent="0.25">
      <c r="C645" s="8"/>
    </row>
    <row r="646" spans="3:3" ht="15.75" customHeight="1" x14ac:dyDescent="0.25">
      <c r="C646" s="8"/>
    </row>
    <row r="647" spans="3:3" ht="15.75" customHeight="1" x14ac:dyDescent="0.25">
      <c r="C647" s="8"/>
    </row>
    <row r="648" spans="3:3" ht="15.75" customHeight="1" x14ac:dyDescent="0.25">
      <c r="C648" s="8"/>
    </row>
    <row r="649" spans="3:3" ht="15.75" customHeight="1" x14ac:dyDescent="0.25">
      <c r="C649" s="8"/>
    </row>
    <row r="650" spans="3:3" ht="15.75" customHeight="1" x14ac:dyDescent="0.25">
      <c r="C650" s="8"/>
    </row>
    <row r="651" spans="3:3" ht="15.75" customHeight="1" x14ac:dyDescent="0.25">
      <c r="C651" s="8"/>
    </row>
    <row r="652" spans="3:3" ht="15.75" customHeight="1" x14ac:dyDescent="0.25">
      <c r="C652" s="8"/>
    </row>
    <row r="653" spans="3:3" ht="15.75" customHeight="1" x14ac:dyDescent="0.25">
      <c r="C653" s="8"/>
    </row>
    <row r="654" spans="3:3" ht="15.75" customHeight="1" x14ac:dyDescent="0.25">
      <c r="C654" s="8"/>
    </row>
    <row r="655" spans="3:3" ht="15.75" customHeight="1" x14ac:dyDescent="0.25">
      <c r="C655" s="8"/>
    </row>
    <row r="656" spans="3:3" ht="15.75" customHeight="1" x14ac:dyDescent="0.25">
      <c r="C656" s="8"/>
    </row>
    <row r="657" spans="3:3" ht="15.75" customHeight="1" x14ac:dyDescent="0.25">
      <c r="C657" s="8"/>
    </row>
    <row r="658" spans="3:3" ht="15.75" customHeight="1" x14ac:dyDescent="0.25">
      <c r="C658" s="8"/>
    </row>
    <row r="659" spans="3:3" ht="15.75" customHeight="1" x14ac:dyDescent="0.25">
      <c r="C659" s="8"/>
    </row>
    <row r="660" spans="3:3" ht="15.75" customHeight="1" x14ac:dyDescent="0.25">
      <c r="C660" s="8"/>
    </row>
    <row r="661" spans="3:3" ht="15.75" customHeight="1" x14ac:dyDescent="0.25">
      <c r="C661" s="8"/>
    </row>
    <row r="662" spans="3:3" ht="15.75" customHeight="1" x14ac:dyDescent="0.25">
      <c r="C662" s="8"/>
    </row>
    <row r="663" spans="3:3" ht="15.75" customHeight="1" x14ac:dyDescent="0.25">
      <c r="C663" s="8"/>
    </row>
    <row r="664" spans="3:3" ht="15.75" customHeight="1" x14ac:dyDescent="0.25">
      <c r="C664" s="8"/>
    </row>
    <row r="665" spans="3:3" ht="15.75" customHeight="1" x14ac:dyDescent="0.25">
      <c r="C665" s="8"/>
    </row>
    <row r="666" spans="3:3" ht="15.75" customHeight="1" x14ac:dyDescent="0.25">
      <c r="C666" s="8"/>
    </row>
    <row r="667" spans="3:3" ht="15.75" customHeight="1" x14ac:dyDescent="0.25">
      <c r="C667" s="8"/>
    </row>
    <row r="668" spans="3:3" ht="15.75" customHeight="1" x14ac:dyDescent="0.25">
      <c r="C668" s="8"/>
    </row>
    <row r="669" spans="3:3" ht="15.75" customHeight="1" x14ac:dyDescent="0.25">
      <c r="C669" s="8"/>
    </row>
    <row r="670" spans="3:3" ht="15.75" customHeight="1" x14ac:dyDescent="0.25">
      <c r="C670" s="8"/>
    </row>
    <row r="671" spans="3:3" ht="15.75" customHeight="1" x14ac:dyDescent="0.25">
      <c r="C671" s="8"/>
    </row>
    <row r="672" spans="3:3" ht="15.75" customHeight="1" x14ac:dyDescent="0.25">
      <c r="C672" s="8"/>
    </row>
    <row r="673" spans="3:3" ht="15.75" customHeight="1" x14ac:dyDescent="0.25">
      <c r="C673" s="8"/>
    </row>
    <row r="674" spans="3:3" ht="15.75" customHeight="1" x14ac:dyDescent="0.25">
      <c r="C674" s="8"/>
    </row>
    <row r="675" spans="3:3" ht="15.75" customHeight="1" x14ac:dyDescent="0.25">
      <c r="C675" s="8"/>
    </row>
    <row r="676" spans="3:3" ht="15.75" customHeight="1" x14ac:dyDescent="0.25">
      <c r="C676" s="8"/>
    </row>
    <row r="677" spans="3:3" ht="15.75" customHeight="1" x14ac:dyDescent="0.25">
      <c r="C677" s="8"/>
    </row>
    <row r="678" spans="3:3" ht="15.75" customHeight="1" x14ac:dyDescent="0.25">
      <c r="C678" s="8"/>
    </row>
    <row r="679" spans="3:3" ht="15.75" customHeight="1" x14ac:dyDescent="0.25">
      <c r="C679" s="8"/>
    </row>
    <row r="680" spans="3:3" ht="15.75" customHeight="1" x14ac:dyDescent="0.25">
      <c r="C680" s="8"/>
    </row>
    <row r="681" spans="3:3" ht="15.75" customHeight="1" x14ac:dyDescent="0.25">
      <c r="C681" s="8"/>
    </row>
    <row r="682" spans="3:3" ht="15.75" customHeight="1" x14ac:dyDescent="0.25">
      <c r="C682" s="8"/>
    </row>
    <row r="683" spans="3:3" ht="15.75" customHeight="1" x14ac:dyDescent="0.25">
      <c r="C683" s="8"/>
    </row>
    <row r="684" spans="3:3" ht="15.75" customHeight="1" x14ac:dyDescent="0.25">
      <c r="C684" s="8"/>
    </row>
    <row r="685" spans="3:3" ht="15.75" customHeight="1" x14ac:dyDescent="0.25">
      <c r="C685" s="8"/>
    </row>
    <row r="686" spans="3:3" ht="15.75" customHeight="1" x14ac:dyDescent="0.25">
      <c r="C686" s="8"/>
    </row>
    <row r="687" spans="3:3" ht="15.75" customHeight="1" x14ac:dyDescent="0.25">
      <c r="C687" s="8"/>
    </row>
    <row r="688" spans="3:3" ht="15.75" customHeight="1" x14ac:dyDescent="0.25">
      <c r="C688" s="8"/>
    </row>
    <row r="689" spans="3:3" ht="15.75" customHeight="1" x14ac:dyDescent="0.25">
      <c r="C689" s="8"/>
    </row>
    <row r="690" spans="3:3" ht="15.75" customHeight="1" x14ac:dyDescent="0.25">
      <c r="C690" s="8"/>
    </row>
    <row r="691" spans="3:3" ht="15.75" customHeight="1" x14ac:dyDescent="0.25">
      <c r="C691" s="8"/>
    </row>
    <row r="692" spans="3:3" ht="15.75" customHeight="1" x14ac:dyDescent="0.25">
      <c r="C692" s="8"/>
    </row>
    <row r="693" spans="3:3" ht="15.75" customHeight="1" x14ac:dyDescent="0.25">
      <c r="C693" s="8"/>
    </row>
    <row r="694" spans="3:3" ht="15.75" customHeight="1" x14ac:dyDescent="0.25">
      <c r="C694" s="8"/>
    </row>
    <row r="695" spans="3:3" ht="15.75" customHeight="1" x14ac:dyDescent="0.25">
      <c r="C695" s="8"/>
    </row>
    <row r="696" spans="3:3" ht="15.75" customHeight="1" x14ac:dyDescent="0.25">
      <c r="C696" s="8"/>
    </row>
    <row r="697" spans="3:3" ht="15.75" customHeight="1" x14ac:dyDescent="0.25">
      <c r="C697" s="8"/>
    </row>
    <row r="698" spans="3:3" ht="15.75" customHeight="1" x14ac:dyDescent="0.25">
      <c r="C698" s="8"/>
    </row>
    <row r="699" spans="3:3" ht="15.75" customHeight="1" x14ac:dyDescent="0.25">
      <c r="C699" s="8"/>
    </row>
    <row r="700" spans="3:3" ht="15.75" customHeight="1" x14ac:dyDescent="0.25">
      <c r="C700" s="8"/>
    </row>
    <row r="701" spans="3:3" ht="15.75" customHeight="1" x14ac:dyDescent="0.25">
      <c r="C701" s="8"/>
    </row>
    <row r="702" spans="3:3" ht="15.75" customHeight="1" x14ac:dyDescent="0.25">
      <c r="C702" s="8"/>
    </row>
    <row r="703" spans="3:3" ht="15.75" customHeight="1" x14ac:dyDescent="0.25">
      <c r="C703" s="8"/>
    </row>
    <row r="704" spans="3:3" ht="15.75" customHeight="1" x14ac:dyDescent="0.25">
      <c r="C704" s="8"/>
    </row>
    <row r="705" spans="3:3" ht="15.75" customHeight="1" x14ac:dyDescent="0.25">
      <c r="C705" s="8"/>
    </row>
    <row r="706" spans="3:3" ht="15.75" customHeight="1" x14ac:dyDescent="0.25">
      <c r="C706" s="8"/>
    </row>
    <row r="707" spans="3:3" ht="15.75" customHeight="1" x14ac:dyDescent="0.25">
      <c r="C707" s="8"/>
    </row>
    <row r="708" spans="3:3" ht="15.75" customHeight="1" x14ac:dyDescent="0.25">
      <c r="C708" s="8"/>
    </row>
    <row r="709" spans="3:3" ht="15.75" customHeight="1" x14ac:dyDescent="0.25">
      <c r="C709" s="8"/>
    </row>
    <row r="710" spans="3:3" ht="15.75" customHeight="1" x14ac:dyDescent="0.25">
      <c r="C710" s="8"/>
    </row>
    <row r="711" spans="3:3" ht="15.75" customHeight="1" x14ac:dyDescent="0.25">
      <c r="C711" s="8"/>
    </row>
    <row r="712" spans="3:3" ht="15.75" customHeight="1" x14ac:dyDescent="0.25">
      <c r="C712" s="8"/>
    </row>
    <row r="713" spans="3:3" ht="15.75" customHeight="1" x14ac:dyDescent="0.25">
      <c r="C713" s="8"/>
    </row>
    <row r="714" spans="3:3" ht="15.75" customHeight="1" x14ac:dyDescent="0.25">
      <c r="C714" s="8"/>
    </row>
    <row r="715" spans="3:3" ht="15.75" customHeight="1" x14ac:dyDescent="0.25">
      <c r="C715" s="8"/>
    </row>
    <row r="716" spans="3:3" ht="15.75" customHeight="1" x14ac:dyDescent="0.25">
      <c r="C716" s="8"/>
    </row>
    <row r="717" spans="3:3" ht="15.75" customHeight="1" x14ac:dyDescent="0.25">
      <c r="C717" s="8"/>
    </row>
    <row r="718" spans="3:3" ht="15.75" customHeight="1" x14ac:dyDescent="0.25">
      <c r="C718" s="8"/>
    </row>
    <row r="719" spans="3:3" ht="15.75" customHeight="1" x14ac:dyDescent="0.25">
      <c r="C719" s="8"/>
    </row>
    <row r="720" spans="3:3" ht="15.75" customHeight="1" x14ac:dyDescent="0.25">
      <c r="C720" s="8"/>
    </row>
    <row r="721" spans="3:3" ht="15.75" customHeight="1" x14ac:dyDescent="0.25">
      <c r="C721" s="8"/>
    </row>
    <row r="722" spans="3:3" ht="15.75" customHeight="1" x14ac:dyDescent="0.25">
      <c r="C722" s="8"/>
    </row>
    <row r="723" spans="3:3" ht="15.75" customHeight="1" x14ac:dyDescent="0.25">
      <c r="C723" s="8"/>
    </row>
    <row r="724" spans="3:3" ht="15.75" customHeight="1" x14ac:dyDescent="0.25">
      <c r="C724" s="8"/>
    </row>
    <row r="725" spans="3:3" ht="15.75" customHeight="1" x14ac:dyDescent="0.25">
      <c r="C725" s="8"/>
    </row>
    <row r="726" spans="3:3" ht="15.75" customHeight="1" x14ac:dyDescent="0.25">
      <c r="C726" s="8"/>
    </row>
    <row r="727" spans="3:3" ht="15.75" customHeight="1" x14ac:dyDescent="0.25">
      <c r="C727" s="8"/>
    </row>
    <row r="728" spans="3:3" ht="15.75" customHeight="1" x14ac:dyDescent="0.25">
      <c r="C728" s="8"/>
    </row>
    <row r="729" spans="3:3" ht="15.75" customHeight="1" x14ac:dyDescent="0.25">
      <c r="C729" s="8"/>
    </row>
    <row r="730" spans="3:3" ht="15.75" customHeight="1" x14ac:dyDescent="0.25">
      <c r="C730" s="8"/>
    </row>
    <row r="731" spans="3:3" ht="15.75" customHeight="1" x14ac:dyDescent="0.25">
      <c r="C731" s="8"/>
    </row>
    <row r="732" spans="3:3" ht="15.75" customHeight="1" x14ac:dyDescent="0.25">
      <c r="C732" s="8"/>
    </row>
    <row r="733" spans="3:3" ht="15.75" customHeight="1" x14ac:dyDescent="0.25">
      <c r="C733" s="8"/>
    </row>
    <row r="734" spans="3:3" ht="15.75" customHeight="1" x14ac:dyDescent="0.25">
      <c r="C734" s="8"/>
    </row>
    <row r="735" spans="3:3" ht="15.75" customHeight="1" x14ac:dyDescent="0.25">
      <c r="C735" s="8"/>
    </row>
    <row r="736" spans="3:3" ht="15.75" customHeight="1" x14ac:dyDescent="0.25">
      <c r="C736" s="8"/>
    </row>
    <row r="737" spans="3:3" ht="15.75" customHeight="1" x14ac:dyDescent="0.25">
      <c r="C737" s="8"/>
    </row>
    <row r="738" spans="3:3" ht="15.75" customHeight="1" x14ac:dyDescent="0.25">
      <c r="C738" s="8"/>
    </row>
    <row r="739" spans="3:3" ht="15.75" customHeight="1" x14ac:dyDescent="0.25">
      <c r="C739" s="8"/>
    </row>
    <row r="740" spans="3:3" ht="15.75" customHeight="1" x14ac:dyDescent="0.25">
      <c r="C740" s="8"/>
    </row>
    <row r="741" spans="3:3" ht="15.75" customHeight="1" x14ac:dyDescent="0.25">
      <c r="C741" s="8"/>
    </row>
    <row r="742" spans="3:3" ht="15.75" customHeight="1" x14ac:dyDescent="0.25">
      <c r="C742" s="8"/>
    </row>
    <row r="743" spans="3:3" ht="15.75" customHeight="1" x14ac:dyDescent="0.25">
      <c r="C743" s="8"/>
    </row>
    <row r="744" spans="3:3" ht="15.75" customHeight="1" x14ac:dyDescent="0.25">
      <c r="C744" s="8"/>
    </row>
    <row r="745" spans="3:3" ht="15.75" customHeight="1" x14ac:dyDescent="0.25">
      <c r="C745" s="8"/>
    </row>
    <row r="746" spans="3:3" ht="15.75" customHeight="1" x14ac:dyDescent="0.25">
      <c r="C746" s="8"/>
    </row>
    <row r="747" spans="3:3" ht="15.75" customHeight="1" x14ac:dyDescent="0.25">
      <c r="C747" s="8"/>
    </row>
    <row r="748" spans="3:3" ht="15.75" customHeight="1" x14ac:dyDescent="0.25">
      <c r="C748" s="8"/>
    </row>
    <row r="749" spans="3:3" ht="15.75" customHeight="1" x14ac:dyDescent="0.25">
      <c r="C749" s="8"/>
    </row>
    <row r="750" spans="3:3" ht="15.75" customHeight="1" x14ac:dyDescent="0.25">
      <c r="C750" s="8"/>
    </row>
    <row r="751" spans="3:3" ht="15.75" customHeight="1" x14ac:dyDescent="0.25">
      <c r="C751" s="8"/>
    </row>
    <row r="752" spans="3:3" ht="15.75" customHeight="1" x14ac:dyDescent="0.25">
      <c r="C752" s="8"/>
    </row>
    <row r="753" spans="3:3" ht="15.75" customHeight="1" x14ac:dyDescent="0.25">
      <c r="C753" s="8"/>
    </row>
    <row r="754" spans="3:3" ht="15.75" customHeight="1" x14ac:dyDescent="0.25">
      <c r="C754" s="8"/>
    </row>
    <row r="755" spans="3:3" ht="15.75" customHeight="1" x14ac:dyDescent="0.25">
      <c r="C755" s="8"/>
    </row>
    <row r="756" spans="3:3" ht="15.75" customHeight="1" x14ac:dyDescent="0.25">
      <c r="C756" s="8"/>
    </row>
    <row r="757" spans="3:3" ht="15.75" customHeight="1" x14ac:dyDescent="0.25">
      <c r="C757" s="8"/>
    </row>
    <row r="758" spans="3:3" ht="15.75" customHeight="1" x14ac:dyDescent="0.25">
      <c r="C758" s="8"/>
    </row>
    <row r="759" spans="3:3" ht="15.75" customHeight="1" x14ac:dyDescent="0.25">
      <c r="C759" s="8"/>
    </row>
    <row r="760" spans="3:3" ht="15.75" customHeight="1" x14ac:dyDescent="0.25">
      <c r="C760" s="8"/>
    </row>
    <row r="761" spans="3:3" ht="15.75" customHeight="1" x14ac:dyDescent="0.25">
      <c r="C761" s="8"/>
    </row>
    <row r="762" spans="3:3" ht="15.75" customHeight="1" x14ac:dyDescent="0.25">
      <c r="C762" s="8"/>
    </row>
    <row r="763" spans="3:3" ht="15.75" customHeight="1" x14ac:dyDescent="0.25">
      <c r="C763" s="8"/>
    </row>
    <row r="764" spans="3:3" ht="15.75" customHeight="1" x14ac:dyDescent="0.25">
      <c r="C764" s="8"/>
    </row>
    <row r="765" spans="3:3" ht="15.75" customHeight="1" x14ac:dyDescent="0.25">
      <c r="C765" s="8"/>
    </row>
    <row r="766" spans="3:3" ht="15.75" customHeight="1" x14ac:dyDescent="0.25">
      <c r="C766" s="8"/>
    </row>
    <row r="767" spans="3:3" ht="15.75" customHeight="1" x14ac:dyDescent="0.25">
      <c r="C767" s="8"/>
    </row>
    <row r="768" spans="3:3" ht="15.75" customHeight="1" x14ac:dyDescent="0.25">
      <c r="C768" s="8"/>
    </row>
    <row r="769" spans="3:3" ht="15.75" customHeight="1" x14ac:dyDescent="0.25">
      <c r="C769" s="8"/>
    </row>
    <row r="770" spans="3:3" ht="15.75" customHeight="1" x14ac:dyDescent="0.25">
      <c r="C770" s="8"/>
    </row>
    <row r="771" spans="3:3" ht="15.75" customHeight="1" x14ac:dyDescent="0.25">
      <c r="C771" s="8"/>
    </row>
    <row r="772" spans="3:3" ht="15.75" customHeight="1" x14ac:dyDescent="0.25">
      <c r="C772" s="8"/>
    </row>
    <row r="773" spans="3:3" ht="15.75" customHeight="1" x14ac:dyDescent="0.25">
      <c r="C773" s="8"/>
    </row>
    <row r="774" spans="3:3" ht="15.75" customHeight="1" x14ac:dyDescent="0.25">
      <c r="C774" s="8"/>
    </row>
    <row r="775" spans="3:3" ht="15.75" customHeight="1" x14ac:dyDescent="0.25">
      <c r="C775" s="8"/>
    </row>
    <row r="776" spans="3:3" ht="15.75" customHeight="1" x14ac:dyDescent="0.25">
      <c r="C776" s="8"/>
    </row>
    <row r="777" spans="3:3" ht="15.75" customHeight="1" x14ac:dyDescent="0.25">
      <c r="C777" s="8"/>
    </row>
    <row r="778" spans="3:3" ht="15.75" customHeight="1" x14ac:dyDescent="0.25">
      <c r="C778" s="8"/>
    </row>
    <row r="779" spans="3:3" ht="15.75" customHeight="1" x14ac:dyDescent="0.25">
      <c r="C779" s="8"/>
    </row>
    <row r="780" spans="3:3" ht="15.75" customHeight="1" x14ac:dyDescent="0.25">
      <c r="C780" s="8"/>
    </row>
    <row r="781" spans="3:3" ht="15.75" customHeight="1" x14ac:dyDescent="0.25">
      <c r="C781" s="8"/>
    </row>
    <row r="782" spans="3:3" ht="15.75" customHeight="1" x14ac:dyDescent="0.25">
      <c r="C782" s="8"/>
    </row>
    <row r="783" spans="3:3" ht="15.75" customHeight="1" x14ac:dyDescent="0.25">
      <c r="C783" s="8"/>
    </row>
    <row r="784" spans="3:3" ht="15.75" customHeight="1" x14ac:dyDescent="0.25">
      <c r="C784" s="8"/>
    </row>
    <row r="785" spans="3:3" ht="15.75" customHeight="1" x14ac:dyDescent="0.25">
      <c r="C785" s="8"/>
    </row>
    <row r="786" spans="3:3" ht="15.75" customHeight="1" x14ac:dyDescent="0.25">
      <c r="C786" s="8"/>
    </row>
    <row r="787" spans="3:3" ht="15.75" customHeight="1" x14ac:dyDescent="0.25">
      <c r="C787" s="8"/>
    </row>
    <row r="788" spans="3:3" ht="15.75" customHeight="1" x14ac:dyDescent="0.25">
      <c r="C788" s="8"/>
    </row>
    <row r="789" spans="3:3" ht="15.75" customHeight="1" x14ac:dyDescent="0.25">
      <c r="C789" s="8"/>
    </row>
    <row r="790" spans="3:3" ht="15.75" customHeight="1" x14ac:dyDescent="0.25">
      <c r="C790" s="8"/>
    </row>
    <row r="791" spans="3:3" ht="15.75" customHeight="1" x14ac:dyDescent="0.25">
      <c r="C791" s="8"/>
    </row>
    <row r="792" spans="3:3" ht="15.75" customHeight="1" x14ac:dyDescent="0.25">
      <c r="C792" s="8"/>
    </row>
    <row r="793" spans="3:3" ht="15.75" customHeight="1" x14ac:dyDescent="0.25">
      <c r="C793" s="8"/>
    </row>
    <row r="794" spans="3:3" ht="15.75" customHeight="1" x14ac:dyDescent="0.25">
      <c r="C794" s="8"/>
    </row>
    <row r="795" spans="3:3" ht="15.75" customHeight="1" x14ac:dyDescent="0.25">
      <c r="C795" s="8"/>
    </row>
    <row r="796" spans="3:3" ht="15.75" customHeight="1" x14ac:dyDescent="0.25">
      <c r="C796" s="8"/>
    </row>
    <row r="797" spans="3:3" ht="15.75" customHeight="1" x14ac:dyDescent="0.25">
      <c r="C797" s="8"/>
    </row>
    <row r="798" spans="3:3" ht="15.75" customHeight="1" x14ac:dyDescent="0.25">
      <c r="C798" s="8"/>
    </row>
    <row r="799" spans="3:3" ht="15.75" customHeight="1" x14ac:dyDescent="0.25">
      <c r="C799" s="8"/>
    </row>
    <row r="800" spans="3:3" ht="15.75" customHeight="1" x14ac:dyDescent="0.25">
      <c r="C800" s="8"/>
    </row>
    <row r="801" spans="3:3" ht="15.75" customHeight="1" x14ac:dyDescent="0.25">
      <c r="C801" s="8"/>
    </row>
    <row r="802" spans="3:3" ht="15.75" customHeight="1" x14ac:dyDescent="0.25">
      <c r="C802" s="8"/>
    </row>
    <row r="803" spans="3:3" ht="15.75" customHeight="1" x14ac:dyDescent="0.25">
      <c r="C803" s="8"/>
    </row>
    <row r="804" spans="3:3" ht="15.75" customHeight="1" x14ac:dyDescent="0.25">
      <c r="C804" s="8"/>
    </row>
    <row r="805" spans="3:3" ht="15.75" customHeight="1" x14ac:dyDescent="0.25">
      <c r="C805" s="8"/>
    </row>
    <row r="806" spans="3:3" ht="15.75" customHeight="1" x14ac:dyDescent="0.25">
      <c r="C806" s="8"/>
    </row>
    <row r="807" spans="3:3" ht="15.75" customHeight="1" x14ac:dyDescent="0.25">
      <c r="C807" s="8"/>
    </row>
    <row r="808" spans="3:3" ht="15.75" customHeight="1" x14ac:dyDescent="0.25">
      <c r="C808" s="8"/>
    </row>
    <row r="809" spans="3:3" ht="15.75" customHeight="1" x14ac:dyDescent="0.25">
      <c r="C809" s="8"/>
    </row>
    <row r="810" spans="3:3" ht="15.75" customHeight="1" x14ac:dyDescent="0.25">
      <c r="C810" s="8"/>
    </row>
    <row r="811" spans="3:3" ht="15.75" customHeight="1" x14ac:dyDescent="0.25">
      <c r="C811" s="8"/>
    </row>
    <row r="812" spans="3:3" ht="15.75" customHeight="1" x14ac:dyDescent="0.25">
      <c r="C812" s="8"/>
    </row>
    <row r="813" spans="3:3" ht="15.75" customHeight="1" x14ac:dyDescent="0.25">
      <c r="C813" s="8"/>
    </row>
    <row r="814" spans="3:3" ht="15.75" customHeight="1" x14ac:dyDescent="0.25">
      <c r="C814" s="8"/>
    </row>
    <row r="815" spans="3:3" ht="15.75" customHeight="1" x14ac:dyDescent="0.25">
      <c r="C815" s="8"/>
    </row>
    <row r="816" spans="3:3" ht="15.75" customHeight="1" x14ac:dyDescent="0.25">
      <c r="C816" s="8"/>
    </row>
    <row r="817" spans="3:3" ht="15.75" customHeight="1" x14ac:dyDescent="0.25">
      <c r="C817" s="8"/>
    </row>
    <row r="818" spans="3:3" ht="15.75" customHeight="1" x14ac:dyDescent="0.25">
      <c r="C818" s="8"/>
    </row>
    <row r="819" spans="3:3" ht="15.75" customHeight="1" x14ac:dyDescent="0.25">
      <c r="C819" s="8"/>
    </row>
    <row r="820" spans="3:3" ht="15.75" customHeight="1" x14ac:dyDescent="0.25">
      <c r="C820" s="8"/>
    </row>
    <row r="821" spans="3:3" ht="15.75" customHeight="1" x14ac:dyDescent="0.25">
      <c r="C821" s="8"/>
    </row>
    <row r="822" spans="3:3" ht="15.75" customHeight="1" x14ac:dyDescent="0.25">
      <c r="C822" s="8"/>
    </row>
    <row r="823" spans="3:3" ht="15.75" customHeight="1" x14ac:dyDescent="0.25">
      <c r="C823" s="8"/>
    </row>
    <row r="824" spans="3:3" ht="15.75" customHeight="1" x14ac:dyDescent="0.25">
      <c r="C824" s="8"/>
    </row>
    <row r="825" spans="3:3" ht="15.75" customHeight="1" x14ac:dyDescent="0.25">
      <c r="C825" s="8"/>
    </row>
    <row r="826" spans="3:3" ht="15.75" customHeight="1" x14ac:dyDescent="0.25">
      <c r="C826" s="8"/>
    </row>
    <row r="827" spans="3:3" ht="15.75" customHeight="1" x14ac:dyDescent="0.25">
      <c r="C827" s="8"/>
    </row>
    <row r="828" spans="3:3" ht="15.75" customHeight="1" x14ac:dyDescent="0.25">
      <c r="C828" s="8"/>
    </row>
    <row r="829" spans="3:3" ht="15.75" customHeight="1" x14ac:dyDescent="0.25">
      <c r="C829" s="8"/>
    </row>
    <row r="830" spans="3:3" ht="15.75" customHeight="1" x14ac:dyDescent="0.25">
      <c r="C830" s="8"/>
    </row>
    <row r="831" spans="3:3" ht="15.75" customHeight="1" x14ac:dyDescent="0.25">
      <c r="C831" s="8"/>
    </row>
    <row r="832" spans="3:3" ht="15.75" customHeight="1" x14ac:dyDescent="0.25">
      <c r="C832" s="8"/>
    </row>
    <row r="833" spans="3:3" ht="15.75" customHeight="1" x14ac:dyDescent="0.25">
      <c r="C833" s="8"/>
    </row>
    <row r="834" spans="3:3" ht="15.75" customHeight="1" x14ac:dyDescent="0.25">
      <c r="C834" s="8"/>
    </row>
    <row r="835" spans="3:3" ht="15.75" customHeight="1" x14ac:dyDescent="0.25">
      <c r="C835" s="8"/>
    </row>
    <row r="836" spans="3:3" ht="15.75" customHeight="1" x14ac:dyDescent="0.25">
      <c r="C836" s="8"/>
    </row>
    <row r="837" spans="3:3" ht="15.75" customHeight="1" x14ac:dyDescent="0.25">
      <c r="C837" s="8"/>
    </row>
    <row r="838" spans="3:3" ht="15.75" customHeight="1" x14ac:dyDescent="0.25">
      <c r="C838" s="8"/>
    </row>
    <row r="839" spans="3:3" ht="15.75" customHeight="1" x14ac:dyDescent="0.25">
      <c r="C839" s="8"/>
    </row>
    <row r="840" spans="3:3" ht="15.75" customHeight="1" x14ac:dyDescent="0.25">
      <c r="C840" s="8"/>
    </row>
    <row r="841" spans="3:3" ht="15.75" customHeight="1" x14ac:dyDescent="0.25">
      <c r="C841" s="8"/>
    </row>
    <row r="842" spans="3:3" ht="15.75" customHeight="1" x14ac:dyDescent="0.25">
      <c r="C842" s="8"/>
    </row>
    <row r="843" spans="3:3" ht="15.75" customHeight="1" x14ac:dyDescent="0.25">
      <c r="C843" s="8"/>
    </row>
    <row r="844" spans="3:3" ht="15.75" customHeight="1" x14ac:dyDescent="0.25">
      <c r="C844" s="8"/>
    </row>
    <row r="845" spans="3:3" ht="15.75" customHeight="1" x14ac:dyDescent="0.25">
      <c r="C845" s="8"/>
    </row>
    <row r="846" spans="3:3" ht="15.75" customHeight="1" x14ac:dyDescent="0.25">
      <c r="C846" s="8"/>
    </row>
    <row r="847" spans="3:3" ht="15.75" customHeight="1" x14ac:dyDescent="0.25">
      <c r="C847" s="8"/>
    </row>
    <row r="848" spans="3:3" ht="15.75" customHeight="1" x14ac:dyDescent="0.25">
      <c r="C848" s="8"/>
    </row>
    <row r="849" spans="3:3" ht="15.75" customHeight="1" x14ac:dyDescent="0.25">
      <c r="C849" s="8"/>
    </row>
    <row r="850" spans="3:3" ht="15.75" customHeight="1" x14ac:dyDescent="0.25">
      <c r="C850" s="8"/>
    </row>
    <row r="851" spans="3:3" ht="15.75" customHeight="1" x14ac:dyDescent="0.25">
      <c r="C851" s="8"/>
    </row>
    <row r="852" spans="3:3" ht="15.75" customHeight="1" x14ac:dyDescent="0.25">
      <c r="C852" s="8"/>
    </row>
    <row r="853" spans="3:3" ht="15.75" customHeight="1" x14ac:dyDescent="0.25">
      <c r="C853" s="8"/>
    </row>
    <row r="854" spans="3:3" ht="15.75" customHeight="1" x14ac:dyDescent="0.25">
      <c r="C854" s="8"/>
    </row>
    <row r="855" spans="3:3" ht="15.75" customHeight="1" x14ac:dyDescent="0.25">
      <c r="C855" s="8"/>
    </row>
    <row r="856" spans="3:3" ht="15.75" customHeight="1" x14ac:dyDescent="0.25">
      <c r="C856" s="8"/>
    </row>
    <row r="857" spans="3:3" ht="15.75" customHeight="1" x14ac:dyDescent="0.25">
      <c r="C857" s="8"/>
    </row>
    <row r="858" spans="3:3" ht="15.75" customHeight="1" x14ac:dyDescent="0.25">
      <c r="C858" s="8"/>
    </row>
    <row r="859" spans="3:3" ht="15.75" customHeight="1" x14ac:dyDescent="0.25">
      <c r="C859" s="8"/>
    </row>
    <row r="860" spans="3:3" ht="15.75" customHeight="1" x14ac:dyDescent="0.25">
      <c r="C860" s="8"/>
    </row>
    <row r="861" spans="3:3" ht="15.75" customHeight="1" x14ac:dyDescent="0.25">
      <c r="C861" s="8"/>
    </row>
    <row r="862" spans="3:3" ht="15.75" customHeight="1" x14ac:dyDescent="0.25">
      <c r="C862" s="8"/>
    </row>
    <row r="863" spans="3:3" ht="15.75" customHeight="1" x14ac:dyDescent="0.25">
      <c r="C863" s="8"/>
    </row>
    <row r="864" spans="3:3" ht="15.75" customHeight="1" x14ac:dyDescent="0.25">
      <c r="C864" s="8"/>
    </row>
    <row r="865" spans="3:3" ht="15.75" customHeight="1" x14ac:dyDescent="0.25">
      <c r="C865" s="8"/>
    </row>
    <row r="866" spans="3:3" ht="15.75" customHeight="1" x14ac:dyDescent="0.25">
      <c r="C866" s="8"/>
    </row>
    <row r="867" spans="3:3" ht="15.75" customHeight="1" x14ac:dyDescent="0.25">
      <c r="C867" s="8"/>
    </row>
    <row r="868" spans="3:3" ht="15.75" customHeight="1" x14ac:dyDescent="0.25">
      <c r="C868" s="8"/>
    </row>
    <row r="869" spans="3:3" ht="15.75" customHeight="1" x14ac:dyDescent="0.25">
      <c r="C869" s="8"/>
    </row>
    <row r="870" spans="3:3" ht="15.75" customHeight="1" x14ac:dyDescent="0.25">
      <c r="C870" s="8"/>
    </row>
    <row r="871" spans="3:3" ht="15.75" customHeight="1" x14ac:dyDescent="0.25">
      <c r="C871" s="8"/>
    </row>
    <row r="872" spans="3:3" ht="15.75" customHeight="1" x14ac:dyDescent="0.25">
      <c r="C872" s="8"/>
    </row>
    <row r="873" spans="3:3" ht="15.75" customHeight="1" x14ac:dyDescent="0.25">
      <c r="C873" s="8"/>
    </row>
    <row r="874" spans="3:3" ht="15.75" customHeight="1" x14ac:dyDescent="0.25">
      <c r="C874" s="8"/>
    </row>
    <row r="875" spans="3:3" ht="15.75" customHeight="1" x14ac:dyDescent="0.25">
      <c r="C875" s="8"/>
    </row>
    <row r="876" spans="3:3" ht="15.75" customHeight="1" x14ac:dyDescent="0.25">
      <c r="C876" s="8"/>
    </row>
    <row r="877" spans="3:3" ht="15.75" customHeight="1" x14ac:dyDescent="0.25">
      <c r="C877" s="8"/>
    </row>
    <row r="878" spans="3:3" ht="15.75" customHeight="1" x14ac:dyDescent="0.25">
      <c r="C878" s="8"/>
    </row>
    <row r="879" spans="3:3" ht="15.75" customHeight="1" x14ac:dyDescent="0.25">
      <c r="C879" s="8"/>
    </row>
    <row r="880" spans="3:3" ht="15.75" customHeight="1" x14ac:dyDescent="0.25">
      <c r="C880" s="8"/>
    </row>
    <row r="881" spans="3:3" ht="15.75" customHeight="1" x14ac:dyDescent="0.25">
      <c r="C881" s="8"/>
    </row>
    <row r="882" spans="3:3" ht="15.75" customHeight="1" x14ac:dyDescent="0.25">
      <c r="C882" s="8"/>
    </row>
    <row r="883" spans="3:3" ht="15.75" customHeight="1" x14ac:dyDescent="0.25">
      <c r="C883" s="8"/>
    </row>
    <row r="884" spans="3:3" ht="15.75" customHeight="1" x14ac:dyDescent="0.25">
      <c r="C884" s="8"/>
    </row>
    <row r="885" spans="3:3" ht="15.75" customHeight="1" x14ac:dyDescent="0.25">
      <c r="C885" s="8"/>
    </row>
    <row r="886" spans="3:3" ht="15.75" customHeight="1" x14ac:dyDescent="0.25">
      <c r="C886" s="8"/>
    </row>
    <row r="887" spans="3:3" ht="15.75" customHeight="1" x14ac:dyDescent="0.25">
      <c r="C887" s="8"/>
    </row>
    <row r="888" spans="3:3" ht="15.75" customHeight="1" x14ac:dyDescent="0.25">
      <c r="C888" s="8"/>
    </row>
    <row r="889" spans="3:3" ht="15.75" customHeight="1" x14ac:dyDescent="0.25">
      <c r="C889" s="8"/>
    </row>
    <row r="890" spans="3:3" ht="15.75" customHeight="1" x14ac:dyDescent="0.25">
      <c r="C890" s="8"/>
    </row>
    <row r="891" spans="3:3" ht="15.75" customHeight="1" x14ac:dyDescent="0.25">
      <c r="C891" s="8"/>
    </row>
    <row r="892" spans="3:3" ht="15.75" customHeight="1" x14ac:dyDescent="0.25">
      <c r="C892" s="8"/>
    </row>
    <row r="893" spans="3:3" ht="15.75" customHeight="1" x14ac:dyDescent="0.25">
      <c r="C893" s="8"/>
    </row>
    <row r="894" spans="3:3" ht="15.75" customHeight="1" x14ac:dyDescent="0.25">
      <c r="C894" s="8"/>
    </row>
    <row r="895" spans="3:3" ht="15.75" customHeight="1" x14ac:dyDescent="0.25">
      <c r="C895" s="8"/>
    </row>
    <row r="896" spans="3:3" ht="15.75" customHeight="1" x14ac:dyDescent="0.25">
      <c r="C896" s="8"/>
    </row>
    <row r="897" spans="3:3" ht="15.75" customHeight="1" x14ac:dyDescent="0.25">
      <c r="C897" s="8"/>
    </row>
    <row r="898" spans="3:3" ht="15.75" customHeight="1" x14ac:dyDescent="0.25">
      <c r="C898" s="8"/>
    </row>
    <row r="899" spans="3:3" ht="15.75" customHeight="1" x14ac:dyDescent="0.25">
      <c r="C899" s="8"/>
    </row>
    <row r="900" spans="3:3" ht="15.75" customHeight="1" x14ac:dyDescent="0.25">
      <c r="C900" s="8"/>
    </row>
    <row r="901" spans="3:3" ht="15.75" customHeight="1" x14ac:dyDescent="0.25">
      <c r="C901" s="8"/>
    </row>
    <row r="902" spans="3:3" ht="15.75" customHeight="1" x14ac:dyDescent="0.25">
      <c r="C902" s="8"/>
    </row>
    <row r="903" spans="3:3" ht="15.75" customHeight="1" x14ac:dyDescent="0.25">
      <c r="C903" s="8"/>
    </row>
    <row r="904" spans="3:3" ht="15.75" customHeight="1" x14ac:dyDescent="0.25">
      <c r="C904" s="8"/>
    </row>
    <row r="905" spans="3:3" ht="15.75" customHeight="1" x14ac:dyDescent="0.25">
      <c r="C905" s="8"/>
    </row>
    <row r="906" spans="3:3" ht="15.75" customHeight="1" x14ac:dyDescent="0.25">
      <c r="C906" s="8"/>
    </row>
    <row r="907" spans="3:3" ht="15.75" customHeight="1" x14ac:dyDescent="0.25">
      <c r="C907" s="8"/>
    </row>
    <row r="908" spans="3:3" ht="15.75" customHeight="1" x14ac:dyDescent="0.25">
      <c r="C908" s="8"/>
    </row>
    <row r="909" spans="3:3" ht="15.75" customHeight="1" x14ac:dyDescent="0.25">
      <c r="C909" s="8"/>
    </row>
    <row r="910" spans="3:3" ht="15.75" customHeight="1" x14ac:dyDescent="0.25">
      <c r="C910" s="8"/>
    </row>
    <row r="911" spans="3:3" ht="15.75" customHeight="1" x14ac:dyDescent="0.25">
      <c r="C911" s="8"/>
    </row>
    <row r="912" spans="3:3" ht="15.75" customHeight="1" x14ac:dyDescent="0.25">
      <c r="C912" s="8"/>
    </row>
    <row r="913" spans="3:3" ht="15.75" customHeight="1" x14ac:dyDescent="0.25">
      <c r="C913" s="8"/>
    </row>
    <row r="914" spans="3:3" ht="15.75" customHeight="1" x14ac:dyDescent="0.25">
      <c r="C914" s="8"/>
    </row>
    <row r="915" spans="3:3" ht="15.75" customHeight="1" x14ac:dyDescent="0.25">
      <c r="C915" s="8"/>
    </row>
    <row r="916" spans="3:3" ht="15.75" customHeight="1" x14ac:dyDescent="0.25">
      <c r="C916" s="8"/>
    </row>
    <row r="917" spans="3:3" ht="15.75" customHeight="1" x14ac:dyDescent="0.25">
      <c r="C917" s="8"/>
    </row>
    <row r="918" spans="3:3" ht="15.75" customHeight="1" x14ac:dyDescent="0.25">
      <c r="C918" s="8"/>
    </row>
    <row r="919" spans="3:3" ht="15.75" customHeight="1" x14ac:dyDescent="0.25">
      <c r="C919" s="8"/>
    </row>
    <row r="920" spans="3:3" ht="15.75" customHeight="1" x14ac:dyDescent="0.25">
      <c r="C920" s="8"/>
    </row>
    <row r="921" spans="3:3" ht="15.75" customHeight="1" x14ac:dyDescent="0.25">
      <c r="C921" s="8"/>
    </row>
    <row r="922" spans="3:3" ht="15.75" customHeight="1" x14ac:dyDescent="0.25">
      <c r="C922" s="8"/>
    </row>
    <row r="923" spans="3:3" ht="15.75" customHeight="1" x14ac:dyDescent="0.25">
      <c r="C923" s="8"/>
    </row>
    <row r="924" spans="3:3" ht="15.75" customHeight="1" x14ac:dyDescent="0.25">
      <c r="C924" s="8"/>
    </row>
    <row r="925" spans="3:3" ht="15.75" customHeight="1" x14ac:dyDescent="0.25">
      <c r="C925" s="8"/>
    </row>
    <row r="926" spans="3:3" ht="15.75" customHeight="1" x14ac:dyDescent="0.25">
      <c r="C926" s="8"/>
    </row>
    <row r="927" spans="3:3" ht="15.75" customHeight="1" x14ac:dyDescent="0.25">
      <c r="C927" s="8"/>
    </row>
    <row r="928" spans="3:3" ht="15.75" customHeight="1" x14ac:dyDescent="0.25">
      <c r="C928" s="8"/>
    </row>
    <row r="929" spans="3:3" ht="15.75" customHeight="1" x14ac:dyDescent="0.25">
      <c r="C929" s="8"/>
    </row>
    <row r="930" spans="3:3" ht="15.75" customHeight="1" x14ac:dyDescent="0.25">
      <c r="C930" s="8"/>
    </row>
    <row r="931" spans="3:3" ht="15.75" customHeight="1" x14ac:dyDescent="0.25">
      <c r="C931" s="8"/>
    </row>
    <row r="932" spans="3:3" ht="15.75" customHeight="1" x14ac:dyDescent="0.25">
      <c r="C932" s="8"/>
    </row>
    <row r="933" spans="3:3" ht="15.75" customHeight="1" x14ac:dyDescent="0.25">
      <c r="C933" s="8"/>
    </row>
    <row r="934" spans="3:3" ht="15.75" customHeight="1" x14ac:dyDescent="0.25">
      <c r="C934" s="8"/>
    </row>
    <row r="935" spans="3:3" ht="15.75" customHeight="1" x14ac:dyDescent="0.25">
      <c r="C935" s="8"/>
    </row>
    <row r="936" spans="3:3" ht="15.75" customHeight="1" x14ac:dyDescent="0.25">
      <c r="C936" s="8"/>
    </row>
    <row r="937" spans="3:3" ht="15.75" customHeight="1" x14ac:dyDescent="0.25">
      <c r="C937" s="8"/>
    </row>
    <row r="938" spans="3:3" ht="15.75" customHeight="1" x14ac:dyDescent="0.25">
      <c r="C938" s="8"/>
    </row>
    <row r="939" spans="3:3" ht="15.75" customHeight="1" x14ac:dyDescent="0.25">
      <c r="C939" s="8"/>
    </row>
    <row r="940" spans="3:3" ht="15.75" customHeight="1" x14ac:dyDescent="0.25">
      <c r="C940" s="8"/>
    </row>
    <row r="941" spans="3:3" ht="15.75" customHeight="1" x14ac:dyDescent="0.25">
      <c r="C941" s="8"/>
    </row>
    <row r="942" spans="3:3" ht="15.75" customHeight="1" x14ac:dyDescent="0.25">
      <c r="C942" s="8"/>
    </row>
    <row r="943" spans="3:3" ht="15.75" customHeight="1" x14ac:dyDescent="0.25">
      <c r="C943" s="8"/>
    </row>
    <row r="944" spans="3:3" ht="15.75" customHeight="1" x14ac:dyDescent="0.25">
      <c r="C944" s="8"/>
    </row>
    <row r="945" spans="3:3" ht="15.75" customHeight="1" x14ac:dyDescent="0.25">
      <c r="C945" s="8"/>
    </row>
    <row r="946" spans="3:3" ht="15.75" customHeight="1" x14ac:dyDescent="0.25">
      <c r="C946" s="8"/>
    </row>
    <row r="947" spans="3:3" ht="15.75" customHeight="1" x14ac:dyDescent="0.25">
      <c r="C947" s="8"/>
    </row>
    <row r="948" spans="3:3" ht="15.75" customHeight="1" x14ac:dyDescent="0.25">
      <c r="C948" s="8"/>
    </row>
    <row r="949" spans="3:3" ht="15.75" customHeight="1" x14ac:dyDescent="0.25">
      <c r="C949" s="8"/>
    </row>
    <row r="950" spans="3:3" ht="15.75" customHeight="1" x14ac:dyDescent="0.25">
      <c r="C950" s="8"/>
    </row>
    <row r="951" spans="3:3" ht="15.75" customHeight="1" x14ac:dyDescent="0.25">
      <c r="C951" s="8"/>
    </row>
    <row r="952" spans="3:3" ht="15.75" customHeight="1" x14ac:dyDescent="0.25">
      <c r="C952" s="8"/>
    </row>
    <row r="953" spans="3:3" ht="15.75" customHeight="1" x14ac:dyDescent="0.25">
      <c r="C953" s="8"/>
    </row>
    <row r="954" spans="3:3" ht="15.75" customHeight="1" x14ac:dyDescent="0.25">
      <c r="C954" s="8"/>
    </row>
    <row r="955" spans="3:3" ht="15.75" customHeight="1" x14ac:dyDescent="0.25">
      <c r="C955" s="8"/>
    </row>
    <row r="956" spans="3:3" ht="15.75" customHeight="1" x14ac:dyDescent="0.25">
      <c r="C956" s="8"/>
    </row>
    <row r="957" spans="3:3" ht="15.75" customHeight="1" x14ac:dyDescent="0.25">
      <c r="C957" s="8"/>
    </row>
    <row r="958" spans="3:3" ht="15.75" customHeight="1" x14ac:dyDescent="0.25">
      <c r="C958" s="8"/>
    </row>
    <row r="959" spans="3:3" ht="15.75" customHeight="1" x14ac:dyDescent="0.25">
      <c r="C959" s="8"/>
    </row>
    <row r="960" spans="3:3" ht="15.75" customHeight="1" x14ac:dyDescent="0.25">
      <c r="C960" s="8"/>
    </row>
    <row r="961" spans="3:3" ht="15.75" customHeight="1" x14ac:dyDescent="0.25">
      <c r="C961" s="8"/>
    </row>
    <row r="962" spans="3:3" ht="15.75" customHeight="1" x14ac:dyDescent="0.25">
      <c r="C962" s="8"/>
    </row>
    <row r="963" spans="3:3" ht="15.75" customHeight="1" x14ac:dyDescent="0.25">
      <c r="C963" s="8"/>
    </row>
    <row r="964" spans="3:3" ht="15.75" customHeight="1" x14ac:dyDescent="0.25">
      <c r="C964" s="8"/>
    </row>
    <row r="965" spans="3:3" ht="15.75" customHeight="1" x14ac:dyDescent="0.25">
      <c r="C965" s="8"/>
    </row>
    <row r="966" spans="3:3" ht="15.75" customHeight="1" x14ac:dyDescent="0.25">
      <c r="C966" s="8"/>
    </row>
    <row r="967" spans="3:3" ht="15.75" customHeight="1" x14ac:dyDescent="0.25">
      <c r="C967" s="8"/>
    </row>
    <row r="968" spans="3:3" ht="15.75" customHeight="1" x14ac:dyDescent="0.25">
      <c r="C968" s="8"/>
    </row>
    <row r="969" spans="3:3" ht="15.75" customHeight="1" x14ac:dyDescent="0.25">
      <c r="C969" s="8"/>
    </row>
    <row r="970" spans="3:3" ht="15.75" customHeight="1" x14ac:dyDescent="0.25">
      <c r="C970" s="8"/>
    </row>
    <row r="971" spans="3:3" ht="15.75" customHeight="1" x14ac:dyDescent="0.25">
      <c r="C971" s="8"/>
    </row>
    <row r="972" spans="3:3" ht="15.75" customHeight="1" x14ac:dyDescent="0.25">
      <c r="C972" s="8"/>
    </row>
    <row r="973" spans="3:3" ht="15.75" customHeight="1" x14ac:dyDescent="0.25">
      <c r="C973" s="8"/>
    </row>
    <row r="974" spans="3:3" ht="15.75" customHeight="1" x14ac:dyDescent="0.25">
      <c r="C974" s="8"/>
    </row>
    <row r="975" spans="3:3" ht="15.75" customHeight="1" x14ac:dyDescent="0.25">
      <c r="C975" s="8"/>
    </row>
    <row r="976" spans="3:3" ht="15.75" customHeight="1" x14ac:dyDescent="0.25">
      <c r="C976" s="8"/>
    </row>
    <row r="977" spans="3:3" ht="15.75" customHeight="1" x14ac:dyDescent="0.25">
      <c r="C977" s="8"/>
    </row>
    <row r="978" spans="3:3" ht="15.75" customHeight="1" x14ac:dyDescent="0.25">
      <c r="C978" s="8"/>
    </row>
    <row r="979" spans="3:3" ht="15.75" customHeight="1" x14ac:dyDescent="0.25">
      <c r="C979" s="8"/>
    </row>
    <row r="980" spans="3:3" ht="15.75" customHeight="1" x14ac:dyDescent="0.25">
      <c r="C980" s="8"/>
    </row>
    <row r="981" spans="3:3" ht="15.75" customHeight="1" x14ac:dyDescent="0.25">
      <c r="C981" s="8"/>
    </row>
    <row r="982" spans="3:3" ht="15.75" customHeight="1" x14ac:dyDescent="0.25">
      <c r="C982" s="8"/>
    </row>
    <row r="983" spans="3:3" ht="15.75" customHeight="1" x14ac:dyDescent="0.25">
      <c r="C983" s="8"/>
    </row>
    <row r="984" spans="3:3" ht="15.75" customHeight="1" x14ac:dyDescent="0.25">
      <c r="C984" s="8"/>
    </row>
    <row r="985" spans="3:3" ht="15.75" customHeight="1" x14ac:dyDescent="0.25">
      <c r="C985" s="8"/>
    </row>
    <row r="986" spans="3:3" ht="15.75" customHeight="1" x14ac:dyDescent="0.25">
      <c r="C986" s="8"/>
    </row>
    <row r="987" spans="3:3" ht="15.75" customHeight="1" x14ac:dyDescent="0.25">
      <c r="C987" s="8"/>
    </row>
    <row r="988" spans="3:3" ht="15.75" customHeight="1" x14ac:dyDescent="0.25">
      <c r="C988" s="8"/>
    </row>
    <row r="989" spans="3:3" ht="15.75" customHeight="1" x14ac:dyDescent="0.25">
      <c r="C989" s="8"/>
    </row>
    <row r="990" spans="3:3" ht="15.75" customHeight="1" x14ac:dyDescent="0.25">
      <c r="C990" s="8"/>
    </row>
    <row r="991" spans="3:3" ht="15.75" customHeight="1" x14ac:dyDescent="0.25">
      <c r="C991" s="8"/>
    </row>
    <row r="992" spans="3:3" ht="15.75" customHeight="1" x14ac:dyDescent="0.25">
      <c r="C992" s="8"/>
    </row>
    <row r="993" spans="3:3" ht="15.75" customHeight="1" x14ac:dyDescent="0.25">
      <c r="C993" s="8"/>
    </row>
    <row r="994" spans="3:3" ht="15.75" customHeight="1" x14ac:dyDescent="0.25">
      <c r="C994" s="8"/>
    </row>
    <row r="995" spans="3:3" ht="15.75" customHeight="1" x14ac:dyDescent="0.25">
      <c r="C995" s="8"/>
    </row>
    <row r="996" spans="3:3" ht="15.75" customHeight="1" x14ac:dyDescent="0.25">
      <c r="C996" s="8"/>
    </row>
    <row r="997" spans="3:3" ht="15.75" customHeight="1" x14ac:dyDescent="0.25">
      <c r="C997" s="8"/>
    </row>
    <row r="998" spans="3:3" ht="15.75" customHeight="1" x14ac:dyDescent="0.25">
      <c r="C998" s="8"/>
    </row>
    <row r="999" spans="3:3" ht="15.75" customHeight="1" x14ac:dyDescent="0.25">
      <c r="C999" s="8"/>
    </row>
    <row r="1000" spans="3:3" ht="15.75" customHeight="1" x14ac:dyDescent="0.25">
      <c r="C1000" s="8"/>
    </row>
    <row r="1001" spans="3:3" ht="15.75" customHeight="1" x14ac:dyDescent="0.25">
      <c r="C1001" s="8"/>
    </row>
    <row r="1002" spans="3:3" ht="15.75" customHeight="1" x14ac:dyDescent="0.25">
      <c r="C1002" s="8"/>
    </row>
    <row r="1003" spans="3:3" ht="15.75" customHeight="1" x14ac:dyDescent="0.25">
      <c r="C1003" s="8"/>
    </row>
    <row r="1004" spans="3:3" ht="15.75" customHeight="1" x14ac:dyDescent="0.25">
      <c r="C1004" s="8"/>
    </row>
    <row r="1005" spans="3:3" ht="15.75" customHeight="1" x14ac:dyDescent="0.25">
      <c r="C1005" s="8"/>
    </row>
    <row r="1006" spans="3:3" ht="15.75" customHeight="1" x14ac:dyDescent="0.25">
      <c r="C1006" s="8"/>
    </row>
    <row r="1007" spans="3:3" ht="15.75" customHeight="1" x14ac:dyDescent="0.25">
      <c r="C1007" s="8"/>
    </row>
    <row r="1008" spans="3:3" ht="15.75" customHeight="1" x14ac:dyDescent="0.25">
      <c r="C1008" s="8"/>
    </row>
    <row r="1009" spans="3:3" ht="15.75" customHeight="1" x14ac:dyDescent="0.25">
      <c r="C1009" s="8"/>
    </row>
  </sheetData>
  <autoFilter ref="B29:P65" xr:uid="{00000000-0009-0000-0000-000003000000}"/>
  <mergeCells count="51">
    <mergeCell ref="U53:U55"/>
    <mergeCell ref="U56:U58"/>
    <mergeCell ref="R61:R62"/>
    <mergeCell ref="S61:S62"/>
    <mergeCell ref="T61:T62"/>
    <mergeCell ref="U59:U60"/>
    <mergeCell ref="U61:U62"/>
    <mergeCell ref="R59:R60"/>
    <mergeCell ref="S59:S60"/>
    <mergeCell ref="T59:T60"/>
    <mergeCell ref="S53:S55"/>
    <mergeCell ref="S56:S58"/>
    <mergeCell ref="R56:R58"/>
    <mergeCell ref="T56:T58"/>
    <mergeCell ref="R53:R55"/>
    <mergeCell ref="T53:T55"/>
    <mergeCell ref="R44:R46"/>
    <mergeCell ref="T44:T46"/>
    <mergeCell ref="R47:R49"/>
    <mergeCell ref="T47:T49"/>
    <mergeCell ref="R50:R52"/>
    <mergeCell ref="T50:T52"/>
    <mergeCell ref="U50:U52"/>
    <mergeCell ref="U44:U46"/>
    <mergeCell ref="U47:U49"/>
    <mergeCell ref="S44:S46"/>
    <mergeCell ref="S47:S49"/>
    <mergeCell ref="S50:S52"/>
    <mergeCell ref="U38:U39"/>
    <mergeCell ref="U40:U41"/>
    <mergeCell ref="U42:U43"/>
    <mergeCell ref="U29:U30"/>
    <mergeCell ref="R40:R41"/>
    <mergeCell ref="T40:T41"/>
    <mergeCell ref="R42:R43"/>
    <mergeCell ref="T42:T43"/>
    <mergeCell ref="R38:R39"/>
    <mergeCell ref="S38:S39"/>
    <mergeCell ref="T38:T39"/>
    <mergeCell ref="S40:S41"/>
    <mergeCell ref="S42:S43"/>
    <mergeCell ref="B28:K28"/>
    <mergeCell ref="L28:P28"/>
    <mergeCell ref="R29:R30"/>
    <mergeCell ref="R28:U28"/>
    <mergeCell ref="U36:U37"/>
    <mergeCell ref="T29:T30"/>
    <mergeCell ref="R36:R37"/>
    <mergeCell ref="S36:S37"/>
    <mergeCell ref="T36:T37"/>
    <mergeCell ref="S29:S30"/>
  </mergeCells>
  <hyperlinks>
    <hyperlink ref="J76" r:id="rId1" xr:uid="{00000000-0004-0000-0300-000000000000}"/>
  </hyperlinks>
  <pageMargins left="0.70866141732283472" right="0.70866141732283472" top="0.74803149606299213" bottom="0.74803149606299213" header="0" footer="0"/>
  <pageSetup paperSize="3" scale="26" fitToHeight="0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1045"/>
  <sheetViews>
    <sheetView view="pageBreakPreview" zoomScale="40" zoomScaleNormal="70" zoomScaleSheetLayoutView="40" workbookViewId="0">
      <selection activeCell="N44" sqref="N44"/>
    </sheetView>
  </sheetViews>
  <sheetFormatPr defaultColWidth="9.85546875" defaultRowHeight="15" customHeight="1" x14ac:dyDescent="0.25"/>
  <cols>
    <col min="1" max="1" width="6.42578125" style="96" customWidth="1"/>
    <col min="2" max="2" width="12.140625" style="97" customWidth="1"/>
    <col min="3" max="3" width="23.5703125" style="97" customWidth="1"/>
    <col min="4" max="5" width="46.42578125" style="97" customWidth="1"/>
    <col min="6" max="7" width="17.85546875" style="97" customWidth="1"/>
    <col min="8" max="8" width="17.85546875" style="98" customWidth="1"/>
    <col min="9" max="11" width="17.85546875" style="97" customWidth="1"/>
    <col min="12" max="12" width="17.85546875" style="98" customWidth="1"/>
    <col min="13" max="17" width="17.85546875" style="97" customWidth="1"/>
    <col min="18" max="18" width="52.140625" style="97" customWidth="1"/>
    <col min="19" max="19" width="6.42578125" style="99" customWidth="1"/>
    <col min="20" max="23" width="17.85546875" style="99" customWidth="1"/>
    <col min="24" max="24" width="6.42578125" style="99" customWidth="1"/>
    <col min="25" max="27" width="17.85546875" style="99" customWidth="1"/>
    <col min="28" max="28" width="52.140625" style="100" customWidth="1"/>
    <col min="29" max="31" width="17.85546875" style="99" customWidth="1"/>
    <col min="32" max="32" width="52.140625" style="100" customWidth="1"/>
    <col min="33" max="35" width="17.85546875" style="99" customWidth="1"/>
    <col min="36" max="36" width="52.140625" style="100" customWidth="1"/>
    <col min="37" max="39" width="17.85546875" style="99" customWidth="1"/>
    <col min="40" max="40" width="52.140625" style="100" customWidth="1"/>
    <col min="41" max="41" width="6.42578125" customWidth="1"/>
  </cols>
  <sheetData>
    <row r="1" spans="1:41" s="4" customFormat="1" ht="35.1" customHeight="1" x14ac:dyDescent="0.25">
      <c r="A1" s="96"/>
      <c r="B1" s="97"/>
      <c r="C1" s="97"/>
      <c r="D1" s="98"/>
      <c r="E1" s="98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9"/>
      <c r="T1" s="99"/>
      <c r="U1" s="99"/>
      <c r="V1" s="99"/>
      <c r="W1" s="99"/>
      <c r="X1" s="99"/>
      <c r="Y1" s="99"/>
      <c r="Z1" s="99"/>
      <c r="AA1" s="99"/>
      <c r="AB1" s="100"/>
      <c r="AC1" s="99"/>
      <c r="AD1" s="99"/>
      <c r="AE1" s="99"/>
      <c r="AF1" s="100"/>
      <c r="AG1" s="99"/>
      <c r="AH1" s="99"/>
      <c r="AI1" s="99"/>
      <c r="AJ1" s="100"/>
      <c r="AK1" s="99"/>
      <c r="AL1" s="99"/>
      <c r="AM1" s="99"/>
      <c r="AN1" s="100"/>
      <c r="AO1" s="96"/>
    </row>
    <row r="2" spans="1:41" s="4" customFormat="1" ht="35.1" customHeight="1" x14ac:dyDescent="0.25">
      <c r="A2" s="96"/>
      <c r="B2" s="97"/>
      <c r="C2" s="97"/>
      <c r="D2" s="97"/>
      <c r="E2" s="97"/>
      <c r="F2" s="97"/>
      <c r="G2" s="97"/>
      <c r="H2" s="98"/>
      <c r="I2" s="97"/>
      <c r="J2" s="97"/>
      <c r="K2" s="97"/>
      <c r="L2" s="98"/>
      <c r="M2" s="97"/>
      <c r="N2" s="97"/>
      <c r="O2" s="97"/>
      <c r="P2" s="97"/>
      <c r="Q2" s="97"/>
      <c r="R2" s="97"/>
      <c r="S2" s="96"/>
      <c r="T2" s="96"/>
      <c r="U2" s="96"/>
      <c r="V2" s="96"/>
      <c r="W2" s="96"/>
      <c r="X2" s="96"/>
      <c r="Y2" s="96"/>
      <c r="Z2" s="96"/>
      <c r="AA2" s="96"/>
      <c r="AB2" s="101"/>
      <c r="AC2" s="96"/>
      <c r="AD2" s="96"/>
      <c r="AE2" s="96"/>
      <c r="AF2" s="101"/>
      <c r="AG2" s="96"/>
      <c r="AH2" s="96"/>
      <c r="AI2" s="96"/>
      <c r="AJ2" s="101"/>
      <c r="AK2" s="96"/>
      <c r="AL2" s="96"/>
      <c r="AM2" s="96"/>
      <c r="AN2" s="101"/>
      <c r="AO2" s="96"/>
    </row>
    <row r="3" spans="1:41" s="4" customFormat="1" ht="35.1" customHeight="1" x14ac:dyDescent="0.25">
      <c r="A3" s="96"/>
      <c r="B3" s="97"/>
      <c r="C3" s="97"/>
      <c r="D3" s="97"/>
      <c r="E3" s="97"/>
      <c r="F3" s="97"/>
      <c r="G3" s="97"/>
      <c r="H3" s="98"/>
      <c r="I3" s="97"/>
      <c r="J3" s="97"/>
      <c r="K3" s="97"/>
      <c r="L3" s="98"/>
      <c r="M3" s="97"/>
      <c r="N3" s="97"/>
      <c r="O3" s="97"/>
      <c r="P3" s="97"/>
      <c r="Q3" s="97"/>
      <c r="R3" s="97"/>
      <c r="S3" s="96"/>
      <c r="T3" s="96"/>
      <c r="U3" s="96"/>
      <c r="V3" s="96"/>
      <c r="W3" s="96"/>
      <c r="X3" s="96"/>
      <c r="Y3" s="96"/>
      <c r="Z3" s="96"/>
      <c r="AA3" s="96"/>
      <c r="AB3" s="101"/>
      <c r="AC3" s="96"/>
      <c r="AD3" s="96"/>
      <c r="AE3" s="96"/>
      <c r="AF3" s="101"/>
      <c r="AG3" s="96"/>
      <c r="AH3" s="96"/>
      <c r="AI3" s="96"/>
      <c r="AJ3" s="101"/>
      <c r="AK3" s="96"/>
      <c r="AL3" s="96"/>
      <c r="AM3" s="96"/>
      <c r="AN3" s="101"/>
      <c r="AO3" s="96"/>
    </row>
    <row r="4" spans="1:41" s="4" customFormat="1" ht="35.1" customHeight="1" x14ac:dyDescent="0.25">
      <c r="A4" s="96"/>
      <c r="B4" s="97"/>
      <c r="C4" s="97"/>
      <c r="D4" s="97"/>
      <c r="E4" s="97"/>
      <c r="F4" s="97"/>
      <c r="G4" s="97"/>
      <c r="H4" s="98"/>
      <c r="I4" s="97"/>
      <c r="J4" s="97"/>
      <c r="K4" s="97"/>
      <c r="L4" s="98"/>
      <c r="M4" s="97"/>
      <c r="N4" s="97"/>
      <c r="O4" s="97"/>
      <c r="P4" s="97"/>
      <c r="Q4" s="97"/>
      <c r="R4" s="97"/>
      <c r="S4" s="96"/>
      <c r="T4" s="96"/>
      <c r="U4" s="96"/>
      <c r="V4" s="96"/>
      <c r="W4" s="96"/>
      <c r="X4" s="96"/>
      <c r="Y4" s="96"/>
      <c r="Z4" s="96"/>
      <c r="AA4" s="96"/>
      <c r="AB4" s="101"/>
      <c r="AC4" s="96"/>
      <c r="AD4" s="96"/>
      <c r="AE4" s="96"/>
      <c r="AF4" s="101"/>
      <c r="AG4" s="96"/>
      <c r="AH4" s="96"/>
      <c r="AI4" s="96"/>
      <c r="AJ4" s="101"/>
      <c r="AK4" s="96"/>
      <c r="AL4" s="96"/>
      <c r="AM4" s="96"/>
      <c r="AN4" s="101"/>
      <c r="AO4" s="96"/>
    </row>
    <row r="5" spans="1:41" s="4" customFormat="1" ht="35.1" customHeight="1" x14ac:dyDescent="0.25">
      <c r="A5" s="96"/>
      <c r="B5" s="97"/>
      <c r="C5" s="97"/>
      <c r="D5" s="97"/>
      <c r="E5" s="97"/>
      <c r="F5" s="97"/>
      <c r="G5" s="97"/>
      <c r="H5" s="98"/>
      <c r="I5" s="97"/>
      <c r="J5" s="97"/>
      <c r="K5" s="97"/>
      <c r="L5" s="98"/>
      <c r="M5" s="97"/>
      <c r="N5" s="97"/>
      <c r="O5" s="97"/>
      <c r="P5" s="97"/>
      <c r="Q5" s="97"/>
      <c r="R5" s="97"/>
      <c r="S5" s="96"/>
      <c r="T5" s="96"/>
      <c r="U5" s="96"/>
      <c r="V5" s="96"/>
      <c r="W5" s="96"/>
      <c r="X5" s="96"/>
      <c r="Y5" s="96"/>
      <c r="Z5" s="96"/>
      <c r="AA5" s="96"/>
      <c r="AB5" s="101"/>
      <c r="AC5" s="96"/>
      <c r="AD5" s="96"/>
      <c r="AE5" s="96"/>
      <c r="AF5" s="101"/>
      <c r="AG5" s="96"/>
      <c r="AH5" s="96"/>
      <c r="AI5" s="96"/>
      <c r="AJ5" s="101"/>
      <c r="AK5" s="96"/>
      <c r="AL5" s="96"/>
      <c r="AM5" s="96"/>
      <c r="AN5" s="101"/>
      <c r="AO5" s="96"/>
    </row>
    <row r="6" spans="1:41" s="4" customFormat="1" ht="35.1" customHeight="1" x14ac:dyDescent="0.25">
      <c r="A6" s="96"/>
      <c r="B6" s="97"/>
      <c r="C6" s="97"/>
      <c r="D6" s="97"/>
      <c r="E6" s="97"/>
      <c r="F6" s="97"/>
      <c r="G6" s="97"/>
      <c r="H6" s="98"/>
      <c r="I6" s="97"/>
      <c r="J6" s="97"/>
      <c r="K6" s="97"/>
      <c r="L6" s="98"/>
      <c r="M6" s="97"/>
      <c r="N6" s="97"/>
      <c r="O6" s="97"/>
      <c r="P6" s="97"/>
      <c r="Q6" s="97"/>
      <c r="R6" s="97"/>
      <c r="S6" s="96"/>
      <c r="T6" s="96"/>
      <c r="U6" s="96"/>
      <c r="V6" s="96"/>
      <c r="W6" s="96"/>
      <c r="X6" s="96"/>
      <c r="Y6" s="96"/>
      <c r="Z6" s="96"/>
      <c r="AA6" s="96"/>
      <c r="AB6" s="101"/>
      <c r="AC6" s="96"/>
      <c r="AD6" s="96"/>
      <c r="AE6" s="96"/>
      <c r="AF6" s="101"/>
      <c r="AG6" s="96"/>
      <c r="AH6" s="96"/>
      <c r="AI6" s="96"/>
      <c r="AJ6" s="101"/>
      <c r="AK6" s="96"/>
      <c r="AL6" s="96"/>
      <c r="AM6" s="96"/>
      <c r="AN6" s="101"/>
      <c r="AO6" s="96"/>
    </row>
    <row r="7" spans="1:41" s="4" customFormat="1" ht="35.1" customHeight="1" x14ac:dyDescent="0.25">
      <c r="A7" s="96"/>
      <c r="B7" s="97"/>
      <c r="C7" s="102" t="s">
        <v>0</v>
      </c>
      <c r="D7" s="103" t="s">
        <v>11</v>
      </c>
      <c r="E7" s="97"/>
      <c r="F7" s="104"/>
      <c r="G7" s="105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96"/>
      <c r="T7" s="96"/>
      <c r="U7" s="96"/>
      <c r="V7" s="96"/>
      <c r="W7" s="96"/>
      <c r="X7" s="96"/>
      <c r="Y7" s="96"/>
      <c r="Z7" s="96"/>
      <c r="AA7" s="96"/>
      <c r="AB7" s="101"/>
      <c r="AC7" s="96"/>
      <c r="AD7" s="96"/>
      <c r="AE7" s="96"/>
      <c r="AF7" s="101"/>
      <c r="AG7" s="96"/>
      <c r="AH7" s="96"/>
      <c r="AI7" s="96"/>
      <c r="AJ7" s="101"/>
      <c r="AK7" s="96"/>
      <c r="AL7" s="96"/>
      <c r="AM7" s="96"/>
      <c r="AN7" s="101"/>
      <c r="AO7" s="96"/>
    </row>
    <row r="8" spans="1:41" s="4" customFormat="1" ht="35.1" customHeight="1" x14ac:dyDescent="0.25">
      <c r="A8" s="96"/>
      <c r="B8" s="97"/>
      <c r="C8" s="102" t="s">
        <v>2</v>
      </c>
      <c r="D8" s="106" t="s">
        <v>116</v>
      </c>
      <c r="E8" s="97"/>
      <c r="F8" s="104"/>
      <c r="G8" s="105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96"/>
      <c r="T8" s="96"/>
      <c r="U8" s="96"/>
      <c r="V8" s="96"/>
      <c r="W8" s="96"/>
      <c r="X8" s="96"/>
      <c r="Y8" s="96"/>
      <c r="Z8" s="96"/>
      <c r="AA8" s="96"/>
      <c r="AB8" s="101"/>
      <c r="AC8" s="96"/>
      <c r="AD8" s="96"/>
      <c r="AE8" s="96"/>
      <c r="AF8" s="101"/>
      <c r="AG8" s="96"/>
      <c r="AH8" s="96"/>
      <c r="AI8" s="96"/>
      <c r="AJ8" s="101"/>
      <c r="AK8" s="96"/>
      <c r="AL8" s="96"/>
      <c r="AM8" s="96"/>
      <c r="AN8" s="101"/>
      <c r="AO8" s="96"/>
    </row>
    <row r="9" spans="1:41" s="4" customFormat="1" ht="35.1" customHeight="1" x14ac:dyDescent="0.25">
      <c r="A9" s="107"/>
      <c r="B9" s="97"/>
      <c r="C9" s="102" t="s">
        <v>1</v>
      </c>
      <c r="D9" s="103" t="s">
        <v>132</v>
      </c>
      <c r="E9" s="97"/>
      <c r="F9" s="104"/>
      <c r="G9" s="105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96"/>
      <c r="T9" s="96"/>
      <c r="U9" s="96"/>
      <c r="V9" s="96"/>
      <c r="W9" s="96"/>
      <c r="X9" s="96"/>
      <c r="Y9" s="96"/>
      <c r="Z9" s="96"/>
      <c r="AA9" s="96"/>
      <c r="AB9" s="101"/>
      <c r="AC9" s="96"/>
      <c r="AD9" s="96"/>
      <c r="AE9" s="96"/>
      <c r="AF9" s="101"/>
      <c r="AG9" s="96"/>
      <c r="AH9" s="96"/>
      <c r="AI9" s="96"/>
      <c r="AJ9" s="101"/>
      <c r="AK9" s="96"/>
      <c r="AL9" s="96"/>
      <c r="AM9" s="96"/>
      <c r="AN9" s="101"/>
      <c r="AO9" s="107"/>
    </row>
    <row r="10" spans="1:41" s="4" customFormat="1" ht="35.1" customHeight="1" x14ac:dyDescent="0.25">
      <c r="A10" s="107"/>
      <c r="B10" s="97"/>
      <c r="C10" s="102" t="s">
        <v>12</v>
      </c>
      <c r="D10" s="108" t="s">
        <v>13</v>
      </c>
      <c r="E10" s="97"/>
      <c r="F10" s="104"/>
      <c r="G10" s="97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96"/>
      <c r="T10" s="96"/>
      <c r="U10" s="96"/>
      <c r="V10" s="96"/>
      <c r="W10" s="96"/>
      <c r="X10" s="96"/>
      <c r="Y10" s="96"/>
      <c r="Z10" s="96"/>
      <c r="AA10" s="96"/>
      <c r="AB10" s="101"/>
      <c r="AC10" s="96"/>
      <c r="AD10" s="96"/>
      <c r="AE10" s="96"/>
      <c r="AF10" s="101"/>
      <c r="AG10" s="96"/>
      <c r="AH10" s="96"/>
      <c r="AI10" s="96"/>
      <c r="AJ10" s="101"/>
      <c r="AK10" s="96"/>
      <c r="AL10" s="96"/>
      <c r="AM10" s="96"/>
      <c r="AN10" s="101"/>
      <c r="AO10" s="107"/>
    </row>
    <row r="11" spans="1:41" s="4" customFormat="1" ht="35.1" customHeight="1" x14ac:dyDescent="0.25">
      <c r="A11" s="107"/>
      <c r="B11" s="102"/>
      <c r="C11" s="97"/>
      <c r="D11" s="109" t="s">
        <v>14</v>
      </c>
      <c r="E11" s="97"/>
      <c r="F11" s="104"/>
      <c r="G11" s="97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96"/>
      <c r="T11" s="96"/>
      <c r="U11" s="96"/>
      <c r="V11" s="96"/>
      <c r="W11" s="96"/>
      <c r="X11" s="96"/>
      <c r="Y11" s="96"/>
      <c r="Z11" s="96"/>
      <c r="AA11" s="96"/>
      <c r="AB11" s="101"/>
      <c r="AC11" s="96"/>
      <c r="AD11" s="96"/>
      <c r="AE11" s="96"/>
      <c r="AF11" s="101"/>
      <c r="AG11" s="96"/>
      <c r="AH11" s="96"/>
      <c r="AI11" s="96"/>
      <c r="AJ11" s="101"/>
      <c r="AK11" s="96"/>
      <c r="AL11" s="96"/>
      <c r="AM11" s="96"/>
      <c r="AN11" s="101"/>
      <c r="AO11" s="107"/>
    </row>
    <row r="12" spans="1:41" s="4" customFormat="1" ht="35.1" customHeight="1" x14ac:dyDescent="0.25">
      <c r="A12" s="107"/>
      <c r="B12" s="102"/>
      <c r="C12" s="110"/>
      <c r="D12" s="110"/>
      <c r="E12" s="97"/>
      <c r="F12" s="104"/>
      <c r="G12" s="97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96"/>
      <c r="T12" s="96"/>
      <c r="U12" s="96"/>
      <c r="V12" s="96"/>
      <c r="W12" s="96"/>
      <c r="X12" s="96"/>
      <c r="Y12" s="96"/>
      <c r="Z12" s="96"/>
      <c r="AA12" s="96"/>
      <c r="AB12" s="101"/>
      <c r="AC12" s="96"/>
      <c r="AD12" s="96"/>
      <c r="AE12" s="96"/>
      <c r="AF12" s="101"/>
      <c r="AG12" s="96"/>
      <c r="AH12" s="96"/>
      <c r="AI12" s="96"/>
      <c r="AJ12" s="101"/>
      <c r="AK12" s="96"/>
      <c r="AL12" s="96"/>
      <c r="AM12" s="96"/>
      <c r="AN12" s="101"/>
      <c r="AO12" s="107"/>
    </row>
    <row r="13" spans="1:41" s="4" customFormat="1" ht="35.1" customHeight="1" x14ac:dyDescent="0.25">
      <c r="A13" s="107"/>
      <c r="B13" s="102"/>
      <c r="C13" s="110"/>
      <c r="D13" s="110"/>
      <c r="E13" s="97"/>
      <c r="F13" s="104"/>
      <c r="G13" s="97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96"/>
      <c r="T13" s="96"/>
      <c r="U13" s="96"/>
      <c r="V13" s="96"/>
      <c r="W13" s="96"/>
      <c r="X13" s="96"/>
      <c r="Y13" s="96"/>
      <c r="Z13" s="96"/>
      <c r="AA13" s="96"/>
      <c r="AB13" s="101"/>
      <c r="AC13" s="96"/>
      <c r="AD13" s="96"/>
      <c r="AE13" s="96"/>
      <c r="AF13" s="101"/>
      <c r="AG13" s="96"/>
      <c r="AH13" s="96"/>
      <c r="AI13" s="96"/>
      <c r="AJ13" s="101"/>
      <c r="AK13" s="96"/>
      <c r="AL13" s="96"/>
      <c r="AM13" s="96"/>
      <c r="AN13" s="101"/>
      <c r="AO13" s="107"/>
    </row>
    <row r="14" spans="1:41" s="4" customFormat="1" ht="35.1" customHeight="1" thickBot="1" x14ac:dyDescent="0.3">
      <c r="A14" s="107"/>
      <c r="B14" s="111"/>
      <c r="C14" s="111"/>
      <c r="D14" s="111"/>
      <c r="E14" s="111"/>
      <c r="F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2"/>
      <c r="T14" s="112"/>
      <c r="U14" s="112"/>
      <c r="V14" s="112"/>
      <c r="W14" s="112"/>
      <c r="X14" s="96"/>
      <c r="Y14" s="112"/>
      <c r="Z14" s="112"/>
      <c r="AA14" s="112"/>
      <c r="AB14" s="113"/>
      <c r="AC14" s="112"/>
      <c r="AD14" s="112"/>
      <c r="AE14" s="112"/>
      <c r="AF14" s="113"/>
      <c r="AG14" s="112"/>
      <c r="AH14" s="112"/>
      <c r="AI14" s="112"/>
      <c r="AJ14" s="113"/>
      <c r="AK14" s="112"/>
      <c r="AL14" s="112"/>
      <c r="AM14" s="112"/>
      <c r="AN14" s="113"/>
      <c r="AO14" s="107"/>
    </row>
    <row r="15" spans="1:41" s="4" customFormat="1" ht="39.950000000000003" customHeight="1" thickTop="1" x14ac:dyDescent="0.25">
      <c r="A15" s="96"/>
      <c r="B15" s="660" t="s">
        <v>4</v>
      </c>
      <c r="C15" s="662" t="s">
        <v>15</v>
      </c>
      <c r="D15" s="664" t="s">
        <v>16</v>
      </c>
      <c r="E15" s="664" t="s">
        <v>17</v>
      </c>
      <c r="F15" s="664" t="s">
        <v>18</v>
      </c>
      <c r="G15" s="664" t="s">
        <v>19</v>
      </c>
      <c r="H15" s="666" t="s">
        <v>20</v>
      </c>
      <c r="I15" s="667"/>
      <c r="J15" s="667"/>
      <c r="K15" s="668"/>
      <c r="L15" s="666" t="s">
        <v>21</v>
      </c>
      <c r="M15" s="667"/>
      <c r="N15" s="667"/>
      <c r="O15" s="668"/>
      <c r="P15" s="666" t="s">
        <v>22</v>
      </c>
      <c r="Q15" s="668"/>
      <c r="R15" s="669" t="s">
        <v>23</v>
      </c>
      <c r="S15" s="114"/>
      <c r="T15" s="673" t="s">
        <v>117</v>
      </c>
      <c r="U15" s="674"/>
      <c r="V15" s="674" t="s">
        <v>22</v>
      </c>
      <c r="W15" s="675"/>
      <c r="X15" s="96"/>
      <c r="Y15" s="676" t="s">
        <v>235</v>
      </c>
      <c r="Z15" s="667"/>
      <c r="AA15" s="667"/>
      <c r="AB15" s="677"/>
      <c r="AC15" s="671" t="s">
        <v>60</v>
      </c>
      <c r="AD15" s="667"/>
      <c r="AE15" s="667"/>
      <c r="AF15" s="677"/>
      <c r="AG15" s="671" t="s">
        <v>60</v>
      </c>
      <c r="AH15" s="667"/>
      <c r="AI15" s="667"/>
      <c r="AJ15" s="677"/>
      <c r="AK15" s="671" t="s">
        <v>60</v>
      </c>
      <c r="AL15" s="667"/>
      <c r="AM15" s="667"/>
      <c r="AN15" s="672"/>
      <c r="AO15" s="96"/>
    </row>
    <row r="16" spans="1:41" s="4" customFormat="1" ht="39.950000000000003" customHeight="1" thickBot="1" x14ac:dyDescent="0.3">
      <c r="A16" s="96"/>
      <c r="B16" s="661"/>
      <c r="C16" s="663"/>
      <c r="D16" s="665"/>
      <c r="E16" s="665"/>
      <c r="F16" s="665"/>
      <c r="G16" s="665"/>
      <c r="H16" s="115" t="s">
        <v>24</v>
      </c>
      <c r="I16" s="115" t="s">
        <v>25</v>
      </c>
      <c r="J16" s="115" t="s">
        <v>26</v>
      </c>
      <c r="K16" s="115" t="s">
        <v>27</v>
      </c>
      <c r="L16" s="115" t="s">
        <v>24</v>
      </c>
      <c r="M16" s="115" t="s">
        <v>25</v>
      </c>
      <c r="N16" s="115" t="s">
        <v>26</v>
      </c>
      <c r="O16" s="115" t="s">
        <v>27</v>
      </c>
      <c r="P16" s="116" t="s">
        <v>26</v>
      </c>
      <c r="Q16" s="116" t="s">
        <v>27</v>
      </c>
      <c r="R16" s="670"/>
      <c r="S16" s="114"/>
      <c r="T16" s="117" t="s">
        <v>62</v>
      </c>
      <c r="U16" s="118" t="s">
        <v>26</v>
      </c>
      <c r="V16" s="119" t="s">
        <v>62</v>
      </c>
      <c r="W16" s="120" t="s">
        <v>26</v>
      </c>
      <c r="X16" s="96"/>
      <c r="Y16" s="117" t="s">
        <v>62</v>
      </c>
      <c r="Z16" s="116" t="s">
        <v>26</v>
      </c>
      <c r="AA16" s="116" t="s">
        <v>27</v>
      </c>
      <c r="AB16" s="118" t="s">
        <v>23</v>
      </c>
      <c r="AC16" s="119" t="s">
        <v>62</v>
      </c>
      <c r="AD16" s="116" t="s">
        <v>26</v>
      </c>
      <c r="AE16" s="116" t="s">
        <v>27</v>
      </c>
      <c r="AF16" s="118" t="s">
        <v>23</v>
      </c>
      <c r="AG16" s="119" t="s">
        <v>62</v>
      </c>
      <c r="AH16" s="116" t="s">
        <v>26</v>
      </c>
      <c r="AI16" s="116" t="s">
        <v>27</v>
      </c>
      <c r="AJ16" s="118" t="s">
        <v>23</v>
      </c>
      <c r="AK16" s="119" t="s">
        <v>62</v>
      </c>
      <c r="AL16" s="116" t="s">
        <v>26</v>
      </c>
      <c r="AM16" s="116" t="s">
        <v>27</v>
      </c>
      <c r="AN16" s="120" t="s">
        <v>23</v>
      </c>
      <c r="AO16" s="96"/>
    </row>
    <row r="17" spans="1:41" s="4" customFormat="1" ht="39.950000000000003" customHeight="1" x14ac:dyDescent="0.25">
      <c r="A17" s="96"/>
      <c r="B17" s="162">
        <v>1</v>
      </c>
      <c r="C17" s="163" t="s">
        <v>121</v>
      </c>
      <c r="D17" s="164" t="s">
        <v>122</v>
      </c>
      <c r="E17" s="164" t="s">
        <v>6</v>
      </c>
      <c r="F17" s="165">
        <v>0.84899999999999998</v>
      </c>
      <c r="G17" s="165">
        <v>0</v>
      </c>
      <c r="H17" s="166">
        <v>3.66</v>
      </c>
      <c r="I17" s="167">
        <v>423</v>
      </c>
      <c r="J17" s="168">
        <f>F17*H17*I17</f>
        <v>1314.4048200000002</v>
      </c>
      <c r="K17" s="168">
        <f>G17*H17*I17</f>
        <v>0</v>
      </c>
      <c r="L17" s="128">
        <f>H17</f>
        <v>3.66</v>
      </c>
      <c r="M17" s="129">
        <f>I17+6</f>
        <v>429</v>
      </c>
      <c r="N17" s="130">
        <f>F17*L17*M17</f>
        <v>1333.0488600000001</v>
      </c>
      <c r="O17" s="130">
        <f>G17*L17*M17</f>
        <v>0</v>
      </c>
      <c r="P17" s="169"/>
      <c r="Q17" s="169"/>
      <c r="R17" s="170" t="s">
        <v>133</v>
      </c>
      <c r="S17" s="143"/>
      <c r="T17" s="134">
        <f t="shared" ref="T17:U17" si="0">SUM(Y17,AC17,AG17,AK17)</f>
        <v>163</v>
      </c>
      <c r="U17" s="135">
        <f t="shared" si="0"/>
        <v>506.49642000000006</v>
      </c>
      <c r="V17" s="136">
        <f t="shared" ref="V17:W17" si="1">M17-T17</f>
        <v>266</v>
      </c>
      <c r="W17" s="137">
        <f t="shared" si="1"/>
        <v>826.55244000000005</v>
      </c>
      <c r="X17" s="96"/>
      <c r="Y17" s="138">
        <f>120+43</f>
        <v>163</v>
      </c>
      <c r="Z17" s="139">
        <f>$F17*$H17*Y17</f>
        <v>506.49642000000006</v>
      </c>
      <c r="AA17" s="139">
        <f>$G17*$H17*Y17</f>
        <v>0</v>
      </c>
      <c r="AB17" s="224" t="s">
        <v>236</v>
      </c>
      <c r="AC17" s="141"/>
      <c r="AD17" s="139">
        <f>$F17*$H17*AC17</f>
        <v>0</v>
      </c>
      <c r="AE17" s="139">
        <f>$G17*$H17*AC17</f>
        <v>0</v>
      </c>
      <c r="AF17" s="140"/>
      <c r="AG17" s="141"/>
      <c r="AH17" s="139">
        <f>$F17*$H17*AG17</f>
        <v>0</v>
      </c>
      <c r="AI17" s="139">
        <f>$G17*$H17*AG17</f>
        <v>0</v>
      </c>
      <c r="AJ17" s="140"/>
      <c r="AK17" s="141"/>
      <c r="AL17" s="139">
        <f>$F17*$H17*AK17</f>
        <v>0</v>
      </c>
      <c r="AM17" s="139">
        <f>$G17*$H17*AK17</f>
        <v>0</v>
      </c>
      <c r="AN17" s="142"/>
      <c r="AO17" s="96"/>
    </row>
    <row r="18" spans="1:41" s="6" customFormat="1" ht="39.950000000000003" customHeight="1" thickBot="1" x14ac:dyDescent="0.3">
      <c r="A18" s="96"/>
      <c r="B18" s="171"/>
      <c r="C18" s="172"/>
      <c r="D18" s="116"/>
      <c r="E18" s="116"/>
      <c r="F18" s="173"/>
      <c r="G18" s="173"/>
      <c r="H18" s="174"/>
      <c r="I18" s="175"/>
      <c r="J18" s="176">
        <f>SUM(J17:J17)</f>
        <v>1314.4048200000002</v>
      </c>
      <c r="K18" s="176">
        <f>SUM(K17:K17)</f>
        <v>0</v>
      </c>
      <c r="L18" s="174"/>
      <c r="M18" s="175"/>
      <c r="N18" s="161">
        <f>SUM(N17:N17)</f>
        <v>1333.0488600000001</v>
      </c>
      <c r="O18" s="176">
        <f>SUM(O17:O17)</f>
        <v>0</v>
      </c>
      <c r="P18" s="161">
        <f>J18-N18</f>
        <v>-18.644039999999904</v>
      </c>
      <c r="Q18" s="161">
        <f>K18-O18</f>
        <v>0</v>
      </c>
      <c r="R18" s="177"/>
      <c r="S18" s="143"/>
      <c r="T18" s="154"/>
      <c r="U18" s="155"/>
      <c r="V18" s="156"/>
      <c r="W18" s="157"/>
      <c r="X18" s="96"/>
      <c r="Y18" s="154"/>
      <c r="Z18" s="158"/>
      <c r="AA18" s="158"/>
      <c r="AB18" s="159"/>
      <c r="AC18" s="156"/>
      <c r="AD18" s="158"/>
      <c r="AE18" s="158"/>
      <c r="AF18" s="159"/>
      <c r="AG18" s="156"/>
      <c r="AH18" s="158"/>
      <c r="AI18" s="158"/>
      <c r="AJ18" s="159"/>
      <c r="AK18" s="156"/>
      <c r="AL18" s="158"/>
      <c r="AM18" s="158"/>
      <c r="AN18" s="160"/>
      <c r="AO18" s="96"/>
    </row>
    <row r="19" spans="1:41" s="4" customFormat="1" ht="39.950000000000003" customHeight="1" x14ac:dyDescent="0.25">
      <c r="A19" s="96"/>
      <c r="B19" s="121">
        <f>B17+1</f>
        <v>2</v>
      </c>
      <c r="C19" s="122" t="s">
        <v>28</v>
      </c>
      <c r="D19" s="123" t="s">
        <v>118</v>
      </c>
      <c r="E19" s="123" t="s">
        <v>6</v>
      </c>
      <c r="F19" s="124">
        <v>1.641</v>
      </c>
      <c r="G19" s="124">
        <v>0</v>
      </c>
      <c r="H19" s="125">
        <v>3.66</v>
      </c>
      <c r="I19" s="126">
        <v>280</v>
      </c>
      <c r="J19" s="127">
        <f>F19*H19*I19</f>
        <v>1681.6968000000002</v>
      </c>
      <c r="K19" s="127">
        <f>G19*H19*I19</f>
        <v>0</v>
      </c>
      <c r="L19" s="128">
        <f>H19</f>
        <v>3.66</v>
      </c>
      <c r="M19" s="129">
        <f>I19+4</f>
        <v>284</v>
      </c>
      <c r="N19" s="130">
        <f>F19*L19*M19</f>
        <v>1705.7210400000001</v>
      </c>
      <c r="O19" s="130">
        <f>G19*L19*M19</f>
        <v>0</v>
      </c>
      <c r="P19" s="131"/>
      <c r="Q19" s="131"/>
      <c r="R19" s="132" t="s">
        <v>134</v>
      </c>
      <c r="S19" s="133"/>
      <c r="T19" s="134">
        <f t="shared" ref="T19:U19" si="2">SUM(Y19,AC19,AG19,AK19)</f>
        <v>105</v>
      </c>
      <c r="U19" s="135">
        <f t="shared" si="2"/>
        <v>630.63630000000012</v>
      </c>
      <c r="V19" s="136">
        <f t="shared" ref="V19:W19" si="3">M19-T19</f>
        <v>179</v>
      </c>
      <c r="W19" s="137">
        <f t="shared" si="3"/>
        <v>1075.08474</v>
      </c>
      <c r="X19" s="96"/>
      <c r="Y19" s="138">
        <v>105</v>
      </c>
      <c r="Z19" s="139">
        <f>$F19*$H19*Y19</f>
        <v>630.63630000000012</v>
      </c>
      <c r="AA19" s="139">
        <f>$G19*$H19*Y19</f>
        <v>0</v>
      </c>
      <c r="AB19" s="140"/>
      <c r="AC19" s="141"/>
      <c r="AD19" s="139">
        <f>$F19*$H19*AC19</f>
        <v>0</v>
      </c>
      <c r="AE19" s="139">
        <f>$G19*$H19*AC19</f>
        <v>0</v>
      </c>
      <c r="AF19" s="140"/>
      <c r="AG19" s="141"/>
      <c r="AH19" s="139">
        <f>$F19*$H19*AG19</f>
        <v>0</v>
      </c>
      <c r="AI19" s="139">
        <f>$G19*$H19*AG19</f>
        <v>0</v>
      </c>
      <c r="AJ19" s="140"/>
      <c r="AK19" s="141"/>
      <c r="AL19" s="139">
        <f>$F19*$H19*AK19</f>
        <v>0</v>
      </c>
      <c r="AM19" s="139">
        <f>$G19*$H19*AK19</f>
        <v>0</v>
      </c>
      <c r="AN19" s="142"/>
      <c r="AO19" s="96"/>
    </row>
    <row r="20" spans="1:41" s="6" customFormat="1" ht="39.950000000000003" customHeight="1" thickBot="1" x14ac:dyDescent="0.3">
      <c r="A20" s="96"/>
      <c r="B20" s="145"/>
      <c r="C20" s="146"/>
      <c r="D20" s="147"/>
      <c r="E20" s="147"/>
      <c r="F20" s="148"/>
      <c r="G20" s="148"/>
      <c r="H20" s="149"/>
      <c r="I20" s="150"/>
      <c r="J20" s="151">
        <f>SUM(J19:J19)</f>
        <v>1681.6968000000002</v>
      </c>
      <c r="K20" s="151">
        <f>SUM(K19:K19)</f>
        <v>0</v>
      </c>
      <c r="L20" s="149"/>
      <c r="M20" s="150"/>
      <c r="N20" s="152">
        <f>SUM(N19:N19)</f>
        <v>1705.7210400000001</v>
      </c>
      <c r="O20" s="151">
        <f>SUM(O19:O19)</f>
        <v>0</v>
      </c>
      <c r="P20" s="152">
        <f>J20-N20</f>
        <v>-24.024239999999963</v>
      </c>
      <c r="Q20" s="152">
        <f>K20-O20</f>
        <v>0</v>
      </c>
      <c r="R20" s="153"/>
      <c r="S20" s="143"/>
      <c r="T20" s="154"/>
      <c r="U20" s="155"/>
      <c r="V20" s="156"/>
      <c r="W20" s="157"/>
      <c r="X20" s="96"/>
      <c r="Y20" s="154"/>
      <c r="Z20" s="158"/>
      <c r="AA20" s="158"/>
      <c r="AB20" s="159"/>
      <c r="AC20" s="156"/>
      <c r="AD20" s="158"/>
      <c r="AE20" s="158"/>
      <c r="AF20" s="159"/>
      <c r="AG20" s="156"/>
      <c r="AH20" s="158"/>
      <c r="AI20" s="158"/>
      <c r="AJ20" s="159"/>
      <c r="AK20" s="156"/>
      <c r="AL20" s="158"/>
      <c r="AM20" s="158"/>
      <c r="AN20" s="160"/>
      <c r="AO20" s="96"/>
    </row>
    <row r="21" spans="1:41" s="4" customFormat="1" ht="39.950000000000003" customHeight="1" x14ac:dyDescent="0.25">
      <c r="A21" s="96"/>
      <c r="B21" s="162">
        <f>B19+1</f>
        <v>3</v>
      </c>
      <c r="C21" s="163" t="s">
        <v>28</v>
      </c>
      <c r="D21" s="164" t="s">
        <v>29</v>
      </c>
      <c r="E21" s="164" t="s">
        <v>6</v>
      </c>
      <c r="F21" s="165">
        <v>1.641</v>
      </c>
      <c r="G21" s="165">
        <v>0</v>
      </c>
      <c r="H21" s="166">
        <v>3.66</v>
      </c>
      <c r="I21" s="167">
        <v>58</v>
      </c>
      <c r="J21" s="168">
        <f>F21*H21*I21</f>
        <v>348.35148000000004</v>
      </c>
      <c r="K21" s="168">
        <f>G21*H21*I21</f>
        <v>0</v>
      </c>
      <c r="L21" s="128">
        <f>H21</f>
        <v>3.66</v>
      </c>
      <c r="M21" s="129">
        <f>I21+1</f>
        <v>59</v>
      </c>
      <c r="N21" s="130">
        <f>F21*L21*M21</f>
        <v>354.35754000000003</v>
      </c>
      <c r="O21" s="130">
        <f>G21*L21*M21</f>
        <v>0</v>
      </c>
      <c r="P21" s="169"/>
      <c r="Q21" s="169"/>
      <c r="R21" s="170" t="s">
        <v>135</v>
      </c>
      <c r="S21" s="143"/>
      <c r="T21" s="134">
        <f t="shared" ref="T21:U21" si="4">SUM(Y21,AC21,AG21,AK21)</f>
        <v>21</v>
      </c>
      <c r="U21" s="135">
        <f t="shared" si="4"/>
        <v>126.12726000000001</v>
      </c>
      <c r="V21" s="136">
        <f t="shared" ref="V21:W21" si="5">M21-T21</f>
        <v>38</v>
      </c>
      <c r="W21" s="137">
        <f t="shared" si="5"/>
        <v>228.23028000000002</v>
      </c>
      <c r="X21" s="96"/>
      <c r="Y21" s="138">
        <v>21</v>
      </c>
      <c r="Z21" s="139">
        <f>$F21*$H21*Y21</f>
        <v>126.12726000000001</v>
      </c>
      <c r="AA21" s="139">
        <f>$G21*$H21*Y21</f>
        <v>0</v>
      </c>
      <c r="AB21" s="140"/>
      <c r="AC21" s="141"/>
      <c r="AD21" s="139">
        <f>$F21*$H21*AC21</f>
        <v>0</v>
      </c>
      <c r="AE21" s="139">
        <f>$G21*$H21*AC21</f>
        <v>0</v>
      </c>
      <c r="AF21" s="140"/>
      <c r="AG21" s="141"/>
      <c r="AH21" s="139">
        <f>$F21*$H21*AG21</f>
        <v>0</v>
      </c>
      <c r="AI21" s="139">
        <f>$G21*$H21*AG21</f>
        <v>0</v>
      </c>
      <c r="AJ21" s="140"/>
      <c r="AK21" s="141"/>
      <c r="AL21" s="139">
        <f>$F21*$H21*AK21</f>
        <v>0</v>
      </c>
      <c r="AM21" s="139">
        <f>$G21*$H21*AK21</f>
        <v>0</v>
      </c>
      <c r="AN21" s="142"/>
      <c r="AO21" s="96"/>
    </row>
    <row r="22" spans="1:41" s="6" customFormat="1" ht="39.950000000000003" customHeight="1" thickBot="1" x14ac:dyDescent="0.3">
      <c r="A22" s="96"/>
      <c r="B22" s="171"/>
      <c r="C22" s="172"/>
      <c r="D22" s="116"/>
      <c r="E22" s="116"/>
      <c r="F22" s="173"/>
      <c r="G22" s="173"/>
      <c r="H22" s="174"/>
      <c r="I22" s="175"/>
      <c r="J22" s="176">
        <f>SUM(J21:J21)</f>
        <v>348.35148000000004</v>
      </c>
      <c r="K22" s="176">
        <f>SUM(K21:K21)</f>
        <v>0</v>
      </c>
      <c r="L22" s="174"/>
      <c r="M22" s="175"/>
      <c r="N22" s="161">
        <f>SUM(N21:N21)</f>
        <v>354.35754000000003</v>
      </c>
      <c r="O22" s="176">
        <f>SUM(O21:O21)</f>
        <v>0</v>
      </c>
      <c r="P22" s="161">
        <f>J22-N22</f>
        <v>-6.0060599999999909</v>
      </c>
      <c r="Q22" s="161">
        <f>K22-O22</f>
        <v>0</v>
      </c>
      <c r="R22" s="177"/>
      <c r="S22" s="143"/>
      <c r="T22" s="154"/>
      <c r="U22" s="155"/>
      <c r="V22" s="156"/>
      <c r="W22" s="157"/>
      <c r="X22" s="96"/>
      <c r="Y22" s="154"/>
      <c r="Z22" s="158"/>
      <c r="AA22" s="158"/>
      <c r="AB22" s="159"/>
      <c r="AC22" s="156"/>
      <c r="AD22" s="158"/>
      <c r="AE22" s="158"/>
      <c r="AF22" s="159"/>
      <c r="AG22" s="156"/>
      <c r="AH22" s="158"/>
      <c r="AI22" s="158"/>
      <c r="AJ22" s="159"/>
      <c r="AK22" s="156"/>
      <c r="AL22" s="158"/>
      <c r="AM22" s="158"/>
      <c r="AN22" s="160"/>
      <c r="AO22" s="96"/>
    </row>
    <row r="23" spans="1:41" s="4" customFormat="1" ht="39.950000000000003" customHeight="1" x14ac:dyDescent="0.25">
      <c r="A23" s="96"/>
      <c r="B23" s="245">
        <f>B21+1</f>
        <v>4</v>
      </c>
      <c r="C23" s="122" t="s">
        <v>31</v>
      </c>
      <c r="D23" s="123" t="s">
        <v>32</v>
      </c>
      <c r="E23" s="123" t="s">
        <v>6</v>
      </c>
      <c r="F23" s="124">
        <v>3.3929999999999998</v>
      </c>
      <c r="G23" s="124">
        <v>0</v>
      </c>
      <c r="H23" s="125">
        <v>3.66</v>
      </c>
      <c r="I23" s="126">
        <v>1</v>
      </c>
      <c r="J23" s="127">
        <f>F23*H23*I23</f>
        <v>12.418379999999999</v>
      </c>
      <c r="K23" s="127">
        <f>G23*H23*I23</f>
        <v>0</v>
      </c>
      <c r="L23" s="128">
        <f>H23</f>
        <v>3.66</v>
      </c>
      <c r="M23" s="129">
        <f>I23</f>
        <v>1</v>
      </c>
      <c r="N23" s="130">
        <f>F23*L23*M23</f>
        <v>12.418379999999999</v>
      </c>
      <c r="O23" s="130">
        <f>G23*L23*M23</f>
        <v>0</v>
      </c>
      <c r="P23" s="131"/>
      <c r="Q23" s="131"/>
      <c r="R23" s="132"/>
      <c r="S23" s="133"/>
      <c r="T23" s="134">
        <f t="shared" ref="T23:U23" si="6">SUM(Y23,AC23,AG23,AK23)</f>
        <v>1</v>
      </c>
      <c r="U23" s="135">
        <f t="shared" si="6"/>
        <v>12.418379999999999</v>
      </c>
      <c r="V23" s="136">
        <f t="shared" ref="V23:W23" si="7">M23-T23</f>
        <v>0</v>
      </c>
      <c r="W23" s="137">
        <f t="shared" si="7"/>
        <v>0</v>
      </c>
      <c r="X23" s="96"/>
      <c r="Y23" s="138">
        <v>1</v>
      </c>
      <c r="Z23" s="139">
        <f>$F23*$H23*Y23</f>
        <v>12.418379999999999</v>
      </c>
      <c r="AA23" s="139">
        <f>$G23*$H23*Y23</f>
        <v>0</v>
      </c>
      <c r="AB23" s="183" t="s">
        <v>33</v>
      </c>
      <c r="AC23" s="141"/>
      <c r="AD23" s="139">
        <f>$F23*$H23*AC23</f>
        <v>0</v>
      </c>
      <c r="AE23" s="139">
        <f>$G23*$H23*AC23</f>
        <v>0</v>
      </c>
      <c r="AF23" s="178"/>
      <c r="AG23" s="141"/>
      <c r="AH23" s="139">
        <f>$F23*$H23*AG23</f>
        <v>0</v>
      </c>
      <c r="AI23" s="139">
        <f>$G23*$H23*AG23</f>
        <v>0</v>
      </c>
      <c r="AJ23" s="178"/>
      <c r="AK23" s="141"/>
      <c r="AL23" s="139">
        <f>$F23*$H23*AK23</f>
        <v>0</v>
      </c>
      <c r="AM23" s="139">
        <f>$G23*$H23*AK23</f>
        <v>0</v>
      </c>
      <c r="AN23" s="179"/>
      <c r="AO23" s="96"/>
    </row>
    <row r="24" spans="1:41" s="6" customFormat="1" ht="39.950000000000003" customHeight="1" thickBot="1" x14ac:dyDescent="0.3">
      <c r="A24" s="96"/>
      <c r="B24" s="145"/>
      <c r="C24" s="146"/>
      <c r="D24" s="147"/>
      <c r="E24" s="147"/>
      <c r="F24" s="148"/>
      <c r="G24" s="148"/>
      <c r="H24" s="149"/>
      <c r="I24" s="150"/>
      <c r="J24" s="151">
        <f>SUM(J23:J23)</f>
        <v>12.418379999999999</v>
      </c>
      <c r="K24" s="151">
        <f>SUM(K23:K23)</f>
        <v>0</v>
      </c>
      <c r="L24" s="149"/>
      <c r="M24" s="150"/>
      <c r="N24" s="152">
        <f>SUM(N23:N23)</f>
        <v>12.418379999999999</v>
      </c>
      <c r="O24" s="151">
        <f>SUM(O23:O23)</f>
        <v>0</v>
      </c>
      <c r="P24" s="152">
        <f>J24-N24</f>
        <v>0</v>
      </c>
      <c r="Q24" s="152">
        <f>K24-O24</f>
        <v>0</v>
      </c>
      <c r="R24" s="153"/>
      <c r="S24" s="143"/>
      <c r="T24" s="154"/>
      <c r="U24" s="155"/>
      <c r="V24" s="156"/>
      <c r="W24" s="157"/>
      <c r="X24" s="96"/>
      <c r="Y24" s="154"/>
      <c r="Z24" s="158"/>
      <c r="AA24" s="158"/>
      <c r="AB24" s="180"/>
      <c r="AC24" s="156"/>
      <c r="AD24" s="158"/>
      <c r="AE24" s="158"/>
      <c r="AF24" s="180"/>
      <c r="AG24" s="156"/>
      <c r="AH24" s="158"/>
      <c r="AI24" s="158"/>
      <c r="AJ24" s="180"/>
      <c r="AK24" s="156"/>
      <c r="AL24" s="158"/>
      <c r="AM24" s="158"/>
      <c r="AN24" s="181"/>
      <c r="AO24" s="96"/>
    </row>
    <row r="25" spans="1:41" s="4" customFormat="1" ht="39.950000000000003" customHeight="1" x14ac:dyDescent="0.25">
      <c r="A25" s="96"/>
      <c r="B25" s="245">
        <f>B23+1</f>
        <v>5</v>
      </c>
      <c r="C25" s="163" t="s">
        <v>34</v>
      </c>
      <c r="D25" s="164" t="s">
        <v>35</v>
      </c>
      <c r="E25" s="164" t="s">
        <v>6</v>
      </c>
      <c r="F25" s="165">
        <v>0.438</v>
      </c>
      <c r="G25" s="165">
        <v>0</v>
      </c>
      <c r="H25" s="166">
        <v>6.1</v>
      </c>
      <c r="I25" s="167">
        <v>2</v>
      </c>
      <c r="J25" s="168">
        <f>F25*H25*I25</f>
        <v>5.3435999999999995</v>
      </c>
      <c r="K25" s="168">
        <f>G25*H25*I25</f>
        <v>0</v>
      </c>
      <c r="L25" s="128">
        <f>H25</f>
        <v>6.1</v>
      </c>
      <c r="M25" s="129">
        <f>I25</f>
        <v>2</v>
      </c>
      <c r="N25" s="130">
        <f>F25*L25*M25</f>
        <v>5.3435999999999995</v>
      </c>
      <c r="O25" s="130">
        <f>G25*L25*M25</f>
        <v>0</v>
      </c>
      <c r="P25" s="169"/>
      <c r="Q25" s="169"/>
      <c r="R25" s="182"/>
      <c r="S25" s="143"/>
      <c r="T25" s="134">
        <f t="shared" ref="T25:U25" si="8">SUM(Y25,AC25,AG25,AK25)</f>
        <v>2</v>
      </c>
      <c r="U25" s="135">
        <f t="shared" si="8"/>
        <v>5.3435999999999995</v>
      </c>
      <c r="V25" s="136">
        <f t="shared" ref="V25:W25" si="9">M25-T25</f>
        <v>0</v>
      </c>
      <c r="W25" s="137">
        <f t="shared" si="9"/>
        <v>0</v>
      </c>
      <c r="X25" s="96"/>
      <c r="Y25" s="138">
        <v>2</v>
      </c>
      <c r="Z25" s="139">
        <f>$F25*$H25*Y25</f>
        <v>5.3435999999999995</v>
      </c>
      <c r="AA25" s="139">
        <f>$G25*$H25*Y25</f>
        <v>0</v>
      </c>
      <c r="AB25" s="183" t="s">
        <v>33</v>
      </c>
      <c r="AC25" s="141"/>
      <c r="AD25" s="139">
        <f>$F25*$H25*AC25</f>
        <v>0</v>
      </c>
      <c r="AE25" s="139">
        <f>$G25*$H25*AC25</f>
        <v>0</v>
      </c>
      <c r="AF25" s="183"/>
      <c r="AG25" s="141"/>
      <c r="AH25" s="139">
        <f>$F25*$H25*AG25</f>
        <v>0</v>
      </c>
      <c r="AI25" s="139">
        <f>$G25*$H25*AG25</f>
        <v>0</v>
      </c>
      <c r="AJ25" s="183"/>
      <c r="AK25" s="141"/>
      <c r="AL25" s="139">
        <f>$F25*$H25*AK25</f>
        <v>0</v>
      </c>
      <c r="AM25" s="139">
        <f>$G25*$H25*AK25</f>
        <v>0</v>
      </c>
      <c r="AN25" s="184"/>
      <c r="AO25" s="96"/>
    </row>
    <row r="26" spans="1:41" s="6" customFormat="1" ht="39.950000000000003" customHeight="1" thickBot="1" x14ac:dyDescent="0.3">
      <c r="A26" s="96"/>
      <c r="B26" s="171"/>
      <c r="C26" s="172"/>
      <c r="D26" s="116"/>
      <c r="E26" s="116"/>
      <c r="F26" s="173"/>
      <c r="G26" s="173"/>
      <c r="H26" s="174"/>
      <c r="I26" s="175"/>
      <c r="J26" s="176">
        <f>SUM(J25:J25)</f>
        <v>5.3435999999999995</v>
      </c>
      <c r="K26" s="176">
        <f>SUM(K25:K25)</f>
        <v>0</v>
      </c>
      <c r="L26" s="174"/>
      <c r="M26" s="175"/>
      <c r="N26" s="161">
        <f>SUM(N25:N25)</f>
        <v>5.3435999999999995</v>
      </c>
      <c r="O26" s="176">
        <f>SUM(O25:O25)</f>
        <v>0</v>
      </c>
      <c r="P26" s="161">
        <f>J26-N26</f>
        <v>0</v>
      </c>
      <c r="Q26" s="161">
        <f>K26-O26</f>
        <v>0</v>
      </c>
      <c r="R26" s="177"/>
      <c r="S26" s="143"/>
      <c r="T26" s="154"/>
      <c r="U26" s="155"/>
      <c r="V26" s="156"/>
      <c r="W26" s="157"/>
      <c r="X26" s="96"/>
      <c r="Y26" s="154"/>
      <c r="Z26" s="158"/>
      <c r="AA26" s="158"/>
      <c r="AB26" s="159"/>
      <c r="AC26" s="156"/>
      <c r="AD26" s="158"/>
      <c r="AE26" s="158"/>
      <c r="AF26" s="159"/>
      <c r="AG26" s="156"/>
      <c r="AH26" s="158"/>
      <c r="AI26" s="158"/>
      <c r="AJ26" s="159"/>
      <c r="AK26" s="156"/>
      <c r="AL26" s="158"/>
      <c r="AM26" s="158"/>
      <c r="AN26" s="160"/>
      <c r="AO26" s="96"/>
    </row>
    <row r="27" spans="1:41" s="4" customFormat="1" ht="39.950000000000003" customHeight="1" x14ac:dyDescent="0.25">
      <c r="A27" s="96"/>
      <c r="B27" s="121">
        <f>B25+1</f>
        <v>6</v>
      </c>
      <c r="C27" s="122">
        <v>10926</v>
      </c>
      <c r="D27" s="123" t="s">
        <v>36</v>
      </c>
      <c r="E27" s="123" t="s">
        <v>6</v>
      </c>
      <c r="F27" s="124">
        <v>0.76700000000000002</v>
      </c>
      <c r="G27" s="124">
        <v>0</v>
      </c>
      <c r="H27" s="125">
        <v>6.1</v>
      </c>
      <c r="I27" s="126">
        <v>52</v>
      </c>
      <c r="J27" s="127">
        <f>F27*H27*I27</f>
        <v>243.29240000000001</v>
      </c>
      <c r="K27" s="168">
        <f>G27*H27*I27</f>
        <v>0</v>
      </c>
      <c r="L27" s="128">
        <f>H27</f>
        <v>6.1</v>
      </c>
      <c r="M27" s="129">
        <f>I27+1</f>
        <v>53</v>
      </c>
      <c r="N27" s="130">
        <f>F27*L27*M27</f>
        <v>247.97110000000001</v>
      </c>
      <c r="O27" s="130">
        <f>G27*L27*M27</f>
        <v>0</v>
      </c>
      <c r="P27" s="131"/>
      <c r="Q27" s="131"/>
      <c r="R27" s="132" t="s">
        <v>30</v>
      </c>
      <c r="S27" s="133"/>
      <c r="T27" s="134">
        <f t="shared" ref="T27:U27" si="10">SUM(Y27,AC27,AG27,AK27)</f>
        <v>53</v>
      </c>
      <c r="U27" s="135">
        <f t="shared" si="10"/>
        <v>247.97110000000001</v>
      </c>
      <c r="V27" s="136">
        <f t="shared" ref="V27:W27" si="11">M27-T27</f>
        <v>0</v>
      </c>
      <c r="W27" s="137">
        <f t="shared" si="11"/>
        <v>0</v>
      </c>
      <c r="X27" s="96"/>
      <c r="Y27" s="138">
        <f>16+37</f>
        <v>53</v>
      </c>
      <c r="Z27" s="139">
        <f>$F27*$H27*Y27</f>
        <v>247.97110000000001</v>
      </c>
      <c r="AA27" s="139">
        <f>$G27*$H27*Y27</f>
        <v>0</v>
      </c>
      <c r="AB27" s="178" t="s">
        <v>119</v>
      </c>
      <c r="AC27" s="141"/>
      <c r="AD27" s="139">
        <f>$F27*$H27*AC27</f>
        <v>0</v>
      </c>
      <c r="AE27" s="139">
        <f>$G27*$H27*AC27</f>
        <v>0</v>
      </c>
      <c r="AF27" s="178"/>
      <c r="AG27" s="141"/>
      <c r="AH27" s="139">
        <f>$F27*$H27*AG27</f>
        <v>0</v>
      </c>
      <c r="AI27" s="139">
        <f>$G27*$H27*AG27</f>
        <v>0</v>
      </c>
      <c r="AJ27" s="178"/>
      <c r="AK27" s="141"/>
      <c r="AL27" s="139">
        <f>$F27*$H27*AK27</f>
        <v>0</v>
      </c>
      <c r="AM27" s="139">
        <f>$G27*$H27*AK27</f>
        <v>0</v>
      </c>
      <c r="AN27" s="179"/>
      <c r="AO27" s="96"/>
    </row>
    <row r="28" spans="1:41" s="4" customFormat="1" ht="39.950000000000003" customHeight="1" thickBot="1" x14ac:dyDescent="0.3">
      <c r="A28" s="96"/>
      <c r="B28" s="185"/>
      <c r="C28" s="146"/>
      <c r="D28" s="147"/>
      <c r="E28" s="147"/>
      <c r="F28" s="148"/>
      <c r="G28" s="148"/>
      <c r="H28" s="149"/>
      <c r="I28" s="150"/>
      <c r="J28" s="151">
        <f>SUM(J27:J27)</f>
        <v>243.29240000000001</v>
      </c>
      <c r="K28" s="151">
        <f>SUM(K27:K27)</f>
        <v>0</v>
      </c>
      <c r="L28" s="149"/>
      <c r="M28" s="150"/>
      <c r="N28" s="152">
        <f>SUM(N27:N27)</f>
        <v>247.97110000000001</v>
      </c>
      <c r="O28" s="151">
        <f>SUM(O27:O27)</f>
        <v>0</v>
      </c>
      <c r="P28" s="152">
        <f>J28-N28</f>
        <v>-4.6786999999999921</v>
      </c>
      <c r="Q28" s="152">
        <f>K28-O28</f>
        <v>0</v>
      </c>
      <c r="R28" s="153"/>
      <c r="S28" s="143"/>
      <c r="T28" s="154"/>
      <c r="U28" s="155"/>
      <c r="V28" s="156"/>
      <c r="W28" s="157"/>
      <c r="X28" s="96"/>
      <c r="Y28" s="154"/>
      <c r="Z28" s="158"/>
      <c r="AA28" s="158"/>
      <c r="AB28" s="180" t="s">
        <v>120</v>
      </c>
      <c r="AC28" s="156"/>
      <c r="AD28" s="158"/>
      <c r="AE28" s="158"/>
      <c r="AF28" s="180"/>
      <c r="AG28" s="156"/>
      <c r="AH28" s="158"/>
      <c r="AI28" s="158"/>
      <c r="AJ28" s="180"/>
      <c r="AK28" s="156"/>
      <c r="AL28" s="158"/>
      <c r="AM28" s="158"/>
      <c r="AN28" s="181"/>
      <c r="AO28" s="96"/>
    </row>
    <row r="29" spans="1:41" s="4" customFormat="1" ht="39.950000000000003" customHeight="1" x14ac:dyDescent="0.25">
      <c r="A29" s="96"/>
      <c r="B29" s="162">
        <f>B27+1</f>
        <v>7</v>
      </c>
      <c r="C29" s="163" t="s">
        <v>37</v>
      </c>
      <c r="D29" s="164" t="s">
        <v>38</v>
      </c>
      <c r="E29" s="164" t="s">
        <v>39</v>
      </c>
      <c r="F29" s="165">
        <v>0.29899999999999999</v>
      </c>
      <c r="G29" s="165">
        <v>0.13900000000000001</v>
      </c>
      <c r="H29" s="166">
        <v>4.5999999999999996</v>
      </c>
      <c r="I29" s="167">
        <v>51</v>
      </c>
      <c r="J29" s="168">
        <f>F29*H29*I29</f>
        <v>70.145399999999981</v>
      </c>
      <c r="K29" s="168">
        <f>G29*H29*I29</f>
        <v>32.609400000000001</v>
      </c>
      <c r="L29" s="128">
        <f>H29</f>
        <v>4.5999999999999996</v>
      </c>
      <c r="M29" s="129">
        <f>I29</f>
        <v>51</v>
      </c>
      <c r="N29" s="186">
        <f>F29*L29*M29</f>
        <v>70.145399999999981</v>
      </c>
      <c r="O29" s="130">
        <f>G29*L29*M29</f>
        <v>32.609400000000001</v>
      </c>
      <c r="P29" s="169"/>
      <c r="Q29" s="169"/>
      <c r="R29" s="170"/>
      <c r="S29" s="133"/>
      <c r="T29" s="134">
        <f t="shared" ref="T29:U30" si="12">SUM(Y29,AC29,AG29,AK29)</f>
        <v>51</v>
      </c>
      <c r="U29" s="135">
        <f t="shared" si="12"/>
        <v>70.145399999999981</v>
      </c>
      <c r="V29" s="136">
        <f t="shared" ref="V29:W30" si="13">M29-T29</f>
        <v>0</v>
      </c>
      <c r="W29" s="137">
        <f t="shared" si="13"/>
        <v>0</v>
      </c>
      <c r="X29" s="96"/>
      <c r="Y29" s="138">
        <f>26+25</f>
        <v>51</v>
      </c>
      <c r="Z29" s="139">
        <f>$F29*$H29*Y29</f>
        <v>70.145399999999981</v>
      </c>
      <c r="AA29" s="139">
        <f>$G29*$H29*Y29</f>
        <v>32.609400000000001</v>
      </c>
      <c r="AB29" s="178" t="s">
        <v>119</v>
      </c>
      <c r="AC29" s="141"/>
      <c r="AD29" s="139">
        <f>$F29*$H29*AC29</f>
        <v>0</v>
      </c>
      <c r="AE29" s="139">
        <f>$G29*$H29*AC29</f>
        <v>0</v>
      </c>
      <c r="AF29" s="178"/>
      <c r="AG29" s="141"/>
      <c r="AH29" s="139">
        <f>$F29*$H29*AG29</f>
        <v>0</v>
      </c>
      <c r="AI29" s="139">
        <f>$G29*$H29*AG29</f>
        <v>0</v>
      </c>
      <c r="AJ29" s="178"/>
      <c r="AK29" s="141"/>
      <c r="AL29" s="139">
        <f>$F29*$H29*AK29</f>
        <v>0</v>
      </c>
      <c r="AM29" s="139">
        <f>$G29*$H29*AK29</f>
        <v>0</v>
      </c>
      <c r="AN29" s="179"/>
      <c r="AO29" s="96"/>
    </row>
    <row r="30" spans="1:41" s="4" customFormat="1" ht="39.950000000000003" customHeight="1" x14ac:dyDescent="0.25">
      <c r="A30" s="96"/>
      <c r="B30" s="162">
        <f>B29+1</f>
        <v>8</v>
      </c>
      <c r="C30" s="187" t="s">
        <v>37</v>
      </c>
      <c r="D30" s="188" t="s">
        <v>38</v>
      </c>
      <c r="E30" s="164" t="s">
        <v>39</v>
      </c>
      <c r="F30" s="189">
        <v>0.29899999999999999</v>
      </c>
      <c r="G30" s="189">
        <v>0.13900000000000001</v>
      </c>
      <c r="H30" s="190">
        <v>4.9000000000000004</v>
      </c>
      <c r="I30" s="191">
        <v>178</v>
      </c>
      <c r="J30" s="192">
        <f>F30*H30*I30</f>
        <v>260.7878</v>
      </c>
      <c r="K30" s="168">
        <f>G30*H30*I30</f>
        <v>121.23580000000003</v>
      </c>
      <c r="L30" s="193">
        <f>H30</f>
        <v>4.9000000000000004</v>
      </c>
      <c r="M30" s="129">
        <f>I30+4</f>
        <v>182</v>
      </c>
      <c r="N30" s="186">
        <f>F30*L30*M30</f>
        <v>266.64820000000003</v>
      </c>
      <c r="O30" s="130">
        <f>G30*L30*M30</f>
        <v>123.96020000000003</v>
      </c>
      <c r="P30" s="194"/>
      <c r="Q30" s="194"/>
      <c r="R30" s="195" t="s">
        <v>134</v>
      </c>
      <c r="S30" s="133"/>
      <c r="T30" s="134">
        <f t="shared" si="12"/>
        <v>182</v>
      </c>
      <c r="U30" s="135">
        <f t="shared" si="12"/>
        <v>266.64820000000003</v>
      </c>
      <c r="V30" s="136">
        <f t="shared" si="13"/>
        <v>0</v>
      </c>
      <c r="W30" s="137">
        <f t="shared" si="13"/>
        <v>0</v>
      </c>
      <c r="X30" s="96"/>
      <c r="Y30" s="134">
        <f>62+120</f>
        <v>182</v>
      </c>
      <c r="Z30" s="135">
        <f>$F30*$H30*Y30</f>
        <v>266.64820000000003</v>
      </c>
      <c r="AA30" s="135">
        <f>$G30*$H30*Y30</f>
        <v>123.96020000000003</v>
      </c>
      <c r="AB30" s="196" t="s">
        <v>119</v>
      </c>
      <c r="AC30" s="136"/>
      <c r="AD30" s="135">
        <f>$F30*$H30*AC30</f>
        <v>0</v>
      </c>
      <c r="AE30" s="135">
        <f>$G30*$H30*AC30</f>
        <v>0</v>
      </c>
      <c r="AF30" s="196"/>
      <c r="AG30" s="136"/>
      <c r="AH30" s="135">
        <f>$F30*$H30*AG30</f>
        <v>0</v>
      </c>
      <c r="AI30" s="135">
        <f>$G30*$H30*AG30</f>
        <v>0</v>
      </c>
      <c r="AJ30" s="196"/>
      <c r="AK30" s="136"/>
      <c r="AL30" s="135">
        <f>$F30*$H30*AK30</f>
        <v>0</v>
      </c>
      <c r="AM30" s="135">
        <f>$G30*$H30*AK30</f>
        <v>0</v>
      </c>
      <c r="AN30" s="197"/>
      <c r="AO30" s="96"/>
    </row>
    <row r="31" spans="1:41" s="4" customFormat="1" ht="39.950000000000003" customHeight="1" thickBot="1" x14ac:dyDescent="0.3">
      <c r="A31" s="96"/>
      <c r="B31" s="198"/>
      <c r="C31" s="199"/>
      <c r="D31" s="200"/>
      <c r="E31" s="200"/>
      <c r="F31" s="201"/>
      <c r="G31" s="201"/>
      <c r="H31" s="202"/>
      <c r="I31" s="203"/>
      <c r="J31" s="176">
        <f>SUM(J29:J30)</f>
        <v>330.9332</v>
      </c>
      <c r="K31" s="176">
        <f>SUM(K29:K30)</f>
        <v>153.84520000000003</v>
      </c>
      <c r="L31" s="174"/>
      <c r="M31" s="175"/>
      <c r="N31" s="161">
        <f>SUM(N29:N30)</f>
        <v>336.79360000000003</v>
      </c>
      <c r="O31" s="176">
        <f>SUM(O29:O30)</f>
        <v>156.56960000000004</v>
      </c>
      <c r="P31" s="161">
        <f>J31-N31</f>
        <v>-5.8604000000000269</v>
      </c>
      <c r="Q31" s="161">
        <f>K31-O31</f>
        <v>-2.7244000000000028</v>
      </c>
      <c r="R31" s="204"/>
      <c r="S31" s="133"/>
      <c r="T31" s="154"/>
      <c r="U31" s="155"/>
      <c r="V31" s="156"/>
      <c r="W31" s="157"/>
      <c r="X31" s="96"/>
      <c r="Y31" s="154"/>
      <c r="Z31" s="158"/>
      <c r="AA31" s="158"/>
      <c r="AB31" s="180" t="s">
        <v>120</v>
      </c>
      <c r="AC31" s="156"/>
      <c r="AD31" s="158"/>
      <c r="AE31" s="158"/>
      <c r="AF31" s="180"/>
      <c r="AG31" s="156"/>
      <c r="AH31" s="158"/>
      <c r="AI31" s="158"/>
      <c r="AJ31" s="180"/>
      <c r="AK31" s="156"/>
      <c r="AL31" s="158"/>
      <c r="AM31" s="158"/>
      <c r="AN31" s="181"/>
      <c r="AO31" s="96"/>
    </row>
    <row r="32" spans="1:41" s="4" customFormat="1" ht="39.950000000000003" customHeight="1" x14ac:dyDescent="0.25">
      <c r="A32" s="96"/>
      <c r="B32" s="121">
        <f>B30+1</f>
        <v>9</v>
      </c>
      <c r="C32" s="122" t="s">
        <v>40</v>
      </c>
      <c r="D32" s="123" t="s">
        <v>41</v>
      </c>
      <c r="E32" s="123" t="s">
        <v>39</v>
      </c>
      <c r="F32" s="124">
        <v>0.27700000000000002</v>
      </c>
      <c r="G32" s="124">
        <v>0.114</v>
      </c>
      <c r="H32" s="125">
        <v>4.5999999999999996</v>
      </c>
      <c r="I32" s="126">
        <v>51</v>
      </c>
      <c r="J32" s="127">
        <f>F32*H32*I32</f>
        <v>64.984200000000001</v>
      </c>
      <c r="K32" s="127">
        <f>G32*H32*I32</f>
        <v>26.744399999999999</v>
      </c>
      <c r="L32" s="128">
        <f>H32</f>
        <v>4.5999999999999996</v>
      </c>
      <c r="M32" s="129">
        <f>I32</f>
        <v>51</v>
      </c>
      <c r="N32" s="186">
        <f>F32*L32*M32</f>
        <v>64.984200000000001</v>
      </c>
      <c r="O32" s="130">
        <f>G32*L32*M32</f>
        <v>26.744399999999999</v>
      </c>
      <c r="P32" s="131"/>
      <c r="Q32" s="131"/>
      <c r="R32" s="132"/>
      <c r="S32" s="133"/>
      <c r="T32" s="134">
        <f t="shared" ref="T32:U33" si="14">SUM(Y32,AC32,AG32,AK32)</f>
        <v>51</v>
      </c>
      <c r="U32" s="135">
        <f t="shared" si="14"/>
        <v>64.984200000000001</v>
      </c>
      <c r="V32" s="136">
        <f t="shared" ref="V32:W33" si="15">M32-T32</f>
        <v>0</v>
      </c>
      <c r="W32" s="137">
        <f t="shared" si="15"/>
        <v>0</v>
      </c>
      <c r="X32" s="96"/>
      <c r="Y32" s="138">
        <f>26+25</f>
        <v>51</v>
      </c>
      <c r="Z32" s="139">
        <f>$F32*$H32*Y32</f>
        <v>64.984200000000001</v>
      </c>
      <c r="AA32" s="139">
        <f>$G32*$H32*Y32</f>
        <v>26.744399999999999</v>
      </c>
      <c r="AB32" s="178" t="s">
        <v>119</v>
      </c>
      <c r="AC32" s="141"/>
      <c r="AD32" s="139">
        <f>$F32*$H32*AC32</f>
        <v>0</v>
      </c>
      <c r="AE32" s="139">
        <f>$G32*$H32*AC32</f>
        <v>0</v>
      </c>
      <c r="AF32" s="178"/>
      <c r="AG32" s="141"/>
      <c r="AH32" s="139">
        <f>$F32*$H32*AG32</f>
        <v>0</v>
      </c>
      <c r="AI32" s="139">
        <f>$G32*$H32*AG32</f>
        <v>0</v>
      </c>
      <c r="AJ32" s="178"/>
      <c r="AK32" s="141"/>
      <c r="AL32" s="139">
        <f>$F32*$H32*AK32</f>
        <v>0</v>
      </c>
      <c r="AM32" s="139">
        <f>$G32*$H32*AK32</f>
        <v>0</v>
      </c>
      <c r="AN32" s="179"/>
      <c r="AO32" s="96"/>
    </row>
    <row r="33" spans="1:49" s="4" customFormat="1" ht="39.950000000000003" customHeight="1" x14ac:dyDescent="0.25">
      <c r="A33" s="96"/>
      <c r="B33" s="121">
        <f>B32+1</f>
        <v>10</v>
      </c>
      <c r="C33" s="205" t="s">
        <v>40</v>
      </c>
      <c r="D33" s="206" t="s">
        <v>41</v>
      </c>
      <c r="E33" s="206" t="s">
        <v>39</v>
      </c>
      <c r="F33" s="95">
        <v>0.27700000000000002</v>
      </c>
      <c r="G33" s="95">
        <v>0.114</v>
      </c>
      <c r="H33" s="207">
        <v>4.9000000000000004</v>
      </c>
      <c r="I33" s="208">
        <v>178</v>
      </c>
      <c r="J33" s="209">
        <f>F33*H33*I33</f>
        <v>241.59940000000003</v>
      </c>
      <c r="K33" s="127">
        <f>G33*H33*I33</f>
        <v>99.430800000000019</v>
      </c>
      <c r="L33" s="193">
        <f>H33</f>
        <v>4.9000000000000004</v>
      </c>
      <c r="M33" s="129">
        <f>I33+4</f>
        <v>182</v>
      </c>
      <c r="N33" s="186">
        <f>F33*L33*M33</f>
        <v>247.02860000000004</v>
      </c>
      <c r="O33" s="130">
        <f>G33*L33*M33</f>
        <v>101.66520000000001</v>
      </c>
      <c r="P33" s="210"/>
      <c r="Q33" s="210"/>
      <c r="R33" s="211" t="s">
        <v>134</v>
      </c>
      <c r="S33" s="133"/>
      <c r="T33" s="134">
        <f t="shared" si="14"/>
        <v>182</v>
      </c>
      <c r="U33" s="135">
        <f t="shared" si="14"/>
        <v>247.02860000000004</v>
      </c>
      <c r="V33" s="136">
        <f t="shared" si="15"/>
        <v>0</v>
      </c>
      <c r="W33" s="137">
        <f t="shared" si="15"/>
        <v>0</v>
      </c>
      <c r="X33" s="96"/>
      <c r="Y33" s="134">
        <f>62+120</f>
        <v>182</v>
      </c>
      <c r="Z33" s="135">
        <f>$F33*$H33*Y33</f>
        <v>247.02860000000004</v>
      </c>
      <c r="AA33" s="135">
        <f>$G33*$H33*Y33</f>
        <v>101.66520000000001</v>
      </c>
      <c r="AB33" s="196" t="s">
        <v>119</v>
      </c>
      <c r="AC33" s="136"/>
      <c r="AD33" s="135">
        <f>$F33*$H33*AC33</f>
        <v>0</v>
      </c>
      <c r="AE33" s="135">
        <f>$G33*$H33*AC33</f>
        <v>0</v>
      </c>
      <c r="AF33" s="196"/>
      <c r="AG33" s="136"/>
      <c r="AH33" s="135">
        <f>$F33*$H33*AG33</f>
        <v>0</v>
      </c>
      <c r="AI33" s="135">
        <f>$G33*$H33*AG33</f>
        <v>0</v>
      </c>
      <c r="AJ33" s="196"/>
      <c r="AK33" s="136"/>
      <c r="AL33" s="135">
        <f>$F33*$H33*AK33</f>
        <v>0</v>
      </c>
      <c r="AM33" s="135">
        <f>$G33*$H33*AK33</f>
        <v>0</v>
      </c>
      <c r="AN33" s="197"/>
      <c r="AO33" s="96"/>
    </row>
    <row r="34" spans="1:49" s="4" customFormat="1" ht="39.950000000000003" customHeight="1" thickBot="1" x14ac:dyDescent="0.3">
      <c r="A34" s="96"/>
      <c r="B34" s="212"/>
      <c r="C34" s="213"/>
      <c r="D34" s="214"/>
      <c r="E34" s="214"/>
      <c r="F34" s="215"/>
      <c r="G34" s="215"/>
      <c r="H34" s="216"/>
      <c r="I34" s="217"/>
      <c r="J34" s="151">
        <f>SUM(J32:J33)</f>
        <v>306.58360000000005</v>
      </c>
      <c r="K34" s="151">
        <f>SUM(K32:K33)</f>
        <v>126.17520000000002</v>
      </c>
      <c r="L34" s="216"/>
      <c r="M34" s="217"/>
      <c r="N34" s="152">
        <f>SUM(N32:N33)</f>
        <v>312.01280000000003</v>
      </c>
      <c r="O34" s="151">
        <f>SUM(O32:O33)</f>
        <v>128.40960000000001</v>
      </c>
      <c r="P34" s="152">
        <f>J34-N34</f>
        <v>-5.4291999999999803</v>
      </c>
      <c r="Q34" s="152">
        <f>K34-O34</f>
        <v>-2.2343999999999937</v>
      </c>
      <c r="R34" s="218"/>
      <c r="S34" s="133"/>
      <c r="T34" s="154"/>
      <c r="U34" s="155"/>
      <c r="V34" s="156"/>
      <c r="W34" s="157"/>
      <c r="X34" s="96"/>
      <c r="Y34" s="154"/>
      <c r="Z34" s="158"/>
      <c r="AA34" s="158"/>
      <c r="AB34" s="180" t="s">
        <v>120</v>
      </c>
      <c r="AC34" s="156"/>
      <c r="AD34" s="158"/>
      <c r="AE34" s="158"/>
      <c r="AF34" s="180"/>
      <c r="AG34" s="156"/>
      <c r="AH34" s="158"/>
      <c r="AI34" s="158"/>
      <c r="AJ34" s="180"/>
      <c r="AK34" s="156"/>
      <c r="AL34" s="158"/>
      <c r="AM34" s="158"/>
      <c r="AN34" s="181"/>
      <c r="AO34" s="96"/>
    </row>
    <row r="35" spans="1:49" s="4" customFormat="1" ht="39.950000000000003" customHeight="1" x14ac:dyDescent="0.25">
      <c r="A35" s="96"/>
      <c r="B35" s="162">
        <f>B33+1</f>
        <v>11</v>
      </c>
      <c r="C35" s="163" t="s">
        <v>42</v>
      </c>
      <c r="D35" s="164" t="s">
        <v>43</v>
      </c>
      <c r="E35" s="164" t="s">
        <v>39</v>
      </c>
      <c r="F35" s="165">
        <v>1.72</v>
      </c>
      <c r="G35" s="165">
        <v>0.32400000000000001</v>
      </c>
      <c r="H35" s="166">
        <v>4.5999999999999996</v>
      </c>
      <c r="I35" s="167">
        <v>51</v>
      </c>
      <c r="J35" s="168">
        <f>F35*H35*I35</f>
        <v>403.51199999999994</v>
      </c>
      <c r="K35" s="168">
        <f>G35*H35*I35</f>
        <v>76.010400000000004</v>
      </c>
      <c r="L35" s="128">
        <f>H35</f>
        <v>4.5999999999999996</v>
      </c>
      <c r="M35" s="129">
        <f>I35</f>
        <v>51</v>
      </c>
      <c r="N35" s="186">
        <f>F35*L35*M35</f>
        <v>403.51199999999994</v>
      </c>
      <c r="O35" s="130">
        <f>G35*L35*M35</f>
        <v>76.010400000000004</v>
      </c>
      <c r="P35" s="169"/>
      <c r="Q35" s="169"/>
      <c r="R35" s="170"/>
      <c r="S35" s="133"/>
      <c r="T35" s="134">
        <f t="shared" ref="T35:U36" si="16">SUM(Y35,AC35,AG35,AK35)</f>
        <v>26</v>
      </c>
      <c r="U35" s="135">
        <f t="shared" si="16"/>
        <v>205.71199999999999</v>
      </c>
      <c r="V35" s="136">
        <f t="shared" ref="V35:W36" si="17">M35-T35</f>
        <v>25</v>
      </c>
      <c r="W35" s="137">
        <f t="shared" si="17"/>
        <v>197.79999999999995</v>
      </c>
      <c r="X35" s="96"/>
      <c r="Y35" s="138">
        <v>26</v>
      </c>
      <c r="Z35" s="139">
        <f>$F35*$H35*Y35</f>
        <v>205.71199999999999</v>
      </c>
      <c r="AA35" s="139">
        <f>$G35*$H35*Y35</f>
        <v>38.750399999999999</v>
      </c>
      <c r="AB35" s="140"/>
      <c r="AC35" s="141"/>
      <c r="AD35" s="139">
        <f>$F35*$H35*AC35</f>
        <v>0</v>
      </c>
      <c r="AE35" s="139">
        <f>$G35*$H35*AC35</f>
        <v>0</v>
      </c>
      <c r="AF35" s="140"/>
      <c r="AG35" s="141"/>
      <c r="AH35" s="139">
        <f>$F35*$H35*AG35</f>
        <v>0</v>
      </c>
      <c r="AI35" s="139">
        <f>$G35*$H35*AG35</f>
        <v>0</v>
      </c>
      <c r="AJ35" s="140"/>
      <c r="AK35" s="141"/>
      <c r="AL35" s="139">
        <f>$F35*$H35*AK35</f>
        <v>0</v>
      </c>
      <c r="AM35" s="139">
        <f>$G35*$H35*AK35</f>
        <v>0</v>
      </c>
      <c r="AN35" s="142"/>
      <c r="AO35" s="96"/>
    </row>
    <row r="36" spans="1:49" s="4" customFormat="1" ht="39.950000000000003" customHeight="1" x14ac:dyDescent="0.25">
      <c r="A36" s="96"/>
      <c r="B36" s="162">
        <f>B35+1</f>
        <v>12</v>
      </c>
      <c r="C36" s="187" t="s">
        <v>42</v>
      </c>
      <c r="D36" s="188" t="s">
        <v>43</v>
      </c>
      <c r="E36" s="164" t="s">
        <v>39</v>
      </c>
      <c r="F36" s="189">
        <v>1.72</v>
      </c>
      <c r="G36" s="189">
        <v>0.32400000000000001</v>
      </c>
      <c r="H36" s="190">
        <v>4.9000000000000004</v>
      </c>
      <c r="I36" s="191">
        <v>178</v>
      </c>
      <c r="J36" s="192">
        <f>F36*H36*I36</f>
        <v>1500.1840000000002</v>
      </c>
      <c r="K36" s="168">
        <f>G36*H36*I36</f>
        <v>282.59280000000001</v>
      </c>
      <c r="L36" s="193">
        <f>H36</f>
        <v>4.9000000000000004</v>
      </c>
      <c r="M36" s="129">
        <f>I36+4</f>
        <v>182</v>
      </c>
      <c r="N36" s="186">
        <f>F36*L36*M36</f>
        <v>1533.8960000000002</v>
      </c>
      <c r="O36" s="130">
        <f>G36*L36*M36</f>
        <v>288.94320000000005</v>
      </c>
      <c r="P36" s="194"/>
      <c r="Q36" s="194"/>
      <c r="R36" s="219" t="s">
        <v>134</v>
      </c>
      <c r="S36" s="133"/>
      <c r="T36" s="134">
        <f t="shared" si="16"/>
        <v>62</v>
      </c>
      <c r="U36" s="135">
        <f t="shared" si="16"/>
        <v>522.53600000000006</v>
      </c>
      <c r="V36" s="136">
        <f t="shared" si="17"/>
        <v>120</v>
      </c>
      <c r="W36" s="137">
        <f t="shared" si="17"/>
        <v>1011.3600000000001</v>
      </c>
      <c r="X36" s="96"/>
      <c r="Y36" s="134">
        <v>62</v>
      </c>
      <c r="Z36" s="135">
        <f>$F36*$H36*Y36</f>
        <v>522.53600000000006</v>
      </c>
      <c r="AA36" s="135">
        <f>$G36*$H36*Y36</f>
        <v>98.431200000000004</v>
      </c>
      <c r="AB36" s="220"/>
      <c r="AC36" s="136"/>
      <c r="AD36" s="135">
        <f>$F36*$H36*AC36</f>
        <v>0</v>
      </c>
      <c r="AE36" s="135">
        <f>$G36*$H36*AC36</f>
        <v>0</v>
      </c>
      <c r="AF36" s="220"/>
      <c r="AG36" s="136"/>
      <c r="AH36" s="135">
        <f>$F36*$H36*AG36</f>
        <v>0</v>
      </c>
      <c r="AI36" s="135">
        <f>$G36*$H36*AG36</f>
        <v>0</v>
      </c>
      <c r="AJ36" s="220"/>
      <c r="AK36" s="136"/>
      <c r="AL36" s="135">
        <f>$F36*$H36*AK36</f>
        <v>0</v>
      </c>
      <c r="AM36" s="135">
        <f>$G36*$H36*AK36</f>
        <v>0</v>
      </c>
      <c r="AN36" s="221"/>
      <c r="AO36" s="96"/>
    </row>
    <row r="37" spans="1:49" s="4" customFormat="1" ht="39.950000000000003" customHeight="1" thickBot="1" x14ac:dyDescent="0.3">
      <c r="A37" s="96"/>
      <c r="B37" s="198"/>
      <c r="C37" s="199"/>
      <c r="D37" s="200"/>
      <c r="E37" s="200"/>
      <c r="F37" s="201"/>
      <c r="G37" s="201"/>
      <c r="H37" s="202"/>
      <c r="I37" s="203"/>
      <c r="J37" s="176">
        <f>SUM(J35:J36)</f>
        <v>1903.6960000000001</v>
      </c>
      <c r="K37" s="176">
        <f>SUM(K35:K36)</f>
        <v>358.60320000000002</v>
      </c>
      <c r="L37" s="174"/>
      <c r="M37" s="175"/>
      <c r="N37" s="161">
        <f>SUM(N35:N36)</f>
        <v>1937.4080000000001</v>
      </c>
      <c r="O37" s="176">
        <f>SUM(O35:O36)</f>
        <v>364.95360000000005</v>
      </c>
      <c r="P37" s="161">
        <f>J37-N37</f>
        <v>-33.711999999999989</v>
      </c>
      <c r="Q37" s="161">
        <f>K37-O37</f>
        <v>-6.350400000000036</v>
      </c>
      <c r="R37" s="204"/>
      <c r="S37" s="133"/>
      <c r="T37" s="154"/>
      <c r="U37" s="155"/>
      <c r="V37" s="156"/>
      <c r="W37" s="157"/>
      <c r="X37" s="96"/>
      <c r="Y37" s="154"/>
      <c r="Z37" s="158"/>
      <c r="AA37" s="158"/>
      <c r="AB37" s="159"/>
      <c r="AC37" s="156"/>
      <c r="AD37" s="158"/>
      <c r="AE37" s="158"/>
      <c r="AF37" s="159"/>
      <c r="AG37" s="156"/>
      <c r="AH37" s="158"/>
      <c r="AI37" s="158"/>
      <c r="AJ37" s="159"/>
      <c r="AK37" s="156"/>
      <c r="AL37" s="158"/>
      <c r="AM37" s="158"/>
      <c r="AN37" s="160"/>
      <c r="AO37" s="96"/>
    </row>
    <row r="38" spans="1:49" s="4" customFormat="1" ht="39.950000000000003" customHeight="1" x14ac:dyDescent="0.25">
      <c r="A38" s="96"/>
      <c r="B38" s="121">
        <f>B36+1</f>
        <v>13</v>
      </c>
      <c r="C38" s="205">
        <v>20626</v>
      </c>
      <c r="D38" s="206" t="s">
        <v>44</v>
      </c>
      <c r="E38" s="206" t="s">
        <v>39</v>
      </c>
      <c r="F38" s="95">
        <v>2.7930000000000001</v>
      </c>
      <c r="G38" s="95">
        <v>0.45068000000000003</v>
      </c>
      <c r="H38" s="207">
        <v>4.9000000000000004</v>
      </c>
      <c r="I38" s="208">
        <v>294</v>
      </c>
      <c r="J38" s="209">
        <f>F38*H38*I38</f>
        <v>4023.5958000000005</v>
      </c>
      <c r="K38" s="127">
        <f>G38*H38*I38</f>
        <v>649.24960800000008</v>
      </c>
      <c r="L38" s="193">
        <f>H38</f>
        <v>4.9000000000000004</v>
      </c>
      <c r="M38" s="129">
        <f t="shared" ref="M38" si="18">I38</f>
        <v>294</v>
      </c>
      <c r="N38" s="186">
        <f>F38*L38*M38</f>
        <v>4023.5958000000005</v>
      </c>
      <c r="O38" s="130">
        <f>G38*L38*M38</f>
        <v>649.24960800000008</v>
      </c>
      <c r="P38" s="210"/>
      <c r="Q38" s="210"/>
      <c r="R38" s="211"/>
      <c r="S38" s="133"/>
      <c r="T38" s="134">
        <f t="shared" ref="T38:U39" si="19">SUM(Y38,AC38,AG38,AK38)</f>
        <v>86</v>
      </c>
      <c r="U38" s="135">
        <f t="shared" si="19"/>
        <v>1176.9702000000002</v>
      </c>
      <c r="V38" s="136">
        <f t="shared" ref="V38:W39" si="20">M38-T38</f>
        <v>208</v>
      </c>
      <c r="W38" s="137">
        <f t="shared" si="20"/>
        <v>2846.6256000000003</v>
      </c>
      <c r="X38" s="96"/>
      <c r="Y38" s="134">
        <v>86</v>
      </c>
      <c r="Z38" s="139">
        <f>$F38*$H38*Y38</f>
        <v>1176.9702000000002</v>
      </c>
      <c r="AA38" s="139">
        <f>$G38*$H38*Y38</f>
        <v>189.91655200000002</v>
      </c>
      <c r="AB38" s="140"/>
      <c r="AC38" s="141"/>
      <c r="AD38" s="139">
        <f>$F38*$H38*AC38</f>
        <v>0</v>
      </c>
      <c r="AE38" s="139">
        <f>$G38*$H38*AC38</f>
        <v>0</v>
      </c>
      <c r="AF38" s="140"/>
      <c r="AG38" s="141"/>
      <c r="AH38" s="139">
        <f>$F38*$H38*AG38</f>
        <v>0</v>
      </c>
      <c r="AI38" s="139">
        <f>$G38*$H38*AG38</f>
        <v>0</v>
      </c>
      <c r="AJ38" s="140"/>
      <c r="AK38" s="141"/>
      <c r="AL38" s="139">
        <f>$F38*$H38*AK38</f>
        <v>0</v>
      </c>
      <c r="AM38" s="139">
        <f>$G38*$H38*AK38</f>
        <v>0</v>
      </c>
      <c r="AN38" s="142"/>
      <c r="AO38" s="96"/>
    </row>
    <row r="39" spans="1:49" s="4" customFormat="1" ht="39.950000000000003" customHeight="1" x14ac:dyDescent="0.25">
      <c r="A39" s="96"/>
      <c r="B39" s="121">
        <f>B38+1</f>
        <v>14</v>
      </c>
      <c r="C39" s="205">
        <v>20626</v>
      </c>
      <c r="D39" s="206" t="s">
        <v>44</v>
      </c>
      <c r="E39" s="206" t="s">
        <v>39</v>
      </c>
      <c r="F39" s="95">
        <v>2.7930000000000001</v>
      </c>
      <c r="G39" s="95">
        <v>0.45068000000000003</v>
      </c>
      <c r="H39" s="207">
        <v>6.4</v>
      </c>
      <c r="I39" s="208">
        <v>15</v>
      </c>
      <c r="J39" s="209">
        <f>F39*H39*I39</f>
        <v>268.12800000000004</v>
      </c>
      <c r="K39" s="127">
        <f>G39*H39*I39</f>
        <v>43.265280000000004</v>
      </c>
      <c r="L39" s="193">
        <f>H39</f>
        <v>6.4</v>
      </c>
      <c r="M39" s="129">
        <f>I39+4</f>
        <v>19</v>
      </c>
      <c r="N39" s="186">
        <f>F39*L39*M39</f>
        <v>339.62880000000007</v>
      </c>
      <c r="O39" s="130">
        <f>G39*L39*M39</f>
        <v>54.802688000000003</v>
      </c>
      <c r="P39" s="210"/>
      <c r="Q39" s="210"/>
      <c r="R39" s="132" t="s">
        <v>134</v>
      </c>
      <c r="S39" s="133"/>
      <c r="T39" s="134">
        <f t="shared" si="19"/>
        <v>5</v>
      </c>
      <c r="U39" s="135">
        <f t="shared" si="19"/>
        <v>89.376000000000019</v>
      </c>
      <c r="V39" s="136">
        <f t="shared" si="20"/>
        <v>14</v>
      </c>
      <c r="W39" s="137">
        <f t="shared" si="20"/>
        <v>250.25280000000004</v>
      </c>
      <c r="X39" s="96"/>
      <c r="Y39" s="134">
        <v>5</v>
      </c>
      <c r="Z39" s="135">
        <f>$F39*$H39*Y39</f>
        <v>89.376000000000019</v>
      </c>
      <c r="AA39" s="135">
        <f>$G39*$H39*Y39</f>
        <v>14.421760000000001</v>
      </c>
      <c r="AB39" s="220"/>
      <c r="AC39" s="136"/>
      <c r="AD39" s="135">
        <f>$F39*$H39*AC39</f>
        <v>0</v>
      </c>
      <c r="AE39" s="135">
        <f>$G39*$H39*AC39</f>
        <v>0</v>
      </c>
      <c r="AF39" s="220"/>
      <c r="AG39" s="136"/>
      <c r="AH39" s="135">
        <f>$F39*$H39*AG39</f>
        <v>0</v>
      </c>
      <c r="AI39" s="135">
        <f>$G39*$H39*AG39</f>
        <v>0</v>
      </c>
      <c r="AJ39" s="220"/>
      <c r="AK39" s="136"/>
      <c r="AL39" s="135">
        <f>$F39*$H39*AK39</f>
        <v>0</v>
      </c>
      <c r="AM39" s="135">
        <f>$G39*$H39*AK39</f>
        <v>0</v>
      </c>
      <c r="AN39" s="221"/>
      <c r="AO39" s="96"/>
    </row>
    <row r="40" spans="1:49" s="4" customFormat="1" ht="39.950000000000003" customHeight="1" thickBot="1" x14ac:dyDescent="0.3">
      <c r="A40" s="96"/>
      <c r="B40" s="212"/>
      <c r="C40" s="213"/>
      <c r="D40" s="214"/>
      <c r="E40" s="214"/>
      <c r="F40" s="215"/>
      <c r="G40" s="215"/>
      <c r="H40" s="216"/>
      <c r="I40" s="217"/>
      <c r="J40" s="151">
        <f>SUM(J38:J39)</f>
        <v>4291.7238000000007</v>
      </c>
      <c r="K40" s="151">
        <f>SUM(K38:K39)</f>
        <v>692.51488800000004</v>
      </c>
      <c r="L40" s="216"/>
      <c r="M40" s="217"/>
      <c r="N40" s="152">
        <f>SUM(N38:N39)</f>
        <v>4363.2246000000005</v>
      </c>
      <c r="O40" s="151">
        <f>SUM(O38:O39)</f>
        <v>704.05229600000007</v>
      </c>
      <c r="P40" s="152">
        <f>J40-N40</f>
        <v>-71.500799999999799</v>
      </c>
      <c r="Q40" s="152">
        <f>K40-O40</f>
        <v>-11.537408000000028</v>
      </c>
      <c r="R40" s="153"/>
      <c r="S40" s="133"/>
      <c r="T40" s="154"/>
      <c r="U40" s="155"/>
      <c r="V40" s="156"/>
      <c r="W40" s="157"/>
      <c r="X40" s="96"/>
      <c r="Y40" s="154"/>
      <c r="Z40" s="158"/>
      <c r="AA40" s="158"/>
      <c r="AB40" s="159"/>
      <c r="AC40" s="156"/>
      <c r="AD40" s="158"/>
      <c r="AE40" s="158"/>
      <c r="AF40" s="159"/>
      <c r="AG40" s="156"/>
      <c r="AH40" s="158"/>
      <c r="AI40" s="158"/>
      <c r="AJ40" s="159"/>
      <c r="AK40" s="156"/>
      <c r="AL40" s="158"/>
      <c r="AM40" s="158"/>
      <c r="AN40" s="160"/>
      <c r="AO40" s="96"/>
    </row>
    <row r="41" spans="1:49" s="4" customFormat="1" ht="39.950000000000003" customHeight="1" x14ac:dyDescent="0.25">
      <c r="A41" s="96"/>
      <c r="B41" s="162">
        <f>B39+1</f>
        <v>15</v>
      </c>
      <c r="C41" s="187">
        <v>21825</v>
      </c>
      <c r="D41" s="188" t="s">
        <v>45</v>
      </c>
      <c r="E41" s="188" t="s">
        <v>39</v>
      </c>
      <c r="F41" s="189">
        <v>0.999</v>
      </c>
      <c r="G41" s="189">
        <v>0.2382</v>
      </c>
      <c r="H41" s="190">
        <v>4.9000000000000004</v>
      </c>
      <c r="I41" s="191">
        <v>405</v>
      </c>
      <c r="J41" s="192">
        <f>F41*H41*I41</f>
        <v>1982.5155000000002</v>
      </c>
      <c r="K41" s="168">
        <f>G41*H41*I41</f>
        <v>472.70790000000005</v>
      </c>
      <c r="L41" s="193">
        <f t="shared" ref="L41:M42" si="21">H41</f>
        <v>4.9000000000000004</v>
      </c>
      <c r="M41" s="129">
        <f t="shared" si="21"/>
        <v>405</v>
      </c>
      <c r="N41" s="186">
        <f>F41*L41*M41</f>
        <v>1982.5155000000002</v>
      </c>
      <c r="O41" s="130">
        <f>G41*L41*M41</f>
        <v>472.70790000000005</v>
      </c>
      <c r="P41" s="194"/>
      <c r="Q41" s="194"/>
      <c r="R41" s="223"/>
      <c r="S41" s="133"/>
      <c r="T41" s="134">
        <f t="shared" ref="T41:U43" si="22">SUM(Y41,AC41,AG41,AK41)</f>
        <v>122</v>
      </c>
      <c r="U41" s="135">
        <f t="shared" si="22"/>
        <v>597.20220000000006</v>
      </c>
      <c r="V41" s="136">
        <f t="shared" ref="V41:W43" si="23">M41-T41</f>
        <v>283</v>
      </c>
      <c r="W41" s="137">
        <f t="shared" si="23"/>
        <v>1385.3133000000003</v>
      </c>
      <c r="X41" s="96"/>
      <c r="Y41" s="138">
        <v>122</v>
      </c>
      <c r="Z41" s="139">
        <f>$F41*$H41*Y41</f>
        <v>597.20220000000006</v>
      </c>
      <c r="AA41" s="139">
        <f>$G41*$H41*Y41</f>
        <v>142.39596</v>
      </c>
      <c r="AB41" s="226"/>
      <c r="AC41" s="141"/>
      <c r="AD41" s="139">
        <f>$F41*$H41*AC41</f>
        <v>0</v>
      </c>
      <c r="AE41" s="139">
        <f>$G41*$H41*AC41</f>
        <v>0</v>
      </c>
      <c r="AF41" s="224"/>
      <c r="AG41" s="141"/>
      <c r="AH41" s="139">
        <f>$F41*$H41*AG41</f>
        <v>0</v>
      </c>
      <c r="AI41" s="139">
        <f>$G41*$H41*AG41</f>
        <v>0</v>
      </c>
      <c r="AJ41" s="224"/>
      <c r="AK41" s="141"/>
      <c r="AL41" s="139">
        <f>$F41*$H41*AK41</f>
        <v>0</v>
      </c>
      <c r="AM41" s="139">
        <f>$G41*$H41*AK41</f>
        <v>0</v>
      </c>
      <c r="AN41" s="225"/>
      <c r="AO41" s="96"/>
    </row>
    <row r="42" spans="1:49" s="4" customFormat="1" ht="39.950000000000003" customHeight="1" x14ac:dyDescent="0.25">
      <c r="A42" s="96"/>
      <c r="B42" s="162">
        <f>B41+1</f>
        <v>16</v>
      </c>
      <c r="C42" s="187">
        <v>21825</v>
      </c>
      <c r="D42" s="188" t="s">
        <v>45</v>
      </c>
      <c r="E42" s="188" t="s">
        <v>39</v>
      </c>
      <c r="F42" s="189">
        <v>0.999</v>
      </c>
      <c r="G42" s="189">
        <v>0.2382</v>
      </c>
      <c r="H42" s="190">
        <v>5.8</v>
      </c>
      <c r="I42" s="191">
        <v>52</v>
      </c>
      <c r="J42" s="192">
        <f>F42*H42*I42</f>
        <v>301.29840000000002</v>
      </c>
      <c r="K42" s="168">
        <f>G42*H42*I42</f>
        <v>71.841119999999989</v>
      </c>
      <c r="L42" s="193">
        <f t="shared" si="21"/>
        <v>5.8</v>
      </c>
      <c r="M42" s="129">
        <f t="shared" si="21"/>
        <v>52</v>
      </c>
      <c r="N42" s="186">
        <f>F42*L42*M42</f>
        <v>301.29840000000002</v>
      </c>
      <c r="O42" s="130">
        <f>G42*L42*M42</f>
        <v>71.841119999999989</v>
      </c>
      <c r="P42" s="194"/>
      <c r="Q42" s="194"/>
      <c r="R42" s="223"/>
      <c r="S42" s="133"/>
      <c r="T42" s="134">
        <f t="shared" si="22"/>
        <v>21</v>
      </c>
      <c r="U42" s="135">
        <f t="shared" si="22"/>
        <v>121.6782</v>
      </c>
      <c r="V42" s="136">
        <f t="shared" si="23"/>
        <v>31</v>
      </c>
      <c r="W42" s="137">
        <f t="shared" si="23"/>
        <v>179.62020000000001</v>
      </c>
      <c r="X42" s="96"/>
      <c r="Y42" s="134">
        <v>21</v>
      </c>
      <c r="Z42" s="135">
        <f>$F42*$H42*Y42</f>
        <v>121.6782</v>
      </c>
      <c r="AA42" s="135">
        <f>$G42*$H42*Y42</f>
        <v>29.012759999999997</v>
      </c>
      <c r="AB42" s="226"/>
      <c r="AC42" s="136"/>
      <c r="AD42" s="135">
        <f>$F42*$H42*AC42</f>
        <v>0</v>
      </c>
      <c r="AE42" s="135">
        <f>$G42*$H42*AC42</f>
        <v>0</v>
      </c>
      <c r="AF42" s="196"/>
      <c r="AG42" s="136"/>
      <c r="AH42" s="135">
        <f>$F42*$H42*AG42</f>
        <v>0</v>
      </c>
      <c r="AI42" s="135">
        <f>$G42*$H42*AG42</f>
        <v>0</v>
      </c>
      <c r="AJ42" s="196"/>
      <c r="AK42" s="136"/>
      <c r="AL42" s="135">
        <f>$F42*$H42*AK42</f>
        <v>0</v>
      </c>
      <c r="AM42" s="135">
        <f>$G42*$H42*AK42</f>
        <v>0</v>
      </c>
      <c r="AN42" s="197"/>
      <c r="AO42" s="133"/>
      <c r="AP42" s="462"/>
      <c r="AQ42" s="463"/>
      <c r="AR42" s="194">
        <f>H42*I42</f>
        <v>301.59999999999997</v>
      </c>
      <c r="AS42" s="464"/>
      <c r="AT42" s="465"/>
      <c r="AU42" s="466"/>
      <c r="AV42" s="467"/>
      <c r="AW42" s="464"/>
    </row>
    <row r="43" spans="1:49" s="4" customFormat="1" ht="39.950000000000003" customHeight="1" x14ac:dyDescent="0.25">
      <c r="A43" s="96"/>
      <c r="B43" s="162">
        <f>B42+1</f>
        <v>17</v>
      </c>
      <c r="C43" s="187">
        <v>21825</v>
      </c>
      <c r="D43" s="188" t="s">
        <v>45</v>
      </c>
      <c r="E43" s="188" t="s">
        <v>39</v>
      </c>
      <c r="F43" s="189">
        <v>0.999</v>
      </c>
      <c r="G43" s="189">
        <v>0.2382</v>
      </c>
      <c r="H43" s="190">
        <v>6.4</v>
      </c>
      <c r="I43" s="191">
        <v>79</v>
      </c>
      <c r="J43" s="192">
        <f>F43*H43*I43</f>
        <v>505.09440000000001</v>
      </c>
      <c r="K43" s="168">
        <f>G43*H43*I43</f>
        <v>120.43392</v>
      </c>
      <c r="L43" s="193">
        <f>H43</f>
        <v>6.4</v>
      </c>
      <c r="M43" s="129">
        <f>I43+6</f>
        <v>85</v>
      </c>
      <c r="N43" s="186">
        <f>F43*L43*M43</f>
        <v>543.45600000000002</v>
      </c>
      <c r="O43" s="130">
        <f>G43*L43*M43</f>
        <v>129.58080000000001</v>
      </c>
      <c r="P43" s="194"/>
      <c r="Q43" s="194"/>
      <c r="R43" s="132" t="s">
        <v>136</v>
      </c>
      <c r="S43" s="133"/>
      <c r="T43" s="134">
        <f t="shared" si="22"/>
        <v>13</v>
      </c>
      <c r="U43" s="135">
        <f t="shared" si="22"/>
        <v>83.116799999999998</v>
      </c>
      <c r="V43" s="136">
        <f t="shared" si="23"/>
        <v>72</v>
      </c>
      <c r="W43" s="137">
        <f t="shared" si="23"/>
        <v>460.33920000000001</v>
      </c>
      <c r="X43" s="96"/>
      <c r="Y43" s="134">
        <v>13</v>
      </c>
      <c r="Z43" s="135">
        <f>$F43*$H43*Y43</f>
        <v>83.116799999999998</v>
      </c>
      <c r="AA43" s="135">
        <f>$G43*$H43*Y43</f>
        <v>19.818239999999999</v>
      </c>
      <c r="AB43" s="226"/>
      <c r="AC43" s="136"/>
      <c r="AD43" s="135">
        <f>$F43*$H43*AC43</f>
        <v>0</v>
      </c>
      <c r="AE43" s="135">
        <f>$G43*$H43*AC43</f>
        <v>0</v>
      </c>
      <c r="AF43" s="226"/>
      <c r="AG43" s="136"/>
      <c r="AH43" s="135">
        <f>$F43*$H43*AG43</f>
        <v>0</v>
      </c>
      <c r="AI43" s="135">
        <f>$G43*$H43*AG43</f>
        <v>0</v>
      </c>
      <c r="AJ43" s="226"/>
      <c r="AK43" s="136"/>
      <c r="AL43" s="135">
        <f>$F43*$H43*AK43</f>
        <v>0</v>
      </c>
      <c r="AM43" s="135">
        <f>$G43*$H43*AK43</f>
        <v>0</v>
      </c>
      <c r="AN43" s="227"/>
      <c r="AO43" s="96"/>
    </row>
    <row r="44" spans="1:49" s="4" customFormat="1" ht="39.950000000000003" customHeight="1" thickBot="1" x14ac:dyDescent="0.3">
      <c r="A44" s="96"/>
      <c r="B44" s="228"/>
      <c r="C44" s="199"/>
      <c r="D44" s="200"/>
      <c r="E44" s="200"/>
      <c r="F44" s="201"/>
      <c r="G44" s="201"/>
      <c r="H44" s="202"/>
      <c r="I44" s="203"/>
      <c r="J44" s="176">
        <f>SUM(J41:J43)</f>
        <v>2788.9083000000001</v>
      </c>
      <c r="K44" s="176">
        <f>SUM(K41:K43)</f>
        <v>664.9829400000001</v>
      </c>
      <c r="L44" s="202"/>
      <c r="M44" s="203"/>
      <c r="N44" s="161">
        <f>SUM(N41:N43)</f>
        <v>2827.2699000000002</v>
      </c>
      <c r="O44" s="176">
        <f>SUM(O41:O43)</f>
        <v>674.12982000000011</v>
      </c>
      <c r="P44" s="161">
        <f>J44-N44</f>
        <v>-38.36160000000018</v>
      </c>
      <c r="Q44" s="161">
        <f>K44-O44</f>
        <v>-9.1468800000000101</v>
      </c>
      <c r="R44" s="229"/>
      <c r="S44" s="133"/>
      <c r="T44" s="154"/>
      <c r="U44" s="155"/>
      <c r="V44" s="156"/>
      <c r="W44" s="157"/>
      <c r="X44" s="96"/>
      <c r="Y44" s="154"/>
      <c r="Z44" s="158"/>
      <c r="AA44" s="158"/>
      <c r="AB44" s="159"/>
      <c r="AC44" s="156"/>
      <c r="AD44" s="158"/>
      <c r="AE44" s="158"/>
      <c r="AF44" s="159"/>
      <c r="AG44" s="156"/>
      <c r="AH44" s="158"/>
      <c r="AI44" s="158"/>
      <c r="AJ44" s="159"/>
      <c r="AK44" s="156"/>
      <c r="AL44" s="158"/>
      <c r="AM44" s="158"/>
      <c r="AN44" s="160"/>
      <c r="AO44" s="96"/>
    </row>
    <row r="45" spans="1:49" s="4" customFormat="1" ht="39.950000000000003" customHeight="1" x14ac:dyDescent="0.25">
      <c r="A45" s="96"/>
      <c r="B45" s="121">
        <f>B43+1</f>
        <v>18</v>
      </c>
      <c r="C45" s="205" t="s">
        <v>124</v>
      </c>
      <c r="D45" s="206" t="s">
        <v>125</v>
      </c>
      <c r="E45" s="206" t="s">
        <v>39</v>
      </c>
      <c r="F45" s="95">
        <v>2.109</v>
      </c>
      <c r="G45" s="95">
        <v>0.70199999999999996</v>
      </c>
      <c r="H45" s="207">
        <v>4.9000000000000004</v>
      </c>
      <c r="I45" s="208">
        <v>112</v>
      </c>
      <c r="J45" s="209">
        <f>F45*H45*I45</f>
        <v>1157.4192</v>
      </c>
      <c r="K45" s="127">
        <f>G45*H45*I45</f>
        <v>385.25760000000002</v>
      </c>
      <c r="L45" s="193">
        <f>H45</f>
        <v>4.9000000000000004</v>
      </c>
      <c r="M45" s="129">
        <f t="shared" ref="M45" si="24">I45</f>
        <v>112</v>
      </c>
      <c r="N45" s="186">
        <f>F45*L45*M45</f>
        <v>1157.4192</v>
      </c>
      <c r="O45" s="130">
        <f>G45*L45*M45</f>
        <v>385.25760000000002</v>
      </c>
      <c r="P45" s="210"/>
      <c r="Q45" s="210"/>
      <c r="R45" s="211"/>
      <c r="S45" s="133"/>
      <c r="T45" s="134">
        <f t="shared" ref="T45:U47" si="25">SUM(Y45,AC45,AG45,AK45)</f>
        <v>37</v>
      </c>
      <c r="U45" s="135">
        <f t="shared" si="25"/>
        <v>382.36170000000004</v>
      </c>
      <c r="V45" s="136">
        <f t="shared" ref="V45:W47" si="26">M45-T45</f>
        <v>75</v>
      </c>
      <c r="W45" s="137">
        <f t="shared" si="26"/>
        <v>775.0575</v>
      </c>
      <c r="X45" s="96"/>
      <c r="Y45" s="134">
        <v>37</v>
      </c>
      <c r="Z45" s="139">
        <f>$F45*$H45*Y45</f>
        <v>382.36170000000004</v>
      </c>
      <c r="AA45" s="139">
        <f>$G45*$H45*Y45</f>
        <v>127.2726</v>
      </c>
      <c r="AB45" s="140"/>
      <c r="AC45" s="141"/>
      <c r="AD45" s="139">
        <f>$F45*$H45*AC45</f>
        <v>0</v>
      </c>
      <c r="AE45" s="139">
        <f>$G45*$H45*AC45</f>
        <v>0</v>
      </c>
      <c r="AF45" s="140"/>
      <c r="AG45" s="141"/>
      <c r="AH45" s="139">
        <f>$F45*$H45*AG45</f>
        <v>0</v>
      </c>
      <c r="AI45" s="139">
        <f>$G45*$H45*AG45</f>
        <v>0</v>
      </c>
      <c r="AJ45" s="140"/>
      <c r="AK45" s="141"/>
      <c r="AL45" s="139">
        <f>$F45*$H45*AK45</f>
        <v>0</v>
      </c>
      <c r="AM45" s="139">
        <f>$G45*$H45*AK45</f>
        <v>0</v>
      </c>
      <c r="AN45" s="142"/>
      <c r="AO45" s="96"/>
    </row>
    <row r="46" spans="1:49" s="4" customFormat="1" ht="39.950000000000003" customHeight="1" x14ac:dyDescent="0.25">
      <c r="A46" s="96"/>
      <c r="B46" s="121">
        <f>B45+1</f>
        <v>19</v>
      </c>
      <c r="C46" s="205" t="s">
        <v>124</v>
      </c>
      <c r="D46" s="206" t="s">
        <v>125</v>
      </c>
      <c r="E46" s="206" t="s">
        <v>39</v>
      </c>
      <c r="F46" s="95">
        <v>2.109</v>
      </c>
      <c r="G46" s="95">
        <v>0.70199999999999996</v>
      </c>
      <c r="H46" s="207">
        <v>5.8</v>
      </c>
      <c r="I46" s="208">
        <v>52</v>
      </c>
      <c r="J46" s="209">
        <f>F46*H46*I46</f>
        <v>636.07439999999997</v>
      </c>
      <c r="K46" s="127">
        <f>G46*H46*I46</f>
        <v>211.72319999999996</v>
      </c>
      <c r="L46" s="193">
        <f>H46</f>
        <v>5.8</v>
      </c>
      <c r="M46" s="129">
        <f>I46</f>
        <v>52</v>
      </c>
      <c r="N46" s="186">
        <f>F46*L46*M46</f>
        <v>636.07439999999997</v>
      </c>
      <c r="O46" s="130">
        <f>G46*L46*M46</f>
        <v>211.72319999999996</v>
      </c>
      <c r="P46" s="210"/>
      <c r="Q46" s="210"/>
      <c r="R46" s="132"/>
      <c r="S46" s="133"/>
      <c r="T46" s="134">
        <f t="shared" si="25"/>
        <v>21</v>
      </c>
      <c r="U46" s="135">
        <f t="shared" si="25"/>
        <v>256.87619999999998</v>
      </c>
      <c r="V46" s="136">
        <f t="shared" si="26"/>
        <v>31</v>
      </c>
      <c r="W46" s="137">
        <f t="shared" si="26"/>
        <v>379.19819999999999</v>
      </c>
      <c r="X46" s="96"/>
      <c r="Y46" s="134">
        <v>21</v>
      </c>
      <c r="Z46" s="135">
        <f>$F46*$H46*Y46</f>
        <v>256.87619999999998</v>
      </c>
      <c r="AA46" s="135">
        <f>$G46*$H46*Y46</f>
        <v>85.503599999999977</v>
      </c>
      <c r="AB46" s="220"/>
      <c r="AC46" s="136"/>
      <c r="AD46" s="135">
        <f>$F46*$H46*AC46</f>
        <v>0</v>
      </c>
      <c r="AE46" s="135">
        <f>$G46*$H46*AC46</f>
        <v>0</v>
      </c>
      <c r="AF46" s="220"/>
      <c r="AG46" s="136"/>
      <c r="AH46" s="135">
        <f>$F46*$H46*AG46</f>
        <v>0</v>
      </c>
      <c r="AI46" s="135">
        <f>$G46*$H46*AG46</f>
        <v>0</v>
      </c>
      <c r="AJ46" s="220"/>
      <c r="AK46" s="136"/>
      <c r="AL46" s="135">
        <f>$F46*$H46*AK46</f>
        <v>0</v>
      </c>
      <c r="AM46" s="135">
        <f>$G46*$H46*AK46</f>
        <v>0</v>
      </c>
      <c r="AN46" s="221"/>
      <c r="AO46" s="96"/>
    </row>
    <row r="47" spans="1:49" s="4" customFormat="1" ht="39.950000000000003" customHeight="1" x14ac:dyDescent="0.25">
      <c r="A47" s="96"/>
      <c r="B47" s="121">
        <f>B46+1</f>
        <v>20</v>
      </c>
      <c r="C47" s="205" t="s">
        <v>124</v>
      </c>
      <c r="D47" s="206" t="s">
        <v>125</v>
      </c>
      <c r="E47" s="206" t="s">
        <v>39</v>
      </c>
      <c r="F47" s="95">
        <v>2.109</v>
      </c>
      <c r="G47" s="95">
        <v>0.70199999999999996</v>
      </c>
      <c r="H47" s="207">
        <v>6.4</v>
      </c>
      <c r="I47" s="208">
        <v>64</v>
      </c>
      <c r="J47" s="209">
        <f>F47*H47*I47</f>
        <v>863.84640000000002</v>
      </c>
      <c r="K47" s="127">
        <f>G47*H47*I47</f>
        <v>287.53919999999999</v>
      </c>
      <c r="L47" s="193">
        <f>H47</f>
        <v>6.4</v>
      </c>
      <c r="M47" s="129">
        <f>I47+4</f>
        <v>68</v>
      </c>
      <c r="N47" s="186">
        <f>F47*L47*M47</f>
        <v>917.83680000000004</v>
      </c>
      <c r="O47" s="130">
        <f>G47*L47*M47</f>
        <v>305.5104</v>
      </c>
      <c r="P47" s="210"/>
      <c r="Q47" s="210"/>
      <c r="R47" s="132" t="s">
        <v>134</v>
      </c>
      <c r="S47" s="133"/>
      <c r="T47" s="134">
        <f t="shared" si="25"/>
        <v>8</v>
      </c>
      <c r="U47" s="135">
        <f t="shared" si="25"/>
        <v>107.9808</v>
      </c>
      <c r="V47" s="136">
        <f t="shared" si="26"/>
        <v>60</v>
      </c>
      <c r="W47" s="137">
        <f t="shared" si="26"/>
        <v>809.85599999999999</v>
      </c>
      <c r="X47" s="96"/>
      <c r="Y47" s="134">
        <v>8</v>
      </c>
      <c r="Z47" s="135">
        <f>$F47*$H47*Y47</f>
        <v>107.9808</v>
      </c>
      <c r="AA47" s="135">
        <f>$G47*$H47*Y47</f>
        <v>35.942399999999999</v>
      </c>
      <c r="AB47" s="220"/>
      <c r="AC47" s="136"/>
      <c r="AD47" s="135">
        <f>$F47*$H47*AC47</f>
        <v>0</v>
      </c>
      <c r="AE47" s="135">
        <f>$G47*$H47*AC47</f>
        <v>0</v>
      </c>
      <c r="AF47" s="220"/>
      <c r="AG47" s="136"/>
      <c r="AH47" s="135">
        <f>$F47*$H47*AG47</f>
        <v>0</v>
      </c>
      <c r="AI47" s="135">
        <f>$G47*$H47*AG47</f>
        <v>0</v>
      </c>
      <c r="AJ47" s="220"/>
      <c r="AK47" s="136"/>
      <c r="AL47" s="135">
        <f>$F47*$H47*AK47</f>
        <v>0</v>
      </c>
      <c r="AM47" s="135">
        <f>$G47*$H47*AK47</f>
        <v>0</v>
      </c>
      <c r="AN47" s="221"/>
      <c r="AO47" s="96"/>
    </row>
    <row r="48" spans="1:49" s="4" customFormat="1" ht="39.950000000000003" customHeight="1" thickBot="1" x14ac:dyDescent="0.3">
      <c r="A48" s="96"/>
      <c r="B48" s="212"/>
      <c r="C48" s="213"/>
      <c r="D48" s="214"/>
      <c r="E48" s="214"/>
      <c r="F48" s="215"/>
      <c r="G48" s="215"/>
      <c r="H48" s="216"/>
      <c r="I48" s="217"/>
      <c r="J48" s="151">
        <f>SUM(J45:J47)</f>
        <v>2657.34</v>
      </c>
      <c r="K48" s="151">
        <f>SUM(K45:K47)</f>
        <v>884.52</v>
      </c>
      <c r="L48" s="216"/>
      <c r="M48" s="217"/>
      <c r="N48" s="152">
        <f>SUM(N45:N47)</f>
        <v>2711.3303999999998</v>
      </c>
      <c r="O48" s="151">
        <f>SUM(O45:O47)</f>
        <v>902.49120000000005</v>
      </c>
      <c r="P48" s="152">
        <f>J48-N48</f>
        <v>-53.990399999999681</v>
      </c>
      <c r="Q48" s="152">
        <f>K48-O48</f>
        <v>-17.971200000000067</v>
      </c>
      <c r="R48" s="153"/>
      <c r="S48" s="133"/>
      <c r="T48" s="154"/>
      <c r="U48" s="155"/>
      <c r="V48" s="156"/>
      <c r="W48" s="157"/>
      <c r="X48" s="96"/>
      <c r="Y48" s="154"/>
      <c r="Z48" s="158"/>
      <c r="AA48" s="158"/>
      <c r="AB48" s="159"/>
      <c r="AC48" s="156"/>
      <c r="AD48" s="158"/>
      <c r="AE48" s="158"/>
      <c r="AF48" s="159"/>
      <c r="AG48" s="156"/>
      <c r="AH48" s="158"/>
      <c r="AI48" s="158"/>
      <c r="AJ48" s="159"/>
      <c r="AK48" s="156"/>
      <c r="AL48" s="158"/>
      <c r="AM48" s="158"/>
      <c r="AN48" s="160"/>
      <c r="AO48" s="96"/>
    </row>
    <row r="49" spans="1:41" s="4" customFormat="1" ht="39.950000000000003" customHeight="1" x14ac:dyDescent="0.25">
      <c r="A49" s="96"/>
      <c r="B49" s="162">
        <f>B47+1</f>
        <v>21</v>
      </c>
      <c r="C49" s="187" t="s">
        <v>126</v>
      </c>
      <c r="D49" s="188" t="s">
        <v>127</v>
      </c>
      <c r="E49" s="188" t="s">
        <v>39</v>
      </c>
      <c r="F49" s="189">
        <v>0.88800000000000001</v>
      </c>
      <c r="G49" s="189">
        <v>0.34</v>
      </c>
      <c r="H49" s="190">
        <v>4.9000000000000004</v>
      </c>
      <c r="I49" s="191">
        <v>112</v>
      </c>
      <c r="J49" s="192">
        <f>F49*H49*I49</f>
        <v>487.33440000000007</v>
      </c>
      <c r="K49" s="168">
        <f>G49*H49*I49</f>
        <v>186.59200000000001</v>
      </c>
      <c r="L49" s="193">
        <f t="shared" ref="L49:M49" si="27">H49</f>
        <v>4.9000000000000004</v>
      </c>
      <c r="M49" s="129">
        <f t="shared" si="27"/>
        <v>112</v>
      </c>
      <c r="N49" s="186">
        <f>F49*L49*M49</f>
        <v>487.33440000000007</v>
      </c>
      <c r="O49" s="130">
        <f>G49*L49*M49</f>
        <v>186.59200000000001</v>
      </c>
      <c r="P49" s="194"/>
      <c r="Q49" s="194"/>
      <c r="R49" s="223"/>
      <c r="S49" s="133"/>
      <c r="T49" s="134">
        <f t="shared" ref="T49:U51" si="28">SUM(Y49,AC49,AG49,AK49)</f>
        <v>80</v>
      </c>
      <c r="U49" s="135">
        <f t="shared" si="28"/>
        <v>348.096</v>
      </c>
      <c r="V49" s="136">
        <f t="shared" ref="V49:W51" si="29">M49-T49</f>
        <v>32</v>
      </c>
      <c r="W49" s="137">
        <f t="shared" si="29"/>
        <v>139.23840000000007</v>
      </c>
      <c r="X49" s="96"/>
      <c r="Y49" s="134">
        <f>37+43</f>
        <v>80</v>
      </c>
      <c r="Z49" s="139">
        <f>$F49*$H49*Y49</f>
        <v>348.096</v>
      </c>
      <c r="AA49" s="139">
        <f>$G49*$H49*Y49</f>
        <v>133.28</v>
      </c>
      <c r="AB49" s="224" t="s">
        <v>236</v>
      </c>
      <c r="AC49" s="141"/>
      <c r="AD49" s="139">
        <f>$F49*$H49*AC49</f>
        <v>0</v>
      </c>
      <c r="AE49" s="139">
        <f>$G49*$H49*AC49</f>
        <v>0</v>
      </c>
      <c r="AF49" s="224"/>
      <c r="AG49" s="141"/>
      <c r="AH49" s="139">
        <f>$F49*$H49*AG49</f>
        <v>0</v>
      </c>
      <c r="AI49" s="139">
        <f>$G49*$H49*AG49</f>
        <v>0</v>
      </c>
      <c r="AJ49" s="224"/>
      <c r="AK49" s="141"/>
      <c r="AL49" s="139">
        <f>$F49*$H49*AK49</f>
        <v>0</v>
      </c>
      <c r="AM49" s="139">
        <f>$G49*$H49*AK49</f>
        <v>0</v>
      </c>
      <c r="AN49" s="225"/>
      <c r="AO49" s="96"/>
    </row>
    <row r="50" spans="1:41" s="4" customFormat="1" ht="39.950000000000003" customHeight="1" x14ac:dyDescent="0.25">
      <c r="A50" s="96"/>
      <c r="B50" s="162">
        <f>B49+1</f>
        <v>22</v>
      </c>
      <c r="C50" s="187" t="s">
        <v>126</v>
      </c>
      <c r="D50" s="188" t="s">
        <v>127</v>
      </c>
      <c r="E50" s="188" t="s">
        <v>39</v>
      </c>
      <c r="F50" s="189">
        <v>0.88800000000000001</v>
      </c>
      <c r="G50" s="189">
        <v>0.34</v>
      </c>
      <c r="H50" s="190">
        <v>5.8</v>
      </c>
      <c r="I50" s="191">
        <v>52</v>
      </c>
      <c r="J50" s="192">
        <f>F50*H50*I50</f>
        <v>267.82080000000002</v>
      </c>
      <c r="K50" s="168">
        <f>G50*H50*I50</f>
        <v>102.544</v>
      </c>
      <c r="L50" s="193">
        <f>H50</f>
        <v>5.8</v>
      </c>
      <c r="M50" s="129">
        <f>I50</f>
        <v>52</v>
      </c>
      <c r="N50" s="186">
        <f>F50*L50*M50</f>
        <v>267.82080000000002</v>
      </c>
      <c r="O50" s="130">
        <f>G50*L50*M50</f>
        <v>102.544</v>
      </c>
      <c r="P50" s="194"/>
      <c r="Q50" s="194"/>
      <c r="R50" s="195"/>
      <c r="S50" s="133"/>
      <c r="T50" s="134">
        <f t="shared" si="28"/>
        <v>21</v>
      </c>
      <c r="U50" s="135">
        <f t="shared" si="28"/>
        <v>108.1584</v>
      </c>
      <c r="V50" s="136">
        <f t="shared" si="29"/>
        <v>31</v>
      </c>
      <c r="W50" s="137">
        <f t="shared" si="29"/>
        <v>159.66240000000002</v>
      </c>
      <c r="X50" s="96"/>
      <c r="Y50" s="134">
        <f>21</f>
        <v>21</v>
      </c>
      <c r="Z50" s="135">
        <f>$F50*$H50*Y50</f>
        <v>108.1584</v>
      </c>
      <c r="AA50" s="135">
        <f>$G50*$H50*Y50</f>
        <v>41.411999999999999</v>
      </c>
      <c r="AB50" s="226"/>
      <c r="AC50" s="136"/>
      <c r="AD50" s="135">
        <f>$F50*$H50*AC50</f>
        <v>0</v>
      </c>
      <c r="AE50" s="135">
        <f>$G50*$H50*AC50</f>
        <v>0</v>
      </c>
      <c r="AF50" s="226"/>
      <c r="AG50" s="136"/>
      <c r="AH50" s="135">
        <f>$F50*$H50*AG50</f>
        <v>0</v>
      </c>
      <c r="AI50" s="135">
        <f>$G50*$H50*AG50</f>
        <v>0</v>
      </c>
      <c r="AJ50" s="226"/>
      <c r="AK50" s="136"/>
      <c r="AL50" s="135">
        <f>$F50*$H50*AK50</f>
        <v>0</v>
      </c>
      <c r="AM50" s="135">
        <f>$G50*$H50*AK50</f>
        <v>0</v>
      </c>
      <c r="AN50" s="227"/>
      <c r="AO50" s="96"/>
    </row>
    <row r="51" spans="1:41" s="4" customFormat="1" ht="39.950000000000003" customHeight="1" x14ac:dyDescent="0.25">
      <c r="A51" s="96"/>
      <c r="B51" s="162">
        <f>B50+1</f>
        <v>23</v>
      </c>
      <c r="C51" s="187" t="s">
        <v>126</v>
      </c>
      <c r="D51" s="188" t="s">
        <v>127</v>
      </c>
      <c r="E51" s="188" t="s">
        <v>39</v>
      </c>
      <c r="F51" s="189">
        <v>0.88800000000000001</v>
      </c>
      <c r="G51" s="189">
        <v>0.34</v>
      </c>
      <c r="H51" s="190">
        <v>6.4</v>
      </c>
      <c r="I51" s="191">
        <v>64</v>
      </c>
      <c r="J51" s="192">
        <f>F51*H51*I51</f>
        <v>363.72480000000002</v>
      </c>
      <c r="K51" s="168">
        <f>G51*H51*I51</f>
        <v>139.26400000000001</v>
      </c>
      <c r="L51" s="193">
        <f>H51</f>
        <v>6.4</v>
      </c>
      <c r="M51" s="129">
        <f>I51+4</f>
        <v>68</v>
      </c>
      <c r="N51" s="186">
        <f>F51*L51*M51</f>
        <v>386.45760000000001</v>
      </c>
      <c r="O51" s="130">
        <f>G51*L51*M51</f>
        <v>147.96800000000002</v>
      </c>
      <c r="P51" s="194"/>
      <c r="Q51" s="194"/>
      <c r="R51" s="195" t="s">
        <v>134</v>
      </c>
      <c r="S51" s="133"/>
      <c r="T51" s="134">
        <f t="shared" si="28"/>
        <v>8</v>
      </c>
      <c r="U51" s="135">
        <f t="shared" si="28"/>
        <v>45.465600000000002</v>
      </c>
      <c r="V51" s="136">
        <f t="shared" si="29"/>
        <v>60</v>
      </c>
      <c r="W51" s="137">
        <f t="shared" si="29"/>
        <v>340.99200000000002</v>
      </c>
      <c r="X51" s="96"/>
      <c r="Y51" s="134">
        <v>8</v>
      </c>
      <c r="Z51" s="135">
        <f>$F51*$H51*Y51</f>
        <v>45.465600000000002</v>
      </c>
      <c r="AA51" s="135">
        <f>$G51*$H51*Y51</f>
        <v>17.408000000000001</v>
      </c>
      <c r="AB51" s="226"/>
      <c r="AC51" s="136"/>
      <c r="AD51" s="135">
        <f>$F51*$H51*AC51</f>
        <v>0</v>
      </c>
      <c r="AE51" s="135">
        <f>$G51*$H51*AC51</f>
        <v>0</v>
      </c>
      <c r="AF51" s="226"/>
      <c r="AG51" s="136"/>
      <c r="AH51" s="135">
        <f>$F51*$H51*AG51</f>
        <v>0</v>
      </c>
      <c r="AI51" s="135">
        <f>$G51*$H51*AG51</f>
        <v>0</v>
      </c>
      <c r="AJ51" s="226"/>
      <c r="AK51" s="136"/>
      <c r="AL51" s="135">
        <f>$F51*$H51*AK51</f>
        <v>0</v>
      </c>
      <c r="AM51" s="135">
        <f>$G51*$H51*AK51</f>
        <v>0</v>
      </c>
      <c r="AN51" s="227"/>
      <c r="AO51" s="96"/>
    </row>
    <row r="52" spans="1:41" s="4" customFormat="1" ht="39.950000000000003" customHeight="1" thickBot="1" x14ac:dyDescent="0.3">
      <c r="A52" s="96"/>
      <c r="B52" s="228"/>
      <c r="C52" s="199"/>
      <c r="D52" s="200"/>
      <c r="E52" s="200"/>
      <c r="F52" s="201"/>
      <c r="G52" s="201"/>
      <c r="H52" s="202"/>
      <c r="I52" s="203"/>
      <c r="J52" s="176">
        <f>SUM(J49:J51)</f>
        <v>1118.8800000000001</v>
      </c>
      <c r="K52" s="176">
        <f>SUM(K49:K51)</f>
        <v>428.40000000000003</v>
      </c>
      <c r="L52" s="202"/>
      <c r="M52" s="203"/>
      <c r="N52" s="161">
        <f>SUM(N49:N51)</f>
        <v>1141.6128000000001</v>
      </c>
      <c r="O52" s="176">
        <f>SUM(O49:O51)</f>
        <v>437.10400000000004</v>
      </c>
      <c r="P52" s="161">
        <f>J52-N52</f>
        <v>-22.732799999999997</v>
      </c>
      <c r="Q52" s="161">
        <f>K52-O52</f>
        <v>-8.7040000000000077</v>
      </c>
      <c r="R52" s="229"/>
      <c r="S52" s="133"/>
      <c r="T52" s="154"/>
      <c r="U52" s="155"/>
      <c r="V52" s="156"/>
      <c r="W52" s="157"/>
      <c r="X52" s="96"/>
      <c r="Y52" s="154"/>
      <c r="Z52" s="158"/>
      <c r="AA52" s="158"/>
      <c r="AB52" s="159"/>
      <c r="AC52" s="156"/>
      <c r="AD52" s="158"/>
      <c r="AE52" s="158"/>
      <c r="AF52" s="159"/>
      <c r="AG52" s="156"/>
      <c r="AH52" s="158"/>
      <c r="AI52" s="158"/>
      <c r="AJ52" s="159"/>
      <c r="AK52" s="156"/>
      <c r="AL52" s="158"/>
      <c r="AM52" s="158"/>
      <c r="AN52" s="160"/>
      <c r="AO52" s="96"/>
    </row>
    <row r="53" spans="1:41" s="4" customFormat="1" ht="39.950000000000003" customHeight="1" x14ac:dyDescent="0.25">
      <c r="A53" s="96"/>
      <c r="B53" s="121">
        <f>B51+1</f>
        <v>24</v>
      </c>
      <c r="C53" s="205" t="s">
        <v>46</v>
      </c>
      <c r="D53" s="206" t="s">
        <v>47</v>
      </c>
      <c r="E53" s="206" t="s">
        <v>39</v>
      </c>
      <c r="F53" s="95">
        <v>0.91600000000000004</v>
      </c>
      <c r="G53" s="95">
        <v>0.33900000000000002</v>
      </c>
      <c r="H53" s="207">
        <v>4.9000000000000004</v>
      </c>
      <c r="I53" s="208">
        <v>405</v>
      </c>
      <c r="J53" s="209">
        <f>F53*H53*I53</f>
        <v>1817.8020000000001</v>
      </c>
      <c r="K53" s="127">
        <f>G53*H53*I53</f>
        <v>672.74550000000011</v>
      </c>
      <c r="L53" s="193">
        <f t="shared" ref="L53:M54" si="30">H53</f>
        <v>4.9000000000000004</v>
      </c>
      <c r="M53" s="129">
        <f t="shared" si="30"/>
        <v>405</v>
      </c>
      <c r="N53" s="186">
        <f>F53*L53*M53</f>
        <v>1817.8020000000001</v>
      </c>
      <c r="O53" s="130">
        <f>G53*L53*M53</f>
        <v>672.74550000000011</v>
      </c>
      <c r="P53" s="210"/>
      <c r="Q53" s="210"/>
      <c r="R53" s="222"/>
      <c r="S53" s="133"/>
      <c r="T53" s="134">
        <f t="shared" ref="T53:U55" si="31">SUM(Y53,AC53,AG53,AK53)</f>
        <v>122</v>
      </c>
      <c r="U53" s="135">
        <f t="shared" si="31"/>
        <v>547.58480000000009</v>
      </c>
      <c r="V53" s="136">
        <f t="shared" ref="V53:W55" si="32">M53-T53</f>
        <v>283</v>
      </c>
      <c r="W53" s="137">
        <f t="shared" si="32"/>
        <v>1270.2172</v>
      </c>
      <c r="X53" s="96"/>
      <c r="Y53" s="134">
        <v>122</v>
      </c>
      <c r="Z53" s="139">
        <f>$F53*$H53*Y53</f>
        <v>547.58480000000009</v>
      </c>
      <c r="AA53" s="139">
        <f>$G53*$H53*Y53</f>
        <v>202.65420000000003</v>
      </c>
      <c r="AB53" s="220"/>
      <c r="AC53" s="141"/>
      <c r="AD53" s="139">
        <f>$F53*$H53*AC53</f>
        <v>0</v>
      </c>
      <c r="AE53" s="139">
        <f>$G53*$H53*AC53</f>
        <v>0</v>
      </c>
      <c r="AF53" s="224"/>
      <c r="AG53" s="141"/>
      <c r="AH53" s="139">
        <f>$F53*$H53*AG53</f>
        <v>0</v>
      </c>
      <c r="AI53" s="139">
        <f>$G53*$H53*AG53</f>
        <v>0</v>
      </c>
      <c r="AJ53" s="224"/>
      <c r="AK53" s="141"/>
      <c r="AL53" s="139">
        <f>$F53*$H53*AK53</f>
        <v>0</v>
      </c>
      <c r="AM53" s="139">
        <f>$G53*$H53*AK53</f>
        <v>0</v>
      </c>
      <c r="AN53" s="225"/>
      <c r="AO53" s="96"/>
    </row>
    <row r="54" spans="1:41" s="4" customFormat="1" ht="39.950000000000003" customHeight="1" x14ac:dyDescent="0.25">
      <c r="A54" s="96"/>
      <c r="B54" s="121">
        <f t="shared" ref="B54:B55" si="33">B53+1</f>
        <v>25</v>
      </c>
      <c r="C54" s="205" t="s">
        <v>46</v>
      </c>
      <c r="D54" s="206" t="s">
        <v>47</v>
      </c>
      <c r="E54" s="206" t="s">
        <v>39</v>
      </c>
      <c r="F54" s="95">
        <v>0.91600000000000004</v>
      </c>
      <c r="G54" s="95">
        <v>0.33900000000000002</v>
      </c>
      <c r="H54" s="207">
        <v>5.8</v>
      </c>
      <c r="I54" s="208">
        <v>52</v>
      </c>
      <c r="J54" s="209">
        <f>F54*H54*I54</f>
        <v>276.26560000000001</v>
      </c>
      <c r="K54" s="127">
        <f>G54*H54*I54</f>
        <v>102.2424</v>
      </c>
      <c r="L54" s="193">
        <f t="shared" si="30"/>
        <v>5.8</v>
      </c>
      <c r="M54" s="129">
        <f t="shared" si="30"/>
        <v>52</v>
      </c>
      <c r="N54" s="186">
        <f>F54*L54*M54</f>
        <v>276.26560000000001</v>
      </c>
      <c r="O54" s="130">
        <f>G54*L54*M54</f>
        <v>102.2424</v>
      </c>
      <c r="P54" s="210"/>
      <c r="Q54" s="210"/>
      <c r="R54" s="222"/>
      <c r="S54" s="133"/>
      <c r="T54" s="134">
        <f t="shared" si="31"/>
        <v>21</v>
      </c>
      <c r="U54" s="135">
        <f t="shared" si="31"/>
        <v>111.56880000000001</v>
      </c>
      <c r="V54" s="136">
        <f t="shared" si="32"/>
        <v>31</v>
      </c>
      <c r="W54" s="137">
        <f t="shared" si="32"/>
        <v>164.6968</v>
      </c>
      <c r="X54" s="96"/>
      <c r="Y54" s="134">
        <v>21</v>
      </c>
      <c r="Z54" s="135">
        <f>$F54*$H54*Y54</f>
        <v>111.56880000000001</v>
      </c>
      <c r="AA54" s="135">
        <f>$G54*$H54*Y54</f>
        <v>41.290200000000006</v>
      </c>
      <c r="AB54" s="220"/>
      <c r="AC54" s="136"/>
      <c r="AD54" s="135">
        <f>$F54*$H54*AC54</f>
        <v>0</v>
      </c>
      <c r="AE54" s="135">
        <f>$G54*$H54*AC54</f>
        <v>0</v>
      </c>
      <c r="AF54" s="220"/>
      <c r="AG54" s="136"/>
      <c r="AH54" s="135">
        <f>$F54*$H54*AG54</f>
        <v>0</v>
      </c>
      <c r="AI54" s="135">
        <f>$G54*$H54*AG54</f>
        <v>0</v>
      </c>
      <c r="AJ54" s="220"/>
      <c r="AK54" s="136"/>
      <c r="AL54" s="135">
        <f>$F54*$H54*AK54</f>
        <v>0</v>
      </c>
      <c r="AM54" s="135">
        <f>$G54*$H54*AK54</f>
        <v>0</v>
      </c>
      <c r="AN54" s="221"/>
      <c r="AO54" s="96"/>
    </row>
    <row r="55" spans="1:41" s="4" customFormat="1" ht="39.950000000000003" customHeight="1" x14ac:dyDescent="0.25">
      <c r="A55" s="96"/>
      <c r="B55" s="121">
        <f t="shared" si="33"/>
        <v>26</v>
      </c>
      <c r="C55" s="205" t="s">
        <v>46</v>
      </c>
      <c r="D55" s="206" t="s">
        <v>47</v>
      </c>
      <c r="E55" s="206" t="s">
        <v>39</v>
      </c>
      <c r="F55" s="95">
        <v>0.91600000000000004</v>
      </c>
      <c r="G55" s="95">
        <v>0.33900000000000002</v>
      </c>
      <c r="H55" s="207">
        <v>6.4</v>
      </c>
      <c r="I55" s="208">
        <v>79</v>
      </c>
      <c r="J55" s="209">
        <f>F55*H55*I55</f>
        <v>463.1296000000001</v>
      </c>
      <c r="K55" s="127">
        <f>G55*H55*I55</f>
        <v>171.39840000000004</v>
      </c>
      <c r="L55" s="193">
        <f>H55</f>
        <v>6.4</v>
      </c>
      <c r="M55" s="129">
        <f>I55+6</f>
        <v>85</v>
      </c>
      <c r="N55" s="186">
        <f>F55*L55*M55</f>
        <v>498.30400000000009</v>
      </c>
      <c r="O55" s="130">
        <f>G55*L55*M55</f>
        <v>184.41600000000003</v>
      </c>
      <c r="P55" s="210"/>
      <c r="Q55" s="210"/>
      <c r="R55" s="132" t="s">
        <v>136</v>
      </c>
      <c r="S55" s="133"/>
      <c r="T55" s="134">
        <f t="shared" si="31"/>
        <v>13</v>
      </c>
      <c r="U55" s="135">
        <f t="shared" si="31"/>
        <v>76.211200000000019</v>
      </c>
      <c r="V55" s="136">
        <f t="shared" si="32"/>
        <v>72</v>
      </c>
      <c r="W55" s="137">
        <f t="shared" si="32"/>
        <v>422.09280000000007</v>
      </c>
      <c r="X55" s="96"/>
      <c r="Y55" s="134">
        <v>13</v>
      </c>
      <c r="Z55" s="135">
        <f>$F55*$H55*Y55</f>
        <v>76.211200000000019</v>
      </c>
      <c r="AA55" s="135">
        <f>$G55*$H55*Y55</f>
        <v>28.204800000000006</v>
      </c>
      <c r="AB55" s="220"/>
      <c r="AC55" s="136"/>
      <c r="AD55" s="135">
        <f>$F55*$H55*AC55</f>
        <v>0</v>
      </c>
      <c r="AE55" s="135">
        <f>$G55*$H55*AC55</f>
        <v>0</v>
      </c>
      <c r="AF55" s="220"/>
      <c r="AG55" s="136"/>
      <c r="AH55" s="135">
        <f>$F55*$H55*AG55</f>
        <v>0</v>
      </c>
      <c r="AI55" s="135">
        <f>$G55*$H55*AG55</f>
        <v>0</v>
      </c>
      <c r="AJ55" s="220"/>
      <c r="AK55" s="136"/>
      <c r="AL55" s="135">
        <f>$F55*$H55*AK55</f>
        <v>0</v>
      </c>
      <c r="AM55" s="135">
        <f>$G55*$H55*AK55</f>
        <v>0</v>
      </c>
      <c r="AN55" s="221"/>
      <c r="AO55" s="96"/>
    </row>
    <row r="56" spans="1:41" s="4" customFormat="1" ht="39.950000000000003" customHeight="1" thickBot="1" x14ac:dyDescent="0.3">
      <c r="A56" s="96"/>
      <c r="B56" s="212"/>
      <c r="C56" s="213"/>
      <c r="D56" s="214"/>
      <c r="E56" s="214"/>
      <c r="F56" s="215"/>
      <c r="G56" s="215"/>
      <c r="H56" s="216"/>
      <c r="I56" s="217"/>
      <c r="J56" s="151">
        <f>SUM(J53:J55)</f>
        <v>2557.1972000000005</v>
      </c>
      <c r="K56" s="151">
        <f>SUM(K53:K55)</f>
        <v>946.38630000000012</v>
      </c>
      <c r="L56" s="216"/>
      <c r="M56" s="217"/>
      <c r="N56" s="152">
        <f>SUM(N53:N55)</f>
        <v>2592.3716000000004</v>
      </c>
      <c r="O56" s="151">
        <f>SUM(O53:O55)</f>
        <v>959.40390000000014</v>
      </c>
      <c r="P56" s="152">
        <f>J56-N56</f>
        <v>-35.174399999999878</v>
      </c>
      <c r="Q56" s="152">
        <f>K56-O56</f>
        <v>-13.017600000000016</v>
      </c>
      <c r="R56" s="230"/>
      <c r="S56" s="133"/>
      <c r="T56" s="154"/>
      <c r="U56" s="155"/>
      <c r="V56" s="156"/>
      <c r="W56" s="157"/>
      <c r="X56" s="96"/>
      <c r="Y56" s="154"/>
      <c r="Z56" s="158"/>
      <c r="AA56" s="158"/>
      <c r="AB56" s="159"/>
      <c r="AC56" s="156"/>
      <c r="AD56" s="158"/>
      <c r="AE56" s="158"/>
      <c r="AF56" s="159"/>
      <c r="AG56" s="156"/>
      <c r="AH56" s="158"/>
      <c r="AI56" s="158"/>
      <c r="AJ56" s="159"/>
      <c r="AK56" s="156"/>
      <c r="AL56" s="158"/>
      <c r="AM56" s="158"/>
      <c r="AN56" s="160"/>
      <c r="AO56" s="96"/>
    </row>
    <row r="57" spans="1:41" s="4" customFormat="1" ht="39.950000000000003" customHeight="1" x14ac:dyDescent="0.25">
      <c r="A57" s="96"/>
      <c r="B57" s="162">
        <f>B55+1</f>
        <v>27</v>
      </c>
      <c r="C57" s="187" t="s">
        <v>48</v>
      </c>
      <c r="D57" s="188" t="s">
        <v>49</v>
      </c>
      <c r="E57" s="188" t="s">
        <v>39</v>
      </c>
      <c r="F57" s="189">
        <v>0.81</v>
      </c>
      <c r="G57" s="189">
        <v>0.28999999999999998</v>
      </c>
      <c r="H57" s="190">
        <v>4.9000000000000004</v>
      </c>
      <c r="I57" s="191">
        <v>405</v>
      </c>
      <c r="J57" s="192">
        <f>F57*H57*I57</f>
        <v>1607.4450000000004</v>
      </c>
      <c r="K57" s="168">
        <f>G57*H57*I57</f>
        <v>575.505</v>
      </c>
      <c r="L57" s="193">
        <f t="shared" ref="L57:M58" si="34">H57</f>
        <v>4.9000000000000004</v>
      </c>
      <c r="M57" s="129">
        <f t="shared" si="34"/>
        <v>405</v>
      </c>
      <c r="N57" s="186">
        <f>F57*L57*M57</f>
        <v>1607.4450000000004</v>
      </c>
      <c r="O57" s="130">
        <f>G57*L57*M57</f>
        <v>575.505</v>
      </c>
      <c r="P57" s="194"/>
      <c r="Q57" s="194"/>
      <c r="R57" s="231"/>
      <c r="S57" s="133"/>
      <c r="T57" s="134">
        <f t="shared" ref="T57:U59" si="35">SUM(Y57,AC57,AG57,AK57)</f>
        <v>122</v>
      </c>
      <c r="U57" s="135">
        <f t="shared" si="35"/>
        <v>484.21800000000007</v>
      </c>
      <c r="V57" s="136">
        <f t="shared" ref="V57:W59" si="36">M57-T57</f>
        <v>283</v>
      </c>
      <c r="W57" s="137">
        <f t="shared" si="36"/>
        <v>1123.2270000000003</v>
      </c>
      <c r="X57" s="96"/>
      <c r="Y57" s="134">
        <v>122</v>
      </c>
      <c r="Z57" s="139">
        <f>$F57*$H57*Y57</f>
        <v>484.21800000000007</v>
      </c>
      <c r="AA57" s="139">
        <f>$G57*$H57*Y57</f>
        <v>173.36199999999999</v>
      </c>
      <c r="AB57" s="220"/>
      <c r="AC57" s="141"/>
      <c r="AD57" s="139">
        <f>$F57*$H57*AC57</f>
        <v>0</v>
      </c>
      <c r="AE57" s="139">
        <f>$G57*$H57*AC57</f>
        <v>0</v>
      </c>
      <c r="AF57" s="224"/>
      <c r="AG57" s="141"/>
      <c r="AH57" s="139">
        <f>$F57*$H57*AG57</f>
        <v>0</v>
      </c>
      <c r="AI57" s="139">
        <f>$G57*$H57*AG57</f>
        <v>0</v>
      </c>
      <c r="AJ57" s="224"/>
      <c r="AK57" s="141"/>
      <c r="AL57" s="139">
        <f>$F57*$H57*AK57</f>
        <v>0</v>
      </c>
      <c r="AM57" s="139">
        <f>$G57*$H57*AK57</f>
        <v>0</v>
      </c>
      <c r="AN57" s="225"/>
      <c r="AO57" s="96"/>
    </row>
    <row r="58" spans="1:41" s="4" customFormat="1" ht="39.950000000000003" customHeight="1" x14ac:dyDescent="0.25">
      <c r="A58" s="96"/>
      <c r="B58" s="162">
        <f>B57+1</f>
        <v>28</v>
      </c>
      <c r="C58" s="187" t="s">
        <v>48</v>
      </c>
      <c r="D58" s="188" t="s">
        <v>49</v>
      </c>
      <c r="E58" s="188" t="s">
        <v>39</v>
      </c>
      <c r="F58" s="189">
        <v>0.81</v>
      </c>
      <c r="G58" s="189">
        <v>0.28999999999999998</v>
      </c>
      <c r="H58" s="190">
        <v>5.8</v>
      </c>
      <c r="I58" s="191">
        <v>52</v>
      </c>
      <c r="J58" s="192">
        <f>F58*H58*I58</f>
        <v>244.29600000000002</v>
      </c>
      <c r="K58" s="168">
        <f>G58*H58*I58</f>
        <v>87.463999999999999</v>
      </c>
      <c r="L58" s="193">
        <f t="shared" si="34"/>
        <v>5.8</v>
      </c>
      <c r="M58" s="129">
        <f t="shared" si="34"/>
        <v>52</v>
      </c>
      <c r="N58" s="186">
        <f>F58*L58*M58</f>
        <v>244.29600000000002</v>
      </c>
      <c r="O58" s="130">
        <f>G58*L58*M58</f>
        <v>87.463999999999999</v>
      </c>
      <c r="P58" s="194"/>
      <c r="Q58" s="194"/>
      <c r="R58" s="195"/>
      <c r="S58" s="133"/>
      <c r="T58" s="134">
        <f t="shared" si="35"/>
        <v>21</v>
      </c>
      <c r="U58" s="135">
        <f t="shared" si="35"/>
        <v>98.658000000000015</v>
      </c>
      <c r="V58" s="136">
        <f t="shared" si="36"/>
        <v>31</v>
      </c>
      <c r="W58" s="137">
        <f t="shared" si="36"/>
        <v>145.63800000000001</v>
      </c>
      <c r="X58" s="96"/>
      <c r="Y58" s="134">
        <v>21</v>
      </c>
      <c r="Z58" s="135">
        <f>$F58*$H58*Y58</f>
        <v>98.658000000000015</v>
      </c>
      <c r="AA58" s="135">
        <f>$G58*$H58*Y58</f>
        <v>35.321999999999996</v>
      </c>
      <c r="AB58" s="220"/>
      <c r="AC58" s="136"/>
      <c r="AD58" s="135">
        <f>$F58*$H58*AC58</f>
        <v>0</v>
      </c>
      <c r="AE58" s="135">
        <f>$G58*$H58*AC58</f>
        <v>0</v>
      </c>
      <c r="AF58" s="220"/>
      <c r="AG58" s="136"/>
      <c r="AH58" s="135">
        <f>$F58*$H58*AG58</f>
        <v>0</v>
      </c>
      <c r="AI58" s="135">
        <f>$G58*$H58*AG58</f>
        <v>0</v>
      </c>
      <c r="AJ58" s="220"/>
      <c r="AK58" s="136"/>
      <c r="AL58" s="135">
        <f>$F58*$H58*AK58</f>
        <v>0</v>
      </c>
      <c r="AM58" s="135">
        <f>$G58*$H58*AK58</f>
        <v>0</v>
      </c>
      <c r="AN58" s="221"/>
      <c r="AO58" s="96"/>
    </row>
    <row r="59" spans="1:41" s="4" customFormat="1" ht="39.950000000000003" customHeight="1" x14ac:dyDescent="0.25">
      <c r="A59" s="96"/>
      <c r="B59" s="162">
        <f>B58+1</f>
        <v>29</v>
      </c>
      <c r="C59" s="187" t="s">
        <v>48</v>
      </c>
      <c r="D59" s="188" t="s">
        <v>49</v>
      </c>
      <c r="E59" s="188" t="s">
        <v>39</v>
      </c>
      <c r="F59" s="189">
        <v>0.81</v>
      </c>
      <c r="G59" s="189">
        <v>0.28999999999999998</v>
      </c>
      <c r="H59" s="190">
        <v>6.4</v>
      </c>
      <c r="I59" s="191">
        <v>79</v>
      </c>
      <c r="J59" s="192">
        <f>F59*H59*I59</f>
        <v>409.53600000000006</v>
      </c>
      <c r="K59" s="168">
        <f>G59*H59*I59</f>
        <v>146.624</v>
      </c>
      <c r="L59" s="193">
        <f>H59</f>
        <v>6.4</v>
      </c>
      <c r="M59" s="129">
        <f>I59+6</f>
        <v>85</v>
      </c>
      <c r="N59" s="186">
        <f>F59*L59*M59</f>
        <v>440.6400000000001</v>
      </c>
      <c r="O59" s="130">
        <f>G59*L59*M59</f>
        <v>157.76</v>
      </c>
      <c r="P59" s="194"/>
      <c r="Q59" s="194"/>
      <c r="R59" s="195" t="s">
        <v>136</v>
      </c>
      <c r="S59" s="133"/>
      <c r="T59" s="134">
        <f t="shared" si="35"/>
        <v>13</v>
      </c>
      <c r="U59" s="135">
        <f t="shared" si="35"/>
        <v>67.39200000000001</v>
      </c>
      <c r="V59" s="136">
        <f t="shared" si="36"/>
        <v>72</v>
      </c>
      <c r="W59" s="137">
        <f t="shared" si="36"/>
        <v>373.2480000000001</v>
      </c>
      <c r="X59" s="96"/>
      <c r="Y59" s="134">
        <v>13</v>
      </c>
      <c r="Z59" s="135">
        <f>$F59*$H59*Y59</f>
        <v>67.39200000000001</v>
      </c>
      <c r="AA59" s="135">
        <f>$G59*$H59*Y59</f>
        <v>24.128</v>
      </c>
      <c r="AB59" s="220"/>
      <c r="AC59" s="136"/>
      <c r="AD59" s="135">
        <f>$F59*$H59*AC59</f>
        <v>0</v>
      </c>
      <c r="AE59" s="135">
        <f>$G59*$H59*AC59</f>
        <v>0</v>
      </c>
      <c r="AF59" s="220"/>
      <c r="AG59" s="136"/>
      <c r="AH59" s="135">
        <f>$F59*$H59*AG59</f>
        <v>0</v>
      </c>
      <c r="AI59" s="135">
        <f>$G59*$H59*AG59</f>
        <v>0</v>
      </c>
      <c r="AJ59" s="220"/>
      <c r="AK59" s="136"/>
      <c r="AL59" s="135">
        <f>$F59*$H59*AK59</f>
        <v>0</v>
      </c>
      <c r="AM59" s="135">
        <f>$G59*$H59*AK59</f>
        <v>0</v>
      </c>
      <c r="AN59" s="221"/>
      <c r="AO59" s="96"/>
    </row>
    <row r="60" spans="1:41" s="4" customFormat="1" ht="39.950000000000003" customHeight="1" thickBot="1" x14ac:dyDescent="0.3">
      <c r="A60" s="96"/>
      <c r="B60" s="228"/>
      <c r="C60" s="199"/>
      <c r="D60" s="200"/>
      <c r="E60" s="200"/>
      <c r="F60" s="201"/>
      <c r="G60" s="201"/>
      <c r="H60" s="202"/>
      <c r="I60" s="203"/>
      <c r="J60" s="176">
        <f>SUM(J57:J59)</f>
        <v>2261.2770000000005</v>
      </c>
      <c r="K60" s="176">
        <f>SUM(K57:K59)</f>
        <v>809.59300000000007</v>
      </c>
      <c r="L60" s="202"/>
      <c r="M60" s="203"/>
      <c r="N60" s="161">
        <f>SUM(N57:N59)</f>
        <v>2292.3810000000003</v>
      </c>
      <c r="O60" s="176">
        <f>SUM(O57:O59)</f>
        <v>820.72900000000004</v>
      </c>
      <c r="P60" s="161">
        <f>J60-N60</f>
        <v>-31.103999999999814</v>
      </c>
      <c r="Q60" s="161">
        <f>K60-O60</f>
        <v>-11.135999999999967</v>
      </c>
      <c r="R60" s="229"/>
      <c r="S60" s="133"/>
      <c r="T60" s="154"/>
      <c r="U60" s="155"/>
      <c r="V60" s="156"/>
      <c r="W60" s="157"/>
      <c r="X60" s="96"/>
      <c r="Y60" s="154"/>
      <c r="Z60" s="158"/>
      <c r="AA60" s="158"/>
      <c r="AB60" s="159"/>
      <c r="AC60" s="156"/>
      <c r="AD60" s="158"/>
      <c r="AE60" s="158"/>
      <c r="AF60" s="159"/>
      <c r="AG60" s="156"/>
      <c r="AH60" s="158"/>
      <c r="AI60" s="158"/>
      <c r="AJ60" s="159"/>
      <c r="AK60" s="156"/>
      <c r="AL60" s="158"/>
      <c r="AM60" s="158"/>
      <c r="AN60" s="160"/>
      <c r="AO60" s="96"/>
    </row>
    <row r="61" spans="1:41" s="4" customFormat="1" ht="39.950000000000003" customHeight="1" x14ac:dyDescent="0.25">
      <c r="A61" s="96"/>
      <c r="B61" s="121">
        <f>B59+1</f>
        <v>30</v>
      </c>
      <c r="C61" s="122" t="s">
        <v>50</v>
      </c>
      <c r="D61" s="206" t="s">
        <v>51</v>
      </c>
      <c r="E61" s="123" t="s">
        <v>39</v>
      </c>
      <c r="F61" s="124">
        <v>1.7110000000000001</v>
      </c>
      <c r="G61" s="95">
        <v>0.34200000000000003</v>
      </c>
      <c r="H61" s="125">
        <v>4.9000000000000004</v>
      </c>
      <c r="I61" s="126">
        <v>43</v>
      </c>
      <c r="J61" s="127">
        <f>F61*H61*I61</f>
        <v>360.5077</v>
      </c>
      <c r="K61" s="127">
        <f>G61*H61*I61</f>
        <v>72.059400000000011</v>
      </c>
      <c r="L61" s="193">
        <f>H61</f>
        <v>4.9000000000000004</v>
      </c>
      <c r="M61" s="129">
        <f>I61</f>
        <v>43</v>
      </c>
      <c r="N61" s="186">
        <f>F61*L61*M61</f>
        <v>360.5077</v>
      </c>
      <c r="O61" s="130">
        <f>G61*L61*M61</f>
        <v>72.059400000000011</v>
      </c>
      <c r="P61" s="131"/>
      <c r="Q61" s="131"/>
      <c r="R61" s="232"/>
      <c r="S61" s="133"/>
      <c r="T61" s="134">
        <f t="shared" ref="T61:U62" si="37">SUM(Y61,AC61,AG61,AK61)</f>
        <v>43</v>
      </c>
      <c r="U61" s="135">
        <f t="shared" si="37"/>
        <v>360.5077</v>
      </c>
      <c r="V61" s="136">
        <f t="shared" ref="V61:W62" si="38">M61-T61</f>
        <v>0</v>
      </c>
      <c r="W61" s="137">
        <f t="shared" si="38"/>
        <v>0</v>
      </c>
      <c r="X61" s="96"/>
      <c r="Y61" s="134">
        <f>13+30</f>
        <v>43</v>
      </c>
      <c r="Z61" s="139">
        <f>$F61*$H61*Y61</f>
        <v>360.5077</v>
      </c>
      <c r="AA61" s="139">
        <f>$G61*$H61*Y61</f>
        <v>72.059400000000011</v>
      </c>
      <c r="AB61" s="178" t="s">
        <v>119</v>
      </c>
      <c r="AC61" s="141"/>
      <c r="AD61" s="139">
        <f>$F61*$H61*AC61</f>
        <v>0</v>
      </c>
      <c r="AE61" s="139">
        <f>$G61*$H61*AC61</f>
        <v>0</v>
      </c>
      <c r="AF61" s="178"/>
      <c r="AG61" s="141"/>
      <c r="AH61" s="139">
        <f>$F61*$H61*AG61</f>
        <v>0</v>
      </c>
      <c r="AI61" s="139">
        <f>$G61*$H61*AG61</f>
        <v>0</v>
      </c>
      <c r="AJ61" s="178"/>
      <c r="AK61" s="141"/>
      <c r="AL61" s="139">
        <f>$F61*$H61*AK61</f>
        <v>0</v>
      </c>
      <c r="AM61" s="139">
        <f>$G61*$H61*AK61</f>
        <v>0</v>
      </c>
      <c r="AN61" s="179"/>
      <c r="AO61" s="96"/>
    </row>
    <row r="62" spans="1:41" s="4" customFormat="1" ht="39.950000000000003" customHeight="1" x14ac:dyDescent="0.25">
      <c r="A62" s="96"/>
      <c r="B62" s="121">
        <f>B61+1</f>
        <v>31</v>
      </c>
      <c r="C62" s="205" t="s">
        <v>50</v>
      </c>
      <c r="D62" s="206" t="s">
        <v>51</v>
      </c>
      <c r="E62" s="206" t="s">
        <v>39</v>
      </c>
      <c r="F62" s="95">
        <v>1.7110000000000001</v>
      </c>
      <c r="G62" s="95">
        <v>0.34200000000000003</v>
      </c>
      <c r="H62" s="207">
        <v>6.2</v>
      </c>
      <c r="I62" s="208">
        <v>9</v>
      </c>
      <c r="J62" s="209">
        <f>F62*H62*I62</f>
        <v>95.473799999999997</v>
      </c>
      <c r="K62" s="127">
        <f>G62*H62*I62</f>
        <v>19.083600000000001</v>
      </c>
      <c r="L62" s="193">
        <f>H62</f>
        <v>6.2</v>
      </c>
      <c r="M62" s="129">
        <f>I62+1</f>
        <v>10</v>
      </c>
      <c r="N62" s="186">
        <f>F62*L62*M62</f>
        <v>106.08199999999999</v>
      </c>
      <c r="O62" s="130">
        <f>G62*L62*M62</f>
        <v>21.204000000000001</v>
      </c>
      <c r="P62" s="210"/>
      <c r="Q62" s="210"/>
      <c r="R62" s="233" t="s">
        <v>30</v>
      </c>
      <c r="S62" s="133"/>
      <c r="T62" s="134">
        <f>SUM(Y62,AC62,AG62,AK62)</f>
        <v>10</v>
      </c>
      <c r="U62" s="135">
        <f t="shared" si="37"/>
        <v>106.08199999999999</v>
      </c>
      <c r="V62" s="136">
        <f t="shared" si="38"/>
        <v>0</v>
      </c>
      <c r="W62" s="137">
        <f t="shared" si="38"/>
        <v>0</v>
      </c>
      <c r="X62" s="96"/>
      <c r="Y62" s="134">
        <f>3+7</f>
        <v>10</v>
      </c>
      <c r="Z62" s="135">
        <f>$F62*$H62*Y62</f>
        <v>106.08199999999999</v>
      </c>
      <c r="AA62" s="135">
        <f>$G62*$H62*Y62</f>
        <v>21.204000000000001</v>
      </c>
      <c r="AB62" s="196" t="s">
        <v>119</v>
      </c>
      <c r="AC62" s="136"/>
      <c r="AD62" s="135">
        <f>$F62*$H62*AC62</f>
        <v>0</v>
      </c>
      <c r="AE62" s="135">
        <f>$G62*$H62*AC62</f>
        <v>0</v>
      </c>
      <c r="AF62" s="196"/>
      <c r="AG62" s="136"/>
      <c r="AH62" s="135">
        <f>$F62*$H62*AG62</f>
        <v>0</v>
      </c>
      <c r="AI62" s="135">
        <f>$G62*$H62*AG62</f>
        <v>0</v>
      </c>
      <c r="AJ62" s="196"/>
      <c r="AK62" s="136"/>
      <c r="AL62" s="135">
        <f>$F62*$H62*AK62</f>
        <v>0</v>
      </c>
      <c r="AM62" s="135">
        <f>$G62*$H62*AK62</f>
        <v>0</v>
      </c>
      <c r="AN62" s="197"/>
      <c r="AO62" s="96"/>
    </row>
    <row r="63" spans="1:41" s="4" customFormat="1" ht="39.950000000000003" customHeight="1" thickBot="1" x14ac:dyDescent="0.3">
      <c r="A63" s="96"/>
      <c r="B63" s="212"/>
      <c r="C63" s="213"/>
      <c r="D63" s="214"/>
      <c r="E63" s="214"/>
      <c r="F63" s="215"/>
      <c r="G63" s="215"/>
      <c r="H63" s="216"/>
      <c r="I63" s="217"/>
      <c r="J63" s="151">
        <f>SUM(J61:J62)</f>
        <v>455.98149999999998</v>
      </c>
      <c r="K63" s="151">
        <f>SUM(K61:K62)</f>
        <v>91.143000000000015</v>
      </c>
      <c r="L63" s="216"/>
      <c r="M63" s="217"/>
      <c r="N63" s="152">
        <f>SUM(N61:N62)</f>
        <v>466.58969999999999</v>
      </c>
      <c r="O63" s="151">
        <f>SUM(O61:O62)</f>
        <v>93.263400000000019</v>
      </c>
      <c r="P63" s="152">
        <f>J63-N63</f>
        <v>-10.608200000000011</v>
      </c>
      <c r="Q63" s="152">
        <f>K63-O63</f>
        <v>-2.1204000000000036</v>
      </c>
      <c r="R63" s="234"/>
      <c r="S63" s="133"/>
      <c r="T63" s="154"/>
      <c r="U63" s="155"/>
      <c r="V63" s="156"/>
      <c r="W63" s="157"/>
      <c r="X63" s="96"/>
      <c r="Y63" s="154"/>
      <c r="Z63" s="158"/>
      <c r="AA63" s="158"/>
      <c r="AB63" s="180" t="s">
        <v>120</v>
      </c>
      <c r="AC63" s="156"/>
      <c r="AD63" s="158"/>
      <c r="AE63" s="158"/>
      <c r="AF63" s="180"/>
      <c r="AG63" s="156"/>
      <c r="AH63" s="158"/>
      <c r="AI63" s="158"/>
      <c r="AJ63" s="180"/>
      <c r="AK63" s="156"/>
      <c r="AL63" s="158"/>
      <c r="AM63" s="158"/>
      <c r="AN63" s="181"/>
      <c r="AO63" s="96"/>
    </row>
    <row r="64" spans="1:41" s="4" customFormat="1" ht="35.1" customHeight="1" x14ac:dyDescent="0.25">
      <c r="A64" s="96"/>
      <c r="B64" s="235">
        <f>B62+1</f>
        <v>32</v>
      </c>
      <c r="C64" s="236" t="s">
        <v>114</v>
      </c>
      <c r="D64" s="237" t="s">
        <v>115</v>
      </c>
      <c r="E64" s="237" t="s">
        <v>39</v>
      </c>
      <c r="F64" s="238">
        <v>0.83499999999999996</v>
      </c>
      <c r="G64" s="238">
        <v>0.21299999999999999</v>
      </c>
      <c r="H64" s="239">
        <v>4.9000000000000004</v>
      </c>
      <c r="I64" s="240">
        <v>43</v>
      </c>
      <c r="J64" s="241">
        <f>F64*H64*I64</f>
        <v>175.93449999999999</v>
      </c>
      <c r="K64" s="241">
        <f>G64*H64*I64</f>
        <v>44.879100000000001</v>
      </c>
      <c r="L64" s="193">
        <f>H64</f>
        <v>4.9000000000000004</v>
      </c>
      <c r="M64" s="129">
        <f>I64</f>
        <v>43</v>
      </c>
      <c r="N64" s="242">
        <f>F64*L64*M64</f>
        <v>175.93449999999999</v>
      </c>
      <c r="O64" s="242">
        <f>G64*L64*M64</f>
        <v>44.879100000000001</v>
      </c>
      <c r="P64" s="144"/>
      <c r="Q64" s="144"/>
      <c r="R64" s="243"/>
      <c r="S64" s="133"/>
      <c r="T64" s="134">
        <f t="shared" ref="T64:U65" si="39">SUM(Y64,AC64,AG64,AK64)</f>
        <v>43</v>
      </c>
      <c r="U64" s="135">
        <f t="shared" si="39"/>
        <v>175.93449999999999</v>
      </c>
      <c r="V64" s="136">
        <f t="shared" ref="V64:W65" si="40">M64-T64</f>
        <v>0</v>
      </c>
      <c r="W64" s="137">
        <f t="shared" si="40"/>
        <v>0</v>
      </c>
      <c r="X64" s="96"/>
      <c r="Y64" s="134">
        <f>13+30</f>
        <v>43</v>
      </c>
      <c r="Z64" s="139">
        <f>$F64*$H64*Y64</f>
        <v>175.93449999999999</v>
      </c>
      <c r="AA64" s="139">
        <f>$G64*$H64*Y64</f>
        <v>44.879100000000001</v>
      </c>
      <c r="AB64" s="178" t="s">
        <v>119</v>
      </c>
      <c r="AC64" s="141"/>
      <c r="AD64" s="139">
        <f>$F64*$H64*AC64</f>
        <v>0</v>
      </c>
      <c r="AE64" s="139">
        <f>$G64*$H64*AC64</f>
        <v>0</v>
      </c>
      <c r="AF64" s="178"/>
      <c r="AG64" s="141"/>
      <c r="AH64" s="139">
        <f>$F64*$H64*AG64</f>
        <v>0</v>
      </c>
      <c r="AI64" s="139">
        <f>$G64*$H64*AG64</f>
        <v>0</v>
      </c>
      <c r="AJ64" s="178"/>
      <c r="AK64" s="141"/>
      <c r="AL64" s="139">
        <f>$F64*$H64*AK64</f>
        <v>0</v>
      </c>
      <c r="AM64" s="139">
        <f>$G64*$H64*AK64</f>
        <v>0</v>
      </c>
      <c r="AN64" s="179"/>
      <c r="AO64" s="96"/>
    </row>
    <row r="65" spans="1:41" s="97" customFormat="1" ht="35.1" customHeight="1" x14ac:dyDescent="0.25">
      <c r="A65" s="96"/>
      <c r="B65" s="162">
        <f>B64+1</f>
        <v>33</v>
      </c>
      <c r="C65" s="187" t="s">
        <v>114</v>
      </c>
      <c r="D65" s="188" t="s">
        <v>115</v>
      </c>
      <c r="E65" s="188" t="s">
        <v>39</v>
      </c>
      <c r="F65" s="189">
        <v>0.83499999999999996</v>
      </c>
      <c r="G65" s="189">
        <v>0.21299999999999999</v>
      </c>
      <c r="H65" s="190">
        <v>6.2</v>
      </c>
      <c r="I65" s="191">
        <v>9</v>
      </c>
      <c r="J65" s="192">
        <f>F65*H65*I65</f>
        <v>46.592999999999996</v>
      </c>
      <c r="K65" s="168">
        <f>G65*H65*I65</f>
        <v>11.885400000000001</v>
      </c>
      <c r="L65" s="193">
        <f>H65</f>
        <v>6.2</v>
      </c>
      <c r="M65" s="129">
        <f>I65+1</f>
        <v>10</v>
      </c>
      <c r="N65" s="186">
        <f>F65*L65*M65</f>
        <v>51.769999999999996</v>
      </c>
      <c r="O65" s="130">
        <f>G65*L65*M65</f>
        <v>13.206</v>
      </c>
      <c r="P65" s="194"/>
      <c r="Q65" s="194"/>
      <c r="R65" s="195" t="s">
        <v>30</v>
      </c>
      <c r="S65" s="133"/>
      <c r="T65" s="134">
        <f t="shared" si="39"/>
        <v>10</v>
      </c>
      <c r="U65" s="135">
        <f t="shared" si="39"/>
        <v>51.769999999999996</v>
      </c>
      <c r="V65" s="136">
        <f t="shared" si="40"/>
        <v>0</v>
      </c>
      <c r="W65" s="137">
        <f t="shared" si="40"/>
        <v>0</v>
      </c>
      <c r="X65" s="96"/>
      <c r="Y65" s="134">
        <f>3+7</f>
        <v>10</v>
      </c>
      <c r="Z65" s="135">
        <f>$F65*$H65*Y65</f>
        <v>51.769999999999996</v>
      </c>
      <c r="AA65" s="135">
        <f>$G65*$H65*Y65</f>
        <v>13.206</v>
      </c>
      <c r="AB65" s="196" t="s">
        <v>119</v>
      </c>
      <c r="AC65" s="136"/>
      <c r="AD65" s="135">
        <f>$F65*$H65*AC65</f>
        <v>0</v>
      </c>
      <c r="AE65" s="135">
        <f>$G65*$H65*AC65</f>
        <v>0</v>
      </c>
      <c r="AF65" s="196"/>
      <c r="AG65" s="136"/>
      <c r="AH65" s="135">
        <f>$F65*$H65*AG65</f>
        <v>0</v>
      </c>
      <c r="AI65" s="135">
        <f>$G65*$H65*AG65</f>
        <v>0</v>
      </c>
      <c r="AJ65" s="196"/>
      <c r="AK65" s="136"/>
      <c r="AL65" s="135">
        <f>$F65*$H65*AK65</f>
        <v>0</v>
      </c>
      <c r="AM65" s="135">
        <f>$G65*$H65*AK65</f>
        <v>0</v>
      </c>
      <c r="AN65" s="197"/>
      <c r="AO65" s="96"/>
    </row>
    <row r="66" spans="1:41" s="4" customFormat="1" ht="35.1" customHeight="1" thickBot="1" x14ac:dyDescent="0.3">
      <c r="A66" s="96"/>
      <c r="B66" s="228"/>
      <c r="C66" s="199"/>
      <c r="D66" s="200"/>
      <c r="E66" s="200"/>
      <c r="F66" s="201"/>
      <c r="G66" s="201"/>
      <c r="H66" s="202"/>
      <c r="I66" s="203"/>
      <c r="J66" s="176">
        <f>SUM(J64:J65)</f>
        <v>222.52749999999997</v>
      </c>
      <c r="K66" s="176">
        <f>SUM(K64:K65)</f>
        <v>56.764499999999998</v>
      </c>
      <c r="L66" s="202"/>
      <c r="M66" s="203"/>
      <c r="N66" s="161">
        <f>SUM(N64:N65)</f>
        <v>227.7045</v>
      </c>
      <c r="O66" s="176">
        <f>SUM(O64:O65)</f>
        <v>58.085099999999997</v>
      </c>
      <c r="P66" s="161">
        <f>J66-N66</f>
        <v>-5.1770000000000209</v>
      </c>
      <c r="Q66" s="161">
        <f>K66-O66</f>
        <v>-1.3205999999999989</v>
      </c>
      <c r="R66" s="244"/>
      <c r="S66" s="133"/>
      <c r="T66" s="154"/>
      <c r="U66" s="155"/>
      <c r="V66" s="156"/>
      <c r="W66" s="157"/>
      <c r="X66" s="96"/>
      <c r="Y66" s="154"/>
      <c r="Z66" s="158"/>
      <c r="AA66" s="158"/>
      <c r="AB66" s="180" t="s">
        <v>120</v>
      </c>
      <c r="AC66" s="156"/>
      <c r="AD66" s="158"/>
      <c r="AE66" s="158"/>
      <c r="AF66" s="180"/>
      <c r="AG66" s="156"/>
      <c r="AH66" s="158"/>
      <c r="AI66" s="158"/>
      <c r="AJ66" s="180"/>
      <c r="AK66" s="156"/>
      <c r="AL66" s="158"/>
      <c r="AM66" s="158"/>
      <c r="AN66" s="181"/>
      <c r="AO66" s="96"/>
    </row>
    <row r="67" spans="1:41" s="4" customFormat="1" ht="35.1" customHeight="1" x14ac:dyDescent="0.25">
      <c r="A67" s="96"/>
      <c r="B67" s="245">
        <f>B65+1</f>
        <v>34</v>
      </c>
      <c r="C67" s="122" t="s">
        <v>52</v>
      </c>
      <c r="D67" s="123" t="s">
        <v>53</v>
      </c>
      <c r="E67" s="123" t="s">
        <v>39</v>
      </c>
      <c r="F67" s="124">
        <v>0.97399999999999998</v>
      </c>
      <c r="G67" s="124">
        <v>0.216</v>
      </c>
      <c r="H67" s="125">
        <v>5</v>
      </c>
      <c r="I67" s="126">
        <v>6</v>
      </c>
      <c r="J67" s="127">
        <f>F67*H67*I67</f>
        <v>29.22</v>
      </c>
      <c r="K67" s="127">
        <f>G67*H67*I67</f>
        <v>6.48</v>
      </c>
      <c r="L67" s="193">
        <f>H67</f>
        <v>5</v>
      </c>
      <c r="M67" s="129">
        <f>I67</f>
        <v>6</v>
      </c>
      <c r="N67" s="186">
        <f>F67*L67*M67</f>
        <v>29.22</v>
      </c>
      <c r="O67" s="130">
        <f>G67*L67*M67</f>
        <v>6.48</v>
      </c>
      <c r="P67" s="131"/>
      <c r="Q67" s="131"/>
      <c r="R67" s="232" t="s">
        <v>33</v>
      </c>
      <c r="S67" s="133"/>
      <c r="T67" s="134">
        <f t="shared" ref="T67:U67" si="41">SUM(Y67,AC67,AG67,AK67)</f>
        <v>6</v>
      </c>
      <c r="U67" s="135">
        <f t="shared" si="41"/>
        <v>29.22</v>
      </c>
      <c r="V67" s="136">
        <f t="shared" ref="V67:W67" si="42">M67-T67</f>
        <v>0</v>
      </c>
      <c r="W67" s="137">
        <f t="shared" si="42"/>
        <v>0</v>
      </c>
      <c r="X67" s="96"/>
      <c r="Y67" s="134">
        <f>4+2</f>
        <v>6</v>
      </c>
      <c r="Z67" s="139">
        <f>$F67*$H67*Y67</f>
        <v>29.22</v>
      </c>
      <c r="AA67" s="139">
        <f>$G67*$H67*Y67</f>
        <v>6.48</v>
      </c>
      <c r="AB67" s="183" t="s">
        <v>33</v>
      </c>
      <c r="AC67" s="141"/>
      <c r="AD67" s="139">
        <f>$F67*$H67*AC67</f>
        <v>0</v>
      </c>
      <c r="AE67" s="139">
        <f>$G67*$H67*AC67</f>
        <v>0</v>
      </c>
      <c r="AF67" s="183"/>
      <c r="AG67" s="141"/>
      <c r="AH67" s="139">
        <f>$F67*$H67*AG67</f>
        <v>0</v>
      </c>
      <c r="AI67" s="139">
        <f>$G67*$H67*AG67</f>
        <v>0</v>
      </c>
      <c r="AJ67" s="183"/>
      <c r="AK67" s="141"/>
      <c r="AL67" s="139">
        <f>$F67*$H67*AK67</f>
        <v>0</v>
      </c>
      <c r="AM67" s="139">
        <f>$G67*$H67*AK67</f>
        <v>0</v>
      </c>
      <c r="AN67" s="184"/>
      <c r="AO67" s="96"/>
    </row>
    <row r="68" spans="1:41" ht="34.5" customHeight="1" thickBot="1" x14ac:dyDescent="0.3">
      <c r="B68" s="212"/>
      <c r="C68" s="213"/>
      <c r="D68" s="214"/>
      <c r="E68" s="214"/>
      <c r="F68" s="215"/>
      <c r="G68" s="215"/>
      <c r="H68" s="216"/>
      <c r="I68" s="217"/>
      <c r="J68" s="151">
        <f>SUM(J67:J67)</f>
        <v>29.22</v>
      </c>
      <c r="K68" s="151">
        <f>SUM(K67:K67)</f>
        <v>6.48</v>
      </c>
      <c r="L68" s="216"/>
      <c r="M68" s="217"/>
      <c r="N68" s="152">
        <f>SUM(N67:N67)</f>
        <v>29.22</v>
      </c>
      <c r="O68" s="151">
        <f>SUM(O67:O67)</f>
        <v>6.48</v>
      </c>
      <c r="P68" s="152">
        <f>J68-N68</f>
        <v>0</v>
      </c>
      <c r="Q68" s="152">
        <f>K68-O68</f>
        <v>0</v>
      </c>
      <c r="R68" s="234"/>
      <c r="S68" s="133"/>
      <c r="T68" s="154"/>
      <c r="U68" s="155"/>
      <c r="V68" s="156"/>
      <c r="W68" s="157"/>
      <c r="X68" s="96"/>
      <c r="Y68" s="154"/>
      <c r="Z68" s="158"/>
      <c r="AA68" s="158"/>
      <c r="AB68" s="159"/>
      <c r="AC68" s="156"/>
      <c r="AD68" s="158"/>
      <c r="AE68" s="158"/>
      <c r="AF68" s="159"/>
      <c r="AG68" s="156"/>
      <c r="AH68" s="158"/>
      <c r="AI68" s="158"/>
      <c r="AJ68" s="159"/>
      <c r="AK68" s="156"/>
      <c r="AL68" s="158"/>
      <c r="AM68" s="158"/>
      <c r="AN68" s="160"/>
      <c r="AO68" s="4"/>
    </row>
    <row r="69" spans="1:41" ht="34.5" customHeight="1" x14ac:dyDescent="0.25">
      <c r="B69" s="246">
        <f>B67+1</f>
        <v>35</v>
      </c>
      <c r="C69" s="236" t="s">
        <v>54</v>
      </c>
      <c r="D69" s="237" t="s">
        <v>55</v>
      </c>
      <c r="E69" s="237" t="s">
        <v>39</v>
      </c>
      <c r="F69" s="238">
        <v>1.2410000000000001</v>
      </c>
      <c r="G69" s="238">
        <v>0.32674979999999998</v>
      </c>
      <c r="H69" s="239">
        <v>5</v>
      </c>
      <c r="I69" s="240">
        <v>6</v>
      </c>
      <c r="J69" s="241">
        <f>F69*H69*I69</f>
        <v>37.230000000000004</v>
      </c>
      <c r="K69" s="241">
        <f>G69*H69*I69</f>
        <v>9.8024939999999994</v>
      </c>
      <c r="L69" s="193">
        <f>H69</f>
        <v>5</v>
      </c>
      <c r="M69" s="129">
        <f>I69</f>
        <v>6</v>
      </c>
      <c r="N69" s="186">
        <f>F69*L69*M69</f>
        <v>37.230000000000004</v>
      </c>
      <c r="O69" s="242">
        <f>G69*L69*M69</f>
        <v>9.8024939999999994</v>
      </c>
      <c r="P69" s="144"/>
      <c r="Q69" s="144"/>
      <c r="R69" s="243" t="s">
        <v>33</v>
      </c>
      <c r="S69" s="133"/>
      <c r="T69" s="134">
        <f t="shared" ref="T69:U69" si="43">SUM(Y69,AC69,AG69,AK69)</f>
        <v>6</v>
      </c>
      <c r="U69" s="135">
        <f t="shared" si="43"/>
        <v>37.230000000000004</v>
      </c>
      <c r="V69" s="136">
        <f t="shared" ref="V69:W69" si="44">M69-T69</f>
        <v>0</v>
      </c>
      <c r="W69" s="137">
        <f t="shared" si="44"/>
        <v>0</v>
      </c>
      <c r="X69" s="96"/>
      <c r="Y69" s="134">
        <f>5+1</f>
        <v>6</v>
      </c>
      <c r="Z69" s="139">
        <f>$F69*$H69*Y69</f>
        <v>37.230000000000004</v>
      </c>
      <c r="AA69" s="139">
        <f>$G69*$H69*Y69</f>
        <v>9.8024939999999994</v>
      </c>
      <c r="AB69" s="183" t="s">
        <v>33</v>
      </c>
      <c r="AC69" s="141"/>
      <c r="AD69" s="139">
        <f>$F69*$H69*AC69</f>
        <v>0</v>
      </c>
      <c r="AE69" s="139">
        <f>$G69*$H69*AC69</f>
        <v>0</v>
      </c>
      <c r="AF69" s="183"/>
      <c r="AG69" s="141"/>
      <c r="AH69" s="139">
        <f>$F69*$H69*AG69</f>
        <v>0</v>
      </c>
      <c r="AI69" s="139">
        <f>$G69*$H69*AG69</f>
        <v>0</v>
      </c>
      <c r="AJ69" s="183"/>
      <c r="AK69" s="141"/>
      <c r="AL69" s="139">
        <f>$F69*$H69*AK69</f>
        <v>0</v>
      </c>
      <c r="AM69" s="139">
        <f>$G69*$H69*AK69</f>
        <v>0</v>
      </c>
      <c r="AN69" s="184"/>
      <c r="AO69" s="4"/>
    </row>
    <row r="70" spans="1:41" ht="34.5" customHeight="1" thickBot="1" x14ac:dyDescent="0.3">
      <c r="B70" s="228"/>
      <c r="C70" s="199"/>
      <c r="D70" s="200"/>
      <c r="E70" s="200"/>
      <c r="F70" s="201"/>
      <c r="G70" s="201"/>
      <c r="H70" s="202"/>
      <c r="I70" s="203"/>
      <c r="J70" s="176">
        <f>SUM(J69:J69)</f>
        <v>37.230000000000004</v>
      </c>
      <c r="K70" s="176">
        <f>SUM(K69:K69)</f>
        <v>9.8024939999999994</v>
      </c>
      <c r="L70" s="202"/>
      <c r="M70" s="203"/>
      <c r="N70" s="161">
        <f>SUM(N69:N69)</f>
        <v>37.230000000000004</v>
      </c>
      <c r="O70" s="176">
        <f>SUM(O69:O69)</f>
        <v>9.8024939999999994</v>
      </c>
      <c r="P70" s="161">
        <f>J70-N70</f>
        <v>0</v>
      </c>
      <c r="Q70" s="161">
        <f>K70-O70</f>
        <v>0</v>
      </c>
      <c r="R70" s="244"/>
      <c r="S70" s="133"/>
      <c r="T70" s="154"/>
      <c r="U70" s="155"/>
      <c r="V70" s="156"/>
      <c r="W70" s="157"/>
      <c r="X70" s="96"/>
      <c r="Y70" s="154"/>
      <c r="Z70" s="158"/>
      <c r="AA70" s="158"/>
      <c r="AB70" s="159"/>
      <c r="AC70" s="156"/>
      <c r="AD70" s="158"/>
      <c r="AE70" s="158"/>
      <c r="AF70" s="159"/>
      <c r="AG70" s="156"/>
      <c r="AH70" s="158"/>
      <c r="AI70" s="158"/>
      <c r="AJ70" s="159"/>
      <c r="AK70" s="156"/>
      <c r="AL70" s="158"/>
      <c r="AM70" s="158"/>
      <c r="AN70" s="160"/>
      <c r="AO70" s="4"/>
    </row>
    <row r="71" spans="1:41" ht="34.5" customHeight="1" x14ac:dyDescent="0.25">
      <c r="C71" s="247"/>
      <c r="D71" s="248"/>
      <c r="E71" s="248"/>
      <c r="F71" s="249"/>
      <c r="G71" s="249"/>
      <c r="H71" s="133"/>
      <c r="I71" s="250"/>
      <c r="J71" s="251"/>
      <c r="K71" s="251"/>
      <c r="L71" s="133"/>
      <c r="M71" s="250"/>
      <c r="N71" s="252"/>
      <c r="O71" s="251"/>
      <c r="P71" s="252"/>
      <c r="Q71" s="252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4"/>
    </row>
    <row r="72" spans="1:41" ht="34.5" customHeight="1" x14ac:dyDescent="0.25">
      <c r="D72" s="248"/>
      <c r="E72" s="248"/>
      <c r="F72" s="249"/>
      <c r="H72" s="133"/>
      <c r="I72" s="252">
        <f>SUM(I19:I71)</f>
        <v>3569</v>
      </c>
      <c r="J72" s="252">
        <f>J18+J20+J22+J24+J26+J28+J31+J34+J37+J40+J44+J48+J52+J56+J60+J63+J66+J68+J70</f>
        <v>22567.005580000005</v>
      </c>
      <c r="K72" s="252">
        <f>K18+K20+K22+K24+K26+K28+K31+K34+K37+K40+K44+K48+K52+K56+K60+K63+K66+K68+K70</f>
        <v>5229.2107219999998</v>
      </c>
      <c r="L72" s="252"/>
      <c r="M72" s="252">
        <f>SUM(M19:M71)</f>
        <v>3619</v>
      </c>
      <c r="N72" s="252">
        <f>N18+N20+N22+N24+N26+N28+N31+N34+N37+N40+N44+N48+N52+N56+N60+N63+N66+N68+N70</f>
        <v>22934.009420000002</v>
      </c>
      <c r="O72" s="252">
        <f>O18+O20+O22+O24+O26+O28+O31+O34+O37+O40+O44+O48+O52+O56+O60+O63+O66+O68+O70</f>
        <v>5315.4740099999999</v>
      </c>
      <c r="P72" s="252">
        <f>P18+P20+P22+P24+P26+P28+P31+P34+P37+P40+P44+P48+P52+P56+P60+P63+P66+P68+P70</f>
        <v>-367.00383999999923</v>
      </c>
      <c r="Q72" s="252">
        <f>Q18+Q20+Q22+Q24+Q26+Q28+Q31+Q34+Q37+Q40+Q44+Q48+Q52+Q56+Q60+Q63+Q66+Q68+Q70</f>
        <v>-86.263288000000131</v>
      </c>
      <c r="R72" s="249"/>
      <c r="S72" s="250"/>
      <c r="T72" s="252">
        <f>SUM(T17:T71)</f>
        <v>1751</v>
      </c>
      <c r="U72" s="252">
        <f>SUM(U17:U71)</f>
        <v>8369.7065600000005</v>
      </c>
      <c r="V72" s="252">
        <f>SUM(V17:V71)</f>
        <v>2297</v>
      </c>
      <c r="W72" s="252">
        <f>SUM(W17:W71)</f>
        <v>14564.302860000003</v>
      </c>
      <c r="X72" s="96"/>
      <c r="Y72" s="252">
        <f>SUM(Y17:Y71)</f>
        <v>1751</v>
      </c>
      <c r="Z72" s="252">
        <f>SUM(Z17:Z71)</f>
        <v>8369.7065600000005</v>
      </c>
      <c r="AA72" s="252">
        <f>SUM(AA17:AA71)</f>
        <v>1931.1368659999996</v>
      </c>
      <c r="AB72" s="254"/>
      <c r="AC72" s="252">
        <f>SUM(AC17:AC71)</f>
        <v>0</v>
      </c>
      <c r="AD72" s="252">
        <f>SUM(AD17:AD71)</f>
        <v>0</v>
      </c>
      <c r="AE72" s="252">
        <f>SUM(AE17:AE71)</f>
        <v>0</v>
      </c>
      <c r="AF72" s="254"/>
      <c r="AG72" s="252">
        <f>SUM(AG17:AG71)</f>
        <v>0</v>
      </c>
      <c r="AH72" s="252">
        <f>SUM(AH17:AH71)</f>
        <v>0</v>
      </c>
      <c r="AI72" s="252">
        <f>SUM(AI17:AI71)</f>
        <v>0</v>
      </c>
      <c r="AJ72" s="254"/>
      <c r="AK72" s="252">
        <f>SUM(AK17:AK71)</f>
        <v>0</v>
      </c>
      <c r="AL72" s="252">
        <f>SUM(AL17:AL71)</f>
        <v>0</v>
      </c>
      <c r="AM72" s="252">
        <f>SUM(AM17:AM71)</f>
        <v>0</v>
      </c>
      <c r="AN72" s="254"/>
      <c r="AO72" s="4"/>
    </row>
    <row r="73" spans="1:41" ht="34.5" customHeight="1" x14ac:dyDescent="0.25">
      <c r="J73" s="255"/>
      <c r="M73" s="256">
        <f>M72-M23-M25-M67-M69</f>
        <v>3604</v>
      </c>
      <c r="N73" s="256">
        <f>N72-N23-N25-N61-N62-N64-N65-N67-N69</f>
        <v>22155.503240000005</v>
      </c>
      <c r="O73" s="256">
        <f>O72-O23-O25-O67-O69</f>
        <v>5299.1915160000008</v>
      </c>
      <c r="Q73" s="256"/>
      <c r="R73" s="256"/>
      <c r="X73" s="96"/>
      <c r="Z73" s="99">
        <f>Z72-Z23-Z25-Z67-Z69</f>
        <v>8285.4945800000023</v>
      </c>
      <c r="AO73" s="4"/>
    </row>
    <row r="74" spans="1:41" ht="34.5" customHeight="1" thickBot="1" x14ac:dyDescent="0.3">
      <c r="J74" s="257"/>
      <c r="K74" s="257"/>
      <c r="L74" s="257"/>
      <c r="M74" s="258" t="s">
        <v>56</v>
      </c>
      <c r="N74" s="259">
        <v>0</v>
      </c>
      <c r="O74" s="259">
        <v>0</v>
      </c>
      <c r="P74" s="260"/>
      <c r="Q74" s="260"/>
      <c r="X74" s="96"/>
      <c r="AN74" s="99"/>
      <c r="AO74" s="4"/>
    </row>
    <row r="75" spans="1:41" ht="34.5" customHeight="1" x14ac:dyDescent="0.25">
      <c r="M75" s="111" t="s">
        <v>22</v>
      </c>
      <c r="N75" s="252">
        <f>N72-N74</f>
        <v>22934.009420000002</v>
      </c>
      <c r="O75" s="252">
        <f>O72-O74</f>
        <v>5315.4740099999999</v>
      </c>
      <c r="P75" s="260"/>
      <c r="Q75" s="260"/>
      <c r="X75" s="96"/>
      <c r="AO75" s="4"/>
    </row>
    <row r="76" spans="1:41" ht="34.5" customHeight="1" x14ac:dyDescent="0.25">
      <c r="B76" s="106" t="s">
        <v>57</v>
      </c>
      <c r="M76" s="133"/>
      <c r="N76" s="133"/>
      <c r="X76" s="96"/>
      <c r="AO76" s="6"/>
    </row>
    <row r="77" spans="1:41" ht="34.5" customHeight="1" x14ac:dyDescent="0.25">
      <c r="B77" s="106" t="s">
        <v>58</v>
      </c>
      <c r="G77" s="264"/>
      <c r="N77" s="255"/>
      <c r="O77" s="255"/>
      <c r="X77" s="96"/>
      <c r="AO77" s="6"/>
    </row>
    <row r="78" spans="1:41" ht="39.75" customHeight="1" x14ac:dyDescent="0.25">
      <c r="I78" s="264"/>
      <c r="M78" s="264"/>
      <c r="N78" s="264"/>
      <c r="X78" s="96"/>
      <c r="AO78" s="4"/>
    </row>
    <row r="79" spans="1:41" ht="39.75" customHeight="1" x14ac:dyDescent="0.25">
      <c r="A79" s="265"/>
      <c r="I79" s="264"/>
      <c r="M79" s="264"/>
      <c r="N79" s="264"/>
      <c r="X79" s="96"/>
      <c r="AO79" s="4"/>
    </row>
    <row r="80" spans="1:41" ht="39.75" customHeight="1" x14ac:dyDescent="0.25">
      <c r="A80" s="265"/>
      <c r="F80" s="264"/>
      <c r="I80" s="264"/>
      <c r="J80" s="264"/>
      <c r="K80" s="264"/>
      <c r="M80" s="264"/>
      <c r="N80" s="264"/>
      <c r="O80" s="264"/>
      <c r="P80" s="264"/>
      <c r="Q80" s="264"/>
      <c r="R80" s="264"/>
      <c r="X80" s="96"/>
      <c r="AO80" s="4"/>
    </row>
    <row r="81" spans="1:41" ht="39.75" customHeight="1" x14ac:dyDescent="0.25">
      <c r="A81" s="265"/>
      <c r="F81" s="264"/>
      <c r="I81" s="264"/>
      <c r="J81" s="264"/>
      <c r="K81" s="264"/>
      <c r="M81" s="264"/>
      <c r="N81" s="264"/>
      <c r="O81" s="264"/>
      <c r="P81" s="264"/>
      <c r="Q81" s="264"/>
      <c r="R81" s="264"/>
      <c r="X81" s="96"/>
      <c r="AO81" s="4"/>
    </row>
    <row r="82" spans="1:41" ht="39.75" customHeight="1" x14ac:dyDescent="0.25">
      <c r="F82" s="264"/>
      <c r="I82" s="264"/>
      <c r="J82" s="264"/>
      <c r="K82" s="264"/>
      <c r="M82" s="264"/>
      <c r="N82" s="264"/>
      <c r="O82" s="264"/>
      <c r="P82" s="264"/>
      <c r="Q82" s="264"/>
      <c r="R82" s="264"/>
      <c r="X82" s="96"/>
      <c r="AO82" s="4"/>
    </row>
    <row r="83" spans="1:41" ht="39.75" customHeight="1" x14ac:dyDescent="0.25">
      <c r="X83" s="96"/>
      <c r="AO83" s="4"/>
    </row>
    <row r="84" spans="1:41" ht="39.75" customHeight="1" x14ac:dyDescent="0.25">
      <c r="X84" s="96"/>
      <c r="AO84" s="4"/>
    </row>
    <row r="85" spans="1:41" ht="39.75" customHeight="1" x14ac:dyDescent="0.25">
      <c r="X85" s="96"/>
      <c r="AO85" s="4"/>
    </row>
    <row r="86" spans="1:41" ht="39.75" customHeight="1" x14ac:dyDescent="0.25">
      <c r="X86" s="96"/>
      <c r="AO86" s="4"/>
    </row>
    <row r="87" spans="1:41" ht="39.75" customHeight="1" x14ac:dyDescent="0.25">
      <c r="X87" s="96"/>
      <c r="AO87" s="4"/>
    </row>
    <row r="88" spans="1:41" ht="39.75" customHeight="1" x14ac:dyDescent="0.25">
      <c r="X88" s="96"/>
      <c r="AO88" s="4"/>
    </row>
    <row r="89" spans="1:41" ht="39.75" customHeight="1" x14ac:dyDescent="0.25">
      <c r="X89" s="96"/>
      <c r="AO89" s="4"/>
    </row>
    <row r="90" spans="1:41" ht="39.75" customHeight="1" x14ac:dyDescent="0.25">
      <c r="X90" s="96"/>
      <c r="AO90" s="4"/>
    </row>
    <row r="91" spans="1:41" ht="39.75" customHeight="1" x14ac:dyDescent="0.25">
      <c r="X91" s="96"/>
      <c r="AO91" s="4"/>
    </row>
    <row r="92" spans="1:41" ht="39.75" customHeight="1" x14ac:dyDescent="0.25">
      <c r="X92" s="96"/>
      <c r="AO92" s="4"/>
    </row>
    <row r="93" spans="1:41" ht="39.75" customHeight="1" x14ac:dyDescent="0.25">
      <c r="X93" s="96"/>
      <c r="AO93" s="4"/>
    </row>
    <row r="94" spans="1:41" ht="39.75" customHeight="1" x14ac:dyDescent="0.25">
      <c r="X94" s="96"/>
      <c r="AO94" s="4"/>
    </row>
    <row r="95" spans="1:41" ht="39.75" customHeight="1" x14ac:dyDescent="0.25">
      <c r="X95" s="96"/>
      <c r="AO95" s="4"/>
    </row>
    <row r="96" spans="1:41" ht="39.75" customHeight="1" x14ac:dyDescent="0.25">
      <c r="X96" s="96"/>
      <c r="AO96" s="4"/>
    </row>
    <row r="97" spans="24:41" ht="39.75" customHeight="1" x14ac:dyDescent="0.25">
      <c r="X97" s="96"/>
      <c r="AO97" s="4"/>
    </row>
    <row r="98" spans="24:41" ht="39.75" customHeight="1" x14ac:dyDescent="0.25">
      <c r="X98" s="96"/>
      <c r="AO98" s="4"/>
    </row>
    <row r="99" spans="24:41" ht="39.75" customHeight="1" x14ac:dyDescent="0.25">
      <c r="X99" s="96"/>
      <c r="AO99" s="4"/>
    </row>
    <row r="100" spans="24:41" ht="39.75" customHeight="1" x14ac:dyDescent="0.25">
      <c r="X100" s="96"/>
      <c r="AO100" s="4"/>
    </row>
    <row r="101" spans="24:41" ht="39.75" customHeight="1" x14ac:dyDescent="0.25">
      <c r="X101" s="96"/>
      <c r="AO101" s="4"/>
    </row>
    <row r="102" spans="24:41" ht="39.75" customHeight="1" x14ac:dyDescent="0.25">
      <c r="X102" s="96"/>
      <c r="AO102" s="4"/>
    </row>
    <row r="103" spans="24:41" ht="39.75" customHeight="1" x14ac:dyDescent="0.25">
      <c r="X103" s="96"/>
      <c r="AO103" s="4"/>
    </row>
    <row r="104" spans="24:41" ht="39.75" customHeight="1" x14ac:dyDescent="0.25">
      <c r="X104" s="96"/>
      <c r="AO104" s="4"/>
    </row>
    <row r="105" spans="24:41" ht="39.75" customHeight="1" x14ac:dyDescent="0.25">
      <c r="X105" s="96"/>
      <c r="AO105" s="4"/>
    </row>
    <row r="106" spans="24:41" ht="39.75" customHeight="1" x14ac:dyDescent="0.25">
      <c r="X106" s="96"/>
      <c r="AO106" s="4"/>
    </row>
    <row r="107" spans="24:41" ht="39.75" customHeight="1" x14ac:dyDescent="0.25">
      <c r="X107" s="96"/>
      <c r="AO107" s="4"/>
    </row>
    <row r="108" spans="24:41" ht="39.75" customHeight="1" x14ac:dyDescent="0.25">
      <c r="X108" s="96"/>
      <c r="AO108" s="4"/>
    </row>
    <row r="109" spans="24:41" ht="39.75" customHeight="1" x14ac:dyDescent="0.25">
      <c r="X109" s="96"/>
      <c r="AO109" s="4"/>
    </row>
    <row r="110" spans="24:41" ht="39.75" customHeight="1" x14ac:dyDescent="0.25">
      <c r="X110" s="96"/>
      <c r="AO110" s="4"/>
    </row>
    <row r="111" spans="24:41" ht="18" customHeight="1" x14ac:dyDescent="0.25">
      <c r="X111" s="96"/>
      <c r="AO111" s="4"/>
    </row>
    <row r="112" spans="24:41" ht="34.5" customHeight="1" x14ac:dyDescent="0.25">
      <c r="X112" s="96"/>
      <c r="AO112" s="4"/>
    </row>
    <row r="113" spans="7:41" ht="34.5" customHeight="1" x14ac:dyDescent="0.25">
      <c r="X113" s="96"/>
      <c r="AO113" s="4"/>
    </row>
    <row r="114" spans="7:41" ht="34.5" customHeight="1" x14ac:dyDescent="0.25">
      <c r="X114" s="96"/>
      <c r="AO114" s="4"/>
    </row>
    <row r="115" spans="7:41" ht="34.5" customHeight="1" x14ac:dyDescent="0.25">
      <c r="X115" s="96"/>
      <c r="AO115" s="4"/>
    </row>
    <row r="116" spans="7:41" ht="34.5" customHeight="1" x14ac:dyDescent="0.25">
      <c r="X116" s="96"/>
      <c r="AO116" s="4"/>
    </row>
    <row r="117" spans="7:41" ht="34.5" customHeight="1" x14ac:dyDescent="0.25">
      <c r="X117" s="96"/>
      <c r="AO117" s="4"/>
    </row>
    <row r="118" spans="7:41" ht="34.5" customHeight="1" x14ac:dyDescent="0.25">
      <c r="X118" s="96"/>
      <c r="AO118" s="4"/>
    </row>
    <row r="119" spans="7:41" ht="34.5" customHeight="1" x14ac:dyDescent="0.25">
      <c r="X119" s="96"/>
      <c r="AO119" s="4"/>
    </row>
    <row r="120" spans="7:41" ht="34.5" customHeight="1" x14ac:dyDescent="0.25">
      <c r="X120" s="96"/>
      <c r="AO120" s="4"/>
    </row>
    <row r="121" spans="7:41" ht="34.5" customHeight="1" x14ac:dyDescent="0.25">
      <c r="G121" s="111"/>
      <c r="H121" s="97"/>
      <c r="L121" s="97"/>
      <c r="S121" s="266"/>
      <c r="T121" s="266"/>
      <c r="U121" s="266"/>
      <c r="V121" s="266"/>
      <c r="W121" s="266"/>
      <c r="X121" s="96"/>
      <c r="Y121" s="266"/>
      <c r="Z121" s="266"/>
      <c r="AA121" s="266"/>
      <c r="AB121" s="267"/>
      <c r="AC121" s="266"/>
      <c r="AD121" s="266"/>
      <c r="AE121" s="266"/>
      <c r="AF121" s="267"/>
      <c r="AG121" s="266"/>
      <c r="AH121" s="266"/>
      <c r="AI121" s="266"/>
      <c r="AJ121" s="267"/>
      <c r="AK121" s="266"/>
      <c r="AL121" s="266"/>
      <c r="AM121" s="266"/>
      <c r="AN121" s="267"/>
      <c r="AO121" s="4"/>
    </row>
    <row r="122" spans="7:41" ht="34.5" customHeight="1" x14ac:dyDescent="0.25">
      <c r="S122" s="268"/>
      <c r="T122" s="268"/>
      <c r="U122" s="268"/>
      <c r="V122" s="268"/>
      <c r="W122" s="268"/>
      <c r="X122" s="96"/>
      <c r="Y122" s="268"/>
      <c r="Z122" s="268"/>
      <c r="AA122" s="268"/>
      <c r="AB122" s="269"/>
      <c r="AC122" s="268"/>
      <c r="AD122" s="268"/>
      <c r="AE122" s="268"/>
      <c r="AF122" s="269"/>
      <c r="AG122" s="268"/>
      <c r="AH122" s="268"/>
      <c r="AI122" s="268"/>
      <c r="AJ122" s="269"/>
      <c r="AK122" s="268"/>
      <c r="AL122" s="268"/>
      <c r="AM122" s="268"/>
      <c r="AN122" s="269"/>
      <c r="AO122" s="4"/>
    </row>
    <row r="123" spans="7:41" ht="34.5" customHeight="1" x14ac:dyDescent="0.25">
      <c r="S123" s="270"/>
      <c r="T123" s="270"/>
      <c r="U123" s="270"/>
      <c r="V123" s="270"/>
      <c r="W123" s="270"/>
      <c r="X123" s="96"/>
      <c r="Y123" s="270"/>
      <c r="Z123" s="270"/>
      <c r="AA123" s="270"/>
      <c r="AB123" s="271"/>
      <c r="AC123" s="270"/>
      <c r="AD123" s="270"/>
      <c r="AE123" s="270"/>
      <c r="AF123" s="271"/>
      <c r="AG123" s="270"/>
      <c r="AH123" s="270"/>
      <c r="AI123" s="270"/>
      <c r="AJ123" s="271"/>
      <c r="AK123" s="270"/>
      <c r="AL123" s="270"/>
      <c r="AM123" s="270"/>
      <c r="AN123" s="271"/>
      <c r="AO123" s="4"/>
    </row>
    <row r="124" spans="7:41" ht="34.5" customHeight="1" x14ac:dyDescent="0.25">
      <c r="S124" s="270"/>
      <c r="T124" s="270"/>
      <c r="U124" s="270"/>
      <c r="V124" s="270"/>
      <c r="W124" s="270"/>
      <c r="X124" s="96"/>
      <c r="Y124" s="270"/>
      <c r="Z124" s="270"/>
      <c r="AA124" s="270"/>
      <c r="AB124" s="271"/>
      <c r="AC124" s="270"/>
      <c r="AD124" s="270"/>
      <c r="AE124" s="270"/>
      <c r="AF124" s="271"/>
      <c r="AG124" s="270"/>
      <c r="AH124" s="270"/>
      <c r="AI124" s="270"/>
      <c r="AJ124" s="271"/>
      <c r="AK124" s="270"/>
      <c r="AL124" s="270"/>
      <c r="AM124" s="270"/>
      <c r="AN124" s="271"/>
      <c r="AO124" s="4"/>
    </row>
    <row r="125" spans="7:41" ht="34.5" customHeight="1" x14ac:dyDescent="0.25">
      <c r="S125" s="270"/>
      <c r="T125" s="270"/>
      <c r="U125" s="270"/>
      <c r="V125" s="270"/>
      <c r="W125" s="270"/>
      <c r="X125" s="96"/>
      <c r="Y125" s="270"/>
      <c r="Z125" s="270"/>
      <c r="AA125" s="270"/>
      <c r="AB125" s="271"/>
      <c r="AC125" s="270"/>
      <c r="AD125" s="270"/>
      <c r="AE125" s="270"/>
      <c r="AF125" s="271"/>
      <c r="AG125" s="270"/>
      <c r="AH125" s="270"/>
      <c r="AI125" s="270"/>
      <c r="AJ125" s="271"/>
      <c r="AK125" s="270"/>
      <c r="AL125" s="270"/>
      <c r="AM125" s="270"/>
      <c r="AN125" s="271"/>
      <c r="AO125" s="4"/>
    </row>
    <row r="126" spans="7:41" ht="34.5" customHeight="1" x14ac:dyDescent="0.25">
      <c r="X126" s="96"/>
      <c r="AO126" s="4"/>
    </row>
    <row r="127" spans="7:41" ht="34.5" customHeight="1" x14ac:dyDescent="0.25">
      <c r="X127" s="96"/>
      <c r="AO127" s="4"/>
    </row>
    <row r="128" spans="7:41" ht="34.5" customHeight="1" x14ac:dyDescent="0.25">
      <c r="G128" s="111"/>
      <c r="X128" s="96"/>
      <c r="AO128" s="4"/>
    </row>
    <row r="129" spans="2:41" ht="34.5" customHeight="1" x14ac:dyDescent="0.25">
      <c r="G129" s="111"/>
      <c r="X129" s="96"/>
      <c r="AO129" s="4"/>
    </row>
    <row r="130" spans="2:41" ht="34.5" customHeight="1" x14ac:dyDescent="0.25">
      <c r="G130" s="111"/>
      <c r="H130" s="97"/>
      <c r="L130" s="97"/>
      <c r="X130" s="96"/>
      <c r="AO130" s="4"/>
    </row>
    <row r="131" spans="2:41" ht="9.75" customHeight="1" x14ac:dyDescent="0.25">
      <c r="C131" s="111"/>
      <c r="F131" s="111"/>
      <c r="G131" s="111"/>
      <c r="H131" s="97"/>
      <c r="I131" s="111"/>
      <c r="J131" s="111"/>
      <c r="K131" s="111"/>
      <c r="L131" s="97"/>
      <c r="M131" s="111"/>
      <c r="N131" s="111"/>
      <c r="O131" s="111"/>
      <c r="P131" s="111"/>
      <c r="Q131" s="111"/>
      <c r="R131" s="111"/>
      <c r="X131" s="96"/>
      <c r="AO131" s="4"/>
    </row>
    <row r="132" spans="2:41" ht="34.5" customHeight="1" x14ac:dyDescent="0.25">
      <c r="C132" s="111"/>
      <c r="G132" s="111"/>
      <c r="H132" s="97"/>
      <c r="L132" s="97"/>
      <c r="X132" s="96"/>
      <c r="AO132" s="4"/>
    </row>
    <row r="133" spans="2:41" ht="34.5" customHeight="1" x14ac:dyDescent="0.25">
      <c r="G133" s="111"/>
      <c r="H133" s="97"/>
      <c r="L133" s="97"/>
      <c r="X133" s="96"/>
      <c r="AO133" s="4"/>
    </row>
    <row r="134" spans="2:41" ht="34.5" customHeight="1" x14ac:dyDescent="0.25">
      <c r="G134" s="111"/>
      <c r="H134" s="97"/>
      <c r="L134" s="97"/>
      <c r="X134" s="96"/>
      <c r="AO134" s="4"/>
    </row>
    <row r="135" spans="2:41" ht="34.5" customHeight="1" x14ac:dyDescent="0.25">
      <c r="G135" s="111"/>
      <c r="H135" s="97"/>
      <c r="L135" s="97"/>
      <c r="X135" s="96"/>
      <c r="AO135" s="4"/>
    </row>
    <row r="136" spans="2:41" ht="34.5" customHeight="1" x14ac:dyDescent="0.25">
      <c r="G136" s="111"/>
      <c r="H136" s="97"/>
      <c r="L136" s="97"/>
      <c r="X136" s="96"/>
      <c r="AO136" s="4"/>
    </row>
    <row r="137" spans="2:41" ht="34.5" customHeight="1" x14ac:dyDescent="0.25">
      <c r="G137" s="111"/>
      <c r="H137" s="97"/>
      <c r="L137" s="97"/>
      <c r="X137" s="96"/>
      <c r="AO137" s="4"/>
    </row>
    <row r="138" spans="2:41" ht="34.5" customHeight="1" x14ac:dyDescent="0.25">
      <c r="F138" s="111"/>
      <c r="G138" s="111"/>
      <c r="H138" s="97"/>
      <c r="I138" s="111"/>
      <c r="J138" s="111"/>
      <c r="K138" s="111"/>
      <c r="L138" s="97"/>
      <c r="M138" s="111"/>
      <c r="N138" s="111"/>
      <c r="O138" s="111"/>
      <c r="P138" s="111"/>
      <c r="Q138" s="111"/>
      <c r="R138" s="111"/>
      <c r="X138" s="96"/>
      <c r="AO138" s="4"/>
    </row>
    <row r="139" spans="2:41" ht="34.5" customHeight="1" x14ac:dyDescent="0.25">
      <c r="F139" s="111"/>
      <c r="I139" s="111"/>
      <c r="J139" s="111"/>
      <c r="K139" s="111"/>
      <c r="M139" s="111"/>
      <c r="N139" s="111"/>
      <c r="O139" s="111"/>
      <c r="P139" s="111"/>
      <c r="Q139" s="111"/>
      <c r="R139" s="111"/>
      <c r="X139" s="96"/>
      <c r="AO139" s="4"/>
    </row>
    <row r="140" spans="2:41" ht="18" customHeight="1" x14ac:dyDescent="0.25">
      <c r="F140" s="111"/>
      <c r="I140" s="111"/>
      <c r="J140" s="111"/>
      <c r="K140" s="111"/>
      <c r="M140" s="111"/>
      <c r="N140" s="111"/>
      <c r="O140" s="111"/>
      <c r="P140" s="111"/>
      <c r="Q140" s="111"/>
      <c r="R140" s="111"/>
      <c r="X140" s="96"/>
      <c r="AO140" s="4"/>
    </row>
    <row r="141" spans="2:41" ht="18" customHeight="1" x14ac:dyDescent="0.25">
      <c r="F141" s="111"/>
      <c r="I141" s="111"/>
      <c r="J141" s="111"/>
      <c r="K141" s="111"/>
      <c r="M141" s="111"/>
      <c r="N141" s="111"/>
      <c r="O141" s="111"/>
      <c r="P141" s="111"/>
      <c r="Q141" s="111"/>
      <c r="R141" s="111"/>
      <c r="X141" s="96"/>
      <c r="AO141" s="5"/>
    </row>
    <row r="142" spans="2:41" ht="18" customHeight="1" x14ac:dyDescent="0.25"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96"/>
      <c r="Y142" s="111"/>
      <c r="Z142" s="111"/>
      <c r="AA142" s="111"/>
      <c r="AB142" s="272"/>
      <c r="AC142" s="111"/>
      <c r="AD142" s="111"/>
      <c r="AE142" s="111"/>
      <c r="AF142" s="272"/>
      <c r="AG142" s="111"/>
      <c r="AH142" s="111"/>
      <c r="AI142" s="111"/>
      <c r="AJ142" s="272"/>
      <c r="AK142" s="111"/>
      <c r="AL142" s="111"/>
      <c r="AM142" s="111"/>
      <c r="AN142" s="272"/>
      <c r="AO142" s="5"/>
    </row>
    <row r="143" spans="2:41" ht="18" customHeight="1" x14ac:dyDescent="0.25">
      <c r="B143" s="111"/>
      <c r="C143" s="111"/>
      <c r="D143" s="111"/>
      <c r="E143" s="111"/>
      <c r="F143" s="111"/>
      <c r="G143" s="111"/>
      <c r="H143" s="104"/>
      <c r="I143" s="111"/>
      <c r="J143" s="111"/>
      <c r="K143" s="111"/>
      <c r="L143" s="104"/>
      <c r="M143" s="111"/>
      <c r="N143" s="111"/>
      <c r="O143" s="111"/>
      <c r="P143" s="111"/>
      <c r="Q143" s="111"/>
      <c r="R143" s="111"/>
      <c r="S143" s="273"/>
      <c r="T143" s="273"/>
      <c r="U143" s="273"/>
      <c r="V143" s="273"/>
      <c r="W143" s="273"/>
      <c r="X143" s="96"/>
      <c r="Y143" s="273"/>
      <c r="Z143" s="273"/>
      <c r="AA143" s="273"/>
      <c r="AB143" s="274"/>
      <c r="AC143" s="273"/>
      <c r="AD143" s="273"/>
      <c r="AE143" s="273"/>
      <c r="AF143" s="274"/>
      <c r="AG143" s="273"/>
      <c r="AH143" s="273"/>
      <c r="AI143" s="273"/>
      <c r="AJ143" s="274"/>
      <c r="AK143" s="273"/>
      <c r="AL143" s="273"/>
      <c r="AM143" s="273"/>
      <c r="AN143" s="274"/>
      <c r="AO143" s="5"/>
    </row>
    <row r="144" spans="2:41" ht="18" customHeight="1" x14ac:dyDescent="0.25">
      <c r="B144" s="111"/>
      <c r="C144" s="111"/>
      <c r="D144" s="111"/>
      <c r="E144" s="111"/>
      <c r="F144" s="111"/>
      <c r="G144" s="111"/>
      <c r="H144" s="104"/>
      <c r="I144" s="111"/>
      <c r="J144" s="111"/>
      <c r="K144" s="111"/>
      <c r="L144" s="104"/>
      <c r="M144" s="111"/>
      <c r="N144" s="111"/>
      <c r="O144" s="111"/>
      <c r="P144" s="111"/>
      <c r="Q144" s="111"/>
      <c r="R144" s="111"/>
      <c r="S144" s="273"/>
      <c r="T144" s="273"/>
      <c r="U144" s="273"/>
      <c r="V144" s="273"/>
      <c r="W144" s="273"/>
      <c r="X144" s="96"/>
      <c r="Y144" s="273"/>
      <c r="Z144" s="273"/>
      <c r="AA144" s="273"/>
      <c r="AB144" s="274"/>
      <c r="AC144" s="273"/>
      <c r="AD144" s="273"/>
      <c r="AE144" s="273"/>
      <c r="AF144" s="274"/>
      <c r="AG144" s="273"/>
      <c r="AH144" s="273"/>
      <c r="AI144" s="273"/>
      <c r="AJ144" s="274"/>
      <c r="AK144" s="273"/>
      <c r="AL144" s="273"/>
      <c r="AM144" s="273"/>
      <c r="AN144" s="274"/>
      <c r="AO144" s="4"/>
    </row>
    <row r="145" spans="3:41" ht="18" customHeight="1" x14ac:dyDescent="0.25">
      <c r="F145" s="111"/>
      <c r="I145" s="111"/>
      <c r="J145" s="111"/>
      <c r="K145" s="111"/>
      <c r="M145" s="111"/>
      <c r="N145" s="111"/>
      <c r="O145" s="111"/>
      <c r="P145" s="111"/>
      <c r="Q145" s="111"/>
      <c r="R145" s="111"/>
      <c r="X145" s="96"/>
      <c r="AO145" s="4"/>
    </row>
    <row r="146" spans="3:41" ht="18" customHeight="1" x14ac:dyDescent="0.25">
      <c r="C146" s="111"/>
      <c r="D146" s="250"/>
      <c r="E146" s="250"/>
      <c r="F146" s="111"/>
      <c r="G146" s="249"/>
      <c r="H146" s="133"/>
      <c r="I146" s="111"/>
      <c r="J146" s="111"/>
      <c r="K146" s="111"/>
      <c r="L146" s="133"/>
      <c r="M146" s="111"/>
      <c r="N146" s="111"/>
      <c r="O146" s="111"/>
      <c r="P146" s="111"/>
      <c r="Q146" s="111"/>
      <c r="R146" s="111"/>
      <c r="S146" s="275"/>
      <c r="T146" s="275"/>
      <c r="U146" s="275"/>
      <c r="V146" s="275"/>
      <c r="W146" s="275"/>
      <c r="X146" s="96"/>
      <c r="Y146" s="275"/>
      <c r="Z146" s="275"/>
      <c r="AA146" s="275"/>
      <c r="AB146" s="276"/>
      <c r="AC146" s="275"/>
      <c r="AD146" s="275"/>
      <c r="AE146" s="275"/>
      <c r="AF146" s="276"/>
      <c r="AG146" s="275"/>
      <c r="AH146" s="275"/>
      <c r="AI146" s="275"/>
      <c r="AJ146" s="276"/>
      <c r="AK146" s="275"/>
      <c r="AL146" s="275"/>
      <c r="AM146" s="275"/>
      <c r="AN146" s="276"/>
      <c r="AO146" s="4"/>
    </row>
    <row r="147" spans="3:41" ht="18" customHeight="1" x14ac:dyDescent="0.25">
      <c r="C147" s="111"/>
      <c r="D147" s="250"/>
      <c r="E147" s="250"/>
      <c r="F147" s="111"/>
      <c r="G147" s="249"/>
      <c r="H147" s="133"/>
      <c r="I147" s="111"/>
      <c r="J147" s="111"/>
      <c r="K147" s="111"/>
      <c r="L147" s="133"/>
      <c r="M147" s="111"/>
      <c r="N147" s="111"/>
      <c r="O147" s="111"/>
      <c r="P147" s="111"/>
      <c r="Q147" s="111"/>
      <c r="R147" s="111"/>
      <c r="S147" s="275"/>
      <c r="T147" s="275"/>
      <c r="U147" s="275"/>
      <c r="V147" s="275"/>
      <c r="W147" s="275"/>
      <c r="X147" s="96"/>
      <c r="Y147" s="275"/>
      <c r="Z147" s="275"/>
      <c r="AA147" s="275"/>
      <c r="AB147" s="276"/>
      <c r="AC147" s="275"/>
      <c r="AD147" s="275"/>
      <c r="AE147" s="275"/>
      <c r="AF147" s="276"/>
      <c r="AG147" s="275"/>
      <c r="AH147" s="275"/>
      <c r="AI147" s="275"/>
      <c r="AJ147" s="276"/>
      <c r="AK147" s="275"/>
      <c r="AL147" s="275"/>
      <c r="AM147" s="275"/>
      <c r="AN147" s="276"/>
      <c r="AO147" s="4"/>
    </row>
    <row r="148" spans="3:41" ht="18" customHeight="1" x14ac:dyDescent="0.25">
      <c r="C148" s="111"/>
      <c r="D148" s="250"/>
      <c r="E148" s="250"/>
      <c r="F148" s="111"/>
      <c r="G148" s="249"/>
      <c r="H148" s="133"/>
      <c r="I148" s="111"/>
      <c r="J148" s="111"/>
      <c r="K148" s="111"/>
      <c r="L148" s="133"/>
      <c r="M148" s="111"/>
      <c r="N148" s="111"/>
      <c r="O148" s="111"/>
      <c r="P148" s="111"/>
      <c r="Q148" s="111"/>
      <c r="R148" s="111"/>
      <c r="S148" s="275"/>
      <c r="T148" s="275"/>
      <c r="U148" s="275"/>
      <c r="V148" s="275"/>
      <c r="W148" s="275"/>
      <c r="X148" s="96"/>
      <c r="Y148" s="275"/>
      <c r="Z148" s="275"/>
      <c r="AA148" s="275"/>
      <c r="AB148" s="276"/>
      <c r="AC148" s="275"/>
      <c r="AD148" s="275"/>
      <c r="AE148" s="275"/>
      <c r="AF148" s="276"/>
      <c r="AG148" s="275"/>
      <c r="AH148" s="275"/>
      <c r="AI148" s="275"/>
      <c r="AJ148" s="276"/>
      <c r="AK148" s="275"/>
      <c r="AL148" s="275"/>
      <c r="AM148" s="275"/>
      <c r="AN148" s="276"/>
      <c r="AO148" s="4"/>
    </row>
    <row r="149" spans="3:41" ht="18" customHeight="1" x14ac:dyDescent="0.25">
      <c r="C149" s="111"/>
      <c r="G149" s="249"/>
      <c r="H149" s="133"/>
      <c r="L149" s="133"/>
      <c r="S149" s="275"/>
      <c r="T149" s="275"/>
      <c r="U149" s="275"/>
      <c r="V149" s="275"/>
      <c r="W149" s="275"/>
      <c r="X149" s="96"/>
      <c r="Y149" s="275"/>
      <c r="Z149" s="275"/>
      <c r="AA149" s="275"/>
      <c r="AB149" s="276"/>
      <c r="AC149" s="275"/>
      <c r="AD149" s="275"/>
      <c r="AE149" s="275"/>
      <c r="AF149" s="276"/>
      <c r="AG149" s="275"/>
      <c r="AH149" s="275"/>
      <c r="AI149" s="275"/>
      <c r="AJ149" s="276"/>
      <c r="AK149" s="275"/>
      <c r="AL149" s="275"/>
      <c r="AM149" s="275"/>
      <c r="AN149" s="276"/>
      <c r="AO149" s="4"/>
    </row>
    <row r="150" spans="3:41" ht="18" customHeight="1" x14ac:dyDescent="0.25">
      <c r="C150" s="111"/>
      <c r="G150" s="249"/>
      <c r="H150" s="133"/>
      <c r="L150" s="133"/>
      <c r="S150" s="275"/>
      <c r="T150" s="275"/>
      <c r="U150" s="275"/>
      <c r="V150" s="275"/>
      <c r="W150" s="275"/>
      <c r="X150" s="96"/>
      <c r="Y150" s="275"/>
      <c r="Z150" s="275"/>
      <c r="AA150" s="275"/>
      <c r="AB150" s="276"/>
      <c r="AC150" s="275"/>
      <c r="AD150" s="275"/>
      <c r="AE150" s="275"/>
      <c r="AF150" s="276"/>
      <c r="AG150" s="275"/>
      <c r="AH150" s="275"/>
      <c r="AI150" s="275"/>
      <c r="AJ150" s="276"/>
      <c r="AK150" s="275"/>
      <c r="AL150" s="275"/>
      <c r="AM150" s="275"/>
      <c r="AN150" s="276"/>
      <c r="AO150" s="4"/>
    </row>
    <row r="151" spans="3:41" ht="18" customHeight="1" x14ac:dyDescent="0.25">
      <c r="C151" s="111"/>
      <c r="G151" s="249"/>
      <c r="H151" s="133"/>
      <c r="L151" s="133"/>
      <c r="S151" s="275"/>
      <c r="T151" s="275"/>
      <c r="U151" s="275"/>
      <c r="V151" s="275"/>
      <c r="W151" s="275"/>
      <c r="X151" s="96"/>
      <c r="Y151" s="275"/>
      <c r="Z151" s="275"/>
      <c r="AA151" s="275"/>
      <c r="AB151" s="276"/>
      <c r="AC151" s="275"/>
      <c r="AD151" s="275"/>
      <c r="AE151" s="275"/>
      <c r="AF151" s="276"/>
      <c r="AG151" s="275"/>
      <c r="AH151" s="275"/>
      <c r="AI151" s="275"/>
      <c r="AJ151" s="276"/>
      <c r="AK151" s="275"/>
      <c r="AL151" s="275"/>
      <c r="AM151" s="275"/>
      <c r="AN151" s="276"/>
      <c r="AO151" s="4"/>
    </row>
    <row r="152" spans="3:41" ht="18" customHeight="1" x14ac:dyDescent="0.25">
      <c r="C152" s="111"/>
      <c r="F152" s="111"/>
      <c r="G152" s="249"/>
      <c r="H152" s="133"/>
      <c r="I152" s="111"/>
      <c r="J152" s="111"/>
      <c r="K152" s="111"/>
      <c r="L152" s="133"/>
      <c r="M152" s="111"/>
      <c r="N152" s="111"/>
      <c r="O152" s="111"/>
      <c r="P152" s="111"/>
      <c r="Q152" s="111"/>
      <c r="R152" s="111"/>
      <c r="S152" s="275"/>
      <c r="T152" s="275"/>
      <c r="U152" s="275"/>
      <c r="V152" s="275"/>
      <c r="W152" s="275"/>
      <c r="X152" s="96"/>
      <c r="Y152" s="275"/>
      <c r="Z152" s="275"/>
      <c r="AA152" s="275"/>
      <c r="AB152" s="276"/>
      <c r="AC152" s="275"/>
      <c r="AD152" s="275"/>
      <c r="AE152" s="275"/>
      <c r="AF152" s="276"/>
      <c r="AG152" s="275"/>
      <c r="AH152" s="275"/>
      <c r="AI152" s="275"/>
      <c r="AJ152" s="276"/>
      <c r="AK152" s="275"/>
      <c r="AL152" s="275"/>
      <c r="AM152" s="275"/>
      <c r="AN152" s="276"/>
      <c r="AO152" s="4"/>
    </row>
    <row r="153" spans="3:41" ht="18" customHeight="1" x14ac:dyDescent="0.25">
      <c r="C153" s="111"/>
      <c r="F153" s="111"/>
      <c r="G153" s="249"/>
      <c r="H153" s="133"/>
      <c r="I153" s="111"/>
      <c r="J153" s="111"/>
      <c r="K153" s="111"/>
      <c r="L153" s="133"/>
      <c r="M153" s="111"/>
      <c r="N153" s="111"/>
      <c r="O153" s="111"/>
      <c r="P153" s="111"/>
      <c r="Q153" s="111"/>
      <c r="R153" s="111"/>
      <c r="S153" s="275"/>
      <c r="T153" s="275"/>
      <c r="U153" s="275"/>
      <c r="V153" s="275"/>
      <c r="W153" s="275"/>
      <c r="X153" s="96"/>
      <c r="Y153" s="275"/>
      <c r="Z153" s="275"/>
      <c r="AA153" s="275"/>
      <c r="AB153" s="276"/>
      <c r="AC153" s="275"/>
      <c r="AD153" s="275"/>
      <c r="AE153" s="275"/>
      <c r="AF153" s="276"/>
      <c r="AG153" s="275"/>
      <c r="AH153" s="275"/>
      <c r="AI153" s="275"/>
      <c r="AJ153" s="276"/>
      <c r="AK153" s="275"/>
      <c r="AL153" s="275"/>
      <c r="AM153" s="275"/>
      <c r="AN153" s="276"/>
      <c r="AO153" s="4"/>
    </row>
    <row r="154" spans="3:41" ht="18" customHeight="1" x14ac:dyDescent="0.25">
      <c r="F154" s="111"/>
      <c r="I154" s="111"/>
      <c r="J154" s="111"/>
      <c r="K154" s="111"/>
      <c r="M154" s="111"/>
      <c r="N154" s="111"/>
      <c r="O154" s="111"/>
      <c r="P154" s="111"/>
      <c r="Q154" s="111"/>
      <c r="R154" s="111"/>
      <c r="X154" s="96"/>
      <c r="AO154" s="4"/>
    </row>
    <row r="155" spans="3:41" ht="18" customHeight="1" x14ac:dyDescent="0.25">
      <c r="X155" s="96"/>
      <c r="AO155" s="4"/>
    </row>
    <row r="156" spans="3:41" ht="18" customHeight="1" x14ac:dyDescent="0.25">
      <c r="F156" s="249"/>
      <c r="I156" s="249"/>
      <c r="J156" s="249"/>
      <c r="K156" s="249"/>
      <c r="M156" s="249"/>
      <c r="N156" s="249"/>
      <c r="O156" s="249"/>
      <c r="P156" s="249"/>
      <c r="Q156" s="249"/>
      <c r="R156" s="249"/>
      <c r="X156" s="96"/>
      <c r="AO156" s="4"/>
    </row>
    <row r="157" spans="3:41" ht="18" customHeight="1" x14ac:dyDescent="0.25">
      <c r="F157" s="249"/>
      <c r="I157" s="249"/>
      <c r="J157" s="249"/>
      <c r="K157" s="249"/>
      <c r="M157" s="249"/>
      <c r="N157" s="249"/>
      <c r="O157" s="249"/>
      <c r="P157" s="249"/>
      <c r="Q157" s="249"/>
      <c r="R157" s="249"/>
      <c r="X157" s="96"/>
      <c r="AO157" s="4"/>
    </row>
    <row r="158" spans="3:41" ht="18" customHeight="1" x14ac:dyDescent="0.25">
      <c r="F158" s="249"/>
      <c r="I158" s="249"/>
      <c r="J158" s="249"/>
      <c r="K158" s="249"/>
      <c r="M158" s="249"/>
      <c r="N158" s="249"/>
      <c r="O158" s="249"/>
      <c r="P158" s="249"/>
      <c r="Q158" s="249"/>
      <c r="R158" s="249"/>
      <c r="X158" s="96"/>
      <c r="AO158" s="4"/>
    </row>
    <row r="159" spans="3:41" ht="18" customHeight="1" x14ac:dyDescent="0.25">
      <c r="F159" s="249"/>
      <c r="I159" s="249"/>
      <c r="J159" s="249"/>
      <c r="K159" s="249"/>
      <c r="M159" s="249"/>
      <c r="N159" s="249"/>
      <c r="O159" s="249"/>
      <c r="P159" s="249"/>
      <c r="Q159" s="249"/>
      <c r="R159" s="249"/>
      <c r="X159" s="96"/>
      <c r="AO159" s="4"/>
    </row>
    <row r="160" spans="3:41" ht="18" customHeight="1" x14ac:dyDescent="0.25">
      <c r="F160" s="249"/>
      <c r="I160" s="249"/>
      <c r="J160" s="249"/>
      <c r="K160" s="249"/>
      <c r="M160" s="249"/>
      <c r="N160" s="249"/>
      <c r="O160" s="249"/>
      <c r="P160" s="249"/>
      <c r="Q160" s="249"/>
      <c r="R160" s="249"/>
      <c r="X160" s="96"/>
      <c r="AO160" s="4"/>
    </row>
    <row r="161" spans="6:41" ht="18" customHeight="1" x14ac:dyDescent="0.25">
      <c r="F161" s="249"/>
      <c r="I161" s="249"/>
      <c r="J161" s="249"/>
      <c r="K161" s="249"/>
      <c r="M161" s="249"/>
      <c r="N161" s="249"/>
      <c r="O161" s="249"/>
      <c r="P161" s="249"/>
      <c r="Q161" s="249"/>
      <c r="R161" s="249"/>
      <c r="X161" s="96"/>
      <c r="AO161" s="4"/>
    </row>
    <row r="162" spans="6:41" ht="18" customHeight="1" x14ac:dyDescent="0.25">
      <c r="F162" s="249"/>
      <c r="I162" s="249"/>
      <c r="J162" s="249"/>
      <c r="K162" s="249"/>
      <c r="M162" s="249"/>
      <c r="N162" s="249"/>
      <c r="O162" s="249"/>
      <c r="P162" s="249"/>
      <c r="Q162" s="249"/>
      <c r="R162" s="249"/>
      <c r="X162" s="96"/>
      <c r="AO162" s="4"/>
    </row>
    <row r="163" spans="6:41" ht="18" customHeight="1" x14ac:dyDescent="0.25">
      <c r="F163" s="249"/>
      <c r="I163" s="249"/>
      <c r="J163" s="249"/>
      <c r="K163" s="249"/>
      <c r="M163" s="249"/>
      <c r="N163" s="249"/>
      <c r="O163" s="249"/>
      <c r="P163" s="249"/>
      <c r="Q163" s="249"/>
      <c r="R163" s="249"/>
      <c r="X163" s="96"/>
      <c r="AO163" s="4"/>
    </row>
    <row r="164" spans="6:41" ht="18" customHeight="1" x14ac:dyDescent="0.25">
      <c r="X164" s="96"/>
      <c r="AO164" s="4"/>
    </row>
    <row r="165" spans="6:41" ht="18" customHeight="1" x14ac:dyDescent="0.25">
      <c r="X165" s="96"/>
      <c r="AO165" s="4"/>
    </row>
    <row r="166" spans="6:41" ht="18" customHeight="1" x14ac:dyDescent="0.25">
      <c r="X166" s="96"/>
      <c r="AO166" s="4"/>
    </row>
    <row r="167" spans="6:41" ht="18" customHeight="1" x14ac:dyDescent="0.25">
      <c r="X167" s="96"/>
      <c r="AO167" s="4"/>
    </row>
    <row r="168" spans="6:41" ht="18" customHeight="1" x14ac:dyDescent="0.25">
      <c r="X168" s="96"/>
      <c r="AO168" s="4"/>
    </row>
    <row r="169" spans="6:41" ht="18" customHeight="1" x14ac:dyDescent="0.25">
      <c r="X169" s="96"/>
      <c r="AO169" s="4"/>
    </row>
    <row r="170" spans="6:41" ht="18" customHeight="1" x14ac:dyDescent="0.25">
      <c r="X170" s="96"/>
      <c r="AO170" s="4"/>
    </row>
    <row r="171" spans="6:41" ht="18" customHeight="1" x14ac:dyDescent="0.25">
      <c r="X171" s="96"/>
      <c r="AO171" s="4"/>
    </row>
    <row r="172" spans="6:41" ht="18" customHeight="1" x14ac:dyDescent="0.25">
      <c r="X172" s="96"/>
      <c r="AO172" s="4"/>
    </row>
    <row r="173" spans="6:41" ht="18" customHeight="1" x14ac:dyDescent="0.25">
      <c r="X173" s="96"/>
      <c r="AO173" s="4"/>
    </row>
    <row r="174" spans="6:41" ht="18" customHeight="1" x14ac:dyDescent="0.25">
      <c r="X174" s="96"/>
      <c r="AO174" s="4"/>
    </row>
    <row r="175" spans="6:41" ht="18" customHeight="1" x14ac:dyDescent="0.25">
      <c r="X175" s="96"/>
      <c r="AO175" s="4"/>
    </row>
    <row r="176" spans="6:41" ht="18" customHeight="1" x14ac:dyDescent="0.25">
      <c r="X176" s="96"/>
      <c r="AO176" s="4"/>
    </row>
    <row r="177" spans="24:41" ht="18" customHeight="1" x14ac:dyDescent="0.25">
      <c r="X177" s="96"/>
      <c r="AO177" s="4"/>
    </row>
    <row r="178" spans="24:41" ht="18" customHeight="1" x14ac:dyDescent="0.25">
      <c r="X178" s="96"/>
      <c r="AO178" s="4"/>
    </row>
    <row r="179" spans="24:41" ht="18" customHeight="1" x14ac:dyDescent="0.25">
      <c r="X179" s="96"/>
      <c r="AO179" s="4"/>
    </row>
    <row r="180" spans="24:41" ht="18" customHeight="1" x14ac:dyDescent="0.25">
      <c r="X180" s="96"/>
      <c r="AO180" s="4"/>
    </row>
    <row r="181" spans="24:41" ht="18" customHeight="1" x14ac:dyDescent="0.25">
      <c r="X181" s="96"/>
      <c r="AO181" s="4"/>
    </row>
    <row r="182" spans="24:41" ht="18" customHeight="1" x14ac:dyDescent="0.25">
      <c r="X182" s="96"/>
      <c r="AO182" s="4"/>
    </row>
    <row r="183" spans="24:41" ht="18" customHeight="1" x14ac:dyDescent="0.25">
      <c r="X183" s="96"/>
      <c r="AO183" s="4"/>
    </row>
    <row r="184" spans="24:41" ht="18" customHeight="1" x14ac:dyDescent="0.25">
      <c r="AO184" s="4"/>
    </row>
    <row r="185" spans="24:41" ht="18" customHeight="1" x14ac:dyDescent="0.25">
      <c r="AO185" s="4"/>
    </row>
    <row r="186" spans="24:41" ht="18" customHeight="1" x14ac:dyDescent="0.25">
      <c r="AO186" s="4"/>
    </row>
    <row r="187" spans="24:41" ht="18" customHeight="1" x14ac:dyDescent="0.25">
      <c r="AO187" s="4"/>
    </row>
    <row r="188" spans="24:41" ht="18" customHeight="1" x14ac:dyDescent="0.25">
      <c r="AO188" s="4"/>
    </row>
    <row r="189" spans="24:41" ht="18" customHeight="1" x14ac:dyDescent="0.25">
      <c r="AO189" s="4"/>
    </row>
    <row r="190" spans="24:41" ht="18" customHeight="1" x14ac:dyDescent="0.25">
      <c r="AO190" s="4"/>
    </row>
    <row r="191" spans="24:41" ht="18" customHeight="1" x14ac:dyDescent="0.25">
      <c r="AO191" s="4"/>
    </row>
    <row r="192" spans="24:41" ht="18" customHeight="1" x14ac:dyDescent="0.25">
      <c r="AO192" s="4"/>
    </row>
    <row r="193" spans="41:41" ht="18" customHeight="1" x14ac:dyDescent="0.25">
      <c r="AO193" s="4"/>
    </row>
    <row r="194" spans="41:41" ht="18" customHeight="1" x14ac:dyDescent="0.25">
      <c r="AO194" s="4"/>
    </row>
    <row r="195" spans="41:41" ht="18" customHeight="1" x14ac:dyDescent="0.25">
      <c r="AO195" s="4"/>
    </row>
    <row r="196" spans="41:41" ht="18" customHeight="1" x14ac:dyDescent="0.25">
      <c r="AO196" s="4"/>
    </row>
    <row r="197" spans="41:41" ht="18" customHeight="1" x14ac:dyDescent="0.25">
      <c r="AO197" s="4"/>
    </row>
    <row r="198" spans="41:41" ht="18" customHeight="1" x14ac:dyDescent="0.25">
      <c r="AO198" s="4"/>
    </row>
    <row r="199" spans="41:41" ht="18" customHeight="1" x14ac:dyDescent="0.25">
      <c r="AO199" s="4"/>
    </row>
    <row r="200" spans="41:41" ht="18" customHeight="1" x14ac:dyDescent="0.25">
      <c r="AO200" s="4"/>
    </row>
    <row r="201" spans="41:41" ht="18" customHeight="1" x14ac:dyDescent="0.25">
      <c r="AO201" s="4"/>
    </row>
    <row r="202" spans="41:41" ht="18" customHeight="1" x14ac:dyDescent="0.25">
      <c r="AO202" s="4"/>
    </row>
    <row r="203" spans="41:41" ht="18" customHeight="1" x14ac:dyDescent="0.25">
      <c r="AO203" s="4"/>
    </row>
    <row r="204" spans="41:41" ht="18" customHeight="1" x14ac:dyDescent="0.25">
      <c r="AO204" s="4"/>
    </row>
    <row r="205" spans="41:41" ht="18" customHeight="1" x14ac:dyDescent="0.25">
      <c r="AO205" s="4"/>
    </row>
    <row r="206" spans="41:41" ht="18" customHeight="1" x14ac:dyDescent="0.25">
      <c r="AO206" s="4"/>
    </row>
    <row r="207" spans="41:41" ht="18" customHeight="1" x14ac:dyDescent="0.25">
      <c r="AO207" s="4"/>
    </row>
    <row r="208" spans="41:41" ht="18" customHeight="1" x14ac:dyDescent="0.25">
      <c r="AO208" s="4"/>
    </row>
    <row r="209" spans="41:41" ht="18" customHeight="1" x14ac:dyDescent="0.25">
      <c r="AO209" s="4"/>
    </row>
    <row r="210" spans="41:41" ht="18" customHeight="1" x14ac:dyDescent="0.25">
      <c r="AO210" s="4"/>
    </row>
    <row r="211" spans="41:41" ht="18" customHeight="1" x14ac:dyDescent="0.25">
      <c r="AO211" s="4"/>
    </row>
    <row r="212" spans="41:41" ht="18" customHeight="1" x14ac:dyDescent="0.25">
      <c r="AO212" s="4"/>
    </row>
    <row r="213" spans="41:41" ht="18" customHeight="1" x14ac:dyDescent="0.25">
      <c r="AO213" s="4"/>
    </row>
    <row r="214" spans="41:41" ht="18" customHeight="1" x14ac:dyDescent="0.25">
      <c r="AO214" s="4"/>
    </row>
    <row r="215" spans="41:41" ht="18" customHeight="1" x14ac:dyDescent="0.25">
      <c r="AO215" s="4"/>
    </row>
    <row r="216" spans="41:41" ht="18" customHeight="1" x14ac:dyDescent="0.25">
      <c r="AO216" s="4"/>
    </row>
    <row r="217" spans="41:41" ht="18" customHeight="1" x14ac:dyDescent="0.25">
      <c r="AO217" s="4"/>
    </row>
    <row r="218" spans="41:41" ht="18" customHeight="1" x14ac:dyDescent="0.25">
      <c r="AO218" s="4"/>
    </row>
    <row r="219" spans="41:41" ht="18" customHeight="1" x14ac:dyDescent="0.25">
      <c r="AO219" s="4"/>
    </row>
    <row r="220" spans="41:41" ht="18" customHeight="1" x14ac:dyDescent="0.25">
      <c r="AO220" s="4"/>
    </row>
    <row r="221" spans="41:41" ht="18" customHeight="1" x14ac:dyDescent="0.25">
      <c r="AO221" s="4"/>
    </row>
    <row r="222" spans="41:41" ht="18" customHeight="1" x14ac:dyDescent="0.25">
      <c r="AO222" s="4"/>
    </row>
    <row r="223" spans="41:41" ht="18" customHeight="1" x14ac:dyDescent="0.25">
      <c r="AO223" s="4"/>
    </row>
    <row r="224" spans="41:41" ht="18" customHeight="1" x14ac:dyDescent="0.25">
      <c r="AO224" s="4"/>
    </row>
    <row r="225" spans="41:41" ht="18" customHeight="1" x14ac:dyDescent="0.25">
      <c r="AO225" s="4"/>
    </row>
    <row r="226" spans="41:41" ht="18" customHeight="1" x14ac:dyDescent="0.25">
      <c r="AO226" s="4"/>
    </row>
    <row r="227" spans="41:41" ht="18" customHeight="1" x14ac:dyDescent="0.25">
      <c r="AO227" s="4"/>
    </row>
    <row r="228" spans="41:41" ht="18" customHeight="1" x14ac:dyDescent="0.25">
      <c r="AO228" s="4"/>
    </row>
    <row r="229" spans="41:41" ht="18" customHeight="1" x14ac:dyDescent="0.25">
      <c r="AO229" s="4"/>
    </row>
    <row r="230" spans="41:41" ht="18" customHeight="1" x14ac:dyDescent="0.25">
      <c r="AO230" s="4"/>
    </row>
    <row r="231" spans="41:41" ht="18" customHeight="1" x14ac:dyDescent="0.25">
      <c r="AO231" s="4"/>
    </row>
    <row r="232" spans="41:41" ht="18" customHeight="1" x14ac:dyDescent="0.25">
      <c r="AO232" s="4"/>
    </row>
    <row r="233" spans="41:41" ht="18" customHeight="1" x14ac:dyDescent="0.25">
      <c r="AO233" s="4"/>
    </row>
    <row r="234" spans="41:41" ht="18" customHeight="1" x14ac:dyDescent="0.25">
      <c r="AO234" s="4"/>
    </row>
    <row r="235" spans="41:41" ht="18" customHeight="1" x14ac:dyDescent="0.25">
      <c r="AO235" s="4"/>
    </row>
    <row r="236" spans="41:41" ht="18" customHeight="1" x14ac:dyDescent="0.25">
      <c r="AO236" s="4"/>
    </row>
    <row r="237" spans="41:41" ht="18" customHeight="1" x14ac:dyDescent="0.25">
      <c r="AO237" s="4"/>
    </row>
    <row r="238" spans="41:41" ht="18" customHeight="1" x14ac:dyDescent="0.25">
      <c r="AO238" s="4"/>
    </row>
    <row r="239" spans="41:41" ht="18" customHeight="1" x14ac:dyDescent="0.25">
      <c r="AO239" s="4"/>
    </row>
    <row r="240" spans="41:41" ht="18" customHeight="1" x14ac:dyDescent="0.25">
      <c r="AO240" s="4"/>
    </row>
    <row r="241" spans="41:41" ht="18" customHeight="1" x14ac:dyDescent="0.25">
      <c r="AO241" s="4"/>
    </row>
    <row r="242" spans="41:41" ht="18" customHeight="1" x14ac:dyDescent="0.25">
      <c r="AO242" s="4"/>
    </row>
    <row r="243" spans="41:41" ht="18" customHeight="1" x14ac:dyDescent="0.25">
      <c r="AO243" s="4"/>
    </row>
    <row r="244" spans="41:41" ht="18" customHeight="1" x14ac:dyDescent="0.25">
      <c r="AO244" s="4"/>
    </row>
    <row r="245" spans="41:41" ht="18" customHeight="1" x14ac:dyDescent="0.25">
      <c r="AO245" s="4"/>
    </row>
    <row r="246" spans="41:41" ht="18" customHeight="1" x14ac:dyDescent="0.25">
      <c r="AO246" s="4"/>
    </row>
    <row r="247" spans="41:41" ht="18" customHeight="1" x14ac:dyDescent="0.25">
      <c r="AO247" s="4"/>
    </row>
    <row r="248" spans="41:41" ht="18" customHeight="1" x14ac:dyDescent="0.25">
      <c r="AO248" s="4"/>
    </row>
    <row r="249" spans="41:41" ht="18" customHeight="1" x14ac:dyDescent="0.25">
      <c r="AO249" s="4"/>
    </row>
    <row r="250" spans="41:41" ht="18" customHeight="1" x14ac:dyDescent="0.25">
      <c r="AO250" s="4"/>
    </row>
    <row r="251" spans="41:41" ht="18" customHeight="1" x14ac:dyDescent="0.25">
      <c r="AO251" s="4"/>
    </row>
    <row r="252" spans="41:41" ht="18" customHeight="1" x14ac:dyDescent="0.25">
      <c r="AO252" s="4"/>
    </row>
    <row r="253" spans="41:41" ht="18" customHeight="1" x14ac:dyDescent="0.25">
      <c r="AO253" s="4"/>
    </row>
    <row r="254" spans="41:41" ht="18" customHeight="1" x14ac:dyDescent="0.25">
      <c r="AO254" s="4"/>
    </row>
    <row r="255" spans="41:41" ht="18" customHeight="1" x14ac:dyDescent="0.25">
      <c r="AO255" s="4"/>
    </row>
    <row r="256" spans="41:41" ht="18" customHeight="1" x14ac:dyDescent="0.25">
      <c r="AO256" s="4"/>
    </row>
    <row r="257" spans="41:41" ht="18" customHeight="1" x14ac:dyDescent="0.25">
      <c r="AO257" s="4"/>
    </row>
    <row r="258" spans="41:41" ht="18" customHeight="1" x14ac:dyDescent="0.25">
      <c r="AO258" s="4"/>
    </row>
    <row r="259" spans="41:41" ht="18" customHeight="1" x14ac:dyDescent="0.25">
      <c r="AO259" s="4"/>
    </row>
    <row r="260" spans="41:41" ht="18" customHeight="1" x14ac:dyDescent="0.25">
      <c r="AO260" s="4"/>
    </row>
    <row r="261" spans="41:41" ht="18" customHeight="1" x14ac:dyDescent="0.25">
      <c r="AO261" s="4"/>
    </row>
    <row r="262" spans="41:41" ht="18" customHeight="1" x14ac:dyDescent="0.25">
      <c r="AO262" s="4"/>
    </row>
    <row r="263" spans="41:41" ht="18" customHeight="1" x14ac:dyDescent="0.25">
      <c r="AO263" s="4"/>
    </row>
    <row r="264" spans="41:41" ht="18" customHeight="1" x14ac:dyDescent="0.25">
      <c r="AO264" s="4"/>
    </row>
    <row r="265" spans="41:41" ht="18" customHeight="1" x14ac:dyDescent="0.25">
      <c r="AO265" s="4"/>
    </row>
    <row r="266" spans="41:41" ht="18" customHeight="1" x14ac:dyDescent="0.25">
      <c r="AO266" s="4"/>
    </row>
    <row r="267" spans="41:41" ht="18" customHeight="1" x14ac:dyDescent="0.25">
      <c r="AO267" s="4"/>
    </row>
    <row r="268" spans="41:41" ht="18" customHeight="1" x14ac:dyDescent="0.25">
      <c r="AO268" s="4"/>
    </row>
    <row r="269" spans="41:41" ht="18" customHeight="1" x14ac:dyDescent="0.25">
      <c r="AO269" s="4"/>
    </row>
    <row r="270" spans="41:41" ht="18" customHeight="1" x14ac:dyDescent="0.25">
      <c r="AO270" s="4"/>
    </row>
    <row r="271" spans="41:41" ht="18" customHeight="1" x14ac:dyDescent="0.25">
      <c r="AO271" s="4"/>
    </row>
    <row r="272" spans="41:41" ht="18" customHeight="1" x14ac:dyDescent="0.25">
      <c r="AO272" s="4"/>
    </row>
    <row r="273" spans="41:41" ht="18" customHeight="1" x14ac:dyDescent="0.25">
      <c r="AO273" s="4"/>
    </row>
    <row r="274" spans="41:41" ht="18" customHeight="1" x14ac:dyDescent="0.25">
      <c r="AO274" s="4"/>
    </row>
    <row r="275" spans="41:41" ht="18" customHeight="1" x14ac:dyDescent="0.25">
      <c r="AO275" s="4"/>
    </row>
    <row r="276" spans="41:41" ht="18" customHeight="1" x14ac:dyDescent="0.25">
      <c r="AO276" s="4"/>
    </row>
    <row r="277" spans="41:41" ht="18" customHeight="1" x14ac:dyDescent="0.25">
      <c r="AO277" s="4"/>
    </row>
    <row r="278" spans="41:41" ht="18" customHeight="1" x14ac:dyDescent="0.25">
      <c r="AO278" s="4"/>
    </row>
    <row r="279" spans="41:41" ht="18" customHeight="1" x14ac:dyDescent="0.25">
      <c r="AO279" s="4"/>
    </row>
    <row r="280" spans="41:41" ht="18" customHeight="1" x14ac:dyDescent="0.25">
      <c r="AO280" s="4"/>
    </row>
    <row r="281" spans="41:41" ht="18" customHeight="1" x14ac:dyDescent="0.25">
      <c r="AO281" s="4"/>
    </row>
    <row r="282" spans="41:41" ht="18" customHeight="1" x14ac:dyDescent="0.25">
      <c r="AO282" s="4"/>
    </row>
    <row r="283" spans="41:41" ht="18" customHeight="1" x14ac:dyDescent="0.25">
      <c r="AO283" s="4"/>
    </row>
    <row r="284" spans="41:41" ht="18" customHeight="1" x14ac:dyDescent="0.25">
      <c r="AO284" s="4"/>
    </row>
    <row r="285" spans="41:41" ht="18" customHeight="1" x14ac:dyDescent="0.25">
      <c r="AO285" s="4"/>
    </row>
    <row r="286" spans="41:41" ht="18" customHeight="1" x14ac:dyDescent="0.25">
      <c r="AO286" s="4"/>
    </row>
    <row r="287" spans="41:41" ht="18" customHeight="1" x14ac:dyDescent="0.25">
      <c r="AO287" s="4"/>
    </row>
    <row r="288" spans="41:41" ht="18" customHeight="1" x14ac:dyDescent="0.25">
      <c r="AO288" s="4"/>
    </row>
    <row r="289" spans="41:41" ht="18" customHeight="1" x14ac:dyDescent="0.25">
      <c r="AO289" s="4"/>
    </row>
    <row r="290" spans="41:41" ht="18" customHeight="1" x14ac:dyDescent="0.25">
      <c r="AO290" s="4"/>
    </row>
    <row r="291" spans="41:41" ht="18" customHeight="1" x14ac:dyDescent="0.25">
      <c r="AO291" s="4"/>
    </row>
    <row r="292" spans="41:41" ht="18" customHeight="1" x14ac:dyDescent="0.25">
      <c r="AO292" s="4"/>
    </row>
    <row r="293" spans="41:41" ht="18" customHeight="1" x14ac:dyDescent="0.25">
      <c r="AO293" s="4"/>
    </row>
    <row r="294" spans="41:41" ht="18" customHeight="1" x14ac:dyDescent="0.25">
      <c r="AO294" s="4"/>
    </row>
    <row r="295" spans="41:41" ht="18" customHeight="1" x14ac:dyDescent="0.25">
      <c r="AO295" s="4"/>
    </row>
    <row r="296" spans="41:41" ht="18" customHeight="1" x14ac:dyDescent="0.25">
      <c r="AO296" s="4"/>
    </row>
    <row r="297" spans="41:41" ht="18" customHeight="1" x14ac:dyDescent="0.25">
      <c r="AO297" s="4"/>
    </row>
    <row r="298" spans="41:41" ht="18" customHeight="1" x14ac:dyDescent="0.25">
      <c r="AO298" s="4"/>
    </row>
    <row r="299" spans="41:41" ht="18" customHeight="1" x14ac:dyDescent="0.25">
      <c r="AO299" s="4"/>
    </row>
    <row r="300" spans="41:41" ht="18" customHeight="1" x14ac:dyDescent="0.25">
      <c r="AO300" s="4"/>
    </row>
    <row r="301" spans="41:41" ht="18" customHeight="1" x14ac:dyDescent="0.25">
      <c r="AO301" s="4"/>
    </row>
    <row r="302" spans="41:41" ht="18" customHeight="1" x14ac:dyDescent="0.25">
      <c r="AO302" s="4"/>
    </row>
    <row r="303" spans="41:41" ht="18" customHeight="1" x14ac:dyDescent="0.25">
      <c r="AO303" s="4"/>
    </row>
    <row r="304" spans="41:41" ht="18" customHeight="1" x14ac:dyDescent="0.25">
      <c r="AO304" s="4"/>
    </row>
    <row r="305" spans="41:41" ht="18" customHeight="1" x14ac:dyDescent="0.25">
      <c r="AO305" s="4"/>
    </row>
    <row r="306" spans="41:41" ht="18" customHeight="1" x14ac:dyDescent="0.25">
      <c r="AO306" s="4"/>
    </row>
    <row r="307" spans="41:41" ht="18" customHeight="1" x14ac:dyDescent="0.25">
      <c r="AO307" s="4"/>
    </row>
    <row r="308" spans="41:41" ht="18" customHeight="1" x14ac:dyDescent="0.25">
      <c r="AO308" s="4"/>
    </row>
    <row r="309" spans="41:41" ht="18" customHeight="1" x14ac:dyDescent="0.25">
      <c r="AO309" s="4"/>
    </row>
    <row r="310" spans="41:41" ht="18" customHeight="1" x14ac:dyDescent="0.25">
      <c r="AO310" s="4"/>
    </row>
    <row r="311" spans="41:41" ht="18" customHeight="1" x14ac:dyDescent="0.25">
      <c r="AO311" s="4"/>
    </row>
    <row r="312" spans="41:41" ht="18" customHeight="1" x14ac:dyDescent="0.25">
      <c r="AO312" s="4"/>
    </row>
    <row r="313" spans="41:41" ht="18" customHeight="1" x14ac:dyDescent="0.25">
      <c r="AO313" s="4"/>
    </row>
    <row r="314" spans="41:41" ht="18" customHeight="1" x14ac:dyDescent="0.25">
      <c r="AO314" s="4"/>
    </row>
    <row r="315" spans="41:41" ht="18" customHeight="1" x14ac:dyDescent="0.25">
      <c r="AO315" s="4"/>
    </row>
    <row r="316" spans="41:41" ht="18" customHeight="1" x14ac:dyDescent="0.25">
      <c r="AO316" s="4"/>
    </row>
    <row r="317" spans="41:41" ht="18" customHeight="1" x14ac:dyDescent="0.25">
      <c r="AO317" s="4"/>
    </row>
    <row r="318" spans="41:41" ht="18" customHeight="1" x14ac:dyDescent="0.25">
      <c r="AO318" s="4"/>
    </row>
    <row r="319" spans="41:41" ht="18" customHeight="1" x14ac:dyDescent="0.25">
      <c r="AO319" s="4"/>
    </row>
    <row r="320" spans="41:41" ht="18" customHeight="1" x14ac:dyDescent="0.25">
      <c r="AO320" s="4"/>
    </row>
    <row r="321" spans="41:41" ht="18" customHeight="1" x14ac:dyDescent="0.25">
      <c r="AO321" s="4"/>
    </row>
    <row r="322" spans="41:41" ht="18" customHeight="1" x14ac:dyDescent="0.25">
      <c r="AO322" s="4"/>
    </row>
    <row r="323" spans="41:41" ht="18" customHeight="1" x14ac:dyDescent="0.25">
      <c r="AO323" s="4"/>
    </row>
    <row r="324" spans="41:41" ht="18" customHeight="1" x14ac:dyDescent="0.25">
      <c r="AO324" s="4"/>
    </row>
    <row r="325" spans="41:41" ht="18" customHeight="1" x14ac:dyDescent="0.25">
      <c r="AO325" s="4"/>
    </row>
    <row r="326" spans="41:41" ht="18" customHeight="1" x14ac:dyDescent="0.25">
      <c r="AO326" s="4"/>
    </row>
    <row r="327" spans="41:41" ht="18" customHeight="1" x14ac:dyDescent="0.25">
      <c r="AO327" s="4"/>
    </row>
    <row r="328" spans="41:41" ht="18" customHeight="1" x14ac:dyDescent="0.25">
      <c r="AO328" s="4"/>
    </row>
    <row r="329" spans="41:41" ht="18" customHeight="1" x14ac:dyDescent="0.25">
      <c r="AO329" s="4"/>
    </row>
    <row r="330" spans="41:41" ht="18" customHeight="1" x14ac:dyDescent="0.25">
      <c r="AO330" s="4"/>
    </row>
    <row r="331" spans="41:41" ht="18" customHeight="1" x14ac:dyDescent="0.25">
      <c r="AO331" s="4"/>
    </row>
    <row r="332" spans="41:41" ht="18" customHeight="1" x14ac:dyDescent="0.25">
      <c r="AO332" s="4"/>
    </row>
    <row r="333" spans="41:41" ht="18" customHeight="1" x14ac:dyDescent="0.25">
      <c r="AO333" s="4"/>
    </row>
    <row r="334" spans="41:41" ht="18" customHeight="1" x14ac:dyDescent="0.25">
      <c r="AO334" s="4"/>
    </row>
    <row r="335" spans="41:41" ht="18" customHeight="1" x14ac:dyDescent="0.25">
      <c r="AO335" s="4"/>
    </row>
    <row r="336" spans="41:41" ht="18" customHeight="1" x14ac:dyDescent="0.25">
      <c r="AO336" s="4"/>
    </row>
    <row r="337" spans="41:41" ht="18" customHeight="1" x14ac:dyDescent="0.25">
      <c r="AO337" s="4"/>
    </row>
    <row r="338" spans="41:41" ht="18" customHeight="1" x14ac:dyDescent="0.25">
      <c r="AO338" s="4"/>
    </row>
    <row r="339" spans="41:41" ht="18" customHeight="1" x14ac:dyDescent="0.25">
      <c r="AO339" s="4"/>
    </row>
    <row r="340" spans="41:41" ht="18" customHeight="1" x14ac:dyDescent="0.25">
      <c r="AO340" s="4"/>
    </row>
    <row r="341" spans="41:41" ht="18" customHeight="1" x14ac:dyDescent="0.25">
      <c r="AO341" s="4"/>
    </row>
    <row r="342" spans="41:41" ht="18" customHeight="1" x14ac:dyDescent="0.25">
      <c r="AO342" s="4"/>
    </row>
    <row r="343" spans="41:41" ht="18" customHeight="1" x14ac:dyDescent="0.25">
      <c r="AO343" s="4"/>
    </row>
    <row r="344" spans="41:41" ht="18" customHeight="1" x14ac:dyDescent="0.25">
      <c r="AO344" s="4"/>
    </row>
    <row r="345" spans="41:41" ht="18" customHeight="1" x14ac:dyDescent="0.25">
      <c r="AO345" s="4"/>
    </row>
    <row r="346" spans="41:41" ht="18" customHeight="1" x14ac:dyDescent="0.25">
      <c r="AO346" s="4"/>
    </row>
    <row r="347" spans="41:41" ht="18" customHeight="1" x14ac:dyDescent="0.25">
      <c r="AO347" s="4"/>
    </row>
    <row r="348" spans="41:41" ht="18" customHeight="1" x14ac:dyDescent="0.25">
      <c r="AO348" s="4"/>
    </row>
    <row r="349" spans="41:41" ht="18" customHeight="1" x14ac:dyDescent="0.25">
      <c r="AO349" s="4"/>
    </row>
    <row r="350" spans="41:41" ht="18" customHeight="1" x14ac:dyDescent="0.25">
      <c r="AO350" s="4"/>
    </row>
    <row r="351" spans="41:41" ht="18" customHeight="1" x14ac:dyDescent="0.25">
      <c r="AO351" s="4"/>
    </row>
    <row r="352" spans="41:41" ht="18" customHeight="1" x14ac:dyDescent="0.25">
      <c r="AO352" s="4"/>
    </row>
    <row r="353" spans="41:41" ht="18" customHeight="1" x14ac:dyDescent="0.25">
      <c r="AO353" s="4"/>
    </row>
    <row r="354" spans="41:41" ht="18" customHeight="1" x14ac:dyDescent="0.25">
      <c r="AO354" s="4"/>
    </row>
    <row r="355" spans="41:41" ht="18" customHeight="1" x14ac:dyDescent="0.25">
      <c r="AO355" s="4"/>
    </row>
    <row r="356" spans="41:41" ht="18" customHeight="1" x14ac:dyDescent="0.25">
      <c r="AO356" s="4"/>
    </row>
    <row r="357" spans="41:41" ht="18" customHeight="1" x14ac:dyDescent="0.25">
      <c r="AO357" s="4"/>
    </row>
    <row r="358" spans="41:41" ht="18" customHeight="1" x14ac:dyDescent="0.25">
      <c r="AO358" s="4"/>
    </row>
    <row r="359" spans="41:41" ht="18" customHeight="1" x14ac:dyDescent="0.25">
      <c r="AO359" s="4"/>
    </row>
    <row r="360" spans="41:41" ht="18" customHeight="1" x14ac:dyDescent="0.25">
      <c r="AO360" s="4"/>
    </row>
    <row r="361" spans="41:41" ht="18" customHeight="1" x14ac:dyDescent="0.25">
      <c r="AO361" s="4"/>
    </row>
    <row r="362" spans="41:41" ht="18" customHeight="1" x14ac:dyDescent="0.25">
      <c r="AO362" s="4"/>
    </row>
    <row r="363" spans="41:41" ht="18" customHeight="1" x14ac:dyDescent="0.25">
      <c r="AO363" s="4"/>
    </row>
    <row r="364" spans="41:41" ht="18" customHeight="1" x14ac:dyDescent="0.25">
      <c r="AO364" s="4"/>
    </row>
    <row r="365" spans="41:41" ht="18" customHeight="1" x14ac:dyDescent="0.25">
      <c r="AO365" s="4"/>
    </row>
    <row r="366" spans="41:41" ht="18" customHeight="1" x14ac:dyDescent="0.25">
      <c r="AO366" s="4"/>
    </row>
    <row r="367" spans="41:41" ht="18" customHeight="1" x14ac:dyDescent="0.25">
      <c r="AO367" s="4"/>
    </row>
    <row r="368" spans="41:41" ht="18" customHeight="1" x14ac:dyDescent="0.25">
      <c r="AO368" s="4"/>
    </row>
    <row r="369" spans="41:41" ht="18" customHeight="1" x14ac:dyDescent="0.25">
      <c r="AO369" s="4"/>
    </row>
    <row r="370" spans="41:41" ht="18" customHeight="1" x14ac:dyDescent="0.25">
      <c r="AO370" s="4"/>
    </row>
    <row r="371" spans="41:41" ht="18" customHeight="1" x14ac:dyDescent="0.25">
      <c r="AO371" s="4"/>
    </row>
    <row r="372" spans="41:41" ht="18" customHeight="1" x14ac:dyDescent="0.25">
      <c r="AO372" s="4"/>
    </row>
    <row r="373" spans="41:41" ht="18" customHeight="1" x14ac:dyDescent="0.25">
      <c r="AO373" s="4"/>
    </row>
    <row r="374" spans="41:41" ht="18" customHeight="1" x14ac:dyDescent="0.25">
      <c r="AO374" s="4"/>
    </row>
    <row r="375" spans="41:41" ht="18" customHeight="1" x14ac:dyDescent="0.25">
      <c r="AO375" s="4"/>
    </row>
    <row r="376" spans="41:41" ht="18" customHeight="1" x14ac:dyDescent="0.25">
      <c r="AO376" s="4"/>
    </row>
    <row r="377" spans="41:41" ht="18" customHeight="1" x14ac:dyDescent="0.25">
      <c r="AO377" s="4"/>
    </row>
    <row r="378" spans="41:41" ht="18" customHeight="1" x14ac:dyDescent="0.25">
      <c r="AO378" s="4"/>
    </row>
    <row r="379" spans="41:41" ht="18" customHeight="1" x14ac:dyDescent="0.25">
      <c r="AO379" s="4"/>
    </row>
    <row r="380" spans="41:41" ht="18" customHeight="1" x14ac:dyDescent="0.25">
      <c r="AO380" s="4"/>
    </row>
    <row r="381" spans="41:41" ht="18" customHeight="1" x14ac:dyDescent="0.25">
      <c r="AO381" s="4"/>
    </row>
    <row r="382" spans="41:41" ht="18" customHeight="1" x14ac:dyDescent="0.25">
      <c r="AO382" s="4"/>
    </row>
    <row r="383" spans="41:41" ht="18" customHeight="1" x14ac:dyDescent="0.25">
      <c r="AO383" s="4"/>
    </row>
    <row r="384" spans="41:41" ht="18" customHeight="1" x14ac:dyDescent="0.25">
      <c r="AO384" s="4"/>
    </row>
    <row r="385" spans="41:41" ht="18" customHeight="1" x14ac:dyDescent="0.25">
      <c r="AO385" s="4"/>
    </row>
    <row r="386" spans="41:41" ht="18" customHeight="1" x14ac:dyDescent="0.25">
      <c r="AO386" s="4"/>
    </row>
    <row r="387" spans="41:41" ht="18" customHeight="1" x14ac:dyDescent="0.25">
      <c r="AO387" s="4"/>
    </row>
    <row r="388" spans="41:41" ht="18" customHeight="1" x14ac:dyDescent="0.25">
      <c r="AO388" s="4"/>
    </row>
    <row r="389" spans="41:41" ht="18" customHeight="1" x14ac:dyDescent="0.25">
      <c r="AO389" s="4"/>
    </row>
    <row r="390" spans="41:41" ht="18" customHeight="1" x14ac:dyDescent="0.25">
      <c r="AO390" s="4"/>
    </row>
    <row r="391" spans="41:41" ht="18" customHeight="1" x14ac:dyDescent="0.25">
      <c r="AO391" s="4"/>
    </row>
    <row r="392" spans="41:41" ht="18" customHeight="1" x14ac:dyDescent="0.25">
      <c r="AO392" s="4"/>
    </row>
    <row r="393" spans="41:41" ht="18" customHeight="1" x14ac:dyDescent="0.25">
      <c r="AO393" s="4"/>
    </row>
    <row r="394" spans="41:41" ht="18" customHeight="1" x14ac:dyDescent="0.25">
      <c r="AO394" s="4"/>
    </row>
    <row r="395" spans="41:41" ht="18" customHeight="1" x14ac:dyDescent="0.25">
      <c r="AO395" s="4"/>
    </row>
    <row r="396" spans="41:41" ht="18" customHeight="1" x14ac:dyDescent="0.25">
      <c r="AO396" s="4"/>
    </row>
    <row r="397" spans="41:41" ht="18" customHeight="1" x14ac:dyDescent="0.25">
      <c r="AO397" s="4"/>
    </row>
    <row r="398" spans="41:41" ht="18" customHeight="1" x14ac:dyDescent="0.25">
      <c r="AO398" s="4"/>
    </row>
    <row r="399" spans="41:41" ht="18" customHeight="1" x14ac:dyDescent="0.25">
      <c r="AO399" s="4"/>
    </row>
    <row r="400" spans="41:41" ht="18" customHeight="1" x14ac:dyDescent="0.25">
      <c r="AO400" s="4"/>
    </row>
    <row r="401" spans="41:41" ht="18" customHeight="1" x14ac:dyDescent="0.25">
      <c r="AO401" s="4"/>
    </row>
    <row r="402" spans="41:41" ht="18" customHeight="1" x14ac:dyDescent="0.25">
      <c r="AO402" s="4"/>
    </row>
    <row r="403" spans="41:41" ht="18" customHeight="1" x14ac:dyDescent="0.25">
      <c r="AO403" s="4"/>
    </row>
    <row r="404" spans="41:41" ht="18" customHeight="1" x14ac:dyDescent="0.25">
      <c r="AO404" s="4"/>
    </row>
    <row r="405" spans="41:41" ht="18" customHeight="1" x14ac:dyDescent="0.25">
      <c r="AO405" s="4"/>
    </row>
    <row r="406" spans="41:41" ht="18" customHeight="1" x14ac:dyDescent="0.25">
      <c r="AO406" s="4"/>
    </row>
    <row r="407" spans="41:41" ht="18" customHeight="1" x14ac:dyDescent="0.25">
      <c r="AO407" s="4"/>
    </row>
    <row r="408" spans="41:41" ht="18" customHeight="1" x14ac:dyDescent="0.25">
      <c r="AO408" s="4"/>
    </row>
    <row r="409" spans="41:41" ht="18" customHeight="1" x14ac:dyDescent="0.25">
      <c r="AO409" s="4"/>
    </row>
    <row r="410" spans="41:41" ht="18" customHeight="1" x14ac:dyDescent="0.25">
      <c r="AO410" s="4"/>
    </row>
    <row r="411" spans="41:41" ht="18" customHeight="1" x14ac:dyDescent="0.25">
      <c r="AO411" s="4"/>
    </row>
    <row r="412" spans="41:41" ht="18" customHeight="1" x14ac:dyDescent="0.25">
      <c r="AO412" s="4"/>
    </row>
    <row r="413" spans="41:41" ht="18" customHeight="1" x14ac:dyDescent="0.25">
      <c r="AO413" s="4"/>
    </row>
    <row r="414" spans="41:41" ht="18" customHeight="1" x14ac:dyDescent="0.25">
      <c r="AO414" s="4"/>
    </row>
    <row r="415" spans="41:41" ht="18" customHeight="1" x14ac:dyDescent="0.25">
      <c r="AO415" s="4"/>
    </row>
    <row r="416" spans="41:41" ht="18" customHeight="1" x14ac:dyDescent="0.25">
      <c r="AO416" s="4"/>
    </row>
    <row r="417" spans="41:41" ht="18" customHeight="1" x14ac:dyDescent="0.25">
      <c r="AO417" s="4"/>
    </row>
    <row r="418" spans="41:41" ht="18" customHeight="1" x14ac:dyDescent="0.25">
      <c r="AO418" s="4"/>
    </row>
    <row r="419" spans="41:41" ht="18" customHeight="1" x14ac:dyDescent="0.25">
      <c r="AO419" s="4"/>
    </row>
    <row r="420" spans="41:41" ht="18" customHeight="1" x14ac:dyDescent="0.25">
      <c r="AO420" s="4"/>
    </row>
    <row r="421" spans="41:41" ht="18" customHeight="1" x14ac:dyDescent="0.25">
      <c r="AO421" s="4"/>
    </row>
    <row r="422" spans="41:41" ht="18" customHeight="1" x14ac:dyDescent="0.25">
      <c r="AO422" s="4"/>
    </row>
    <row r="423" spans="41:41" ht="18" customHeight="1" x14ac:dyDescent="0.25">
      <c r="AO423" s="4"/>
    </row>
    <row r="424" spans="41:41" ht="18" customHeight="1" x14ac:dyDescent="0.25">
      <c r="AO424" s="4"/>
    </row>
    <row r="425" spans="41:41" ht="18" customHeight="1" x14ac:dyDescent="0.25">
      <c r="AO425" s="4"/>
    </row>
    <row r="426" spans="41:41" ht="18" customHeight="1" x14ac:dyDescent="0.25">
      <c r="AO426" s="4"/>
    </row>
    <row r="427" spans="41:41" ht="18" customHeight="1" x14ac:dyDescent="0.25">
      <c r="AO427" s="4"/>
    </row>
    <row r="428" spans="41:41" ht="18" customHeight="1" x14ac:dyDescent="0.25">
      <c r="AO428" s="4"/>
    </row>
    <row r="429" spans="41:41" ht="18" customHeight="1" x14ac:dyDescent="0.25">
      <c r="AO429" s="4"/>
    </row>
    <row r="430" spans="41:41" ht="18" customHeight="1" x14ac:dyDescent="0.25">
      <c r="AO430" s="4"/>
    </row>
    <row r="431" spans="41:41" ht="18" customHeight="1" x14ac:dyDescent="0.25">
      <c r="AO431" s="4"/>
    </row>
    <row r="432" spans="41:41" ht="18" customHeight="1" x14ac:dyDescent="0.25">
      <c r="AO432" s="4"/>
    </row>
    <row r="433" spans="41:41" ht="18" customHeight="1" x14ac:dyDescent="0.25">
      <c r="AO433" s="4"/>
    </row>
    <row r="434" spans="41:41" ht="18" customHeight="1" x14ac:dyDescent="0.25">
      <c r="AO434" s="4"/>
    </row>
    <row r="435" spans="41:41" ht="18" customHeight="1" x14ac:dyDescent="0.25">
      <c r="AO435" s="4"/>
    </row>
    <row r="436" spans="41:41" ht="18" customHeight="1" x14ac:dyDescent="0.25">
      <c r="AO436" s="4"/>
    </row>
    <row r="437" spans="41:41" ht="18" customHeight="1" x14ac:dyDescent="0.25">
      <c r="AO437" s="4"/>
    </row>
    <row r="438" spans="41:41" ht="18" customHeight="1" x14ac:dyDescent="0.25">
      <c r="AO438" s="4"/>
    </row>
    <row r="439" spans="41:41" ht="18" customHeight="1" x14ac:dyDescent="0.25">
      <c r="AO439" s="4"/>
    </row>
    <row r="440" spans="41:41" ht="18" customHeight="1" x14ac:dyDescent="0.25">
      <c r="AO440" s="4"/>
    </row>
    <row r="441" spans="41:41" ht="18" customHeight="1" x14ac:dyDescent="0.25">
      <c r="AO441" s="4"/>
    </row>
    <row r="442" spans="41:41" ht="18" customHeight="1" x14ac:dyDescent="0.25">
      <c r="AO442" s="4"/>
    </row>
    <row r="443" spans="41:41" ht="18" customHeight="1" x14ac:dyDescent="0.25">
      <c r="AO443" s="4"/>
    </row>
    <row r="444" spans="41:41" ht="18" customHeight="1" x14ac:dyDescent="0.25">
      <c r="AO444" s="4"/>
    </row>
    <row r="445" spans="41:41" ht="18" customHeight="1" x14ac:dyDescent="0.25">
      <c r="AO445" s="4"/>
    </row>
    <row r="446" spans="41:41" ht="18" customHeight="1" x14ac:dyDescent="0.25">
      <c r="AO446" s="4"/>
    </row>
    <row r="447" spans="41:41" ht="18" customHeight="1" x14ac:dyDescent="0.25">
      <c r="AO447" s="4"/>
    </row>
    <row r="448" spans="41:41" ht="18" customHeight="1" x14ac:dyDescent="0.25">
      <c r="AO448" s="4"/>
    </row>
    <row r="449" spans="41:41" ht="18" customHeight="1" x14ac:dyDescent="0.25">
      <c r="AO449" s="4"/>
    </row>
    <row r="450" spans="41:41" ht="18" customHeight="1" x14ac:dyDescent="0.25">
      <c r="AO450" s="4"/>
    </row>
    <row r="451" spans="41:41" ht="18" customHeight="1" x14ac:dyDescent="0.25">
      <c r="AO451" s="4"/>
    </row>
    <row r="452" spans="41:41" ht="18" customHeight="1" x14ac:dyDescent="0.25">
      <c r="AO452" s="4"/>
    </row>
    <row r="453" spans="41:41" ht="18" customHeight="1" x14ac:dyDescent="0.25">
      <c r="AO453" s="4"/>
    </row>
    <row r="454" spans="41:41" ht="18" customHeight="1" x14ac:dyDescent="0.25">
      <c r="AO454" s="4"/>
    </row>
    <row r="455" spans="41:41" ht="18" customHeight="1" x14ac:dyDescent="0.25">
      <c r="AO455" s="4"/>
    </row>
    <row r="456" spans="41:41" ht="18" customHeight="1" x14ac:dyDescent="0.25">
      <c r="AO456" s="4"/>
    </row>
    <row r="457" spans="41:41" ht="18" customHeight="1" x14ac:dyDescent="0.25">
      <c r="AO457" s="4"/>
    </row>
    <row r="458" spans="41:41" ht="18" customHeight="1" x14ac:dyDescent="0.25">
      <c r="AO458" s="4"/>
    </row>
    <row r="459" spans="41:41" ht="18" customHeight="1" x14ac:dyDescent="0.25">
      <c r="AO459" s="4"/>
    </row>
    <row r="460" spans="41:41" ht="18" customHeight="1" x14ac:dyDescent="0.25">
      <c r="AO460" s="4"/>
    </row>
    <row r="461" spans="41:41" ht="18" customHeight="1" x14ac:dyDescent="0.25">
      <c r="AO461" s="4"/>
    </row>
    <row r="462" spans="41:41" ht="18" customHeight="1" x14ac:dyDescent="0.25">
      <c r="AO462" s="4"/>
    </row>
    <row r="463" spans="41:41" ht="18" customHeight="1" x14ac:dyDescent="0.25">
      <c r="AO463" s="4"/>
    </row>
    <row r="464" spans="41:41" ht="18" customHeight="1" x14ac:dyDescent="0.25">
      <c r="AO464" s="4"/>
    </row>
    <row r="465" spans="41:41" ht="18" customHeight="1" x14ac:dyDescent="0.25">
      <c r="AO465" s="4"/>
    </row>
    <row r="466" spans="41:41" ht="18" customHeight="1" x14ac:dyDescent="0.25">
      <c r="AO466" s="4"/>
    </row>
    <row r="467" spans="41:41" ht="18" customHeight="1" x14ac:dyDescent="0.25">
      <c r="AO467" s="4"/>
    </row>
    <row r="468" spans="41:41" ht="18" customHeight="1" x14ac:dyDescent="0.25">
      <c r="AO468" s="4"/>
    </row>
    <row r="469" spans="41:41" ht="18" customHeight="1" x14ac:dyDescent="0.25">
      <c r="AO469" s="4"/>
    </row>
    <row r="470" spans="41:41" ht="18" customHeight="1" x14ac:dyDescent="0.25">
      <c r="AO470" s="4"/>
    </row>
    <row r="471" spans="41:41" ht="18" customHeight="1" x14ac:dyDescent="0.25">
      <c r="AO471" s="4"/>
    </row>
    <row r="472" spans="41:41" ht="18" customHeight="1" x14ac:dyDescent="0.25">
      <c r="AO472" s="4"/>
    </row>
    <row r="473" spans="41:41" ht="18" customHeight="1" x14ac:dyDescent="0.25">
      <c r="AO473" s="4"/>
    </row>
    <row r="474" spans="41:41" ht="18" customHeight="1" x14ac:dyDescent="0.25">
      <c r="AO474" s="4"/>
    </row>
    <row r="475" spans="41:41" ht="18" customHeight="1" x14ac:dyDescent="0.25">
      <c r="AO475" s="4"/>
    </row>
    <row r="476" spans="41:41" ht="18" customHeight="1" x14ac:dyDescent="0.25">
      <c r="AO476" s="4"/>
    </row>
    <row r="477" spans="41:41" ht="18" customHeight="1" x14ac:dyDescent="0.25">
      <c r="AO477" s="4"/>
    </row>
    <row r="478" spans="41:41" ht="18" customHeight="1" x14ac:dyDescent="0.25">
      <c r="AO478" s="4"/>
    </row>
    <row r="479" spans="41:41" ht="18" customHeight="1" x14ac:dyDescent="0.25">
      <c r="AO479" s="4"/>
    </row>
    <row r="480" spans="41:41" ht="18" customHeight="1" x14ac:dyDescent="0.25">
      <c r="AO480" s="4"/>
    </row>
    <row r="481" spans="41:41" ht="18" customHeight="1" x14ac:dyDescent="0.25">
      <c r="AO481" s="4"/>
    </row>
    <row r="482" spans="41:41" ht="18" customHeight="1" x14ac:dyDescent="0.25">
      <c r="AO482" s="4"/>
    </row>
    <row r="483" spans="41:41" ht="18" customHeight="1" x14ac:dyDescent="0.25">
      <c r="AO483" s="4"/>
    </row>
    <row r="484" spans="41:41" ht="18" customHeight="1" x14ac:dyDescent="0.25">
      <c r="AO484" s="4"/>
    </row>
    <row r="485" spans="41:41" ht="18" customHeight="1" x14ac:dyDescent="0.25">
      <c r="AO485" s="4"/>
    </row>
    <row r="486" spans="41:41" ht="18" customHeight="1" x14ac:dyDescent="0.25">
      <c r="AO486" s="4"/>
    </row>
    <row r="487" spans="41:41" ht="18" customHeight="1" x14ac:dyDescent="0.25">
      <c r="AO487" s="4"/>
    </row>
    <row r="488" spans="41:41" ht="18" customHeight="1" x14ac:dyDescent="0.25">
      <c r="AO488" s="4"/>
    </row>
    <row r="489" spans="41:41" ht="18" customHeight="1" x14ac:dyDescent="0.25">
      <c r="AO489" s="4"/>
    </row>
    <row r="490" spans="41:41" ht="18" customHeight="1" x14ac:dyDescent="0.25">
      <c r="AO490" s="4"/>
    </row>
    <row r="491" spans="41:41" ht="18" customHeight="1" x14ac:dyDescent="0.25">
      <c r="AO491" s="4"/>
    </row>
    <row r="492" spans="41:41" ht="18" customHeight="1" x14ac:dyDescent="0.25">
      <c r="AO492" s="4"/>
    </row>
    <row r="493" spans="41:41" ht="18" customHeight="1" x14ac:dyDescent="0.25">
      <c r="AO493" s="4"/>
    </row>
    <row r="494" spans="41:41" ht="18" customHeight="1" x14ac:dyDescent="0.25">
      <c r="AO494" s="4"/>
    </row>
    <row r="495" spans="41:41" ht="18" customHeight="1" x14ac:dyDescent="0.25">
      <c r="AO495" s="4"/>
    </row>
    <row r="496" spans="41:41" ht="18" customHeight="1" x14ac:dyDescent="0.25">
      <c r="AO496" s="4"/>
    </row>
    <row r="497" spans="41:41" ht="18" customHeight="1" x14ac:dyDescent="0.25">
      <c r="AO497" s="4"/>
    </row>
    <row r="498" spans="41:41" ht="18" customHeight="1" x14ac:dyDescent="0.25">
      <c r="AO498" s="4"/>
    </row>
    <row r="499" spans="41:41" ht="18" customHeight="1" x14ac:dyDescent="0.25">
      <c r="AO499" s="4"/>
    </row>
    <row r="500" spans="41:41" ht="18" customHeight="1" x14ac:dyDescent="0.25">
      <c r="AO500" s="4"/>
    </row>
    <row r="501" spans="41:41" ht="18" customHeight="1" x14ac:dyDescent="0.25">
      <c r="AO501" s="4"/>
    </row>
    <row r="502" spans="41:41" ht="18" customHeight="1" x14ac:dyDescent="0.25">
      <c r="AO502" s="4"/>
    </row>
    <row r="503" spans="41:41" ht="18" customHeight="1" x14ac:dyDescent="0.25">
      <c r="AO503" s="4"/>
    </row>
    <row r="504" spans="41:41" ht="18" customHeight="1" x14ac:dyDescent="0.25">
      <c r="AO504" s="4"/>
    </row>
    <row r="505" spans="41:41" ht="18" customHeight="1" x14ac:dyDescent="0.25">
      <c r="AO505" s="4"/>
    </row>
    <row r="506" spans="41:41" ht="18" customHeight="1" x14ac:dyDescent="0.25">
      <c r="AO506" s="4"/>
    </row>
    <row r="507" spans="41:41" ht="18" customHeight="1" x14ac:dyDescent="0.25">
      <c r="AO507" s="4"/>
    </row>
    <row r="508" spans="41:41" ht="18" customHeight="1" x14ac:dyDescent="0.25">
      <c r="AO508" s="4"/>
    </row>
    <row r="509" spans="41:41" ht="18" customHeight="1" x14ac:dyDescent="0.25">
      <c r="AO509" s="4"/>
    </row>
    <row r="510" spans="41:41" ht="18" customHeight="1" x14ac:dyDescent="0.25">
      <c r="AO510" s="4"/>
    </row>
    <row r="511" spans="41:41" ht="18" customHeight="1" x14ac:dyDescent="0.25">
      <c r="AO511" s="4"/>
    </row>
    <row r="512" spans="41:41" ht="18" customHeight="1" x14ac:dyDescent="0.25">
      <c r="AO512" s="4"/>
    </row>
    <row r="513" spans="41:41" ht="18" customHeight="1" x14ac:dyDescent="0.25">
      <c r="AO513" s="4"/>
    </row>
    <row r="514" spans="41:41" ht="18" customHeight="1" x14ac:dyDescent="0.25">
      <c r="AO514" s="4"/>
    </row>
    <row r="515" spans="41:41" ht="18" customHeight="1" x14ac:dyDescent="0.25">
      <c r="AO515" s="4"/>
    </row>
    <row r="516" spans="41:41" ht="18" customHeight="1" x14ac:dyDescent="0.25">
      <c r="AO516" s="4"/>
    </row>
    <row r="517" spans="41:41" ht="18" customHeight="1" x14ac:dyDescent="0.25">
      <c r="AO517" s="4"/>
    </row>
    <row r="518" spans="41:41" ht="18" customHeight="1" x14ac:dyDescent="0.25">
      <c r="AO518" s="4"/>
    </row>
    <row r="519" spans="41:41" ht="18" customHeight="1" x14ac:dyDescent="0.25">
      <c r="AO519" s="4"/>
    </row>
    <row r="520" spans="41:41" ht="18" customHeight="1" x14ac:dyDescent="0.25">
      <c r="AO520" s="4"/>
    </row>
    <row r="521" spans="41:41" ht="18" customHeight="1" x14ac:dyDescent="0.25">
      <c r="AO521" s="4"/>
    </row>
    <row r="522" spans="41:41" ht="18" customHeight="1" x14ac:dyDescent="0.25">
      <c r="AO522" s="4"/>
    </row>
    <row r="523" spans="41:41" ht="18" customHeight="1" x14ac:dyDescent="0.25">
      <c r="AO523" s="4"/>
    </row>
    <row r="524" spans="41:41" ht="18" customHeight="1" x14ac:dyDescent="0.25">
      <c r="AO524" s="4"/>
    </row>
    <row r="525" spans="41:41" ht="18" customHeight="1" x14ac:dyDescent="0.25">
      <c r="AO525" s="4"/>
    </row>
    <row r="526" spans="41:41" ht="18" customHeight="1" x14ac:dyDescent="0.25">
      <c r="AO526" s="4"/>
    </row>
    <row r="527" spans="41:41" ht="18" customHeight="1" x14ac:dyDescent="0.25">
      <c r="AO527" s="4"/>
    </row>
    <row r="528" spans="41:41" ht="18" customHeight="1" x14ac:dyDescent="0.25">
      <c r="AO528" s="4"/>
    </row>
    <row r="529" spans="41:41" ht="18" customHeight="1" x14ac:dyDescent="0.25">
      <c r="AO529" s="4"/>
    </row>
    <row r="530" spans="41:41" ht="18" customHeight="1" x14ac:dyDescent="0.25">
      <c r="AO530" s="4"/>
    </row>
    <row r="531" spans="41:41" ht="18" customHeight="1" x14ac:dyDescent="0.25">
      <c r="AO531" s="4"/>
    </row>
    <row r="532" spans="41:41" ht="18" customHeight="1" x14ac:dyDescent="0.25">
      <c r="AO532" s="4"/>
    </row>
    <row r="533" spans="41:41" ht="18" customHeight="1" x14ac:dyDescent="0.25">
      <c r="AO533" s="4"/>
    </row>
    <row r="534" spans="41:41" ht="18" customHeight="1" x14ac:dyDescent="0.25">
      <c r="AO534" s="4"/>
    </row>
    <row r="535" spans="41:41" ht="18" customHeight="1" x14ac:dyDescent="0.25">
      <c r="AO535" s="4"/>
    </row>
    <row r="536" spans="41:41" ht="18" customHeight="1" x14ac:dyDescent="0.25">
      <c r="AO536" s="4"/>
    </row>
    <row r="537" spans="41:41" ht="18" customHeight="1" x14ac:dyDescent="0.25">
      <c r="AO537" s="4"/>
    </row>
    <row r="538" spans="41:41" ht="18" customHeight="1" x14ac:dyDescent="0.25">
      <c r="AO538" s="4"/>
    </row>
    <row r="539" spans="41:41" ht="18" customHeight="1" x14ac:dyDescent="0.25">
      <c r="AO539" s="4"/>
    </row>
    <row r="540" spans="41:41" ht="18" customHeight="1" x14ac:dyDescent="0.25">
      <c r="AO540" s="4"/>
    </row>
    <row r="541" spans="41:41" ht="18" customHeight="1" x14ac:dyDescent="0.25">
      <c r="AO541" s="4"/>
    </row>
    <row r="542" spans="41:41" ht="18" customHeight="1" x14ac:dyDescent="0.25">
      <c r="AO542" s="4"/>
    </row>
    <row r="543" spans="41:41" ht="18" customHeight="1" x14ac:dyDescent="0.25">
      <c r="AO543" s="4"/>
    </row>
    <row r="544" spans="41:41" ht="18" customHeight="1" x14ac:dyDescent="0.25">
      <c r="AO544" s="4"/>
    </row>
    <row r="545" spans="41:41" ht="18" customHeight="1" x14ac:dyDescent="0.25">
      <c r="AO545" s="4"/>
    </row>
    <row r="546" spans="41:41" ht="18" customHeight="1" x14ac:dyDescent="0.25">
      <c r="AO546" s="4"/>
    </row>
    <row r="547" spans="41:41" ht="18" customHeight="1" x14ac:dyDescent="0.25">
      <c r="AO547" s="4"/>
    </row>
    <row r="548" spans="41:41" ht="18" customHeight="1" x14ac:dyDescent="0.25">
      <c r="AO548" s="4"/>
    </row>
    <row r="549" spans="41:41" ht="18" customHeight="1" x14ac:dyDescent="0.25">
      <c r="AO549" s="4"/>
    </row>
    <row r="550" spans="41:41" ht="18" customHeight="1" x14ac:dyDescent="0.25">
      <c r="AO550" s="4"/>
    </row>
    <row r="551" spans="41:41" ht="18" customHeight="1" x14ac:dyDescent="0.25">
      <c r="AO551" s="4"/>
    </row>
    <row r="552" spans="41:41" ht="18" customHeight="1" x14ac:dyDescent="0.25">
      <c r="AO552" s="4"/>
    </row>
    <row r="553" spans="41:41" ht="18" customHeight="1" x14ac:dyDescent="0.25">
      <c r="AO553" s="4"/>
    </row>
    <row r="554" spans="41:41" ht="18" customHeight="1" x14ac:dyDescent="0.25">
      <c r="AO554" s="4"/>
    </row>
    <row r="555" spans="41:41" ht="18" customHeight="1" x14ac:dyDescent="0.25">
      <c r="AO555" s="4"/>
    </row>
    <row r="556" spans="41:41" ht="18" customHeight="1" x14ac:dyDescent="0.25">
      <c r="AO556" s="4"/>
    </row>
    <row r="557" spans="41:41" ht="18" customHeight="1" x14ac:dyDescent="0.25">
      <c r="AO557" s="4"/>
    </row>
    <row r="558" spans="41:41" ht="18" customHeight="1" x14ac:dyDescent="0.25">
      <c r="AO558" s="4"/>
    </row>
    <row r="559" spans="41:41" ht="18" customHeight="1" x14ac:dyDescent="0.25">
      <c r="AO559" s="4"/>
    </row>
    <row r="560" spans="41:41" ht="18" customHeight="1" x14ac:dyDescent="0.25">
      <c r="AO560" s="4"/>
    </row>
    <row r="561" spans="41:41" ht="18" customHeight="1" x14ac:dyDescent="0.25">
      <c r="AO561" s="4"/>
    </row>
    <row r="562" spans="41:41" ht="18" customHeight="1" x14ac:dyDescent="0.25">
      <c r="AO562" s="4"/>
    </row>
    <row r="563" spans="41:41" ht="18" customHeight="1" x14ac:dyDescent="0.25">
      <c r="AO563" s="4"/>
    </row>
    <row r="564" spans="41:41" ht="18" customHeight="1" x14ac:dyDescent="0.25">
      <c r="AO564" s="4"/>
    </row>
    <row r="565" spans="41:41" ht="18" customHeight="1" x14ac:dyDescent="0.25">
      <c r="AO565" s="4"/>
    </row>
    <row r="566" spans="41:41" ht="18" customHeight="1" x14ac:dyDescent="0.25">
      <c r="AO566" s="4"/>
    </row>
    <row r="567" spans="41:41" ht="18" customHeight="1" x14ac:dyDescent="0.25">
      <c r="AO567" s="4"/>
    </row>
    <row r="568" spans="41:41" ht="18" customHeight="1" x14ac:dyDescent="0.25">
      <c r="AO568" s="4"/>
    </row>
    <row r="569" spans="41:41" ht="18" customHeight="1" x14ac:dyDescent="0.25">
      <c r="AO569" s="4"/>
    </row>
    <row r="570" spans="41:41" ht="18" customHeight="1" x14ac:dyDescent="0.25">
      <c r="AO570" s="4"/>
    </row>
    <row r="571" spans="41:41" ht="18" customHeight="1" x14ac:dyDescent="0.25">
      <c r="AO571" s="4"/>
    </row>
    <row r="572" spans="41:41" ht="18" customHeight="1" x14ac:dyDescent="0.25">
      <c r="AO572" s="4"/>
    </row>
    <row r="573" spans="41:41" ht="18" customHeight="1" x14ac:dyDescent="0.25">
      <c r="AO573" s="4"/>
    </row>
    <row r="574" spans="41:41" ht="18" customHeight="1" x14ac:dyDescent="0.25">
      <c r="AO574" s="4"/>
    </row>
    <row r="575" spans="41:41" ht="18" customHeight="1" x14ac:dyDescent="0.25">
      <c r="AO575" s="4"/>
    </row>
    <row r="576" spans="41:41" ht="18" customHeight="1" x14ac:dyDescent="0.25">
      <c r="AO576" s="4"/>
    </row>
    <row r="577" spans="41:41" ht="18" customHeight="1" x14ac:dyDescent="0.25">
      <c r="AO577" s="4"/>
    </row>
    <row r="578" spans="41:41" ht="18" customHeight="1" x14ac:dyDescent="0.25">
      <c r="AO578" s="4"/>
    </row>
    <row r="579" spans="41:41" ht="18" customHeight="1" x14ac:dyDescent="0.25">
      <c r="AO579" s="4"/>
    </row>
    <row r="580" spans="41:41" ht="18" customHeight="1" x14ac:dyDescent="0.25">
      <c r="AO580" s="4"/>
    </row>
    <row r="581" spans="41:41" ht="18" customHeight="1" x14ac:dyDescent="0.25">
      <c r="AO581" s="4"/>
    </row>
    <row r="582" spans="41:41" ht="18" customHeight="1" x14ac:dyDescent="0.25">
      <c r="AO582" s="4"/>
    </row>
    <row r="583" spans="41:41" ht="18" customHeight="1" x14ac:dyDescent="0.25">
      <c r="AO583" s="4"/>
    </row>
    <row r="584" spans="41:41" ht="18" customHeight="1" x14ac:dyDescent="0.25">
      <c r="AO584" s="4"/>
    </row>
    <row r="585" spans="41:41" ht="18" customHeight="1" x14ac:dyDescent="0.25">
      <c r="AO585" s="4"/>
    </row>
    <row r="586" spans="41:41" ht="18" customHeight="1" x14ac:dyDescent="0.25">
      <c r="AO586" s="4"/>
    </row>
    <row r="587" spans="41:41" ht="18" customHeight="1" x14ac:dyDescent="0.25">
      <c r="AO587" s="4"/>
    </row>
    <row r="588" spans="41:41" ht="18" customHeight="1" x14ac:dyDescent="0.25">
      <c r="AO588" s="4"/>
    </row>
    <row r="589" spans="41:41" ht="18" customHeight="1" x14ac:dyDescent="0.25">
      <c r="AO589" s="4"/>
    </row>
    <row r="590" spans="41:41" ht="18" customHeight="1" x14ac:dyDescent="0.25">
      <c r="AO590" s="4"/>
    </row>
    <row r="591" spans="41:41" ht="18" customHeight="1" x14ac:dyDescent="0.25">
      <c r="AO591" s="4"/>
    </row>
    <row r="592" spans="41:41" ht="18" customHeight="1" x14ac:dyDescent="0.25">
      <c r="AO592" s="4"/>
    </row>
    <row r="593" spans="41:41" ht="18" customHeight="1" x14ac:dyDescent="0.25">
      <c r="AO593" s="4"/>
    </row>
    <row r="594" spans="41:41" ht="18" customHeight="1" x14ac:dyDescent="0.25">
      <c r="AO594" s="4"/>
    </row>
    <row r="595" spans="41:41" ht="18" customHeight="1" x14ac:dyDescent="0.25">
      <c r="AO595" s="4"/>
    </row>
    <row r="596" spans="41:41" ht="18" customHeight="1" x14ac:dyDescent="0.25">
      <c r="AO596" s="4"/>
    </row>
    <row r="597" spans="41:41" ht="18" customHeight="1" x14ac:dyDescent="0.25">
      <c r="AO597" s="4"/>
    </row>
    <row r="598" spans="41:41" ht="18" customHeight="1" x14ac:dyDescent="0.25">
      <c r="AO598" s="4"/>
    </row>
    <row r="599" spans="41:41" ht="18" customHeight="1" x14ac:dyDescent="0.25">
      <c r="AO599" s="4"/>
    </row>
    <row r="600" spans="41:41" ht="18" customHeight="1" x14ac:dyDescent="0.25">
      <c r="AO600" s="4"/>
    </row>
    <row r="601" spans="41:41" ht="18" customHeight="1" x14ac:dyDescent="0.25">
      <c r="AO601" s="4"/>
    </row>
    <row r="602" spans="41:41" ht="18" customHeight="1" x14ac:dyDescent="0.25">
      <c r="AO602" s="4"/>
    </row>
    <row r="603" spans="41:41" ht="18" customHeight="1" x14ac:dyDescent="0.25">
      <c r="AO603" s="4"/>
    </row>
    <row r="604" spans="41:41" ht="18" customHeight="1" x14ac:dyDescent="0.25">
      <c r="AO604" s="4"/>
    </row>
    <row r="605" spans="41:41" ht="18" customHeight="1" x14ac:dyDescent="0.25">
      <c r="AO605" s="4"/>
    </row>
    <row r="606" spans="41:41" ht="18" customHeight="1" x14ac:dyDescent="0.25">
      <c r="AO606" s="4"/>
    </row>
    <row r="607" spans="41:41" ht="18" customHeight="1" x14ac:dyDescent="0.25">
      <c r="AO607" s="4"/>
    </row>
    <row r="608" spans="41:41" ht="18" customHeight="1" x14ac:dyDescent="0.25">
      <c r="AO608" s="4"/>
    </row>
    <row r="609" spans="41:41" ht="18" customHeight="1" x14ac:dyDescent="0.25">
      <c r="AO609" s="4"/>
    </row>
    <row r="610" spans="41:41" ht="18" customHeight="1" x14ac:dyDescent="0.25">
      <c r="AO610" s="4"/>
    </row>
    <row r="611" spans="41:41" ht="18" customHeight="1" x14ac:dyDescent="0.25">
      <c r="AO611" s="4"/>
    </row>
    <row r="612" spans="41:41" ht="18" customHeight="1" x14ac:dyDescent="0.25">
      <c r="AO612" s="4"/>
    </row>
    <row r="613" spans="41:41" ht="18" customHeight="1" x14ac:dyDescent="0.25">
      <c r="AO613" s="4"/>
    </row>
    <row r="614" spans="41:41" ht="18" customHeight="1" x14ac:dyDescent="0.25">
      <c r="AO614" s="4"/>
    </row>
    <row r="615" spans="41:41" ht="18" customHeight="1" x14ac:dyDescent="0.25">
      <c r="AO615" s="4"/>
    </row>
    <row r="616" spans="41:41" ht="18" customHeight="1" x14ac:dyDescent="0.25">
      <c r="AO616" s="4"/>
    </row>
    <row r="617" spans="41:41" ht="18" customHeight="1" x14ac:dyDescent="0.25">
      <c r="AO617" s="4"/>
    </row>
    <row r="618" spans="41:41" ht="18" customHeight="1" x14ac:dyDescent="0.25">
      <c r="AO618" s="4"/>
    </row>
    <row r="619" spans="41:41" ht="18" customHeight="1" x14ac:dyDescent="0.25">
      <c r="AO619" s="4"/>
    </row>
    <row r="620" spans="41:41" ht="18" customHeight="1" x14ac:dyDescent="0.25">
      <c r="AO620" s="4"/>
    </row>
    <row r="621" spans="41:41" ht="18" customHeight="1" x14ac:dyDescent="0.25">
      <c r="AO621" s="4"/>
    </row>
    <row r="622" spans="41:41" ht="18" customHeight="1" x14ac:dyDescent="0.25">
      <c r="AO622" s="4"/>
    </row>
    <row r="623" spans="41:41" ht="18" customHeight="1" x14ac:dyDescent="0.25">
      <c r="AO623" s="4"/>
    </row>
    <row r="624" spans="41:41" ht="18" customHeight="1" x14ac:dyDescent="0.25">
      <c r="AO624" s="4"/>
    </row>
    <row r="625" spans="41:41" ht="18" customHeight="1" x14ac:dyDescent="0.25">
      <c r="AO625" s="4"/>
    </row>
    <row r="626" spans="41:41" ht="18" customHeight="1" x14ac:dyDescent="0.25">
      <c r="AO626" s="4"/>
    </row>
    <row r="627" spans="41:41" ht="18" customHeight="1" x14ac:dyDescent="0.25">
      <c r="AO627" s="4"/>
    </row>
    <row r="628" spans="41:41" ht="18" customHeight="1" x14ac:dyDescent="0.25">
      <c r="AO628" s="4"/>
    </row>
    <row r="629" spans="41:41" ht="18" customHeight="1" x14ac:dyDescent="0.25">
      <c r="AO629" s="4"/>
    </row>
    <row r="630" spans="41:41" ht="18" customHeight="1" x14ac:dyDescent="0.25">
      <c r="AO630" s="4"/>
    </row>
    <row r="631" spans="41:41" ht="18" customHeight="1" x14ac:dyDescent="0.25">
      <c r="AO631" s="4"/>
    </row>
    <row r="632" spans="41:41" ht="18" customHeight="1" x14ac:dyDescent="0.25">
      <c r="AO632" s="4"/>
    </row>
    <row r="633" spans="41:41" ht="18" customHeight="1" x14ac:dyDescent="0.25">
      <c r="AO633" s="4"/>
    </row>
    <row r="634" spans="41:41" ht="18" customHeight="1" x14ac:dyDescent="0.25">
      <c r="AO634" s="4"/>
    </row>
    <row r="635" spans="41:41" ht="18" customHeight="1" x14ac:dyDescent="0.25">
      <c r="AO635" s="4"/>
    </row>
    <row r="636" spans="41:41" ht="18" customHeight="1" x14ac:dyDescent="0.25">
      <c r="AO636" s="4"/>
    </row>
    <row r="637" spans="41:41" ht="18" customHeight="1" x14ac:dyDescent="0.25">
      <c r="AO637" s="4"/>
    </row>
    <row r="638" spans="41:41" ht="18" customHeight="1" x14ac:dyDescent="0.25">
      <c r="AO638" s="4"/>
    </row>
    <row r="639" spans="41:41" ht="18" customHeight="1" x14ac:dyDescent="0.25">
      <c r="AO639" s="4"/>
    </row>
    <row r="640" spans="41:41" ht="18" customHeight="1" x14ac:dyDescent="0.25">
      <c r="AO640" s="4"/>
    </row>
    <row r="641" spans="41:41" ht="18" customHeight="1" x14ac:dyDescent="0.25">
      <c r="AO641" s="4"/>
    </row>
    <row r="642" spans="41:41" ht="18" customHeight="1" x14ac:dyDescent="0.25">
      <c r="AO642" s="4"/>
    </row>
    <row r="643" spans="41:41" ht="18" customHeight="1" x14ac:dyDescent="0.25">
      <c r="AO643" s="4"/>
    </row>
    <row r="644" spans="41:41" ht="18" customHeight="1" x14ac:dyDescent="0.25">
      <c r="AO644" s="4"/>
    </row>
    <row r="645" spans="41:41" ht="18" customHeight="1" x14ac:dyDescent="0.25">
      <c r="AO645" s="4"/>
    </row>
    <row r="646" spans="41:41" ht="18" customHeight="1" x14ac:dyDescent="0.25">
      <c r="AO646" s="4"/>
    </row>
    <row r="647" spans="41:41" ht="18" customHeight="1" x14ac:dyDescent="0.25">
      <c r="AO647" s="4"/>
    </row>
    <row r="648" spans="41:41" ht="18" customHeight="1" x14ac:dyDescent="0.25">
      <c r="AO648" s="4"/>
    </row>
    <row r="649" spans="41:41" ht="18" customHeight="1" x14ac:dyDescent="0.25">
      <c r="AO649" s="4"/>
    </row>
    <row r="650" spans="41:41" ht="18" customHeight="1" x14ac:dyDescent="0.25">
      <c r="AO650" s="4"/>
    </row>
    <row r="651" spans="41:41" ht="18" customHeight="1" x14ac:dyDescent="0.25">
      <c r="AO651" s="4"/>
    </row>
    <row r="652" spans="41:41" ht="18" customHeight="1" x14ac:dyDescent="0.25">
      <c r="AO652" s="4"/>
    </row>
    <row r="653" spans="41:41" ht="18" customHeight="1" x14ac:dyDescent="0.25">
      <c r="AO653" s="4"/>
    </row>
    <row r="654" spans="41:41" ht="18" customHeight="1" x14ac:dyDescent="0.25">
      <c r="AO654" s="4"/>
    </row>
    <row r="655" spans="41:41" ht="18" customHeight="1" x14ac:dyDescent="0.25">
      <c r="AO655" s="4"/>
    </row>
    <row r="656" spans="41:41" ht="18" customHeight="1" x14ac:dyDescent="0.25">
      <c r="AO656" s="4"/>
    </row>
    <row r="657" spans="41:41" ht="18" customHeight="1" x14ac:dyDescent="0.25">
      <c r="AO657" s="4"/>
    </row>
    <row r="658" spans="41:41" ht="18" customHeight="1" x14ac:dyDescent="0.25">
      <c r="AO658" s="4"/>
    </row>
    <row r="659" spans="41:41" ht="18" customHeight="1" x14ac:dyDescent="0.25">
      <c r="AO659" s="4"/>
    </row>
    <row r="660" spans="41:41" ht="18" customHeight="1" x14ac:dyDescent="0.25">
      <c r="AO660" s="4"/>
    </row>
    <row r="661" spans="41:41" ht="18" customHeight="1" x14ac:dyDescent="0.25">
      <c r="AO661" s="4"/>
    </row>
    <row r="662" spans="41:41" ht="18" customHeight="1" x14ac:dyDescent="0.25">
      <c r="AO662" s="4"/>
    </row>
    <row r="663" spans="41:41" ht="18" customHeight="1" x14ac:dyDescent="0.25">
      <c r="AO663" s="4"/>
    </row>
    <row r="664" spans="41:41" ht="18" customHeight="1" x14ac:dyDescent="0.25">
      <c r="AO664" s="4"/>
    </row>
    <row r="665" spans="41:41" ht="18" customHeight="1" x14ac:dyDescent="0.25">
      <c r="AO665" s="4"/>
    </row>
    <row r="666" spans="41:41" ht="18" customHeight="1" x14ac:dyDescent="0.25">
      <c r="AO666" s="4"/>
    </row>
    <row r="667" spans="41:41" ht="18" customHeight="1" x14ac:dyDescent="0.25">
      <c r="AO667" s="4"/>
    </row>
    <row r="668" spans="41:41" ht="18" customHeight="1" x14ac:dyDescent="0.25">
      <c r="AO668" s="4"/>
    </row>
    <row r="669" spans="41:41" ht="18" customHeight="1" x14ac:dyDescent="0.25">
      <c r="AO669" s="4"/>
    </row>
    <row r="670" spans="41:41" ht="18" customHeight="1" x14ac:dyDescent="0.25">
      <c r="AO670" s="4"/>
    </row>
    <row r="671" spans="41:41" ht="18" customHeight="1" x14ac:dyDescent="0.25">
      <c r="AO671" s="4"/>
    </row>
    <row r="672" spans="41:41" ht="18" customHeight="1" x14ac:dyDescent="0.25">
      <c r="AO672" s="4"/>
    </row>
    <row r="673" spans="41:41" ht="18" customHeight="1" x14ac:dyDescent="0.25">
      <c r="AO673" s="4"/>
    </row>
    <row r="674" spans="41:41" ht="18" customHeight="1" x14ac:dyDescent="0.25">
      <c r="AO674" s="4"/>
    </row>
    <row r="675" spans="41:41" ht="18" customHeight="1" x14ac:dyDescent="0.25">
      <c r="AO675" s="4"/>
    </row>
    <row r="676" spans="41:41" ht="18" customHeight="1" x14ac:dyDescent="0.25">
      <c r="AO676" s="4"/>
    </row>
    <row r="677" spans="41:41" ht="18" customHeight="1" x14ac:dyDescent="0.25">
      <c r="AO677" s="4"/>
    </row>
    <row r="678" spans="41:41" ht="18" customHeight="1" x14ac:dyDescent="0.25">
      <c r="AO678" s="4"/>
    </row>
    <row r="679" spans="41:41" ht="18" customHeight="1" x14ac:dyDescent="0.25">
      <c r="AO679" s="4"/>
    </row>
    <row r="680" spans="41:41" ht="18" customHeight="1" x14ac:dyDescent="0.25">
      <c r="AO680" s="4"/>
    </row>
    <row r="681" spans="41:41" ht="18" customHeight="1" x14ac:dyDescent="0.25">
      <c r="AO681" s="4"/>
    </row>
    <row r="682" spans="41:41" ht="18" customHeight="1" x14ac:dyDescent="0.25">
      <c r="AO682" s="4"/>
    </row>
    <row r="683" spans="41:41" ht="18" customHeight="1" x14ac:dyDescent="0.25">
      <c r="AO683" s="4"/>
    </row>
    <row r="684" spans="41:41" ht="18" customHeight="1" x14ac:dyDescent="0.25">
      <c r="AO684" s="4"/>
    </row>
    <row r="685" spans="41:41" ht="18" customHeight="1" x14ac:dyDescent="0.25">
      <c r="AO685" s="4"/>
    </row>
    <row r="686" spans="41:41" ht="18" customHeight="1" x14ac:dyDescent="0.25">
      <c r="AO686" s="4"/>
    </row>
    <row r="687" spans="41:41" ht="18" customHeight="1" x14ac:dyDescent="0.25">
      <c r="AO687" s="4"/>
    </row>
    <row r="688" spans="41:41" ht="18" customHeight="1" x14ac:dyDescent="0.25">
      <c r="AO688" s="4"/>
    </row>
    <row r="689" spans="41:41" ht="18" customHeight="1" x14ac:dyDescent="0.25">
      <c r="AO689" s="4"/>
    </row>
    <row r="690" spans="41:41" ht="18" customHeight="1" x14ac:dyDescent="0.25">
      <c r="AO690" s="4"/>
    </row>
    <row r="691" spans="41:41" ht="18" customHeight="1" x14ac:dyDescent="0.25">
      <c r="AO691" s="4"/>
    </row>
    <row r="692" spans="41:41" ht="18" customHeight="1" x14ac:dyDescent="0.25">
      <c r="AO692" s="4"/>
    </row>
    <row r="693" spans="41:41" ht="18" customHeight="1" x14ac:dyDescent="0.25">
      <c r="AO693" s="4"/>
    </row>
    <row r="694" spans="41:41" ht="18" customHeight="1" x14ac:dyDescent="0.25">
      <c r="AO694" s="4"/>
    </row>
    <row r="695" spans="41:41" ht="18" customHeight="1" x14ac:dyDescent="0.25">
      <c r="AO695" s="4"/>
    </row>
    <row r="696" spans="41:41" ht="18" customHeight="1" x14ac:dyDescent="0.25">
      <c r="AO696" s="4"/>
    </row>
    <row r="697" spans="41:41" ht="18" customHeight="1" x14ac:dyDescent="0.25">
      <c r="AO697" s="4"/>
    </row>
    <row r="698" spans="41:41" ht="18" customHeight="1" x14ac:dyDescent="0.25">
      <c r="AO698" s="4"/>
    </row>
    <row r="699" spans="41:41" ht="18" customHeight="1" x14ac:dyDescent="0.25">
      <c r="AO699" s="4"/>
    </row>
    <row r="700" spans="41:41" ht="18" customHeight="1" x14ac:dyDescent="0.25">
      <c r="AO700" s="4"/>
    </row>
    <row r="701" spans="41:41" ht="18" customHeight="1" x14ac:dyDescent="0.25">
      <c r="AO701" s="4"/>
    </row>
    <row r="702" spans="41:41" ht="18" customHeight="1" x14ac:dyDescent="0.25">
      <c r="AO702" s="4"/>
    </row>
    <row r="703" spans="41:41" ht="18" customHeight="1" x14ac:dyDescent="0.25">
      <c r="AO703" s="4"/>
    </row>
    <row r="704" spans="41:41" ht="18" customHeight="1" x14ac:dyDescent="0.25">
      <c r="AO704" s="4"/>
    </row>
    <row r="705" spans="41:41" ht="18" customHeight="1" x14ac:dyDescent="0.25">
      <c r="AO705" s="4"/>
    </row>
    <row r="706" spans="41:41" ht="18" customHeight="1" x14ac:dyDescent="0.25">
      <c r="AO706" s="4"/>
    </row>
    <row r="707" spans="41:41" ht="18" customHeight="1" x14ac:dyDescent="0.25">
      <c r="AO707" s="4"/>
    </row>
    <row r="708" spans="41:41" ht="18" customHeight="1" x14ac:dyDescent="0.25">
      <c r="AO708" s="4"/>
    </row>
    <row r="709" spans="41:41" ht="18" customHeight="1" x14ac:dyDescent="0.25">
      <c r="AO709" s="4"/>
    </row>
    <row r="710" spans="41:41" ht="18" customHeight="1" x14ac:dyDescent="0.25">
      <c r="AO710" s="4"/>
    </row>
    <row r="711" spans="41:41" ht="18" customHeight="1" x14ac:dyDescent="0.25">
      <c r="AO711" s="4"/>
    </row>
    <row r="712" spans="41:41" ht="18" customHeight="1" x14ac:dyDescent="0.25">
      <c r="AO712" s="4"/>
    </row>
    <row r="713" spans="41:41" ht="18" customHeight="1" x14ac:dyDescent="0.25">
      <c r="AO713" s="4"/>
    </row>
    <row r="714" spans="41:41" ht="18" customHeight="1" x14ac:dyDescent="0.25">
      <c r="AO714" s="4"/>
    </row>
    <row r="715" spans="41:41" ht="18" customHeight="1" x14ac:dyDescent="0.25">
      <c r="AO715" s="4"/>
    </row>
    <row r="716" spans="41:41" ht="18" customHeight="1" x14ac:dyDescent="0.25">
      <c r="AO716" s="4"/>
    </row>
    <row r="717" spans="41:41" ht="18" customHeight="1" x14ac:dyDescent="0.25">
      <c r="AO717" s="4"/>
    </row>
    <row r="718" spans="41:41" ht="18" customHeight="1" x14ac:dyDescent="0.25">
      <c r="AO718" s="4"/>
    </row>
    <row r="719" spans="41:41" ht="18" customHeight="1" x14ac:dyDescent="0.25">
      <c r="AO719" s="4"/>
    </row>
    <row r="720" spans="41:41" ht="18" customHeight="1" x14ac:dyDescent="0.25">
      <c r="AO720" s="4"/>
    </row>
    <row r="721" spans="41:41" ht="18" customHeight="1" x14ac:dyDescent="0.25">
      <c r="AO721" s="4"/>
    </row>
    <row r="722" spans="41:41" ht="18" customHeight="1" x14ac:dyDescent="0.25">
      <c r="AO722" s="4"/>
    </row>
    <row r="723" spans="41:41" ht="18" customHeight="1" x14ac:dyDescent="0.25">
      <c r="AO723" s="4"/>
    </row>
    <row r="724" spans="41:41" ht="18" customHeight="1" x14ac:dyDescent="0.25">
      <c r="AO724" s="4"/>
    </row>
    <row r="725" spans="41:41" ht="18" customHeight="1" x14ac:dyDescent="0.25">
      <c r="AO725" s="4"/>
    </row>
    <row r="726" spans="41:41" ht="18" customHeight="1" x14ac:dyDescent="0.25">
      <c r="AO726" s="4"/>
    </row>
    <row r="727" spans="41:41" ht="18" customHeight="1" x14ac:dyDescent="0.25">
      <c r="AO727" s="4"/>
    </row>
    <row r="728" spans="41:41" ht="18" customHeight="1" x14ac:dyDescent="0.25">
      <c r="AO728" s="4"/>
    </row>
    <row r="729" spans="41:41" ht="18" customHeight="1" x14ac:dyDescent="0.25">
      <c r="AO729" s="4"/>
    </row>
    <row r="730" spans="41:41" ht="18" customHeight="1" x14ac:dyDescent="0.25">
      <c r="AO730" s="4"/>
    </row>
    <row r="731" spans="41:41" ht="18" customHeight="1" x14ac:dyDescent="0.25">
      <c r="AO731" s="4"/>
    </row>
    <row r="732" spans="41:41" ht="18" customHeight="1" x14ac:dyDescent="0.25">
      <c r="AO732" s="4"/>
    </row>
    <row r="733" spans="41:41" ht="18" customHeight="1" x14ac:dyDescent="0.25">
      <c r="AO733" s="4"/>
    </row>
    <row r="734" spans="41:41" ht="18" customHeight="1" x14ac:dyDescent="0.25">
      <c r="AO734" s="4"/>
    </row>
    <row r="735" spans="41:41" ht="18" customHeight="1" x14ac:dyDescent="0.25">
      <c r="AO735" s="4"/>
    </row>
    <row r="736" spans="41:41" ht="18" customHeight="1" x14ac:dyDescent="0.25">
      <c r="AO736" s="4"/>
    </row>
    <row r="737" spans="41:41" ht="18" customHeight="1" x14ac:dyDescent="0.25">
      <c r="AO737" s="4"/>
    </row>
    <row r="738" spans="41:41" ht="18" customHeight="1" x14ac:dyDescent="0.25">
      <c r="AO738" s="4"/>
    </row>
    <row r="739" spans="41:41" ht="18" customHeight="1" x14ac:dyDescent="0.25">
      <c r="AO739" s="4"/>
    </row>
    <row r="740" spans="41:41" ht="18" customHeight="1" x14ac:dyDescent="0.25">
      <c r="AO740" s="4"/>
    </row>
    <row r="741" spans="41:41" ht="18" customHeight="1" x14ac:dyDescent="0.25">
      <c r="AO741" s="4"/>
    </row>
    <row r="742" spans="41:41" ht="18" customHeight="1" x14ac:dyDescent="0.25">
      <c r="AO742" s="4"/>
    </row>
    <row r="743" spans="41:41" ht="18" customHeight="1" x14ac:dyDescent="0.25">
      <c r="AO743" s="4"/>
    </row>
    <row r="744" spans="41:41" ht="18" customHeight="1" x14ac:dyDescent="0.25">
      <c r="AO744" s="4"/>
    </row>
    <row r="745" spans="41:41" ht="18" customHeight="1" x14ac:dyDescent="0.25">
      <c r="AO745" s="4"/>
    </row>
    <row r="746" spans="41:41" ht="18" customHeight="1" x14ac:dyDescent="0.25">
      <c r="AO746" s="4"/>
    </row>
    <row r="747" spans="41:41" ht="18" customHeight="1" x14ac:dyDescent="0.25">
      <c r="AO747" s="4"/>
    </row>
    <row r="748" spans="41:41" ht="18" customHeight="1" x14ac:dyDescent="0.25">
      <c r="AO748" s="4"/>
    </row>
    <row r="749" spans="41:41" ht="18" customHeight="1" x14ac:dyDescent="0.25">
      <c r="AO749" s="4"/>
    </row>
    <row r="750" spans="41:41" ht="18" customHeight="1" x14ac:dyDescent="0.25">
      <c r="AO750" s="4"/>
    </row>
    <row r="751" spans="41:41" ht="18" customHeight="1" x14ac:dyDescent="0.25">
      <c r="AO751" s="4"/>
    </row>
    <row r="752" spans="41:41" ht="18" customHeight="1" x14ac:dyDescent="0.25">
      <c r="AO752" s="4"/>
    </row>
    <row r="753" spans="41:41" ht="18" customHeight="1" x14ac:dyDescent="0.25">
      <c r="AO753" s="4"/>
    </row>
    <row r="754" spans="41:41" ht="18" customHeight="1" x14ac:dyDescent="0.25">
      <c r="AO754" s="4"/>
    </row>
    <row r="755" spans="41:41" ht="18" customHeight="1" x14ac:dyDescent="0.25">
      <c r="AO755" s="4"/>
    </row>
    <row r="756" spans="41:41" ht="18" customHeight="1" x14ac:dyDescent="0.25">
      <c r="AO756" s="4"/>
    </row>
    <row r="757" spans="41:41" ht="18" customHeight="1" x14ac:dyDescent="0.25">
      <c r="AO757" s="4"/>
    </row>
    <row r="758" spans="41:41" ht="18" customHeight="1" x14ac:dyDescent="0.25">
      <c r="AO758" s="4"/>
    </row>
    <row r="759" spans="41:41" ht="18" customHeight="1" x14ac:dyDescent="0.25">
      <c r="AO759" s="4"/>
    </row>
    <row r="760" spans="41:41" ht="18" customHeight="1" x14ac:dyDescent="0.25">
      <c r="AO760" s="4"/>
    </row>
    <row r="761" spans="41:41" ht="18" customHeight="1" x14ac:dyDescent="0.25">
      <c r="AO761" s="4"/>
    </row>
    <row r="762" spans="41:41" ht="18" customHeight="1" x14ac:dyDescent="0.25">
      <c r="AO762" s="4"/>
    </row>
    <row r="763" spans="41:41" ht="18" customHeight="1" x14ac:dyDescent="0.25">
      <c r="AO763" s="4"/>
    </row>
    <row r="764" spans="41:41" ht="18" customHeight="1" x14ac:dyDescent="0.25">
      <c r="AO764" s="4"/>
    </row>
    <row r="765" spans="41:41" ht="18" customHeight="1" x14ac:dyDescent="0.25">
      <c r="AO765" s="4"/>
    </row>
    <row r="766" spans="41:41" ht="18" customHeight="1" x14ac:dyDescent="0.25">
      <c r="AO766" s="4"/>
    </row>
    <row r="767" spans="41:41" ht="18" customHeight="1" x14ac:dyDescent="0.25">
      <c r="AO767" s="4"/>
    </row>
    <row r="768" spans="41:41" ht="18" customHeight="1" x14ac:dyDescent="0.25">
      <c r="AO768" s="4"/>
    </row>
    <row r="769" spans="41:41" ht="18" customHeight="1" x14ac:dyDescent="0.25">
      <c r="AO769" s="4"/>
    </row>
    <row r="770" spans="41:41" ht="18" customHeight="1" x14ac:dyDescent="0.25">
      <c r="AO770" s="4"/>
    </row>
    <row r="771" spans="41:41" ht="18" customHeight="1" x14ac:dyDescent="0.25">
      <c r="AO771" s="4"/>
    </row>
    <row r="772" spans="41:41" ht="18" customHeight="1" x14ac:dyDescent="0.25">
      <c r="AO772" s="4"/>
    </row>
    <row r="773" spans="41:41" ht="18" customHeight="1" x14ac:dyDescent="0.25">
      <c r="AO773" s="4"/>
    </row>
    <row r="774" spans="41:41" ht="18" customHeight="1" x14ac:dyDescent="0.25">
      <c r="AO774" s="4"/>
    </row>
    <row r="775" spans="41:41" ht="18" customHeight="1" x14ac:dyDescent="0.25">
      <c r="AO775" s="4"/>
    </row>
    <row r="776" spans="41:41" ht="18" customHeight="1" x14ac:dyDescent="0.25">
      <c r="AO776" s="4"/>
    </row>
    <row r="777" spans="41:41" ht="18" customHeight="1" x14ac:dyDescent="0.25">
      <c r="AO777" s="4"/>
    </row>
    <row r="778" spans="41:41" ht="18" customHeight="1" x14ac:dyDescent="0.25">
      <c r="AO778" s="4"/>
    </row>
    <row r="779" spans="41:41" ht="18" customHeight="1" x14ac:dyDescent="0.25">
      <c r="AO779" s="4"/>
    </row>
    <row r="780" spans="41:41" ht="18" customHeight="1" x14ac:dyDescent="0.25">
      <c r="AO780" s="4"/>
    </row>
    <row r="781" spans="41:41" ht="18" customHeight="1" x14ac:dyDescent="0.25">
      <c r="AO781" s="4"/>
    </row>
    <row r="782" spans="41:41" ht="18" customHeight="1" x14ac:dyDescent="0.25">
      <c r="AO782" s="4"/>
    </row>
    <row r="783" spans="41:41" ht="18" customHeight="1" x14ac:dyDescent="0.25">
      <c r="AO783" s="4"/>
    </row>
    <row r="784" spans="41:41" ht="18" customHeight="1" x14ac:dyDescent="0.25">
      <c r="AO784" s="4"/>
    </row>
    <row r="785" spans="41:41" ht="18" customHeight="1" x14ac:dyDescent="0.25">
      <c r="AO785" s="4"/>
    </row>
    <row r="786" spans="41:41" ht="18" customHeight="1" x14ac:dyDescent="0.25">
      <c r="AO786" s="4"/>
    </row>
    <row r="787" spans="41:41" ht="18" customHeight="1" x14ac:dyDescent="0.25">
      <c r="AO787" s="4"/>
    </row>
    <row r="788" spans="41:41" ht="18" customHeight="1" x14ac:dyDescent="0.25">
      <c r="AO788" s="4"/>
    </row>
    <row r="789" spans="41:41" ht="18" customHeight="1" x14ac:dyDescent="0.25">
      <c r="AO789" s="4"/>
    </row>
    <row r="790" spans="41:41" ht="18" customHeight="1" x14ac:dyDescent="0.25">
      <c r="AO790" s="4"/>
    </row>
    <row r="791" spans="41:41" ht="18" customHeight="1" x14ac:dyDescent="0.25">
      <c r="AO791" s="4"/>
    </row>
    <row r="792" spans="41:41" ht="18" customHeight="1" x14ac:dyDescent="0.25">
      <c r="AO792" s="4"/>
    </row>
    <row r="793" spans="41:41" ht="18" customHeight="1" x14ac:dyDescent="0.25">
      <c r="AO793" s="4"/>
    </row>
    <row r="794" spans="41:41" ht="18" customHeight="1" x14ac:dyDescent="0.25">
      <c r="AO794" s="4"/>
    </row>
    <row r="795" spans="41:41" ht="18" customHeight="1" x14ac:dyDescent="0.25">
      <c r="AO795" s="4"/>
    </row>
    <row r="796" spans="41:41" ht="18" customHeight="1" x14ac:dyDescent="0.25">
      <c r="AO796" s="4"/>
    </row>
    <row r="797" spans="41:41" ht="18" customHeight="1" x14ac:dyDescent="0.25">
      <c r="AO797" s="4"/>
    </row>
    <row r="798" spans="41:41" ht="18" customHeight="1" x14ac:dyDescent="0.25">
      <c r="AO798" s="4"/>
    </row>
    <row r="799" spans="41:41" ht="18" customHeight="1" x14ac:dyDescent="0.25">
      <c r="AO799" s="4"/>
    </row>
    <row r="800" spans="41:41" ht="18" customHeight="1" x14ac:dyDescent="0.25">
      <c r="AO800" s="4"/>
    </row>
    <row r="801" spans="41:41" ht="18" customHeight="1" x14ac:dyDescent="0.25">
      <c r="AO801" s="4"/>
    </row>
    <row r="802" spans="41:41" ht="18" customHeight="1" x14ac:dyDescent="0.25">
      <c r="AO802" s="4"/>
    </row>
    <row r="803" spans="41:41" ht="18" customHeight="1" x14ac:dyDescent="0.25">
      <c r="AO803" s="4"/>
    </row>
    <row r="804" spans="41:41" ht="18" customHeight="1" x14ac:dyDescent="0.25">
      <c r="AO804" s="4"/>
    </row>
    <row r="805" spans="41:41" ht="18" customHeight="1" x14ac:dyDescent="0.25">
      <c r="AO805" s="4"/>
    </row>
    <row r="806" spans="41:41" ht="18" customHeight="1" x14ac:dyDescent="0.25">
      <c r="AO806" s="4"/>
    </row>
    <row r="807" spans="41:41" ht="18" customHeight="1" x14ac:dyDescent="0.25">
      <c r="AO807" s="4"/>
    </row>
    <row r="808" spans="41:41" ht="18" customHeight="1" x14ac:dyDescent="0.25">
      <c r="AO808" s="4"/>
    </row>
    <row r="809" spans="41:41" ht="18" customHeight="1" x14ac:dyDescent="0.25">
      <c r="AO809" s="4"/>
    </row>
    <row r="810" spans="41:41" ht="18" customHeight="1" x14ac:dyDescent="0.25">
      <c r="AO810" s="4"/>
    </row>
    <row r="811" spans="41:41" ht="18" customHeight="1" x14ac:dyDescent="0.25">
      <c r="AO811" s="4"/>
    </row>
    <row r="812" spans="41:41" ht="18" customHeight="1" x14ac:dyDescent="0.25">
      <c r="AO812" s="4"/>
    </row>
    <row r="813" spans="41:41" ht="18" customHeight="1" x14ac:dyDescent="0.25">
      <c r="AO813" s="4"/>
    </row>
    <row r="814" spans="41:41" ht="18" customHeight="1" x14ac:dyDescent="0.25">
      <c r="AO814" s="4"/>
    </row>
    <row r="815" spans="41:41" ht="18" customHeight="1" x14ac:dyDescent="0.25">
      <c r="AO815" s="4"/>
    </row>
    <row r="816" spans="41:41" ht="18" customHeight="1" x14ac:dyDescent="0.25">
      <c r="AO816" s="4"/>
    </row>
    <row r="817" spans="41:41" ht="18" customHeight="1" x14ac:dyDescent="0.25">
      <c r="AO817" s="4"/>
    </row>
    <row r="818" spans="41:41" ht="18" customHeight="1" x14ac:dyDescent="0.25">
      <c r="AO818" s="4"/>
    </row>
    <row r="819" spans="41:41" ht="18" customHeight="1" x14ac:dyDescent="0.25">
      <c r="AO819" s="4"/>
    </row>
    <row r="820" spans="41:41" ht="18" customHeight="1" x14ac:dyDescent="0.25">
      <c r="AO820" s="4"/>
    </row>
    <row r="821" spans="41:41" ht="18" customHeight="1" x14ac:dyDescent="0.25">
      <c r="AO821" s="4"/>
    </row>
    <row r="822" spans="41:41" ht="18" customHeight="1" x14ac:dyDescent="0.25">
      <c r="AO822" s="4"/>
    </row>
    <row r="823" spans="41:41" ht="18" customHeight="1" x14ac:dyDescent="0.25">
      <c r="AO823" s="4"/>
    </row>
    <row r="824" spans="41:41" ht="18" customHeight="1" x14ac:dyDescent="0.25">
      <c r="AO824" s="4"/>
    </row>
    <row r="825" spans="41:41" ht="18" customHeight="1" x14ac:dyDescent="0.25">
      <c r="AO825" s="4"/>
    </row>
    <row r="826" spans="41:41" ht="18" customHeight="1" x14ac:dyDescent="0.25">
      <c r="AO826" s="4"/>
    </row>
    <row r="827" spans="41:41" ht="18" customHeight="1" x14ac:dyDescent="0.25">
      <c r="AO827" s="4"/>
    </row>
    <row r="828" spans="41:41" ht="18" customHeight="1" x14ac:dyDescent="0.25">
      <c r="AO828" s="4"/>
    </row>
    <row r="829" spans="41:41" ht="18" customHeight="1" x14ac:dyDescent="0.25">
      <c r="AO829" s="4"/>
    </row>
    <row r="830" spans="41:41" ht="18" customHeight="1" x14ac:dyDescent="0.25">
      <c r="AO830" s="4"/>
    </row>
    <row r="831" spans="41:41" ht="18" customHeight="1" x14ac:dyDescent="0.25">
      <c r="AO831" s="4"/>
    </row>
    <row r="832" spans="41:41" ht="18" customHeight="1" x14ac:dyDescent="0.25">
      <c r="AO832" s="4"/>
    </row>
    <row r="833" spans="41:41" ht="18" customHeight="1" x14ac:dyDescent="0.25">
      <c r="AO833" s="4"/>
    </row>
    <row r="834" spans="41:41" ht="18" customHeight="1" x14ac:dyDescent="0.25">
      <c r="AO834" s="4"/>
    </row>
    <row r="835" spans="41:41" ht="18" customHeight="1" x14ac:dyDescent="0.25">
      <c r="AO835" s="4"/>
    </row>
    <row r="836" spans="41:41" ht="18" customHeight="1" x14ac:dyDescent="0.25">
      <c r="AO836" s="4"/>
    </row>
    <row r="837" spans="41:41" ht="18" customHeight="1" x14ac:dyDescent="0.25">
      <c r="AO837" s="4"/>
    </row>
    <row r="838" spans="41:41" ht="18" customHeight="1" x14ac:dyDescent="0.25">
      <c r="AO838" s="4"/>
    </row>
    <row r="839" spans="41:41" ht="18" customHeight="1" x14ac:dyDescent="0.25">
      <c r="AO839" s="4"/>
    </row>
    <row r="840" spans="41:41" ht="18" customHeight="1" x14ac:dyDescent="0.25">
      <c r="AO840" s="4"/>
    </row>
    <row r="841" spans="41:41" ht="18" customHeight="1" x14ac:dyDescent="0.25">
      <c r="AO841" s="4"/>
    </row>
    <row r="842" spans="41:41" ht="18" customHeight="1" x14ac:dyDescent="0.25">
      <c r="AO842" s="4"/>
    </row>
    <row r="843" spans="41:41" ht="18" customHeight="1" x14ac:dyDescent="0.25">
      <c r="AO843" s="4"/>
    </row>
    <row r="844" spans="41:41" ht="18" customHeight="1" x14ac:dyDescent="0.25">
      <c r="AO844" s="4"/>
    </row>
    <row r="845" spans="41:41" ht="18" customHeight="1" x14ac:dyDescent="0.25">
      <c r="AO845" s="4"/>
    </row>
    <row r="846" spans="41:41" ht="18" customHeight="1" x14ac:dyDescent="0.25">
      <c r="AO846" s="4"/>
    </row>
    <row r="847" spans="41:41" ht="18" customHeight="1" x14ac:dyDescent="0.25">
      <c r="AO847" s="4"/>
    </row>
    <row r="848" spans="41:41" ht="18" customHeight="1" x14ac:dyDescent="0.25">
      <c r="AO848" s="4"/>
    </row>
    <row r="849" spans="41:41" ht="18" customHeight="1" x14ac:dyDescent="0.25">
      <c r="AO849" s="4"/>
    </row>
    <row r="850" spans="41:41" ht="18" customHeight="1" x14ac:dyDescent="0.25">
      <c r="AO850" s="4"/>
    </row>
    <row r="851" spans="41:41" ht="18" customHeight="1" x14ac:dyDescent="0.25">
      <c r="AO851" s="4"/>
    </row>
    <row r="852" spans="41:41" ht="18" customHeight="1" x14ac:dyDescent="0.25">
      <c r="AO852" s="4"/>
    </row>
    <row r="853" spans="41:41" ht="18" customHeight="1" x14ac:dyDescent="0.25">
      <c r="AO853" s="4"/>
    </row>
    <row r="854" spans="41:41" ht="18" customHeight="1" x14ac:dyDescent="0.25">
      <c r="AO854" s="4"/>
    </row>
    <row r="855" spans="41:41" ht="18" customHeight="1" x14ac:dyDescent="0.25">
      <c r="AO855" s="4"/>
    </row>
    <row r="856" spans="41:41" ht="18" customHeight="1" x14ac:dyDescent="0.25">
      <c r="AO856" s="4"/>
    </row>
    <row r="857" spans="41:41" ht="18" customHeight="1" x14ac:dyDescent="0.25">
      <c r="AO857" s="4"/>
    </row>
    <row r="858" spans="41:41" ht="18" customHeight="1" x14ac:dyDescent="0.25">
      <c r="AO858" s="4"/>
    </row>
    <row r="859" spans="41:41" ht="18" customHeight="1" x14ac:dyDescent="0.25">
      <c r="AO859" s="4"/>
    </row>
    <row r="860" spans="41:41" ht="18" customHeight="1" x14ac:dyDescent="0.25">
      <c r="AO860" s="4"/>
    </row>
    <row r="861" spans="41:41" ht="18" customHeight="1" x14ac:dyDescent="0.25">
      <c r="AO861" s="4"/>
    </row>
    <row r="862" spans="41:41" ht="18" customHeight="1" x14ac:dyDescent="0.25">
      <c r="AO862" s="4"/>
    </row>
    <row r="863" spans="41:41" ht="18" customHeight="1" x14ac:dyDescent="0.25">
      <c r="AO863" s="4"/>
    </row>
    <row r="864" spans="41:41" ht="18" customHeight="1" x14ac:dyDescent="0.25">
      <c r="AO864" s="4"/>
    </row>
    <row r="865" spans="41:41" ht="18" customHeight="1" x14ac:dyDescent="0.25">
      <c r="AO865" s="4"/>
    </row>
    <row r="866" spans="41:41" ht="18" customHeight="1" x14ac:dyDescent="0.25">
      <c r="AO866" s="4"/>
    </row>
    <row r="867" spans="41:41" ht="18" customHeight="1" x14ac:dyDescent="0.25">
      <c r="AO867" s="4"/>
    </row>
    <row r="868" spans="41:41" ht="18" customHeight="1" x14ac:dyDescent="0.25">
      <c r="AO868" s="4"/>
    </row>
    <row r="869" spans="41:41" ht="18" customHeight="1" x14ac:dyDescent="0.25">
      <c r="AO869" s="4"/>
    </row>
    <row r="870" spans="41:41" ht="18" customHeight="1" x14ac:dyDescent="0.25">
      <c r="AO870" s="4"/>
    </row>
    <row r="871" spans="41:41" ht="18" customHeight="1" x14ac:dyDescent="0.25">
      <c r="AO871" s="4"/>
    </row>
    <row r="872" spans="41:41" ht="18" customHeight="1" x14ac:dyDescent="0.25">
      <c r="AO872" s="4"/>
    </row>
    <row r="873" spans="41:41" ht="18" customHeight="1" x14ac:dyDescent="0.25">
      <c r="AO873" s="4"/>
    </row>
    <row r="874" spans="41:41" ht="18" customHeight="1" x14ac:dyDescent="0.25">
      <c r="AO874" s="4"/>
    </row>
    <row r="875" spans="41:41" ht="18" customHeight="1" x14ac:dyDescent="0.25">
      <c r="AO875" s="4"/>
    </row>
    <row r="876" spans="41:41" ht="18" customHeight="1" x14ac:dyDescent="0.25">
      <c r="AO876" s="4"/>
    </row>
    <row r="877" spans="41:41" ht="18" customHeight="1" x14ac:dyDescent="0.25">
      <c r="AO877" s="4"/>
    </row>
    <row r="878" spans="41:41" ht="18" customHeight="1" x14ac:dyDescent="0.25">
      <c r="AO878" s="4"/>
    </row>
    <row r="879" spans="41:41" ht="18" customHeight="1" x14ac:dyDescent="0.25">
      <c r="AO879" s="4"/>
    </row>
    <row r="880" spans="41:41" ht="18" customHeight="1" x14ac:dyDescent="0.25">
      <c r="AO880" s="4"/>
    </row>
    <row r="881" spans="41:41" ht="18" customHeight="1" x14ac:dyDescent="0.25">
      <c r="AO881" s="4"/>
    </row>
    <row r="882" spans="41:41" ht="18" customHeight="1" x14ac:dyDescent="0.25">
      <c r="AO882" s="4"/>
    </row>
    <row r="883" spans="41:41" ht="18" customHeight="1" x14ac:dyDescent="0.25">
      <c r="AO883" s="4"/>
    </row>
    <row r="884" spans="41:41" ht="18" customHeight="1" x14ac:dyDescent="0.25">
      <c r="AO884" s="4"/>
    </row>
    <row r="885" spans="41:41" ht="18" customHeight="1" x14ac:dyDescent="0.25">
      <c r="AO885" s="4"/>
    </row>
    <row r="886" spans="41:41" ht="18" customHeight="1" x14ac:dyDescent="0.25">
      <c r="AO886" s="4"/>
    </row>
    <row r="887" spans="41:41" ht="18" customHeight="1" x14ac:dyDescent="0.25">
      <c r="AO887" s="4"/>
    </row>
    <row r="888" spans="41:41" ht="18" customHeight="1" x14ac:dyDescent="0.25">
      <c r="AO888" s="4"/>
    </row>
    <row r="889" spans="41:41" ht="18" customHeight="1" x14ac:dyDescent="0.25">
      <c r="AO889" s="4"/>
    </row>
    <row r="890" spans="41:41" ht="18" customHeight="1" x14ac:dyDescent="0.25">
      <c r="AO890" s="4"/>
    </row>
    <row r="891" spans="41:41" ht="18" customHeight="1" x14ac:dyDescent="0.25">
      <c r="AO891" s="4"/>
    </row>
    <row r="892" spans="41:41" ht="18" customHeight="1" x14ac:dyDescent="0.25">
      <c r="AO892" s="4"/>
    </row>
    <row r="893" spans="41:41" ht="18" customHeight="1" x14ac:dyDescent="0.25">
      <c r="AO893" s="4"/>
    </row>
    <row r="894" spans="41:41" ht="18" customHeight="1" x14ac:dyDescent="0.25">
      <c r="AO894" s="4"/>
    </row>
    <row r="895" spans="41:41" ht="18" customHeight="1" x14ac:dyDescent="0.25">
      <c r="AO895" s="4"/>
    </row>
    <row r="896" spans="41:41" ht="18" customHeight="1" x14ac:dyDescent="0.25">
      <c r="AO896" s="4"/>
    </row>
    <row r="897" spans="41:41" ht="18" customHeight="1" x14ac:dyDescent="0.25">
      <c r="AO897" s="4"/>
    </row>
    <row r="898" spans="41:41" ht="18" customHeight="1" x14ac:dyDescent="0.25">
      <c r="AO898" s="4"/>
    </row>
    <row r="899" spans="41:41" ht="18" customHeight="1" x14ac:dyDescent="0.25">
      <c r="AO899" s="4"/>
    </row>
    <row r="900" spans="41:41" ht="18" customHeight="1" x14ac:dyDescent="0.25">
      <c r="AO900" s="4"/>
    </row>
    <row r="901" spans="41:41" ht="18" customHeight="1" x14ac:dyDescent="0.25">
      <c r="AO901" s="4"/>
    </row>
    <row r="902" spans="41:41" ht="18" customHeight="1" x14ac:dyDescent="0.25">
      <c r="AO902" s="4"/>
    </row>
    <row r="903" spans="41:41" ht="18" customHeight="1" x14ac:dyDescent="0.25">
      <c r="AO903" s="4"/>
    </row>
    <row r="904" spans="41:41" ht="18" customHeight="1" x14ac:dyDescent="0.25">
      <c r="AO904" s="4"/>
    </row>
    <row r="905" spans="41:41" ht="18" customHeight="1" x14ac:dyDescent="0.25">
      <c r="AO905" s="4"/>
    </row>
    <row r="906" spans="41:41" ht="18" customHeight="1" x14ac:dyDescent="0.25">
      <c r="AO906" s="4"/>
    </row>
    <row r="907" spans="41:41" ht="18" customHeight="1" x14ac:dyDescent="0.25">
      <c r="AO907" s="4"/>
    </row>
    <row r="908" spans="41:41" ht="18" customHeight="1" x14ac:dyDescent="0.25">
      <c r="AO908" s="4"/>
    </row>
    <row r="909" spans="41:41" ht="18" customHeight="1" x14ac:dyDescent="0.25">
      <c r="AO909" s="4"/>
    </row>
    <row r="910" spans="41:41" ht="18" customHeight="1" x14ac:dyDescent="0.25">
      <c r="AO910" s="4"/>
    </row>
    <row r="911" spans="41:41" ht="18" customHeight="1" x14ac:dyDescent="0.25">
      <c r="AO911" s="4"/>
    </row>
    <row r="912" spans="41:41" ht="18" customHeight="1" x14ac:dyDescent="0.25">
      <c r="AO912" s="4"/>
    </row>
    <row r="913" spans="41:41" ht="18" customHeight="1" x14ac:dyDescent="0.25">
      <c r="AO913" s="4"/>
    </row>
    <row r="914" spans="41:41" ht="18" customHeight="1" x14ac:dyDescent="0.25">
      <c r="AO914" s="4"/>
    </row>
    <row r="915" spans="41:41" ht="18" customHeight="1" x14ac:dyDescent="0.25">
      <c r="AO915" s="4"/>
    </row>
    <row r="916" spans="41:41" ht="18" customHeight="1" x14ac:dyDescent="0.25">
      <c r="AO916" s="4"/>
    </row>
    <row r="917" spans="41:41" ht="18" customHeight="1" x14ac:dyDescent="0.25">
      <c r="AO917" s="4"/>
    </row>
    <row r="918" spans="41:41" ht="18" customHeight="1" x14ac:dyDescent="0.25">
      <c r="AO918" s="4"/>
    </row>
    <row r="919" spans="41:41" ht="18" customHeight="1" x14ac:dyDescent="0.25">
      <c r="AO919" s="4"/>
    </row>
    <row r="920" spans="41:41" ht="18" customHeight="1" x14ac:dyDescent="0.25">
      <c r="AO920" s="4"/>
    </row>
    <row r="921" spans="41:41" ht="18" customHeight="1" x14ac:dyDescent="0.25">
      <c r="AO921" s="4"/>
    </row>
    <row r="922" spans="41:41" ht="18" customHeight="1" x14ac:dyDescent="0.25">
      <c r="AO922" s="4"/>
    </row>
    <row r="923" spans="41:41" ht="18" customHeight="1" x14ac:dyDescent="0.25">
      <c r="AO923" s="4"/>
    </row>
    <row r="924" spans="41:41" ht="18" customHeight="1" x14ac:dyDescent="0.25">
      <c r="AO924" s="4"/>
    </row>
    <row r="925" spans="41:41" ht="18" customHeight="1" x14ac:dyDescent="0.25">
      <c r="AO925" s="4"/>
    </row>
    <row r="926" spans="41:41" ht="18" customHeight="1" x14ac:dyDescent="0.25">
      <c r="AO926" s="4"/>
    </row>
    <row r="927" spans="41:41" ht="18" customHeight="1" x14ac:dyDescent="0.25">
      <c r="AO927" s="4"/>
    </row>
    <row r="928" spans="41:41" ht="18" customHeight="1" x14ac:dyDescent="0.25">
      <c r="AO928" s="4"/>
    </row>
    <row r="929" spans="41:41" ht="18" customHeight="1" x14ac:dyDescent="0.25">
      <c r="AO929" s="4"/>
    </row>
    <row r="930" spans="41:41" ht="18" customHeight="1" x14ac:dyDescent="0.25">
      <c r="AO930" s="4"/>
    </row>
    <row r="931" spans="41:41" ht="18" customHeight="1" x14ac:dyDescent="0.25">
      <c r="AO931" s="4"/>
    </row>
    <row r="932" spans="41:41" ht="18" customHeight="1" x14ac:dyDescent="0.25">
      <c r="AO932" s="4"/>
    </row>
    <row r="933" spans="41:41" ht="18" customHeight="1" x14ac:dyDescent="0.25">
      <c r="AO933" s="4"/>
    </row>
    <row r="934" spans="41:41" ht="18" customHeight="1" x14ac:dyDescent="0.25">
      <c r="AO934" s="4"/>
    </row>
    <row r="935" spans="41:41" ht="18" customHeight="1" x14ac:dyDescent="0.25">
      <c r="AO935" s="4"/>
    </row>
    <row r="936" spans="41:41" ht="18" customHeight="1" x14ac:dyDescent="0.25">
      <c r="AO936" s="4"/>
    </row>
    <row r="937" spans="41:41" ht="18" customHeight="1" x14ac:dyDescent="0.25">
      <c r="AO937" s="4"/>
    </row>
    <row r="938" spans="41:41" ht="18" customHeight="1" x14ac:dyDescent="0.25">
      <c r="AO938" s="4"/>
    </row>
    <row r="939" spans="41:41" ht="18" customHeight="1" x14ac:dyDescent="0.25">
      <c r="AO939" s="4"/>
    </row>
    <row r="940" spans="41:41" ht="18" customHeight="1" x14ac:dyDescent="0.25">
      <c r="AO940" s="4"/>
    </row>
    <row r="941" spans="41:41" ht="18" customHeight="1" x14ac:dyDescent="0.25">
      <c r="AO941" s="4"/>
    </row>
    <row r="942" spans="41:41" ht="18" customHeight="1" x14ac:dyDescent="0.25">
      <c r="AO942" s="4"/>
    </row>
    <row r="943" spans="41:41" ht="18" customHeight="1" x14ac:dyDescent="0.25">
      <c r="AO943" s="4"/>
    </row>
    <row r="944" spans="41:41" ht="18" customHeight="1" x14ac:dyDescent="0.25">
      <c r="AO944" s="4"/>
    </row>
    <row r="945" spans="41:41" ht="18" customHeight="1" x14ac:dyDescent="0.25">
      <c r="AO945" s="4"/>
    </row>
    <row r="946" spans="41:41" ht="18" customHeight="1" x14ac:dyDescent="0.25">
      <c r="AO946" s="4"/>
    </row>
    <row r="947" spans="41:41" ht="18" customHeight="1" x14ac:dyDescent="0.25">
      <c r="AO947" s="4"/>
    </row>
    <row r="948" spans="41:41" ht="18" customHeight="1" x14ac:dyDescent="0.25">
      <c r="AO948" s="4"/>
    </row>
    <row r="949" spans="41:41" ht="18" customHeight="1" x14ac:dyDescent="0.25">
      <c r="AO949" s="4"/>
    </row>
    <row r="950" spans="41:41" ht="18" customHeight="1" x14ac:dyDescent="0.25">
      <c r="AO950" s="4"/>
    </row>
    <row r="951" spans="41:41" ht="18" customHeight="1" x14ac:dyDescent="0.25">
      <c r="AO951" s="4"/>
    </row>
    <row r="952" spans="41:41" ht="18" customHeight="1" x14ac:dyDescent="0.25">
      <c r="AO952" s="4"/>
    </row>
    <row r="953" spans="41:41" ht="18" customHeight="1" x14ac:dyDescent="0.25">
      <c r="AO953" s="4"/>
    </row>
    <row r="954" spans="41:41" ht="18" customHeight="1" x14ac:dyDescent="0.25">
      <c r="AO954" s="4"/>
    </row>
    <row r="955" spans="41:41" ht="18" customHeight="1" x14ac:dyDescent="0.25">
      <c r="AO955" s="4"/>
    </row>
    <row r="956" spans="41:41" ht="18" customHeight="1" x14ac:dyDescent="0.25">
      <c r="AO956" s="4"/>
    </row>
    <row r="957" spans="41:41" ht="18" customHeight="1" x14ac:dyDescent="0.25">
      <c r="AO957" s="4"/>
    </row>
    <row r="958" spans="41:41" ht="18" customHeight="1" x14ac:dyDescent="0.25">
      <c r="AO958" s="4"/>
    </row>
    <row r="959" spans="41:41" ht="18" customHeight="1" x14ac:dyDescent="0.25">
      <c r="AO959" s="4"/>
    </row>
    <row r="960" spans="41:41" ht="18" customHeight="1" x14ac:dyDescent="0.25">
      <c r="AO960" s="4"/>
    </row>
    <row r="961" spans="41:41" ht="18" customHeight="1" x14ac:dyDescent="0.25">
      <c r="AO961" s="4"/>
    </row>
    <row r="962" spans="41:41" ht="18" customHeight="1" x14ac:dyDescent="0.25">
      <c r="AO962" s="4"/>
    </row>
    <row r="963" spans="41:41" ht="18" customHeight="1" x14ac:dyDescent="0.25">
      <c r="AO963" s="4"/>
    </row>
    <row r="964" spans="41:41" ht="18" customHeight="1" x14ac:dyDescent="0.25">
      <c r="AO964" s="4"/>
    </row>
    <row r="965" spans="41:41" ht="18" customHeight="1" x14ac:dyDescent="0.25">
      <c r="AO965" s="4"/>
    </row>
    <row r="966" spans="41:41" ht="18" customHeight="1" x14ac:dyDescent="0.25">
      <c r="AO966" s="4"/>
    </row>
    <row r="967" spans="41:41" ht="18" customHeight="1" x14ac:dyDescent="0.25">
      <c r="AO967" s="4"/>
    </row>
    <row r="968" spans="41:41" ht="18" customHeight="1" x14ac:dyDescent="0.25">
      <c r="AO968" s="4"/>
    </row>
    <row r="969" spans="41:41" ht="18" customHeight="1" x14ac:dyDescent="0.25">
      <c r="AO969" s="4"/>
    </row>
    <row r="970" spans="41:41" ht="18" customHeight="1" x14ac:dyDescent="0.25">
      <c r="AO970" s="4"/>
    </row>
    <row r="971" spans="41:41" ht="18" customHeight="1" x14ac:dyDescent="0.25">
      <c r="AO971" s="4"/>
    </row>
    <row r="972" spans="41:41" ht="18" customHeight="1" x14ac:dyDescent="0.25">
      <c r="AO972" s="4"/>
    </row>
    <row r="973" spans="41:41" ht="18" customHeight="1" x14ac:dyDescent="0.25">
      <c r="AO973" s="4"/>
    </row>
    <row r="974" spans="41:41" ht="18" customHeight="1" x14ac:dyDescent="0.25">
      <c r="AO974" s="4"/>
    </row>
    <row r="975" spans="41:41" ht="18" customHeight="1" x14ac:dyDescent="0.25">
      <c r="AO975" s="4"/>
    </row>
    <row r="976" spans="41:41" ht="18" customHeight="1" x14ac:dyDescent="0.25">
      <c r="AO976" s="4"/>
    </row>
    <row r="977" spans="41:41" ht="18" customHeight="1" x14ac:dyDescent="0.25">
      <c r="AO977" s="4"/>
    </row>
    <row r="978" spans="41:41" ht="18" customHeight="1" x14ac:dyDescent="0.25">
      <c r="AO978" s="4"/>
    </row>
    <row r="979" spans="41:41" ht="18" customHeight="1" x14ac:dyDescent="0.25">
      <c r="AO979" s="4"/>
    </row>
    <row r="980" spans="41:41" ht="18" customHeight="1" x14ac:dyDescent="0.25">
      <c r="AO980" s="4"/>
    </row>
    <row r="981" spans="41:41" ht="18" customHeight="1" x14ac:dyDescent="0.25">
      <c r="AO981" s="4"/>
    </row>
    <row r="982" spans="41:41" ht="18" customHeight="1" x14ac:dyDescent="0.25">
      <c r="AO982" s="4"/>
    </row>
    <row r="983" spans="41:41" ht="18" customHeight="1" x14ac:dyDescent="0.25">
      <c r="AO983" s="4"/>
    </row>
    <row r="984" spans="41:41" ht="18" customHeight="1" x14ac:dyDescent="0.25">
      <c r="AO984" s="4"/>
    </row>
    <row r="985" spans="41:41" ht="18" customHeight="1" x14ac:dyDescent="0.25">
      <c r="AO985" s="4"/>
    </row>
    <row r="986" spans="41:41" ht="18" customHeight="1" x14ac:dyDescent="0.25">
      <c r="AO986" s="4"/>
    </row>
    <row r="987" spans="41:41" ht="18" customHeight="1" x14ac:dyDescent="0.25">
      <c r="AO987" s="4"/>
    </row>
    <row r="988" spans="41:41" ht="18" customHeight="1" x14ac:dyDescent="0.25">
      <c r="AO988" s="4"/>
    </row>
    <row r="989" spans="41:41" ht="18" customHeight="1" x14ac:dyDescent="0.25">
      <c r="AO989" s="4"/>
    </row>
    <row r="990" spans="41:41" ht="18" customHeight="1" x14ac:dyDescent="0.25">
      <c r="AO990" s="4"/>
    </row>
    <row r="991" spans="41:41" ht="18" customHeight="1" x14ac:dyDescent="0.25">
      <c r="AO991" s="4"/>
    </row>
    <row r="992" spans="41:41" ht="18" customHeight="1" x14ac:dyDescent="0.25">
      <c r="AO992" s="4"/>
    </row>
    <row r="993" spans="41:41" ht="18" customHeight="1" x14ac:dyDescent="0.25">
      <c r="AO993" s="4"/>
    </row>
    <row r="994" spans="41:41" ht="18" customHeight="1" x14ac:dyDescent="0.25">
      <c r="AO994" s="4"/>
    </row>
    <row r="995" spans="41:41" ht="18" customHeight="1" x14ac:dyDescent="0.25">
      <c r="AO995" s="4"/>
    </row>
    <row r="996" spans="41:41" ht="18" customHeight="1" x14ac:dyDescent="0.25">
      <c r="AO996" s="4"/>
    </row>
    <row r="997" spans="41:41" ht="18" customHeight="1" x14ac:dyDescent="0.25">
      <c r="AO997" s="4"/>
    </row>
    <row r="998" spans="41:41" ht="18" customHeight="1" x14ac:dyDescent="0.25">
      <c r="AO998" s="4"/>
    </row>
    <row r="999" spans="41:41" ht="18" customHeight="1" x14ac:dyDescent="0.25">
      <c r="AO999" s="4"/>
    </row>
    <row r="1000" spans="41:41" ht="18" customHeight="1" x14ac:dyDescent="0.25">
      <c r="AO1000" s="4"/>
    </row>
    <row r="1001" spans="41:41" ht="18" customHeight="1" x14ac:dyDescent="0.25">
      <c r="AO1001" s="4"/>
    </row>
    <row r="1002" spans="41:41" ht="18" customHeight="1" x14ac:dyDescent="0.25">
      <c r="AO1002" s="4"/>
    </row>
    <row r="1003" spans="41:41" ht="18" customHeight="1" x14ac:dyDescent="0.25">
      <c r="AO1003" s="4"/>
    </row>
    <row r="1004" spans="41:41" ht="18" customHeight="1" x14ac:dyDescent="0.25">
      <c r="AO1004" s="4"/>
    </row>
    <row r="1005" spans="41:41" ht="18" customHeight="1" x14ac:dyDescent="0.25">
      <c r="AO1005" s="4"/>
    </row>
    <row r="1006" spans="41:41" ht="18" customHeight="1" x14ac:dyDescent="0.25">
      <c r="AO1006" s="4"/>
    </row>
    <row r="1007" spans="41:41" ht="18" customHeight="1" x14ac:dyDescent="0.25">
      <c r="AO1007" s="4"/>
    </row>
    <row r="1008" spans="41:41" ht="18" customHeight="1" x14ac:dyDescent="0.25">
      <c r="AO1008" s="4"/>
    </row>
    <row r="1009" spans="41:41" ht="18" customHeight="1" x14ac:dyDescent="0.25">
      <c r="AO1009" s="4"/>
    </row>
    <row r="1010" spans="41:41" ht="18" customHeight="1" x14ac:dyDescent="0.25">
      <c r="AO1010" s="4"/>
    </row>
    <row r="1011" spans="41:41" ht="18" customHeight="1" x14ac:dyDescent="0.25">
      <c r="AO1011" s="4"/>
    </row>
    <row r="1012" spans="41:41" ht="18" customHeight="1" x14ac:dyDescent="0.25">
      <c r="AO1012" s="4"/>
    </row>
    <row r="1013" spans="41:41" ht="18" customHeight="1" x14ac:dyDescent="0.25">
      <c r="AO1013" s="4"/>
    </row>
    <row r="1014" spans="41:41" ht="18" customHeight="1" x14ac:dyDescent="0.25">
      <c r="AO1014" s="4"/>
    </row>
    <row r="1015" spans="41:41" ht="18" customHeight="1" x14ac:dyDescent="0.25">
      <c r="AO1015" s="4"/>
    </row>
    <row r="1016" spans="41:41" ht="18" customHeight="1" x14ac:dyDescent="0.25">
      <c r="AO1016" s="4"/>
    </row>
    <row r="1017" spans="41:41" ht="18" customHeight="1" x14ac:dyDescent="0.25">
      <c r="AO1017" s="4"/>
    </row>
    <row r="1018" spans="41:41" ht="18" customHeight="1" x14ac:dyDescent="0.25">
      <c r="AO1018" s="4"/>
    </row>
    <row r="1019" spans="41:41" ht="18" customHeight="1" x14ac:dyDescent="0.25">
      <c r="AO1019" s="4"/>
    </row>
    <row r="1020" spans="41:41" ht="18" customHeight="1" x14ac:dyDescent="0.25">
      <c r="AO1020" s="4"/>
    </row>
    <row r="1021" spans="41:41" ht="18" customHeight="1" x14ac:dyDescent="0.25">
      <c r="AO1021" s="4"/>
    </row>
    <row r="1022" spans="41:41" ht="18" customHeight="1" x14ac:dyDescent="0.25">
      <c r="AO1022" s="4"/>
    </row>
    <row r="1023" spans="41:41" ht="18" customHeight="1" x14ac:dyDescent="0.25">
      <c r="AO1023" s="4"/>
    </row>
    <row r="1024" spans="41:41" ht="18" customHeight="1" x14ac:dyDescent="0.25">
      <c r="AO1024" s="4"/>
    </row>
    <row r="1025" spans="41:41" ht="18" customHeight="1" x14ac:dyDescent="0.25">
      <c r="AO1025" s="4"/>
    </row>
    <row r="1026" spans="41:41" ht="18" customHeight="1" x14ac:dyDescent="0.25">
      <c r="AO1026" s="4"/>
    </row>
    <row r="1027" spans="41:41" ht="18" customHeight="1" x14ac:dyDescent="0.25">
      <c r="AO1027" s="4"/>
    </row>
    <row r="1028" spans="41:41" ht="18" customHeight="1" x14ac:dyDescent="0.25">
      <c r="AO1028" s="4"/>
    </row>
    <row r="1029" spans="41:41" ht="18" customHeight="1" x14ac:dyDescent="0.25">
      <c r="AO1029" s="4"/>
    </row>
    <row r="1030" spans="41:41" ht="18" customHeight="1" x14ac:dyDescent="0.25">
      <c r="AO1030" s="4"/>
    </row>
    <row r="1031" spans="41:41" ht="18" customHeight="1" x14ac:dyDescent="0.25">
      <c r="AO1031" s="4"/>
    </row>
    <row r="1032" spans="41:41" ht="18" customHeight="1" x14ac:dyDescent="0.25">
      <c r="AO1032" s="4"/>
    </row>
    <row r="1033" spans="41:41" ht="18" customHeight="1" x14ac:dyDescent="0.25">
      <c r="AO1033" s="4"/>
    </row>
    <row r="1034" spans="41:41" ht="18" customHeight="1" x14ac:dyDescent="0.25">
      <c r="AO1034" s="4"/>
    </row>
    <row r="1035" spans="41:41" ht="18" customHeight="1" x14ac:dyDescent="0.25">
      <c r="AO1035" s="4"/>
    </row>
    <row r="1036" spans="41:41" ht="18" customHeight="1" x14ac:dyDescent="0.25">
      <c r="AO1036" s="4"/>
    </row>
    <row r="1037" spans="41:41" ht="18" customHeight="1" x14ac:dyDescent="0.25">
      <c r="AO1037" s="4"/>
    </row>
    <row r="1038" spans="41:41" ht="18" customHeight="1" x14ac:dyDescent="0.25">
      <c r="AO1038" s="4"/>
    </row>
    <row r="1039" spans="41:41" ht="18" customHeight="1" x14ac:dyDescent="0.25">
      <c r="AO1039" s="4"/>
    </row>
    <row r="1040" spans="41:41" ht="18" customHeight="1" x14ac:dyDescent="0.25">
      <c r="AO1040" s="4"/>
    </row>
    <row r="1041" spans="41:41" ht="18" customHeight="1" x14ac:dyDescent="0.25">
      <c r="AO1041" s="4"/>
    </row>
    <row r="1042" spans="41:41" ht="18" customHeight="1" x14ac:dyDescent="0.25">
      <c r="AO1042" s="4"/>
    </row>
    <row r="1043" spans="41:41" ht="18" customHeight="1" x14ac:dyDescent="0.25">
      <c r="AO1043" s="4"/>
    </row>
    <row r="1044" spans="41:41" ht="18" customHeight="1" x14ac:dyDescent="0.25">
      <c r="AO1044" s="4"/>
    </row>
    <row r="1045" spans="41:41" ht="18" customHeight="1" x14ac:dyDescent="0.25">
      <c r="AO1045" s="4"/>
    </row>
  </sheetData>
  <protectedRanges>
    <protectedRange password="CFC3" sqref="G61:G62" name="Rango1_1"/>
  </protectedRanges>
  <mergeCells count="16">
    <mergeCell ref="AK15:AN15"/>
    <mergeCell ref="T15:U15"/>
    <mergeCell ref="V15:W15"/>
    <mergeCell ref="Y15:AB15"/>
    <mergeCell ref="AC15:AF15"/>
    <mergeCell ref="AG15:AJ15"/>
    <mergeCell ref="G15:G16"/>
    <mergeCell ref="H15:K15"/>
    <mergeCell ref="L15:O15"/>
    <mergeCell ref="P15:Q15"/>
    <mergeCell ref="R15:R16"/>
    <mergeCell ref="B15:B16"/>
    <mergeCell ref="C15:C16"/>
    <mergeCell ref="D15:D16"/>
    <mergeCell ref="E15:E16"/>
    <mergeCell ref="F15:F16"/>
  </mergeCells>
  <conditionalFormatting sqref="T17:W70">
    <cfRule type="cellIs" dxfId="48" priority="2" operator="equal">
      <formula>0</formula>
    </cfRule>
  </conditionalFormatting>
  <conditionalFormatting sqref="V1:W14">
    <cfRule type="cellIs" dxfId="47" priority="16" operator="greaterThan">
      <formula>0</formula>
    </cfRule>
  </conditionalFormatting>
  <conditionalFormatting sqref="V17:W70">
    <cfRule type="cellIs" dxfId="46" priority="3" operator="greaterThan">
      <formula>0</formula>
    </cfRule>
  </conditionalFormatting>
  <conditionalFormatting sqref="V72:W1048576">
    <cfRule type="cellIs" dxfId="45" priority="10" operator="greaterThan">
      <formula>0</formula>
    </cfRule>
  </conditionalFormatting>
  <conditionalFormatting sqref="Y17:AN70">
    <cfRule type="cellIs" dxfId="44" priority="1" operator="equal">
      <formula>0</formula>
    </cfRule>
  </conditionalFormatting>
  <printOptions horizontalCentered="1"/>
  <pageMargins left="0.39370078740157483" right="0.39370078740157483" top="0.27559055118110237" bottom="0.27559055118110237" header="0" footer="0"/>
  <pageSetup paperSize="3" scale="21" fitToHeight="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9"/>
  <sheetViews>
    <sheetView topLeftCell="M542" zoomScale="55" zoomScaleNormal="55" workbookViewId="0">
      <selection activeCell="N44" sqref="N44"/>
    </sheetView>
  </sheetViews>
  <sheetFormatPr defaultColWidth="14.42578125" defaultRowHeight="15" customHeight="1" x14ac:dyDescent="0.25"/>
  <cols>
    <col min="1" max="1" width="3.7109375" customWidth="1"/>
    <col min="2" max="2" width="5.7109375" customWidth="1"/>
    <col min="3" max="4" width="25.7109375" customWidth="1"/>
    <col min="5" max="5" width="15.7109375" customWidth="1"/>
    <col min="6" max="7" width="10.7109375" customWidth="1"/>
    <col min="8" max="8" width="3.7109375" customWidth="1"/>
    <col min="9" max="9" width="10.7109375" customWidth="1"/>
    <col min="10" max="10" width="1.7109375" customWidth="1"/>
    <col min="11" max="11" width="10.7109375" customWidth="1"/>
    <col min="12" max="12" width="15.7109375" customWidth="1"/>
    <col min="13" max="13" width="65.7109375" customWidth="1"/>
    <col min="14" max="14" width="35.7109375" customWidth="1"/>
    <col min="15" max="15" width="20.7109375" customWidth="1"/>
    <col min="16" max="16" width="15.7109375" customWidth="1"/>
    <col min="17" max="17" width="1.7109375" customWidth="1"/>
    <col min="18" max="18" width="15.7109375" customWidth="1"/>
    <col min="19" max="20" width="12.7109375" customWidth="1"/>
    <col min="21" max="21" width="1.7109375" customWidth="1"/>
    <col min="22" max="24" width="20.7109375" customWidth="1"/>
    <col min="25" max="25" width="25.7109375" customWidth="1"/>
    <col min="26" max="26" width="20.7109375" customWidth="1"/>
    <col min="27" max="27" width="10.7109375" customWidth="1"/>
    <col min="28" max="29" width="12.7109375" customWidth="1"/>
    <col min="30" max="30" width="1.7109375" customWidth="1"/>
    <col min="31" max="38" width="15.7109375" customWidth="1"/>
    <col min="39" max="39" width="3.7109375" customWidth="1"/>
    <col min="40" max="43" width="11.42578125" customWidth="1"/>
  </cols>
  <sheetData>
    <row r="1" spans="2:39" s="303" customFormat="1" x14ac:dyDescent="0.2">
      <c r="G1" s="2"/>
      <c r="H1" s="2"/>
      <c r="I1" s="2"/>
      <c r="J1" s="2"/>
      <c r="K1" s="2"/>
      <c r="N1" s="2"/>
      <c r="O1" s="2"/>
      <c r="P1" s="2"/>
      <c r="Q1" s="2"/>
      <c r="AA1" s="304"/>
      <c r="AM1" s="305"/>
    </row>
    <row r="2" spans="2:39" s="303" customFormat="1" ht="15.75" x14ac:dyDescent="0.2">
      <c r="G2" s="2"/>
      <c r="H2" s="2"/>
      <c r="I2" s="2"/>
      <c r="J2" s="2"/>
      <c r="K2" s="2"/>
      <c r="M2" s="306" t="s">
        <v>140</v>
      </c>
      <c r="N2" s="307" t="s">
        <v>141</v>
      </c>
      <c r="O2" s="2"/>
      <c r="P2" s="2"/>
      <c r="Q2" s="2"/>
      <c r="AA2" s="304"/>
      <c r="AM2" s="305"/>
    </row>
    <row r="3" spans="2:39" s="303" customFormat="1" ht="15.75" x14ac:dyDescent="0.2">
      <c r="G3" s="2"/>
      <c r="H3" s="2"/>
      <c r="I3" s="2"/>
      <c r="J3" s="2"/>
      <c r="K3" s="2"/>
      <c r="M3" s="306" t="s">
        <v>0</v>
      </c>
      <c r="N3" s="307" t="s">
        <v>142</v>
      </c>
      <c r="O3" s="2"/>
      <c r="P3" s="2"/>
      <c r="Q3" s="2"/>
      <c r="AA3" s="304"/>
      <c r="AM3" s="305"/>
    </row>
    <row r="4" spans="2:39" s="303" customFormat="1" ht="15.75" x14ac:dyDescent="0.2">
      <c r="G4" s="2"/>
      <c r="H4" s="2"/>
      <c r="I4" s="2"/>
      <c r="J4" s="2"/>
      <c r="K4" s="2"/>
      <c r="M4" s="306" t="s">
        <v>2</v>
      </c>
      <c r="N4" s="307" t="s">
        <v>143</v>
      </c>
      <c r="O4" s="2"/>
      <c r="P4" s="2"/>
      <c r="Q4" s="2"/>
      <c r="AA4" s="304"/>
      <c r="AM4" s="305"/>
    </row>
    <row r="5" spans="2:39" s="303" customFormat="1" ht="15.75" x14ac:dyDescent="0.2">
      <c r="G5" s="2"/>
      <c r="H5" s="2"/>
      <c r="I5" s="2"/>
      <c r="J5" s="2"/>
      <c r="K5" s="2"/>
      <c r="M5" s="306" t="s">
        <v>1</v>
      </c>
      <c r="N5" s="307" t="s">
        <v>144</v>
      </c>
      <c r="O5" s="2"/>
      <c r="P5" s="2"/>
      <c r="Q5" s="2"/>
      <c r="AA5" s="304"/>
      <c r="AM5" s="305"/>
    </row>
    <row r="6" spans="2:39" s="303" customFormat="1" ht="14.25" x14ac:dyDescent="0.2">
      <c r="G6" s="2"/>
      <c r="H6" s="2"/>
      <c r="I6" s="2"/>
      <c r="J6" s="2"/>
      <c r="K6" s="2"/>
      <c r="N6" s="2"/>
      <c r="O6" s="2"/>
      <c r="P6" s="2"/>
      <c r="Q6" s="2"/>
      <c r="AA6" s="304"/>
    </row>
    <row r="7" spans="2:39" s="303" customFormat="1" thickBot="1" x14ac:dyDescent="0.25">
      <c r="G7" s="2"/>
      <c r="H7" s="2"/>
      <c r="I7" s="2"/>
      <c r="J7" s="2"/>
      <c r="K7" s="2"/>
      <c r="N7" s="2"/>
      <c r="O7" s="2"/>
      <c r="P7" s="2"/>
      <c r="Q7" s="2"/>
      <c r="AA7" s="304"/>
      <c r="AM7" s="308"/>
    </row>
    <row r="8" spans="2:39" s="303" customFormat="1" ht="19.5" customHeight="1" thickBot="1" x14ac:dyDescent="0.25">
      <c r="B8" s="678" t="s">
        <v>145</v>
      </c>
      <c r="C8" s="680"/>
      <c r="D8" s="680"/>
      <c r="E8" s="680"/>
      <c r="F8" s="680"/>
      <c r="G8" s="680"/>
      <c r="H8" s="680"/>
      <c r="I8" s="679"/>
      <c r="J8" s="2"/>
      <c r="K8" s="678" t="s">
        <v>146</v>
      </c>
      <c r="L8" s="680"/>
      <c r="M8" s="680"/>
      <c r="N8" s="680"/>
      <c r="O8" s="680"/>
      <c r="P8" s="679"/>
      <c r="Q8" s="2"/>
      <c r="R8" s="678" t="s">
        <v>147</v>
      </c>
      <c r="S8" s="680"/>
      <c r="T8" s="679"/>
      <c r="V8" s="678" t="s">
        <v>148</v>
      </c>
      <c r="W8" s="680"/>
      <c r="X8" s="680"/>
      <c r="Y8" s="680"/>
      <c r="Z8" s="679"/>
      <c r="AA8" s="304"/>
      <c r="AB8" s="678" t="s">
        <v>149</v>
      </c>
      <c r="AC8" s="679"/>
      <c r="AE8" s="678" t="s">
        <v>150</v>
      </c>
      <c r="AF8" s="680"/>
      <c r="AG8" s="680"/>
      <c r="AH8" s="680"/>
      <c r="AI8" s="680"/>
      <c r="AJ8" s="680"/>
      <c r="AK8" s="680"/>
      <c r="AL8" s="679"/>
      <c r="AM8" s="309"/>
    </row>
    <row r="9" spans="2:39" s="303" customFormat="1" ht="15" customHeight="1" x14ac:dyDescent="0.2">
      <c r="B9" s="310" t="s">
        <v>151</v>
      </c>
      <c r="C9" s="310" t="s">
        <v>152</v>
      </c>
      <c r="D9" s="310" t="s">
        <v>153</v>
      </c>
      <c r="E9" s="310" t="s">
        <v>154</v>
      </c>
      <c r="F9" s="311" t="s">
        <v>155</v>
      </c>
      <c r="G9" s="681" t="s">
        <v>156</v>
      </c>
      <c r="H9" s="682"/>
      <c r="I9" s="683"/>
      <c r="J9" s="2"/>
      <c r="K9" s="310" t="s">
        <v>157</v>
      </c>
      <c r="L9" s="310" t="s">
        <v>158</v>
      </c>
      <c r="M9" s="310" t="s">
        <v>159</v>
      </c>
      <c r="N9" s="310" t="s">
        <v>17</v>
      </c>
      <c r="O9" s="310" t="s">
        <v>160</v>
      </c>
      <c r="P9" s="310" t="s">
        <v>61</v>
      </c>
      <c r="Q9" s="2"/>
      <c r="R9" s="311" t="s">
        <v>161</v>
      </c>
      <c r="S9" s="311" t="s">
        <v>162</v>
      </c>
      <c r="T9" s="311" t="s">
        <v>163</v>
      </c>
      <c r="V9" s="312" t="s">
        <v>164</v>
      </c>
      <c r="W9" s="311" t="s">
        <v>165</v>
      </c>
      <c r="X9" s="311" t="s">
        <v>166</v>
      </c>
      <c r="Y9" s="311" t="s">
        <v>167</v>
      </c>
      <c r="Z9" s="311" t="s">
        <v>148</v>
      </c>
      <c r="AA9" s="304"/>
      <c r="AB9" s="684" t="s">
        <v>168</v>
      </c>
      <c r="AC9" s="684" t="s">
        <v>169</v>
      </c>
      <c r="AE9" s="686" t="s">
        <v>170</v>
      </c>
      <c r="AF9" s="687"/>
      <c r="AG9" s="687"/>
      <c r="AH9" s="688"/>
      <c r="AI9" s="689" t="s">
        <v>171</v>
      </c>
      <c r="AJ9" s="690"/>
      <c r="AK9" s="690"/>
      <c r="AL9" s="691"/>
    </row>
    <row r="10" spans="2:39" s="303" customFormat="1" ht="15.75" customHeight="1" thickBot="1" x14ac:dyDescent="0.25">
      <c r="B10" s="313"/>
      <c r="C10" s="313"/>
      <c r="D10" s="313"/>
      <c r="E10" s="313"/>
      <c r="F10" s="313"/>
      <c r="G10" s="314" t="s">
        <v>172</v>
      </c>
      <c r="H10" s="315" t="s">
        <v>173</v>
      </c>
      <c r="I10" s="316" t="s">
        <v>174</v>
      </c>
      <c r="J10" s="2"/>
      <c r="K10" s="313"/>
      <c r="L10" s="313"/>
      <c r="M10" s="313"/>
      <c r="N10" s="313"/>
      <c r="O10" s="313"/>
      <c r="P10" s="313"/>
      <c r="Q10" s="2"/>
      <c r="R10" s="313" t="s">
        <v>175</v>
      </c>
      <c r="S10" s="313" t="s">
        <v>154</v>
      </c>
      <c r="T10" s="313" t="s">
        <v>176</v>
      </c>
      <c r="V10" s="317" t="s">
        <v>5</v>
      </c>
      <c r="W10" s="318" t="s">
        <v>177</v>
      </c>
      <c r="X10" s="313" t="s">
        <v>178</v>
      </c>
      <c r="Y10" s="318" t="s">
        <v>179</v>
      </c>
      <c r="Z10" s="313" t="s">
        <v>180</v>
      </c>
      <c r="AA10" s="304"/>
      <c r="AB10" s="685"/>
      <c r="AC10" s="685"/>
      <c r="AE10" s="314" t="s">
        <v>181</v>
      </c>
      <c r="AF10" s="315" t="s">
        <v>60</v>
      </c>
      <c r="AG10" s="315" t="s">
        <v>150</v>
      </c>
      <c r="AH10" s="316" t="s">
        <v>182</v>
      </c>
      <c r="AI10" s="314" t="s">
        <v>181</v>
      </c>
      <c r="AJ10" s="315" t="s">
        <v>60</v>
      </c>
      <c r="AK10" s="315" t="s">
        <v>150</v>
      </c>
      <c r="AL10" s="316" t="s">
        <v>182</v>
      </c>
    </row>
    <row r="11" spans="2:39" s="303" customFormat="1" ht="28.5" x14ac:dyDescent="0.2">
      <c r="B11" s="319">
        <v>1</v>
      </c>
      <c r="C11" s="320" t="s">
        <v>183</v>
      </c>
      <c r="D11" s="321" t="s">
        <v>184</v>
      </c>
      <c r="E11" s="319" t="s">
        <v>185</v>
      </c>
      <c r="F11" s="319">
        <v>43</v>
      </c>
      <c r="G11" s="319">
        <v>600</v>
      </c>
      <c r="H11" s="319" t="s">
        <v>173</v>
      </c>
      <c r="I11" s="319">
        <v>1200</v>
      </c>
      <c r="J11" s="2"/>
      <c r="K11" s="319">
        <v>12</v>
      </c>
      <c r="L11" s="321" t="s">
        <v>42</v>
      </c>
      <c r="M11" s="322" t="s">
        <v>43</v>
      </c>
      <c r="N11" s="321" t="s">
        <v>39</v>
      </c>
      <c r="O11" s="323" t="s">
        <v>186</v>
      </c>
      <c r="P11" s="321" t="s">
        <v>3</v>
      </c>
      <c r="Q11" s="2"/>
      <c r="R11" s="324">
        <f t="shared" ref="R11:R18" si="0">ROUNDUP(I11,0)</f>
        <v>1200</v>
      </c>
      <c r="S11" s="325">
        <v>1</v>
      </c>
      <c r="T11" s="325">
        <f t="shared" ref="T11:T74" si="1">$F11*$S11</f>
        <v>43</v>
      </c>
      <c r="V11" s="324">
        <v>5500</v>
      </c>
      <c r="W11" s="326">
        <f t="shared" ref="W11:W74" si="2">ROUNDDOWN($V11/$R11,0)</f>
        <v>4</v>
      </c>
      <c r="X11" s="326">
        <f t="shared" ref="X11:X74" si="3">($R11*$W11)+(50*2)+(5*($W11-1))</f>
        <v>4915</v>
      </c>
      <c r="Y11" s="327">
        <v>4900</v>
      </c>
      <c r="Z11" s="328">
        <f t="shared" ref="Z11:Z71" si="4">$T11/$W11</f>
        <v>10.75</v>
      </c>
      <c r="AA11" s="304"/>
      <c r="AB11" s="329">
        <v>1.72</v>
      </c>
      <c r="AC11" s="329">
        <v>0.32400000000000001</v>
      </c>
      <c r="AE11" s="330">
        <f t="shared" ref="AE11:AE74" si="5">(($R11/1000)*$T11)*$AB11</f>
        <v>88.751999999999995</v>
      </c>
      <c r="AF11" s="330">
        <f t="shared" ref="AF11:AF74" si="6">(($Y11*$Z11)/1000)*$AB11</f>
        <v>90.600999999999999</v>
      </c>
      <c r="AG11" s="330">
        <f t="shared" ref="AG11:AG74" si="7">+AE11-AF11</f>
        <v>-1.8490000000000038</v>
      </c>
      <c r="AH11" s="331">
        <f t="shared" ref="AH11:AH74" si="8">+AF11/AE11</f>
        <v>1.0208333333333335</v>
      </c>
      <c r="AI11" s="330">
        <f t="shared" ref="AI11:AI74" si="9">($R11/1000)*$T11</f>
        <v>51.6</v>
      </c>
      <c r="AJ11" s="330">
        <f t="shared" ref="AJ11:AJ74" si="10">($Y11/1000)*$Z11</f>
        <v>52.675000000000004</v>
      </c>
      <c r="AK11" s="330">
        <f t="shared" ref="AK11:AK74" si="11">+AI11-AJ11</f>
        <v>-1.0750000000000028</v>
      </c>
      <c r="AL11" s="331">
        <f t="shared" ref="AL11:AL74" si="12">+AJ11/AI11</f>
        <v>1.0208333333333335</v>
      </c>
    </row>
    <row r="12" spans="2:39" s="303" customFormat="1" ht="28.5" x14ac:dyDescent="0.2">
      <c r="B12" s="319">
        <f t="shared" ref="B12:B75" si="13">B11+1</f>
        <v>2</v>
      </c>
      <c r="C12" s="320" t="s">
        <v>183</v>
      </c>
      <c r="D12" s="321" t="s">
        <v>184</v>
      </c>
      <c r="E12" s="319" t="s">
        <v>185</v>
      </c>
      <c r="F12" s="319">
        <v>43</v>
      </c>
      <c r="G12" s="319">
        <v>600</v>
      </c>
      <c r="H12" s="319" t="s">
        <v>173</v>
      </c>
      <c r="I12" s="319">
        <v>1200</v>
      </c>
      <c r="J12" s="2"/>
      <c r="K12" s="319">
        <v>12</v>
      </c>
      <c r="L12" s="321" t="s">
        <v>40</v>
      </c>
      <c r="M12" s="322" t="s">
        <v>41</v>
      </c>
      <c r="N12" s="321" t="s">
        <v>39</v>
      </c>
      <c r="O12" s="323" t="s">
        <v>186</v>
      </c>
      <c r="P12" s="321" t="s">
        <v>3</v>
      </c>
      <c r="Q12" s="2"/>
      <c r="R12" s="324">
        <f t="shared" si="0"/>
        <v>1200</v>
      </c>
      <c r="S12" s="325">
        <v>1</v>
      </c>
      <c r="T12" s="325">
        <f t="shared" si="1"/>
        <v>43</v>
      </c>
      <c r="V12" s="324">
        <v>5500</v>
      </c>
      <c r="W12" s="326">
        <f t="shared" si="2"/>
        <v>4</v>
      </c>
      <c r="X12" s="326">
        <f t="shared" si="3"/>
        <v>4915</v>
      </c>
      <c r="Y12" s="327">
        <v>4900</v>
      </c>
      <c r="Z12" s="328">
        <f t="shared" si="4"/>
        <v>10.75</v>
      </c>
      <c r="AA12" s="392"/>
      <c r="AB12" s="329">
        <v>0.27700000000000002</v>
      </c>
      <c r="AC12" s="329">
        <v>0.114</v>
      </c>
      <c r="AE12" s="332">
        <f t="shared" si="5"/>
        <v>14.293200000000002</v>
      </c>
      <c r="AF12" s="332">
        <f t="shared" si="6"/>
        <v>14.590975</v>
      </c>
      <c r="AG12" s="332">
        <f t="shared" si="7"/>
        <v>-0.2977749999999979</v>
      </c>
      <c r="AH12" s="333">
        <f t="shared" si="8"/>
        <v>1.0208333333333333</v>
      </c>
      <c r="AI12" s="332">
        <f t="shared" si="9"/>
        <v>51.6</v>
      </c>
      <c r="AJ12" s="332">
        <f t="shared" si="10"/>
        <v>52.675000000000004</v>
      </c>
      <c r="AK12" s="332">
        <f t="shared" si="11"/>
        <v>-1.0750000000000028</v>
      </c>
      <c r="AL12" s="333">
        <f t="shared" si="12"/>
        <v>1.0208333333333335</v>
      </c>
    </row>
    <row r="13" spans="2:39" s="303" customFormat="1" ht="28.5" x14ac:dyDescent="0.2">
      <c r="B13" s="319">
        <f t="shared" si="13"/>
        <v>3</v>
      </c>
      <c r="C13" s="320" t="s">
        <v>183</v>
      </c>
      <c r="D13" s="321" t="s">
        <v>184</v>
      </c>
      <c r="E13" s="319" t="s">
        <v>185</v>
      </c>
      <c r="F13" s="319">
        <v>43</v>
      </c>
      <c r="G13" s="319">
        <v>600</v>
      </c>
      <c r="H13" s="319" t="s">
        <v>173</v>
      </c>
      <c r="I13" s="319">
        <v>1200</v>
      </c>
      <c r="J13" s="2"/>
      <c r="K13" s="319">
        <v>12</v>
      </c>
      <c r="L13" s="321" t="s">
        <v>37</v>
      </c>
      <c r="M13" s="322" t="s">
        <v>38</v>
      </c>
      <c r="N13" s="321" t="s">
        <v>39</v>
      </c>
      <c r="O13" s="323" t="s">
        <v>186</v>
      </c>
      <c r="P13" s="321" t="s">
        <v>3</v>
      </c>
      <c r="Q13" s="2"/>
      <c r="R13" s="324">
        <f t="shared" si="0"/>
        <v>1200</v>
      </c>
      <c r="S13" s="325">
        <v>1</v>
      </c>
      <c r="T13" s="325">
        <f t="shared" si="1"/>
        <v>43</v>
      </c>
      <c r="V13" s="324">
        <v>5500</v>
      </c>
      <c r="W13" s="326">
        <f t="shared" si="2"/>
        <v>4</v>
      </c>
      <c r="X13" s="326">
        <f t="shared" si="3"/>
        <v>4915</v>
      </c>
      <c r="Y13" s="327">
        <v>4900</v>
      </c>
      <c r="Z13" s="328">
        <f t="shared" si="4"/>
        <v>10.75</v>
      </c>
      <c r="AA13" s="392"/>
      <c r="AB13" s="329">
        <v>0.29899999999999999</v>
      </c>
      <c r="AC13" s="329">
        <v>0.13900000000000001</v>
      </c>
      <c r="AE13" s="332">
        <f t="shared" si="5"/>
        <v>15.4284</v>
      </c>
      <c r="AF13" s="332">
        <f t="shared" si="6"/>
        <v>15.749824999999998</v>
      </c>
      <c r="AG13" s="332">
        <f t="shared" si="7"/>
        <v>-0.32142499999999785</v>
      </c>
      <c r="AH13" s="333">
        <f t="shared" si="8"/>
        <v>1.0208333333333333</v>
      </c>
      <c r="AI13" s="332">
        <f t="shared" si="9"/>
        <v>51.6</v>
      </c>
      <c r="AJ13" s="332">
        <f t="shared" si="10"/>
        <v>52.675000000000004</v>
      </c>
      <c r="AK13" s="332">
        <f t="shared" si="11"/>
        <v>-1.0750000000000028</v>
      </c>
      <c r="AL13" s="333">
        <f t="shared" si="12"/>
        <v>1.0208333333333335</v>
      </c>
    </row>
    <row r="14" spans="2:39" s="303" customFormat="1" ht="28.5" x14ac:dyDescent="0.2">
      <c r="B14" s="319">
        <f t="shared" si="13"/>
        <v>4</v>
      </c>
      <c r="C14" s="320" t="s">
        <v>183</v>
      </c>
      <c r="D14" s="321" t="s">
        <v>184</v>
      </c>
      <c r="E14" s="319" t="s">
        <v>185</v>
      </c>
      <c r="F14" s="319">
        <v>43</v>
      </c>
      <c r="G14" s="319">
        <v>600</v>
      </c>
      <c r="H14" s="319" t="s">
        <v>173</v>
      </c>
      <c r="I14" s="319">
        <v>1200</v>
      </c>
      <c r="J14" s="2"/>
      <c r="K14" s="334">
        <v>12</v>
      </c>
      <c r="L14" s="335" t="s">
        <v>28</v>
      </c>
      <c r="M14" s="336" t="s">
        <v>118</v>
      </c>
      <c r="N14" s="337" t="s">
        <v>6</v>
      </c>
      <c r="O14" s="323" t="s">
        <v>186</v>
      </c>
      <c r="P14" s="337" t="s">
        <v>187</v>
      </c>
      <c r="Q14" s="2"/>
      <c r="R14" s="324">
        <f t="shared" si="0"/>
        <v>1200</v>
      </c>
      <c r="S14" s="325">
        <v>1</v>
      </c>
      <c r="T14" s="325">
        <f t="shared" si="1"/>
        <v>43</v>
      </c>
      <c r="V14" s="338">
        <v>3660</v>
      </c>
      <c r="W14" s="339">
        <f t="shared" si="2"/>
        <v>3</v>
      </c>
      <c r="X14" s="339">
        <f t="shared" si="3"/>
        <v>3710</v>
      </c>
      <c r="Y14" s="327">
        <v>3660</v>
      </c>
      <c r="Z14" s="340">
        <f>($R14*$T14)/$V14</f>
        <v>14.098360655737705</v>
      </c>
      <c r="AA14" s="392"/>
      <c r="AB14" s="332">
        <v>1.641</v>
      </c>
      <c r="AC14" s="332">
        <v>0.20319999999999999</v>
      </c>
      <c r="AE14" s="332">
        <f t="shared" si="5"/>
        <v>84.675600000000003</v>
      </c>
      <c r="AF14" s="332">
        <f t="shared" si="6"/>
        <v>84.675600000000003</v>
      </c>
      <c r="AG14" s="332">
        <f t="shared" si="7"/>
        <v>0</v>
      </c>
      <c r="AH14" s="333">
        <f t="shared" si="8"/>
        <v>1</v>
      </c>
      <c r="AI14" s="332">
        <f t="shared" si="9"/>
        <v>51.6</v>
      </c>
      <c r="AJ14" s="332">
        <f t="shared" si="10"/>
        <v>51.6</v>
      </c>
      <c r="AK14" s="332">
        <f t="shared" si="11"/>
        <v>0</v>
      </c>
      <c r="AL14" s="333">
        <f t="shared" si="12"/>
        <v>1</v>
      </c>
    </row>
    <row r="15" spans="2:39" s="303" customFormat="1" ht="28.5" x14ac:dyDescent="0.2">
      <c r="B15" s="319">
        <f t="shared" si="13"/>
        <v>5</v>
      </c>
      <c r="C15" s="320" t="s">
        <v>183</v>
      </c>
      <c r="D15" s="321" t="s">
        <v>184</v>
      </c>
      <c r="E15" s="319" t="s">
        <v>185</v>
      </c>
      <c r="F15" s="319">
        <v>43</v>
      </c>
      <c r="G15" s="319">
        <v>600</v>
      </c>
      <c r="H15" s="319" t="s">
        <v>173</v>
      </c>
      <c r="I15" s="319">
        <v>1200</v>
      </c>
      <c r="J15" s="2"/>
      <c r="K15" s="319">
        <v>13</v>
      </c>
      <c r="L15" s="321" t="s">
        <v>42</v>
      </c>
      <c r="M15" s="322" t="s">
        <v>43</v>
      </c>
      <c r="N15" s="321" t="s">
        <v>39</v>
      </c>
      <c r="O15" s="323" t="s">
        <v>186</v>
      </c>
      <c r="P15" s="321" t="s">
        <v>3</v>
      </c>
      <c r="Q15" s="2"/>
      <c r="R15" s="324">
        <f t="shared" si="0"/>
        <v>1200</v>
      </c>
      <c r="S15" s="325">
        <v>1</v>
      </c>
      <c r="T15" s="325">
        <f t="shared" si="1"/>
        <v>43</v>
      </c>
      <c r="V15" s="324">
        <v>5500</v>
      </c>
      <c r="W15" s="326">
        <f t="shared" si="2"/>
        <v>4</v>
      </c>
      <c r="X15" s="326">
        <f t="shared" si="3"/>
        <v>4915</v>
      </c>
      <c r="Y15" s="327">
        <v>4900</v>
      </c>
      <c r="Z15" s="328">
        <f t="shared" si="4"/>
        <v>10.75</v>
      </c>
      <c r="AA15" s="304"/>
      <c r="AB15" s="329">
        <v>1.72</v>
      </c>
      <c r="AC15" s="329">
        <v>0.32400000000000001</v>
      </c>
      <c r="AE15" s="332">
        <f t="shared" si="5"/>
        <v>88.751999999999995</v>
      </c>
      <c r="AF15" s="332">
        <f t="shared" si="6"/>
        <v>90.600999999999999</v>
      </c>
      <c r="AG15" s="332">
        <f t="shared" si="7"/>
        <v>-1.8490000000000038</v>
      </c>
      <c r="AH15" s="333">
        <f t="shared" si="8"/>
        <v>1.0208333333333335</v>
      </c>
      <c r="AI15" s="332">
        <f t="shared" si="9"/>
        <v>51.6</v>
      </c>
      <c r="AJ15" s="332">
        <f t="shared" si="10"/>
        <v>52.675000000000004</v>
      </c>
      <c r="AK15" s="332">
        <f t="shared" si="11"/>
        <v>-1.0750000000000028</v>
      </c>
      <c r="AL15" s="333">
        <f t="shared" si="12"/>
        <v>1.0208333333333335</v>
      </c>
    </row>
    <row r="16" spans="2:39" s="303" customFormat="1" ht="28.5" x14ac:dyDescent="0.2">
      <c r="B16" s="319">
        <f t="shared" si="13"/>
        <v>6</v>
      </c>
      <c r="C16" s="320" t="s">
        <v>183</v>
      </c>
      <c r="D16" s="321" t="s">
        <v>184</v>
      </c>
      <c r="E16" s="319" t="s">
        <v>185</v>
      </c>
      <c r="F16" s="319">
        <v>43</v>
      </c>
      <c r="G16" s="319">
        <v>600</v>
      </c>
      <c r="H16" s="319" t="s">
        <v>173</v>
      </c>
      <c r="I16" s="319">
        <v>1200</v>
      </c>
      <c r="J16" s="2"/>
      <c r="K16" s="319">
        <v>13</v>
      </c>
      <c r="L16" s="321" t="s">
        <v>40</v>
      </c>
      <c r="M16" s="322" t="s">
        <v>41</v>
      </c>
      <c r="N16" s="321" t="s">
        <v>39</v>
      </c>
      <c r="O16" s="323" t="s">
        <v>186</v>
      </c>
      <c r="P16" s="321" t="s">
        <v>3</v>
      </c>
      <c r="Q16" s="2"/>
      <c r="R16" s="324">
        <f t="shared" si="0"/>
        <v>1200</v>
      </c>
      <c r="S16" s="325">
        <v>1</v>
      </c>
      <c r="T16" s="325">
        <f t="shared" si="1"/>
        <v>43</v>
      </c>
      <c r="V16" s="324">
        <v>5500</v>
      </c>
      <c r="W16" s="326">
        <f t="shared" si="2"/>
        <v>4</v>
      </c>
      <c r="X16" s="326">
        <f t="shared" si="3"/>
        <v>4915</v>
      </c>
      <c r="Y16" s="327">
        <v>4900</v>
      </c>
      <c r="Z16" s="328">
        <f t="shared" si="4"/>
        <v>10.75</v>
      </c>
      <c r="AA16" s="392"/>
      <c r="AB16" s="329">
        <v>0.27700000000000002</v>
      </c>
      <c r="AC16" s="329">
        <v>0.114</v>
      </c>
      <c r="AE16" s="332">
        <f t="shared" si="5"/>
        <v>14.293200000000002</v>
      </c>
      <c r="AF16" s="332">
        <f t="shared" si="6"/>
        <v>14.590975</v>
      </c>
      <c r="AG16" s="332">
        <f t="shared" si="7"/>
        <v>-0.2977749999999979</v>
      </c>
      <c r="AH16" s="333">
        <f t="shared" si="8"/>
        <v>1.0208333333333333</v>
      </c>
      <c r="AI16" s="332">
        <f t="shared" si="9"/>
        <v>51.6</v>
      </c>
      <c r="AJ16" s="332">
        <f t="shared" si="10"/>
        <v>52.675000000000004</v>
      </c>
      <c r="AK16" s="332">
        <f t="shared" si="11"/>
        <v>-1.0750000000000028</v>
      </c>
      <c r="AL16" s="333">
        <f t="shared" si="12"/>
        <v>1.0208333333333335</v>
      </c>
    </row>
    <row r="17" spans="2:39" s="303" customFormat="1" ht="28.5" x14ac:dyDescent="0.2">
      <c r="B17" s="319">
        <f t="shared" si="13"/>
        <v>7</v>
      </c>
      <c r="C17" s="320" t="s">
        <v>183</v>
      </c>
      <c r="D17" s="321" t="s">
        <v>184</v>
      </c>
      <c r="E17" s="319" t="s">
        <v>185</v>
      </c>
      <c r="F17" s="319">
        <v>43</v>
      </c>
      <c r="G17" s="319">
        <v>600</v>
      </c>
      <c r="H17" s="319" t="s">
        <v>173</v>
      </c>
      <c r="I17" s="319">
        <v>1200</v>
      </c>
      <c r="J17" s="2"/>
      <c r="K17" s="319">
        <v>13</v>
      </c>
      <c r="L17" s="321" t="s">
        <v>37</v>
      </c>
      <c r="M17" s="322" t="s">
        <v>38</v>
      </c>
      <c r="N17" s="321" t="s">
        <v>39</v>
      </c>
      <c r="O17" s="323" t="s">
        <v>186</v>
      </c>
      <c r="P17" s="321" t="s">
        <v>3</v>
      </c>
      <c r="Q17" s="2"/>
      <c r="R17" s="324">
        <f t="shared" si="0"/>
        <v>1200</v>
      </c>
      <c r="S17" s="325">
        <v>1</v>
      </c>
      <c r="T17" s="325">
        <f t="shared" si="1"/>
        <v>43</v>
      </c>
      <c r="V17" s="324">
        <v>5500</v>
      </c>
      <c r="W17" s="326">
        <f t="shared" si="2"/>
        <v>4</v>
      </c>
      <c r="X17" s="326">
        <f t="shared" si="3"/>
        <v>4915</v>
      </c>
      <c r="Y17" s="327">
        <v>4900</v>
      </c>
      <c r="Z17" s="328">
        <f t="shared" si="4"/>
        <v>10.75</v>
      </c>
      <c r="AA17" s="392"/>
      <c r="AB17" s="329">
        <v>0.29899999999999999</v>
      </c>
      <c r="AC17" s="329">
        <v>0.13900000000000001</v>
      </c>
      <c r="AE17" s="332">
        <f t="shared" si="5"/>
        <v>15.4284</v>
      </c>
      <c r="AF17" s="332">
        <f t="shared" si="6"/>
        <v>15.749824999999998</v>
      </c>
      <c r="AG17" s="332">
        <f t="shared" si="7"/>
        <v>-0.32142499999999785</v>
      </c>
      <c r="AH17" s="333">
        <f t="shared" si="8"/>
        <v>1.0208333333333333</v>
      </c>
      <c r="AI17" s="332">
        <f t="shared" si="9"/>
        <v>51.6</v>
      </c>
      <c r="AJ17" s="332">
        <f t="shared" si="10"/>
        <v>52.675000000000004</v>
      </c>
      <c r="AK17" s="332">
        <f t="shared" si="11"/>
        <v>-1.0750000000000028</v>
      </c>
      <c r="AL17" s="333">
        <f t="shared" si="12"/>
        <v>1.0208333333333335</v>
      </c>
    </row>
    <row r="18" spans="2:39" s="303" customFormat="1" ht="28.5" x14ac:dyDescent="0.2">
      <c r="B18" s="319">
        <f t="shared" si="13"/>
        <v>8</v>
      </c>
      <c r="C18" s="320" t="s">
        <v>183</v>
      </c>
      <c r="D18" s="321" t="s">
        <v>184</v>
      </c>
      <c r="E18" s="319" t="s">
        <v>185</v>
      </c>
      <c r="F18" s="319">
        <v>43</v>
      </c>
      <c r="G18" s="319">
        <v>600</v>
      </c>
      <c r="H18" s="319" t="s">
        <v>173</v>
      </c>
      <c r="I18" s="319">
        <v>1200</v>
      </c>
      <c r="J18" s="2"/>
      <c r="K18" s="334">
        <v>13</v>
      </c>
      <c r="L18" s="335" t="s">
        <v>28</v>
      </c>
      <c r="M18" s="336" t="s">
        <v>118</v>
      </c>
      <c r="N18" s="337" t="s">
        <v>6</v>
      </c>
      <c r="O18" s="323" t="s">
        <v>186</v>
      </c>
      <c r="P18" s="337" t="s">
        <v>187</v>
      </c>
      <c r="Q18" s="2"/>
      <c r="R18" s="324">
        <f t="shared" si="0"/>
        <v>1200</v>
      </c>
      <c r="S18" s="325">
        <v>1</v>
      </c>
      <c r="T18" s="325">
        <f t="shared" si="1"/>
        <v>43</v>
      </c>
      <c r="V18" s="338">
        <v>3660</v>
      </c>
      <c r="W18" s="339">
        <f t="shared" si="2"/>
        <v>3</v>
      </c>
      <c r="X18" s="339">
        <f t="shared" si="3"/>
        <v>3710</v>
      </c>
      <c r="Y18" s="327">
        <v>3660</v>
      </c>
      <c r="Z18" s="340">
        <f>($R18*$T18)/$V18</f>
        <v>14.098360655737705</v>
      </c>
      <c r="AA18" s="392"/>
      <c r="AB18" s="332">
        <v>1.641</v>
      </c>
      <c r="AC18" s="332">
        <v>0.20319999999999999</v>
      </c>
      <c r="AE18" s="332">
        <f t="shared" si="5"/>
        <v>84.675600000000003</v>
      </c>
      <c r="AF18" s="332">
        <f t="shared" si="6"/>
        <v>84.675600000000003</v>
      </c>
      <c r="AG18" s="332">
        <f t="shared" si="7"/>
        <v>0</v>
      </c>
      <c r="AH18" s="333">
        <f t="shared" si="8"/>
        <v>1</v>
      </c>
      <c r="AI18" s="332">
        <f t="shared" si="9"/>
        <v>51.6</v>
      </c>
      <c r="AJ18" s="332">
        <f t="shared" si="10"/>
        <v>51.6</v>
      </c>
      <c r="AK18" s="332">
        <f t="shared" si="11"/>
        <v>0</v>
      </c>
      <c r="AL18" s="333">
        <f t="shared" si="12"/>
        <v>1</v>
      </c>
    </row>
    <row r="19" spans="2:39" s="303" customFormat="1" ht="28.5" x14ac:dyDescent="0.2">
      <c r="B19" s="319">
        <f t="shared" si="13"/>
        <v>9</v>
      </c>
      <c r="C19" s="320" t="s">
        <v>183</v>
      </c>
      <c r="D19" s="321" t="s">
        <v>184</v>
      </c>
      <c r="E19" s="319" t="s">
        <v>185</v>
      </c>
      <c r="F19" s="319">
        <v>43</v>
      </c>
      <c r="G19" s="319">
        <v>600</v>
      </c>
      <c r="H19" s="319" t="s">
        <v>173</v>
      </c>
      <c r="I19" s="319">
        <v>1200</v>
      </c>
      <c r="J19" s="2"/>
      <c r="K19" s="319">
        <v>10</v>
      </c>
      <c r="L19" s="321" t="s">
        <v>42</v>
      </c>
      <c r="M19" s="322" t="s">
        <v>43</v>
      </c>
      <c r="N19" s="321" t="s">
        <v>39</v>
      </c>
      <c r="O19" s="323" t="s">
        <v>188</v>
      </c>
      <c r="P19" s="321" t="s">
        <v>3</v>
      </c>
      <c r="Q19" s="2"/>
      <c r="R19" s="324">
        <f t="shared" ref="R19:R26" si="14">ROUNDUP(G19,0)</f>
        <v>600</v>
      </c>
      <c r="S19" s="325">
        <v>1</v>
      </c>
      <c r="T19" s="325">
        <f t="shared" si="1"/>
        <v>43</v>
      </c>
      <c r="V19" s="324">
        <v>5000</v>
      </c>
      <c r="W19" s="326">
        <f t="shared" si="2"/>
        <v>8</v>
      </c>
      <c r="X19" s="326">
        <f t="shared" si="3"/>
        <v>4935</v>
      </c>
      <c r="Y19" s="327">
        <v>4900</v>
      </c>
      <c r="Z19" s="328">
        <f t="shared" si="4"/>
        <v>5.375</v>
      </c>
      <c r="AA19" s="392"/>
      <c r="AB19" s="329">
        <v>1.72</v>
      </c>
      <c r="AC19" s="329">
        <v>0.32400000000000001</v>
      </c>
      <c r="AE19" s="332">
        <f t="shared" si="5"/>
        <v>44.375999999999998</v>
      </c>
      <c r="AF19" s="332">
        <f t="shared" si="6"/>
        <v>45.3005</v>
      </c>
      <c r="AG19" s="332">
        <f t="shared" si="7"/>
        <v>-0.92450000000000188</v>
      </c>
      <c r="AH19" s="333">
        <f t="shared" si="8"/>
        <v>1.0208333333333335</v>
      </c>
      <c r="AI19" s="332">
        <f t="shared" si="9"/>
        <v>25.8</v>
      </c>
      <c r="AJ19" s="332">
        <f t="shared" si="10"/>
        <v>26.337500000000002</v>
      </c>
      <c r="AK19" s="332">
        <f t="shared" si="11"/>
        <v>-0.53750000000000142</v>
      </c>
      <c r="AL19" s="333">
        <f t="shared" si="12"/>
        <v>1.0208333333333335</v>
      </c>
    </row>
    <row r="20" spans="2:39" s="303" customFormat="1" ht="28.5" x14ac:dyDescent="0.2">
      <c r="B20" s="319">
        <f t="shared" si="13"/>
        <v>10</v>
      </c>
      <c r="C20" s="320" t="s">
        <v>183</v>
      </c>
      <c r="D20" s="321" t="s">
        <v>184</v>
      </c>
      <c r="E20" s="319" t="s">
        <v>185</v>
      </c>
      <c r="F20" s="319">
        <v>43</v>
      </c>
      <c r="G20" s="319">
        <v>600</v>
      </c>
      <c r="H20" s="319" t="s">
        <v>173</v>
      </c>
      <c r="I20" s="319">
        <v>1200</v>
      </c>
      <c r="J20" s="2"/>
      <c r="K20" s="319">
        <v>10</v>
      </c>
      <c r="L20" s="321" t="s">
        <v>40</v>
      </c>
      <c r="M20" s="322" t="s">
        <v>41</v>
      </c>
      <c r="N20" s="321" t="s">
        <v>39</v>
      </c>
      <c r="O20" s="323" t="s">
        <v>188</v>
      </c>
      <c r="P20" s="321" t="s">
        <v>3</v>
      </c>
      <c r="Q20" s="2"/>
      <c r="R20" s="324">
        <f t="shared" si="14"/>
        <v>600</v>
      </c>
      <c r="S20" s="325">
        <v>1</v>
      </c>
      <c r="T20" s="325">
        <f t="shared" si="1"/>
        <v>43</v>
      </c>
      <c r="V20" s="324">
        <v>5000</v>
      </c>
      <c r="W20" s="326">
        <f t="shared" si="2"/>
        <v>8</v>
      </c>
      <c r="X20" s="326">
        <f t="shared" si="3"/>
        <v>4935</v>
      </c>
      <c r="Y20" s="327">
        <v>4900</v>
      </c>
      <c r="Z20" s="328">
        <f t="shared" si="4"/>
        <v>5.375</v>
      </c>
      <c r="AA20" s="304"/>
      <c r="AB20" s="329">
        <v>0.27700000000000002</v>
      </c>
      <c r="AC20" s="329">
        <v>0.114</v>
      </c>
      <c r="AE20" s="332">
        <f t="shared" si="5"/>
        <v>7.1466000000000012</v>
      </c>
      <c r="AF20" s="332">
        <f t="shared" si="6"/>
        <v>7.2954875000000001</v>
      </c>
      <c r="AG20" s="332">
        <f t="shared" si="7"/>
        <v>-0.14888749999999895</v>
      </c>
      <c r="AH20" s="333">
        <f t="shared" si="8"/>
        <v>1.0208333333333333</v>
      </c>
      <c r="AI20" s="332">
        <f t="shared" si="9"/>
        <v>25.8</v>
      </c>
      <c r="AJ20" s="332">
        <f t="shared" si="10"/>
        <v>26.337500000000002</v>
      </c>
      <c r="AK20" s="332">
        <f t="shared" si="11"/>
        <v>-0.53750000000000142</v>
      </c>
      <c r="AL20" s="333">
        <f t="shared" si="12"/>
        <v>1.0208333333333335</v>
      </c>
    </row>
    <row r="21" spans="2:39" s="303" customFormat="1" ht="28.5" x14ac:dyDescent="0.2">
      <c r="B21" s="319">
        <f t="shared" si="13"/>
        <v>11</v>
      </c>
      <c r="C21" s="320" t="s">
        <v>183</v>
      </c>
      <c r="D21" s="321" t="s">
        <v>184</v>
      </c>
      <c r="E21" s="319" t="s">
        <v>185</v>
      </c>
      <c r="F21" s="319">
        <v>43</v>
      </c>
      <c r="G21" s="319">
        <v>600</v>
      </c>
      <c r="H21" s="319" t="s">
        <v>173</v>
      </c>
      <c r="I21" s="319">
        <v>1200</v>
      </c>
      <c r="J21" s="2"/>
      <c r="K21" s="319">
        <v>10</v>
      </c>
      <c r="L21" s="321" t="s">
        <v>37</v>
      </c>
      <c r="M21" s="322" t="s">
        <v>38</v>
      </c>
      <c r="N21" s="321" t="s">
        <v>39</v>
      </c>
      <c r="O21" s="323" t="s">
        <v>188</v>
      </c>
      <c r="P21" s="321" t="s">
        <v>3</v>
      </c>
      <c r="Q21" s="2"/>
      <c r="R21" s="324">
        <f t="shared" si="14"/>
        <v>600</v>
      </c>
      <c r="S21" s="325">
        <v>1</v>
      </c>
      <c r="T21" s="325">
        <f t="shared" si="1"/>
        <v>43</v>
      </c>
      <c r="V21" s="324">
        <v>5000</v>
      </c>
      <c r="W21" s="326">
        <f t="shared" si="2"/>
        <v>8</v>
      </c>
      <c r="X21" s="326">
        <f t="shared" si="3"/>
        <v>4935</v>
      </c>
      <c r="Y21" s="327">
        <v>4900</v>
      </c>
      <c r="Z21" s="328">
        <f t="shared" si="4"/>
        <v>5.375</v>
      </c>
      <c r="AA21" s="392"/>
      <c r="AB21" s="329">
        <v>0.29899999999999999</v>
      </c>
      <c r="AC21" s="329">
        <v>0.13900000000000001</v>
      </c>
      <c r="AE21" s="332">
        <f t="shared" si="5"/>
        <v>7.7141999999999999</v>
      </c>
      <c r="AF21" s="332">
        <f t="shared" si="6"/>
        <v>7.8749124999999989</v>
      </c>
      <c r="AG21" s="332">
        <f t="shared" si="7"/>
        <v>-0.16071249999999893</v>
      </c>
      <c r="AH21" s="333">
        <f t="shared" si="8"/>
        <v>1.0208333333333333</v>
      </c>
      <c r="AI21" s="332">
        <f t="shared" si="9"/>
        <v>25.8</v>
      </c>
      <c r="AJ21" s="332">
        <f t="shared" si="10"/>
        <v>26.337500000000002</v>
      </c>
      <c r="AK21" s="332">
        <f t="shared" si="11"/>
        <v>-0.53750000000000142</v>
      </c>
      <c r="AL21" s="333">
        <f t="shared" si="12"/>
        <v>1.0208333333333335</v>
      </c>
    </row>
    <row r="22" spans="2:39" s="303" customFormat="1" ht="28.5" x14ac:dyDescent="0.2">
      <c r="B22" s="319">
        <f t="shared" si="13"/>
        <v>12</v>
      </c>
      <c r="C22" s="320" t="s">
        <v>183</v>
      </c>
      <c r="D22" s="321" t="s">
        <v>184</v>
      </c>
      <c r="E22" s="319" t="s">
        <v>185</v>
      </c>
      <c r="F22" s="319">
        <v>43</v>
      </c>
      <c r="G22" s="319">
        <v>600</v>
      </c>
      <c r="H22" s="319" t="s">
        <v>173</v>
      </c>
      <c r="I22" s="319">
        <v>1200</v>
      </c>
      <c r="J22" s="2"/>
      <c r="K22" s="334">
        <v>10</v>
      </c>
      <c r="L22" s="335" t="s">
        <v>28</v>
      </c>
      <c r="M22" s="336" t="s">
        <v>118</v>
      </c>
      <c r="N22" s="337" t="s">
        <v>6</v>
      </c>
      <c r="O22" s="323" t="s">
        <v>188</v>
      </c>
      <c r="P22" s="337" t="s">
        <v>187</v>
      </c>
      <c r="Q22" s="2"/>
      <c r="R22" s="324">
        <f t="shared" si="14"/>
        <v>600</v>
      </c>
      <c r="S22" s="325">
        <v>1</v>
      </c>
      <c r="T22" s="325">
        <f t="shared" si="1"/>
        <v>43</v>
      </c>
      <c r="V22" s="338">
        <v>3660</v>
      </c>
      <c r="W22" s="339">
        <f t="shared" si="2"/>
        <v>6</v>
      </c>
      <c r="X22" s="339">
        <f t="shared" si="3"/>
        <v>3725</v>
      </c>
      <c r="Y22" s="327">
        <v>3660</v>
      </c>
      <c r="Z22" s="340">
        <f>($R22*$T22)/$V22</f>
        <v>7.0491803278688527</v>
      </c>
      <c r="AA22" s="392"/>
      <c r="AB22" s="332">
        <v>1.641</v>
      </c>
      <c r="AC22" s="332">
        <v>0.20319999999999999</v>
      </c>
      <c r="AE22" s="332">
        <f t="shared" si="5"/>
        <v>42.337800000000001</v>
      </c>
      <c r="AF22" s="332">
        <f t="shared" si="6"/>
        <v>42.337800000000001</v>
      </c>
      <c r="AG22" s="332">
        <f t="shared" si="7"/>
        <v>0</v>
      </c>
      <c r="AH22" s="333">
        <f t="shared" si="8"/>
        <v>1</v>
      </c>
      <c r="AI22" s="332">
        <f t="shared" si="9"/>
        <v>25.8</v>
      </c>
      <c r="AJ22" s="332">
        <f t="shared" si="10"/>
        <v>25.8</v>
      </c>
      <c r="AK22" s="332">
        <f t="shared" si="11"/>
        <v>0</v>
      </c>
      <c r="AL22" s="333">
        <f t="shared" si="12"/>
        <v>1</v>
      </c>
    </row>
    <row r="23" spans="2:39" s="303" customFormat="1" ht="28.5" x14ac:dyDescent="0.2">
      <c r="B23" s="319">
        <f t="shared" si="13"/>
        <v>13</v>
      </c>
      <c r="C23" s="320" t="s">
        <v>183</v>
      </c>
      <c r="D23" s="321" t="s">
        <v>184</v>
      </c>
      <c r="E23" s="319" t="s">
        <v>185</v>
      </c>
      <c r="F23" s="319">
        <v>43</v>
      </c>
      <c r="G23" s="319">
        <v>600</v>
      </c>
      <c r="H23" s="319" t="s">
        <v>173</v>
      </c>
      <c r="I23" s="319">
        <v>1200</v>
      </c>
      <c r="J23" s="2"/>
      <c r="K23" s="319">
        <v>11</v>
      </c>
      <c r="L23" s="321" t="s">
        <v>42</v>
      </c>
      <c r="M23" s="322" t="s">
        <v>43</v>
      </c>
      <c r="N23" s="321" t="s">
        <v>39</v>
      </c>
      <c r="O23" s="323" t="s">
        <v>188</v>
      </c>
      <c r="P23" s="321" t="s">
        <v>3</v>
      </c>
      <c r="Q23" s="2"/>
      <c r="R23" s="324">
        <f t="shared" si="14"/>
        <v>600</v>
      </c>
      <c r="S23" s="325">
        <v>1</v>
      </c>
      <c r="T23" s="325">
        <f t="shared" si="1"/>
        <v>43</v>
      </c>
      <c r="V23" s="324">
        <v>5000</v>
      </c>
      <c r="W23" s="326">
        <f t="shared" si="2"/>
        <v>8</v>
      </c>
      <c r="X23" s="326">
        <f t="shared" si="3"/>
        <v>4935</v>
      </c>
      <c r="Y23" s="327">
        <v>4900</v>
      </c>
      <c r="Z23" s="328">
        <f t="shared" si="4"/>
        <v>5.375</v>
      </c>
      <c r="AA23" s="392"/>
      <c r="AB23" s="332">
        <v>1.72</v>
      </c>
      <c r="AC23" s="332">
        <v>0.32400000000000001</v>
      </c>
      <c r="AE23" s="332">
        <f t="shared" si="5"/>
        <v>44.375999999999998</v>
      </c>
      <c r="AF23" s="332">
        <f t="shared" si="6"/>
        <v>45.3005</v>
      </c>
      <c r="AG23" s="332">
        <f t="shared" si="7"/>
        <v>-0.92450000000000188</v>
      </c>
      <c r="AH23" s="333">
        <f t="shared" si="8"/>
        <v>1.0208333333333335</v>
      </c>
      <c r="AI23" s="332">
        <f t="shared" si="9"/>
        <v>25.8</v>
      </c>
      <c r="AJ23" s="332">
        <f t="shared" si="10"/>
        <v>26.337500000000002</v>
      </c>
      <c r="AK23" s="332">
        <f t="shared" si="11"/>
        <v>-0.53750000000000142</v>
      </c>
      <c r="AL23" s="333">
        <f t="shared" si="12"/>
        <v>1.0208333333333335</v>
      </c>
    </row>
    <row r="24" spans="2:39" s="303" customFormat="1" ht="28.5" x14ac:dyDescent="0.2">
      <c r="B24" s="319">
        <f t="shared" si="13"/>
        <v>14</v>
      </c>
      <c r="C24" s="320" t="s">
        <v>183</v>
      </c>
      <c r="D24" s="321" t="s">
        <v>184</v>
      </c>
      <c r="E24" s="319" t="s">
        <v>185</v>
      </c>
      <c r="F24" s="319">
        <v>43</v>
      </c>
      <c r="G24" s="319">
        <v>600</v>
      </c>
      <c r="H24" s="319" t="s">
        <v>173</v>
      </c>
      <c r="I24" s="319">
        <v>1200</v>
      </c>
      <c r="J24" s="2"/>
      <c r="K24" s="341">
        <v>11</v>
      </c>
      <c r="L24" s="342" t="s">
        <v>40</v>
      </c>
      <c r="M24" s="343" t="s">
        <v>41</v>
      </c>
      <c r="N24" s="342" t="s">
        <v>39</v>
      </c>
      <c r="O24" s="323" t="s">
        <v>188</v>
      </c>
      <c r="P24" s="321" t="s">
        <v>3</v>
      </c>
      <c r="Q24" s="2"/>
      <c r="R24" s="324">
        <f t="shared" si="14"/>
        <v>600</v>
      </c>
      <c r="S24" s="325">
        <v>1</v>
      </c>
      <c r="T24" s="325">
        <f t="shared" si="1"/>
        <v>43</v>
      </c>
      <c r="V24" s="324">
        <v>5000</v>
      </c>
      <c r="W24" s="326">
        <f t="shared" si="2"/>
        <v>8</v>
      </c>
      <c r="X24" s="326">
        <f t="shared" si="3"/>
        <v>4935</v>
      </c>
      <c r="Y24" s="327">
        <v>4900</v>
      </c>
      <c r="Z24" s="328">
        <f t="shared" si="4"/>
        <v>5.375</v>
      </c>
      <c r="AA24" s="392"/>
      <c r="AB24" s="329">
        <v>0.27700000000000002</v>
      </c>
      <c r="AC24" s="329">
        <v>0.114</v>
      </c>
      <c r="AE24" s="332">
        <f t="shared" si="5"/>
        <v>7.1466000000000012</v>
      </c>
      <c r="AF24" s="332">
        <f t="shared" si="6"/>
        <v>7.2954875000000001</v>
      </c>
      <c r="AG24" s="332">
        <f t="shared" si="7"/>
        <v>-0.14888749999999895</v>
      </c>
      <c r="AH24" s="333">
        <f t="shared" si="8"/>
        <v>1.0208333333333333</v>
      </c>
      <c r="AI24" s="332">
        <f t="shared" si="9"/>
        <v>25.8</v>
      </c>
      <c r="AJ24" s="332">
        <f t="shared" si="10"/>
        <v>26.337500000000002</v>
      </c>
      <c r="AK24" s="332">
        <f t="shared" si="11"/>
        <v>-0.53750000000000142</v>
      </c>
      <c r="AL24" s="333">
        <f t="shared" si="12"/>
        <v>1.0208333333333335</v>
      </c>
    </row>
    <row r="25" spans="2:39" s="303" customFormat="1" ht="28.5" x14ac:dyDescent="0.2">
      <c r="B25" s="319">
        <f t="shared" si="13"/>
        <v>15</v>
      </c>
      <c r="C25" s="320" t="s">
        <v>183</v>
      </c>
      <c r="D25" s="321" t="s">
        <v>184</v>
      </c>
      <c r="E25" s="319" t="s">
        <v>185</v>
      </c>
      <c r="F25" s="319">
        <v>43</v>
      </c>
      <c r="G25" s="319">
        <v>600</v>
      </c>
      <c r="H25" s="319" t="s">
        <v>173</v>
      </c>
      <c r="I25" s="319">
        <v>1200</v>
      </c>
      <c r="J25" s="2"/>
      <c r="K25" s="319">
        <v>11</v>
      </c>
      <c r="L25" s="321" t="s">
        <v>37</v>
      </c>
      <c r="M25" s="322" t="s">
        <v>38</v>
      </c>
      <c r="N25" s="321" t="s">
        <v>39</v>
      </c>
      <c r="O25" s="323" t="s">
        <v>188</v>
      </c>
      <c r="P25" s="321" t="s">
        <v>3</v>
      </c>
      <c r="Q25" s="2"/>
      <c r="R25" s="324">
        <f t="shared" si="14"/>
        <v>600</v>
      </c>
      <c r="S25" s="325">
        <v>1</v>
      </c>
      <c r="T25" s="325">
        <f t="shared" si="1"/>
        <v>43</v>
      </c>
      <c r="V25" s="324">
        <v>5000</v>
      </c>
      <c r="W25" s="326">
        <f t="shared" si="2"/>
        <v>8</v>
      </c>
      <c r="X25" s="326">
        <f t="shared" si="3"/>
        <v>4935</v>
      </c>
      <c r="Y25" s="327">
        <v>4900</v>
      </c>
      <c r="Z25" s="328">
        <f t="shared" si="4"/>
        <v>5.375</v>
      </c>
      <c r="AA25" s="387">
        <v>32.5</v>
      </c>
      <c r="AB25" s="329">
        <v>0.29899999999999999</v>
      </c>
      <c r="AC25" s="329">
        <v>0.13900000000000001</v>
      </c>
      <c r="AE25" s="332">
        <f t="shared" si="5"/>
        <v>7.7141999999999999</v>
      </c>
      <c r="AF25" s="332">
        <f t="shared" si="6"/>
        <v>7.8749124999999989</v>
      </c>
      <c r="AG25" s="332">
        <f t="shared" si="7"/>
        <v>-0.16071249999999893</v>
      </c>
      <c r="AH25" s="333">
        <f t="shared" si="8"/>
        <v>1.0208333333333333</v>
      </c>
      <c r="AI25" s="332">
        <f t="shared" si="9"/>
        <v>25.8</v>
      </c>
      <c r="AJ25" s="332">
        <f t="shared" si="10"/>
        <v>26.337500000000002</v>
      </c>
      <c r="AK25" s="332">
        <f t="shared" si="11"/>
        <v>-0.53750000000000142</v>
      </c>
      <c r="AL25" s="333">
        <f t="shared" si="12"/>
        <v>1.0208333333333335</v>
      </c>
    </row>
    <row r="26" spans="2:39" s="303" customFormat="1" ht="28.5" x14ac:dyDescent="0.2">
      <c r="B26" s="341">
        <f t="shared" si="13"/>
        <v>16</v>
      </c>
      <c r="C26" s="344" t="s">
        <v>183</v>
      </c>
      <c r="D26" s="342" t="s">
        <v>184</v>
      </c>
      <c r="E26" s="341" t="s">
        <v>185</v>
      </c>
      <c r="F26" s="341">
        <v>43</v>
      </c>
      <c r="G26" s="341">
        <v>600</v>
      </c>
      <c r="H26" s="341" t="s">
        <v>173</v>
      </c>
      <c r="I26" s="341">
        <v>1200</v>
      </c>
      <c r="J26" s="2"/>
      <c r="K26" s="345">
        <v>11</v>
      </c>
      <c r="L26" s="335" t="s">
        <v>28</v>
      </c>
      <c r="M26" s="346" t="s">
        <v>118</v>
      </c>
      <c r="N26" s="347" t="s">
        <v>6</v>
      </c>
      <c r="O26" s="323" t="s">
        <v>188</v>
      </c>
      <c r="P26" s="347" t="s">
        <v>187</v>
      </c>
      <c r="Q26" s="2"/>
      <c r="R26" s="348">
        <f t="shared" si="14"/>
        <v>600</v>
      </c>
      <c r="S26" s="349">
        <v>1</v>
      </c>
      <c r="T26" s="349">
        <f t="shared" si="1"/>
        <v>43</v>
      </c>
      <c r="V26" s="338">
        <v>3660</v>
      </c>
      <c r="W26" s="350">
        <f t="shared" si="2"/>
        <v>6</v>
      </c>
      <c r="X26" s="350">
        <f t="shared" si="3"/>
        <v>3725</v>
      </c>
      <c r="Y26" s="351">
        <v>3660</v>
      </c>
      <c r="Z26" s="352">
        <f>($R26*$T26)/$V26</f>
        <v>7.0491803278688527</v>
      </c>
      <c r="AA26" s="392"/>
      <c r="AB26" s="332">
        <v>1.641</v>
      </c>
      <c r="AC26" s="332">
        <v>0.20319999999999999</v>
      </c>
      <c r="AE26" s="332">
        <f t="shared" si="5"/>
        <v>42.337800000000001</v>
      </c>
      <c r="AF26" s="332">
        <f t="shared" si="6"/>
        <v>42.337800000000001</v>
      </c>
      <c r="AG26" s="332">
        <f t="shared" si="7"/>
        <v>0</v>
      </c>
      <c r="AH26" s="333">
        <f t="shared" si="8"/>
        <v>1</v>
      </c>
      <c r="AI26" s="332">
        <f t="shared" si="9"/>
        <v>25.8</v>
      </c>
      <c r="AJ26" s="332">
        <f t="shared" si="10"/>
        <v>25.8</v>
      </c>
      <c r="AK26" s="332">
        <f t="shared" si="11"/>
        <v>0</v>
      </c>
      <c r="AL26" s="333">
        <f t="shared" si="12"/>
        <v>1</v>
      </c>
    </row>
    <row r="27" spans="2:39" s="353" customFormat="1" ht="30" customHeight="1" x14ac:dyDescent="0.25">
      <c r="B27" s="341">
        <f t="shared" si="13"/>
        <v>17</v>
      </c>
      <c r="C27" s="344" t="s">
        <v>183</v>
      </c>
      <c r="D27" s="342" t="s">
        <v>184</v>
      </c>
      <c r="E27" s="341" t="s">
        <v>185</v>
      </c>
      <c r="F27" s="341">
        <v>43</v>
      </c>
      <c r="G27" s="341">
        <v>600</v>
      </c>
      <c r="H27" s="341" t="s">
        <v>173</v>
      </c>
      <c r="I27" s="341">
        <v>1200</v>
      </c>
      <c r="J27" s="2"/>
      <c r="K27" s="354"/>
      <c r="L27" s="355" t="s">
        <v>28</v>
      </c>
      <c r="M27" s="356" t="s">
        <v>29</v>
      </c>
      <c r="N27" s="469" t="s">
        <v>6</v>
      </c>
      <c r="O27" s="323" t="s">
        <v>189</v>
      </c>
      <c r="P27" s="347" t="s">
        <v>187</v>
      </c>
      <c r="Q27" s="2"/>
      <c r="R27" s="338">
        <v>51</v>
      </c>
      <c r="S27" s="357">
        <f>4*1</f>
        <v>4</v>
      </c>
      <c r="T27" s="357">
        <f t="shared" si="1"/>
        <v>172</v>
      </c>
      <c r="U27" s="303"/>
      <c r="V27" s="338">
        <v>3250</v>
      </c>
      <c r="W27" s="358">
        <f t="shared" si="2"/>
        <v>63</v>
      </c>
      <c r="X27" s="358">
        <f t="shared" si="3"/>
        <v>3623</v>
      </c>
      <c r="Y27" s="351">
        <v>3660</v>
      </c>
      <c r="Z27" s="359">
        <f t="shared" si="4"/>
        <v>2.7301587301587302</v>
      </c>
      <c r="AA27" s="392"/>
      <c r="AB27" s="332">
        <v>1.641</v>
      </c>
      <c r="AC27" s="332">
        <v>0.20319999999999999</v>
      </c>
      <c r="AD27" s="303"/>
      <c r="AE27" s="332">
        <f t="shared" si="5"/>
        <v>14.394852</v>
      </c>
      <c r="AF27" s="332">
        <f t="shared" si="6"/>
        <v>16.397497142857141</v>
      </c>
      <c r="AG27" s="332">
        <f t="shared" si="7"/>
        <v>-2.0026451428571406</v>
      </c>
      <c r="AH27" s="333">
        <f t="shared" si="8"/>
        <v>1.1391223155929038</v>
      </c>
      <c r="AI27" s="332">
        <f t="shared" si="9"/>
        <v>8.7720000000000002</v>
      </c>
      <c r="AJ27" s="332">
        <f t="shared" si="10"/>
        <v>9.9923809523809535</v>
      </c>
      <c r="AK27" s="332">
        <f t="shared" si="11"/>
        <v>-1.2203809523809532</v>
      </c>
      <c r="AL27" s="333">
        <f t="shared" si="12"/>
        <v>1.139122315592904</v>
      </c>
      <c r="AM27" s="303"/>
    </row>
    <row r="28" spans="2:39" s="353" customFormat="1" ht="30" customHeight="1" thickBot="1" x14ac:dyDescent="0.3">
      <c r="B28" s="360">
        <f t="shared" si="13"/>
        <v>18</v>
      </c>
      <c r="C28" s="361" t="s">
        <v>183</v>
      </c>
      <c r="D28" s="362" t="s">
        <v>184</v>
      </c>
      <c r="E28" s="360" t="s">
        <v>185</v>
      </c>
      <c r="F28" s="360">
        <v>43</v>
      </c>
      <c r="G28" s="360">
        <v>600</v>
      </c>
      <c r="H28" s="360" t="s">
        <v>173</v>
      </c>
      <c r="I28" s="360">
        <v>1200</v>
      </c>
      <c r="J28" s="2"/>
      <c r="K28" s="363"/>
      <c r="L28" s="364" t="s">
        <v>28</v>
      </c>
      <c r="M28" s="365" t="s">
        <v>29</v>
      </c>
      <c r="N28" s="470" t="s">
        <v>6</v>
      </c>
      <c r="O28" s="366" t="s">
        <v>190</v>
      </c>
      <c r="P28" s="367" t="s">
        <v>187</v>
      </c>
      <c r="Q28" s="2"/>
      <c r="R28" s="368">
        <v>51</v>
      </c>
      <c r="S28" s="369">
        <f>2*2</f>
        <v>4</v>
      </c>
      <c r="T28" s="369">
        <f t="shared" si="1"/>
        <v>172</v>
      </c>
      <c r="U28" s="303"/>
      <c r="V28" s="368">
        <v>3250</v>
      </c>
      <c r="W28" s="370">
        <f t="shared" si="2"/>
        <v>63</v>
      </c>
      <c r="X28" s="370">
        <f t="shared" si="3"/>
        <v>3623</v>
      </c>
      <c r="Y28" s="371">
        <v>3660</v>
      </c>
      <c r="Z28" s="372">
        <f t="shared" si="4"/>
        <v>2.7301587301587302</v>
      </c>
      <c r="AA28" s="392"/>
      <c r="AB28" s="373">
        <v>1.641</v>
      </c>
      <c r="AC28" s="373">
        <v>0.20319999999999999</v>
      </c>
      <c r="AD28" s="303"/>
      <c r="AE28" s="373">
        <f t="shared" si="5"/>
        <v>14.394852</v>
      </c>
      <c r="AF28" s="373">
        <f t="shared" si="6"/>
        <v>16.397497142857141</v>
      </c>
      <c r="AG28" s="373">
        <f t="shared" si="7"/>
        <v>-2.0026451428571406</v>
      </c>
      <c r="AH28" s="374">
        <f t="shared" si="8"/>
        <v>1.1391223155929038</v>
      </c>
      <c r="AI28" s="373">
        <f t="shared" si="9"/>
        <v>8.7720000000000002</v>
      </c>
      <c r="AJ28" s="373">
        <f t="shared" si="10"/>
        <v>9.9923809523809535</v>
      </c>
      <c r="AK28" s="373">
        <f t="shared" si="11"/>
        <v>-1.2203809523809532</v>
      </c>
      <c r="AL28" s="374">
        <f t="shared" si="12"/>
        <v>1.139122315592904</v>
      </c>
      <c r="AM28" s="303"/>
    </row>
    <row r="29" spans="2:39" s="303" customFormat="1" ht="28.5" x14ac:dyDescent="0.2">
      <c r="B29" s="375">
        <f t="shared" si="13"/>
        <v>19</v>
      </c>
      <c r="C29" s="376" t="s">
        <v>183</v>
      </c>
      <c r="D29" s="377" t="s">
        <v>184</v>
      </c>
      <c r="E29" s="375" t="s">
        <v>191</v>
      </c>
      <c r="F29" s="375">
        <v>87</v>
      </c>
      <c r="G29" s="375">
        <v>850</v>
      </c>
      <c r="H29" s="375" t="s">
        <v>173</v>
      </c>
      <c r="I29" s="375">
        <v>2300</v>
      </c>
      <c r="J29" s="2"/>
      <c r="K29" s="319">
        <v>12</v>
      </c>
      <c r="L29" s="321" t="s">
        <v>42</v>
      </c>
      <c r="M29" s="322" t="s">
        <v>43</v>
      </c>
      <c r="N29" s="321" t="s">
        <v>39</v>
      </c>
      <c r="O29" s="378" t="s">
        <v>186</v>
      </c>
      <c r="P29" s="377" t="s">
        <v>3</v>
      </c>
      <c r="Q29" s="2"/>
      <c r="R29" s="324">
        <f t="shared" ref="R29:R36" si="15">ROUNDUP(I29,0)</f>
        <v>2300</v>
      </c>
      <c r="S29" s="325">
        <v>1</v>
      </c>
      <c r="T29" s="325">
        <f t="shared" si="1"/>
        <v>87</v>
      </c>
      <c r="V29" s="324">
        <v>6000</v>
      </c>
      <c r="W29" s="326">
        <f t="shared" si="2"/>
        <v>2</v>
      </c>
      <c r="X29" s="379">
        <f t="shared" si="3"/>
        <v>4705</v>
      </c>
      <c r="Y29" s="380">
        <v>4900</v>
      </c>
      <c r="Z29" s="381">
        <f t="shared" si="4"/>
        <v>43.5</v>
      </c>
      <c r="AA29" s="392"/>
      <c r="AB29" s="329">
        <v>1.72</v>
      </c>
      <c r="AC29" s="329">
        <v>0.32400000000000001</v>
      </c>
      <c r="AE29" s="330">
        <f t="shared" si="5"/>
        <v>344.17199999999997</v>
      </c>
      <c r="AF29" s="330">
        <f t="shared" si="6"/>
        <v>366.61799999999999</v>
      </c>
      <c r="AG29" s="330">
        <f t="shared" si="7"/>
        <v>-22.446000000000026</v>
      </c>
      <c r="AH29" s="331">
        <f t="shared" si="8"/>
        <v>1.0652173913043479</v>
      </c>
      <c r="AI29" s="329">
        <f t="shared" si="9"/>
        <v>200.1</v>
      </c>
      <c r="AJ29" s="329">
        <f t="shared" si="10"/>
        <v>213.15</v>
      </c>
      <c r="AK29" s="329">
        <f t="shared" si="11"/>
        <v>-13.050000000000011</v>
      </c>
      <c r="AL29" s="382">
        <f t="shared" si="12"/>
        <v>1.0652173913043479</v>
      </c>
    </row>
    <row r="30" spans="2:39" s="303" customFormat="1" ht="28.5" x14ac:dyDescent="0.2">
      <c r="B30" s="341">
        <f t="shared" si="13"/>
        <v>20</v>
      </c>
      <c r="C30" s="320" t="s">
        <v>183</v>
      </c>
      <c r="D30" s="321" t="s">
        <v>184</v>
      </c>
      <c r="E30" s="319" t="s">
        <v>191</v>
      </c>
      <c r="F30" s="319">
        <v>87</v>
      </c>
      <c r="G30" s="319">
        <v>850</v>
      </c>
      <c r="H30" s="319" t="s">
        <v>173</v>
      </c>
      <c r="I30" s="319">
        <v>2300</v>
      </c>
      <c r="J30" s="2"/>
      <c r="K30" s="319">
        <v>12</v>
      </c>
      <c r="L30" s="321" t="s">
        <v>40</v>
      </c>
      <c r="M30" s="322" t="s">
        <v>41</v>
      </c>
      <c r="N30" s="321" t="s">
        <v>39</v>
      </c>
      <c r="O30" s="323" t="s">
        <v>186</v>
      </c>
      <c r="P30" s="321" t="s">
        <v>3</v>
      </c>
      <c r="Q30" s="2"/>
      <c r="R30" s="324">
        <f t="shared" si="15"/>
        <v>2300</v>
      </c>
      <c r="S30" s="325">
        <v>1</v>
      </c>
      <c r="T30" s="325">
        <f t="shared" si="1"/>
        <v>87</v>
      </c>
      <c r="V30" s="324">
        <v>6000</v>
      </c>
      <c r="W30" s="326">
        <f t="shared" si="2"/>
        <v>2</v>
      </c>
      <c r="X30" s="326">
        <f t="shared" si="3"/>
        <v>4705</v>
      </c>
      <c r="Y30" s="327">
        <v>4900</v>
      </c>
      <c r="Z30" s="328">
        <f t="shared" si="4"/>
        <v>43.5</v>
      </c>
      <c r="AA30" s="304"/>
      <c r="AB30" s="329">
        <v>0.27700000000000002</v>
      </c>
      <c r="AC30" s="329">
        <v>0.114</v>
      </c>
      <c r="AE30" s="332">
        <f t="shared" si="5"/>
        <v>55.427700000000002</v>
      </c>
      <c r="AF30" s="332">
        <f t="shared" si="6"/>
        <v>59.042550000000006</v>
      </c>
      <c r="AG30" s="332">
        <f t="shared" si="7"/>
        <v>-3.6148500000000041</v>
      </c>
      <c r="AH30" s="333">
        <f t="shared" si="8"/>
        <v>1.0652173913043479</v>
      </c>
      <c r="AI30" s="332">
        <f t="shared" si="9"/>
        <v>200.1</v>
      </c>
      <c r="AJ30" s="332">
        <f t="shared" si="10"/>
        <v>213.15</v>
      </c>
      <c r="AK30" s="332">
        <f t="shared" si="11"/>
        <v>-13.050000000000011</v>
      </c>
      <c r="AL30" s="333">
        <f t="shared" si="12"/>
        <v>1.0652173913043479</v>
      </c>
    </row>
    <row r="31" spans="2:39" s="303" customFormat="1" ht="28.5" x14ac:dyDescent="0.2">
      <c r="B31" s="341">
        <f t="shared" si="13"/>
        <v>21</v>
      </c>
      <c r="C31" s="320" t="s">
        <v>183</v>
      </c>
      <c r="D31" s="321" t="s">
        <v>184</v>
      </c>
      <c r="E31" s="319" t="s">
        <v>191</v>
      </c>
      <c r="F31" s="319">
        <v>87</v>
      </c>
      <c r="G31" s="319">
        <v>850</v>
      </c>
      <c r="H31" s="319" t="s">
        <v>173</v>
      </c>
      <c r="I31" s="319">
        <v>2300</v>
      </c>
      <c r="J31" s="2"/>
      <c r="K31" s="319">
        <v>12</v>
      </c>
      <c r="L31" s="321" t="s">
        <v>37</v>
      </c>
      <c r="M31" s="322" t="s">
        <v>38</v>
      </c>
      <c r="N31" s="321" t="s">
        <v>39</v>
      </c>
      <c r="O31" s="323" t="s">
        <v>186</v>
      </c>
      <c r="P31" s="321" t="s">
        <v>3</v>
      </c>
      <c r="Q31" s="2"/>
      <c r="R31" s="324">
        <f t="shared" si="15"/>
        <v>2300</v>
      </c>
      <c r="S31" s="325">
        <v>1</v>
      </c>
      <c r="T31" s="325">
        <f t="shared" si="1"/>
        <v>87</v>
      </c>
      <c r="V31" s="324">
        <v>6000</v>
      </c>
      <c r="W31" s="326">
        <f t="shared" si="2"/>
        <v>2</v>
      </c>
      <c r="X31" s="326">
        <f t="shared" si="3"/>
        <v>4705</v>
      </c>
      <c r="Y31" s="327">
        <v>4900</v>
      </c>
      <c r="Z31" s="328">
        <f t="shared" si="4"/>
        <v>43.5</v>
      </c>
      <c r="AA31" s="392"/>
      <c r="AB31" s="329">
        <v>0.29899999999999999</v>
      </c>
      <c r="AC31" s="329">
        <v>0.13900000000000001</v>
      </c>
      <c r="AE31" s="332">
        <f t="shared" si="5"/>
        <v>59.829899999999995</v>
      </c>
      <c r="AF31" s="332">
        <f t="shared" si="6"/>
        <v>63.731850000000001</v>
      </c>
      <c r="AG31" s="332">
        <f t="shared" si="7"/>
        <v>-3.9019500000000065</v>
      </c>
      <c r="AH31" s="333">
        <f t="shared" si="8"/>
        <v>1.0652173913043479</v>
      </c>
      <c r="AI31" s="332">
        <f t="shared" si="9"/>
        <v>200.1</v>
      </c>
      <c r="AJ31" s="332">
        <f t="shared" si="10"/>
        <v>213.15</v>
      </c>
      <c r="AK31" s="332">
        <f t="shared" si="11"/>
        <v>-13.050000000000011</v>
      </c>
      <c r="AL31" s="333">
        <f t="shared" si="12"/>
        <v>1.0652173913043479</v>
      </c>
    </row>
    <row r="32" spans="2:39" s="303" customFormat="1" ht="28.5" x14ac:dyDescent="0.2">
      <c r="B32" s="319">
        <f t="shared" si="13"/>
        <v>22</v>
      </c>
      <c r="C32" s="320" t="s">
        <v>183</v>
      </c>
      <c r="D32" s="321" t="s">
        <v>184</v>
      </c>
      <c r="E32" s="319" t="s">
        <v>191</v>
      </c>
      <c r="F32" s="319">
        <v>87</v>
      </c>
      <c r="G32" s="319">
        <v>850</v>
      </c>
      <c r="H32" s="319" t="s">
        <v>173</v>
      </c>
      <c r="I32" s="319">
        <v>2300</v>
      </c>
      <c r="J32" s="2"/>
      <c r="K32" s="334">
        <v>12</v>
      </c>
      <c r="L32" s="335" t="s">
        <v>28</v>
      </c>
      <c r="M32" s="336" t="s">
        <v>118</v>
      </c>
      <c r="N32" s="337" t="s">
        <v>6</v>
      </c>
      <c r="O32" s="323" t="s">
        <v>186</v>
      </c>
      <c r="P32" s="337" t="s">
        <v>187</v>
      </c>
      <c r="Q32" s="2"/>
      <c r="R32" s="324">
        <f t="shared" si="15"/>
        <v>2300</v>
      </c>
      <c r="S32" s="325">
        <v>1</v>
      </c>
      <c r="T32" s="325">
        <f t="shared" si="1"/>
        <v>87</v>
      </c>
      <c r="V32" s="338">
        <v>3660</v>
      </c>
      <c r="W32" s="339">
        <f t="shared" si="2"/>
        <v>1</v>
      </c>
      <c r="X32" s="339">
        <f t="shared" si="3"/>
        <v>2400</v>
      </c>
      <c r="Y32" s="327">
        <v>3660</v>
      </c>
      <c r="Z32" s="340">
        <f>($R32*$T32)/$V32</f>
        <v>54.672131147540981</v>
      </c>
      <c r="AA32" s="392"/>
      <c r="AB32" s="332">
        <v>1.641</v>
      </c>
      <c r="AC32" s="332">
        <v>0.20319999999999999</v>
      </c>
      <c r="AE32" s="332">
        <f t="shared" si="5"/>
        <v>328.36410000000001</v>
      </c>
      <c r="AF32" s="332">
        <f t="shared" si="6"/>
        <v>328.36410000000001</v>
      </c>
      <c r="AG32" s="332">
        <f t="shared" si="7"/>
        <v>0</v>
      </c>
      <c r="AH32" s="333">
        <f t="shared" si="8"/>
        <v>1</v>
      </c>
      <c r="AI32" s="332">
        <f t="shared" si="9"/>
        <v>200.1</v>
      </c>
      <c r="AJ32" s="332">
        <f t="shared" si="10"/>
        <v>200.1</v>
      </c>
      <c r="AK32" s="332">
        <f t="shared" si="11"/>
        <v>0</v>
      </c>
      <c r="AL32" s="333">
        <f t="shared" si="12"/>
        <v>1</v>
      </c>
    </row>
    <row r="33" spans="2:39" s="303" customFormat="1" ht="28.5" x14ac:dyDescent="0.2">
      <c r="B33" s="319">
        <f t="shared" si="13"/>
        <v>23</v>
      </c>
      <c r="C33" s="320" t="s">
        <v>183</v>
      </c>
      <c r="D33" s="321" t="s">
        <v>184</v>
      </c>
      <c r="E33" s="319" t="s">
        <v>191</v>
      </c>
      <c r="F33" s="319">
        <v>87</v>
      </c>
      <c r="G33" s="319">
        <v>850</v>
      </c>
      <c r="H33" s="319" t="s">
        <v>173</v>
      </c>
      <c r="I33" s="319">
        <v>2300</v>
      </c>
      <c r="J33" s="2"/>
      <c r="K33" s="319">
        <v>13</v>
      </c>
      <c r="L33" s="321" t="s">
        <v>42</v>
      </c>
      <c r="M33" s="322" t="s">
        <v>43</v>
      </c>
      <c r="N33" s="321" t="s">
        <v>39</v>
      </c>
      <c r="O33" s="323" t="s">
        <v>186</v>
      </c>
      <c r="P33" s="321" t="s">
        <v>3</v>
      </c>
      <c r="Q33" s="2"/>
      <c r="R33" s="324">
        <f t="shared" si="15"/>
        <v>2300</v>
      </c>
      <c r="S33" s="325">
        <v>1</v>
      </c>
      <c r="T33" s="325">
        <f t="shared" si="1"/>
        <v>87</v>
      </c>
      <c r="V33" s="324">
        <v>6000</v>
      </c>
      <c r="W33" s="326">
        <f t="shared" si="2"/>
        <v>2</v>
      </c>
      <c r="X33" s="326">
        <f t="shared" si="3"/>
        <v>4705</v>
      </c>
      <c r="Y33" s="327">
        <v>4900</v>
      </c>
      <c r="Z33" s="328">
        <f t="shared" si="4"/>
        <v>43.5</v>
      </c>
      <c r="AA33" s="392"/>
      <c r="AB33" s="329">
        <v>1.72</v>
      </c>
      <c r="AC33" s="329">
        <v>0.32400000000000001</v>
      </c>
      <c r="AE33" s="332">
        <f t="shared" si="5"/>
        <v>344.17199999999997</v>
      </c>
      <c r="AF33" s="332">
        <f t="shared" si="6"/>
        <v>366.61799999999999</v>
      </c>
      <c r="AG33" s="332">
        <f t="shared" si="7"/>
        <v>-22.446000000000026</v>
      </c>
      <c r="AH33" s="333">
        <f t="shared" si="8"/>
        <v>1.0652173913043479</v>
      </c>
      <c r="AI33" s="332">
        <f t="shared" si="9"/>
        <v>200.1</v>
      </c>
      <c r="AJ33" s="332">
        <f t="shared" si="10"/>
        <v>213.15</v>
      </c>
      <c r="AK33" s="332">
        <f t="shared" si="11"/>
        <v>-13.050000000000011</v>
      </c>
      <c r="AL33" s="333">
        <f t="shared" si="12"/>
        <v>1.0652173913043479</v>
      </c>
    </row>
    <row r="34" spans="2:39" s="303" customFormat="1" ht="28.5" x14ac:dyDescent="0.2">
      <c r="B34" s="319">
        <f t="shared" si="13"/>
        <v>24</v>
      </c>
      <c r="C34" s="320" t="s">
        <v>183</v>
      </c>
      <c r="D34" s="321" t="s">
        <v>184</v>
      </c>
      <c r="E34" s="319" t="s">
        <v>191</v>
      </c>
      <c r="F34" s="319">
        <v>87</v>
      </c>
      <c r="G34" s="319">
        <v>850</v>
      </c>
      <c r="H34" s="319" t="s">
        <v>173</v>
      </c>
      <c r="I34" s="319">
        <v>2300</v>
      </c>
      <c r="J34" s="2"/>
      <c r="K34" s="319">
        <v>13</v>
      </c>
      <c r="L34" s="321" t="s">
        <v>40</v>
      </c>
      <c r="M34" s="322" t="s">
        <v>41</v>
      </c>
      <c r="N34" s="321" t="s">
        <v>39</v>
      </c>
      <c r="O34" s="323" t="s">
        <v>186</v>
      </c>
      <c r="P34" s="321" t="s">
        <v>3</v>
      </c>
      <c r="Q34" s="2"/>
      <c r="R34" s="324">
        <f t="shared" si="15"/>
        <v>2300</v>
      </c>
      <c r="S34" s="325">
        <v>1</v>
      </c>
      <c r="T34" s="325">
        <f t="shared" si="1"/>
        <v>87</v>
      </c>
      <c r="V34" s="324">
        <v>6000</v>
      </c>
      <c r="W34" s="326">
        <f t="shared" si="2"/>
        <v>2</v>
      </c>
      <c r="X34" s="326">
        <f t="shared" si="3"/>
        <v>4705</v>
      </c>
      <c r="Y34" s="327">
        <v>4900</v>
      </c>
      <c r="Z34" s="328">
        <f t="shared" si="4"/>
        <v>43.5</v>
      </c>
      <c r="AA34" s="392"/>
      <c r="AB34" s="329">
        <v>0.27700000000000002</v>
      </c>
      <c r="AC34" s="329">
        <v>0.114</v>
      </c>
      <c r="AE34" s="332">
        <f t="shared" si="5"/>
        <v>55.427700000000002</v>
      </c>
      <c r="AF34" s="332">
        <f t="shared" si="6"/>
        <v>59.042550000000006</v>
      </c>
      <c r="AG34" s="332">
        <f t="shared" si="7"/>
        <v>-3.6148500000000041</v>
      </c>
      <c r="AH34" s="333">
        <f t="shared" si="8"/>
        <v>1.0652173913043479</v>
      </c>
      <c r="AI34" s="332">
        <f t="shared" si="9"/>
        <v>200.1</v>
      </c>
      <c r="AJ34" s="332">
        <f t="shared" si="10"/>
        <v>213.15</v>
      </c>
      <c r="AK34" s="332">
        <f t="shared" si="11"/>
        <v>-13.050000000000011</v>
      </c>
      <c r="AL34" s="333">
        <f t="shared" si="12"/>
        <v>1.0652173913043479</v>
      </c>
    </row>
    <row r="35" spans="2:39" s="303" customFormat="1" ht="28.5" x14ac:dyDescent="0.2">
      <c r="B35" s="319">
        <f t="shared" si="13"/>
        <v>25</v>
      </c>
      <c r="C35" s="320" t="s">
        <v>183</v>
      </c>
      <c r="D35" s="321" t="s">
        <v>184</v>
      </c>
      <c r="E35" s="319" t="s">
        <v>191</v>
      </c>
      <c r="F35" s="319">
        <v>87</v>
      </c>
      <c r="G35" s="319">
        <v>850</v>
      </c>
      <c r="H35" s="319" t="s">
        <v>173</v>
      </c>
      <c r="I35" s="319">
        <v>2300</v>
      </c>
      <c r="J35" s="2"/>
      <c r="K35" s="319">
        <v>13</v>
      </c>
      <c r="L35" s="321" t="s">
        <v>37</v>
      </c>
      <c r="M35" s="322" t="s">
        <v>38</v>
      </c>
      <c r="N35" s="321" t="s">
        <v>39</v>
      </c>
      <c r="O35" s="323" t="s">
        <v>186</v>
      </c>
      <c r="P35" s="321" t="s">
        <v>3</v>
      </c>
      <c r="Q35" s="2"/>
      <c r="R35" s="324">
        <f t="shared" si="15"/>
        <v>2300</v>
      </c>
      <c r="S35" s="325">
        <v>1</v>
      </c>
      <c r="T35" s="325">
        <f t="shared" si="1"/>
        <v>87</v>
      </c>
      <c r="V35" s="324">
        <v>6000</v>
      </c>
      <c r="W35" s="326">
        <f t="shared" si="2"/>
        <v>2</v>
      </c>
      <c r="X35" s="326">
        <f t="shared" si="3"/>
        <v>4705</v>
      </c>
      <c r="Y35" s="327">
        <v>4900</v>
      </c>
      <c r="Z35" s="328">
        <f t="shared" si="4"/>
        <v>43.5</v>
      </c>
      <c r="AA35" s="387">
        <v>87</v>
      </c>
      <c r="AB35" s="329">
        <v>0.29899999999999999</v>
      </c>
      <c r="AC35" s="329">
        <v>0.13900000000000001</v>
      </c>
      <c r="AE35" s="332">
        <f t="shared" si="5"/>
        <v>59.829899999999995</v>
      </c>
      <c r="AF35" s="332">
        <f t="shared" si="6"/>
        <v>63.731850000000001</v>
      </c>
      <c r="AG35" s="332">
        <f t="shared" si="7"/>
        <v>-3.9019500000000065</v>
      </c>
      <c r="AH35" s="333">
        <f t="shared" si="8"/>
        <v>1.0652173913043479</v>
      </c>
      <c r="AI35" s="332">
        <f t="shared" si="9"/>
        <v>200.1</v>
      </c>
      <c r="AJ35" s="332">
        <f t="shared" si="10"/>
        <v>213.15</v>
      </c>
      <c r="AK35" s="332">
        <f t="shared" si="11"/>
        <v>-13.050000000000011</v>
      </c>
      <c r="AL35" s="333">
        <f t="shared" si="12"/>
        <v>1.0652173913043479</v>
      </c>
    </row>
    <row r="36" spans="2:39" s="303" customFormat="1" ht="28.5" x14ac:dyDescent="0.2">
      <c r="B36" s="319">
        <f t="shared" si="13"/>
        <v>26</v>
      </c>
      <c r="C36" s="320" t="s">
        <v>183</v>
      </c>
      <c r="D36" s="321" t="s">
        <v>184</v>
      </c>
      <c r="E36" s="319" t="s">
        <v>191</v>
      </c>
      <c r="F36" s="319">
        <v>87</v>
      </c>
      <c r="G36" s="319">
        <v>850</v>
      </c>
      <c r="H36" s="319" t="s">
        <v>173</v>
      </c>
      <c r="I36" s="319">
        <v>2300</v>
      </c>
      <c r="J36" s="2"/>
      <c r="K36" s="334">
        <v>13</v>
      </c>
      <c r="L36" s="335" t="s">
        <v>28</v>
      </c>
      <c r="M36" s="336" t="s">
        <v>118</v>
      </c>
      <c r="N36" s="337" t="s">
        <v>6</v>
      </c>
      <c r="O36" s="323" t="s">
        <v>186</v>
      </c>
      <c r="P36" s="337" t="s">
        <v>187</v>
      </c>
      <c r="Q36" s="2"/>
      <c r="R36" s="324">
        <f t="shared" si="15"/>
        <v>2300</v>
      </c>
      <c r="S36" s="325">
        <v>1</v>
      </c>
      <c r="T36" s="325">
        <f t="shared" si="1"/>
        <v>87</v>
      </c>
      <c r="V36" s="338">
        <v>3660</v>
      </c>
      <c r="W36" s="339">
        <f t="shared" si="2"/>
        <v>1</v>
      </c>
      <c r="X36" s="339">
        <f t="shared" si="3"/>
        <v>2400</v>
      </c>
      <c r="Y36" s="327">
        <v>3660</v>
      </c>
      <c r="Z36" s="340">
        <f>($R36*$T36)/$V36</f>
        <v>54.672131147540981</v>
      </c>
      <c r="AA36" s="392"/>
      <c r="AB36" s="332">
        <v>1.641</v>
      </c>
      <c r="AC36" s="332">
        <v>0.20319999999999999</v>
      </c>
      <c r="AE36" s="332">
        <f t="shared" si="5"/>
        <v>328.36410000000001</v>
      </c>
      <c r="AF36" s="332">
        <f t="shared" si="6"/>
        <v>328.36410000000001</v>
      </c>
      <c r="AG36" s="332">
        <f t="shared" si="7"/>
        <v>0</v>
      </c>
      <c r="AH36" s="333">
        <f t="shared" si="8"/>
        <v>1</v>
      </c>
      <c r="AI36" s="332">
        <f t="shared" si="9"/>
        <v>200.1</v>
      </c>
      <c r="AJ36" s="332">
        <f t="shared" si="10"/>
        <v>200.1</v>
      </c>
      <c r="AK36" s="332">
        <f t="shared" si="11"/>
        <v>0</v>
      </c>
      <c r="AL36" s="333">
        <f t="shared" si="12"/>
        <v>1</v>
      </c>
    </row>
    <row r="37" spans="2:39" s="303" customFormat="1" ht="28.5" x14ac:dyDescent="0.2">
      <c r="B37" s="319">
        <f t="shared" si="13"/>
        <v>27</v>
      </c>
      <c r="C37" s="320" t="s">
        <v>183</v>
      </c>
      <c r="D37" s="321" t="s">
        <v>184</v>
      </c>
      <c r="E37" s="319" t="s">
        <v>191</v>
      </c>
      <c r="F37" s="319">
        <v>87</v>
      </c>
      <c r="G37" s="319">
        <v>850</v>
      </c>
      <c r="H37" s="319" t="s">
        <v>173</v>
      </c>
      <c r="I37" s="319">
        <v>2300</v>
      </c>
      <c r="J37" s="2"/>
      <c r="K37" s="319">
        <v>10</v>
      </c>
      <c r="L37" s="321" t="s">
        <v>42</v>
      </c>
      <c r="M37" s="322" t="s">
        <v>43</v>
      </c>
      <c r="N37" s="321" t="s">
        <v>39</v>
      </c>
      <c r="O37" s="323" t="s">
        <v>188</v>
      </c>
      <c r="P37" s="321" t="s">
        <v>3</v>
      </c>
      <c r="Q37" s="2"/>
      <c r="R37" s="324">
        <f t="shared" ref="R37:R44" si="16">ROUNDUP(G37,0)</f>
        <v>850</v>
      </c>
      <c r="S37" s="325">
        <v>1</v>
      </c>
      <c r="T37" s="325">
        <f t="shared" si="1"/>
        <v>87</v>
      </c>
      <c r="V37" s="324">
        <v>5000</v>
      </c>
      <c r="W37" s="326">
        <f t="shared" si="2"/>
        <v>5</v>
      </c>
      <c r="X37" s="326">
        <f t="shared" si="3"/>
        <v>4370</v>
      </c>
      <c r="Y37" s="327">
        <v>4600</v>
      </c>
      <c r="Z37" s="328">
        <f t="shared" si="4"/>
        <v>17.399999999999999</v>
      </c>
      <c r="AA37" s="392"/>
      <c r="AB37" s="329">
        <v>1.72</v>
      </c>
      <c r="AC37" s="329">
        <v>0.32400000000000001</v>
      </c>
      <c r="AE37" s="332">
        <f t="shared" si="5"/>
        <v>127.194</v>
      </c>
      <c r="AF37" s="332">
        <f t="shared" si="6"/>
        <v>137.6688</v>
      </c>
      <c r="AG37" s="332">
        <f t="shared" si="7"/>
        <v>-10.474800000000002</v>
      </c>
      <c r="AH37" s="333">
        <f t="shared" si="8"/>
        <v>1.0823529411764705</v>
      </c>
      <c r="AI37" s="332">
        <f t="shared" si="9"/>
        <v>73.95</v>
      </c>
      <c r="AJ37" s="332">
        <f t="shared" si="10"/>
        <v>80.039999999999992</v>
      </c>
      <c r="AK37" s="332">
        <f t="shared" si="11"/>
        <v>-6.0899999999999892</v>
      </c>
      <c r="AL37" s="333">
        <f t="shared" si="12"/>
        <v>1.0823529411764705</v>
      </c>
    </row>
    <row r="38" spans="2:39" s="303" customFormat="1" ht="28.5" x14ac:dyDescent="0.2">
      <c r="B38" s="319">
        <f t="shared" si="13"/>
        <v>28</v>
      </c>
      <c r="C38" s="320" t="s">
        <v>183</v>
      </c>
      <c r="D38" s="321" t="s">
        <v>184</v>
      </c>
      <c r="E38" s="319" t="s">
        <v>191</v>
      </c>
      <c r="F38" s="319">
        <v>87</v>
      </c>
      <c r="G38" s="319">
        <v>850</v>
      </c>
      <c r="H38" s="319" t="s">
        <v>173</v>
      </c>
      <c r="I38" s="319">
        <v>2300</v>
      </c>
      <c r="J38" s="2"/>
      <c r="K38" s="319">
        <v>10</v>
      </c>
      <c r="L38" s="321" t="s">
        <v>40</v>
      </c>
      <c r="M38" s="322" t="s">
        <v>41</v>
      </c>
      <c r="N38" s="321" t="s">
        <v>39</v>
      </c>
      <c r="O38" s="323" t="s">
        <v>188</v>
      </c>
      <c r="P38" s="321" t="s">
        <v>3</v>
      </c>
      <c r="Q38" s="2"/>
      <c r="R38" s="324">
        <f t="shared" si="16"/>
        <v>850</v>
      </c>
      <c r="S38" s="325">
        <v>1</v>
      </c>
      <c r="T38" s="325">
        <f t="shared" si="1"/>
        <v>87</v>
      </c>
      <c r="V38" s="324">
        <v>5000</v>
      </c>
      <c r="W38" s="326">
        <f t="shared" si="2"/>
        <v>5</v>
      </c>
      <c r="X38" s="326">
        <f t="shared" si="3"/>
        <v>4370</v>
      </c>
      <c r="Y38" s="327">
        <v>4600</v>
      </c>
      <c r="Z38" s="328">
        <f t="shared" si="4"/>
        <v>17.399999999999999</v>
      </c>
      <c r="AA38" s="304"/>
      <c r="AB38" s="329">
        <v>0.27700000000000002</v>
      </c>
      <c r="AC38" s="329">
        <v>0.114</v>
      </c>
      <c r="AE38" s="332">
        <f t="shared" si="5"/>
        <v>20.484150000000003</v>
      </c>
      <c r="AF38" s="332">
        <f t="shared" si="6"/>
        <v>22.171080000000003</v>
      </c>
      <c r="AG38" s="332">
        <f t="shared" si="7"/>
        <v>-1.6869300000000003</v>
      </c>
      <c r="AH38" s="333">
        <f t="shared" si="8"/>
        <v>1.0823529411764705</v>
      </c>
      <c r="AI38" s="332">
        <f t="shared" si="9"/>
        <v>73.95</v>
      </c>
      <c r="AJ38" s="332">
        <f t="shared" si="10"/>
        <v>80.039999999999992</v>
      </c>
      <c r="AK38" s="332">
        <f t="shared" si="11"/>
        <v>-6.0899999999999892</v>
      </c>
      <c r="AL38" s="333">
        <f t="shared" si="12"/>
        <v>1.0823529411764705</v>
      </c>
    </row>
    <row r="39" spans="2:39" s="303" customFormat="1" ht="28.5" x14ac:dyDescent="0.2">
      <c r="B39" s="319">
        <f t="shared" si="13"/>
        <v>29</v>
      </c>
      <c r="C39" s="320" t="s">
        <v>183</v>
      </c>
      <c r="D39" s="321" t="s">
        <v>184</v>
      </c>
      <c r="E39" s="319" t="s">
        <v>191</v>
      </c>
      <c r="F39" s="319">
        <v>87</v>
      </c>
      <c r="G39" s="319">
        <v>850</v>
      </c>
      <c r="H39" s="319" t="s">
        <v>173</v>
      </c>
      <c r="I39" s="319">
        <v>2300</v>
      </c>
      <c r="J39" s="2"/>
      <c r="K39" s="319">
        <v>10</v>
      </c>
      <c r="L39" s="321" t="s">
        <v>37</v>
      </c>
      <c r="M39" s="322" t="s">
        <v>38</v>
      </c>
      <c r="N39" s="321" t="s">
        <v>39</v>
      </c>
      <c r="O39" s="323" t="s">
        <v>188</v>
      </c>
      <c r="P39" s="321" t="s">
        <v>3</v>
      </c>
      <c r="Q39" s="2"/>
      <c r="R39" s="324">
        <f t="shared" si="16"/>
        <v>850</v>
      </c>
      <c r="S39" s="325">
        <v>1</v>
      </c>
      <c r="T39" s="325">
        <f t="shared" si="1"/>
        <v>87</v>
      </c>
      <c r="V39" s="324">
        <v>5000</v>
      </c>
      <c r="W39" s="326">
        <f t="shared" si="2"/>
        <v>5</v>
      </c>
      <c r="X39" s="326">
        <f t="shared" si="3"/>
        <v>4370</v>
      </c>
      <c r="Y39" s="327">
        <v>4600</v>
      </c>
      <c r="Z39" s="328">
        <f t="shared" si="4"/>
        <v>17.399999999999999</v>
      </c>
      <c r="AA39" s="392"/>
      <c r="AB39" s="329">
        <v>0.29899999999999999</v>
      </c>
      <c r="AC39" s="329">
        <v>0.13900000000000001</v>
      </c>
      <c r="AE39" s="332">
        <f t="shared" si="5"/>
        <v>22.111049999999999</v>
      </c>
      <c r="AF39" s="332">
        <f t="shared" si="6"/>
        <v>23.93196</v>
      </c>
      <c r="AG39" s="332">
        <f t="shared" si="7"/>
        <v>-1.8209100000000014</v>
      </c>
      <c r="AH39" s="333">
        <f t="shared" si="8"/>
        <v>1.0823529411764707</v>
      </c>
      <c r="AI39" s="332">
        <f t="shared" si="9"/>
        <v>73.95</v>
      </c>
      <c r="AJ39" s="332">
        <f t="shared" si="10"/>
        <v>80.039999999999992</v>
      </c>
      <c r="AK39" s="332">
        <f t="shared" si="11"/>
        <v>-6.0899999999999892</v>
      </c>
      <c r="AL39" s="333">
        <f t="shared" si="12"/>
        <v>1.0823529411764705</v>
      </c>
    </row>
    <row r="40" spans="2:39" s="303" customFormat="1" ht="28.5" x14ac:dyDescent="0.2">
      <c r="B40" s="319">
        <f t="shared" si="13"/>
        <v>30</v>
      </c>
      <c r="C40" s="320" t="s">
        <v>183</v>
      </c>
      <c r="D40" s="321" t="s">
        <v>184</v>
      </c>
      <c r="E40" s="319" t="s">
        <v>191</v>
      </c>
      <c r="F40" s="319">
        <v>87</v>
      </c>
      <c r="G40" s="319">
        <v>850</v>
      </c>
      <c r="H40" s="319" t="s">
        <v>173</v>
      </c>
      <c r="I40" s="319">
        <v>2300</v>
      </c>
      <c r="J40" s="2"/>
      <c r="K40" s="334">
        <v>10</v>
      </c>
      <c r="L40" s="335" t="s">
        <v>28</v>
      </c>
      <c r="M40" s="336" t="s">
        <v>118</v>
      </c>
      <c r="N40" s="337" t="s">
        <v>6</v>
      </c>
      <c r="O40" s="323" t="s">
        <v>188</v>
      </c>
      <c r="P40" s="337" t="s">
        <v>187</v>
      </c>
      <c r="Q40" s="2"/>
      <c r="R40" s="324">
        <f t="shared" si="16"/>
        <v>850</v>
      </c>
      <c r="S40" s="325">
        <v>1</v>
      </c>
      <c r="T40" s="325">
        <f t="shared" si="1"/>
        <v>87</v>
      </c>
      <c r="V40" s="338">
        <v>3660</v>
      </c>
      <c r="W40" s="339">
        <f t="shared" si="2"/>
        <v>4</v>
      </c>
      <c r="X40" s="339">
        <f t="shared" si="3"/>
        <v>3515</v>
      </c>
      <c r="Y40" s="327">
        <v>3660</v>
      </c>
      <c r="Z40" s="340">
        <f>($R40*$T40)/$V40</f>
        <v>20.204918032786885</v>
      </c>
      <c r="AA40" s="392"/>
      <c r="AB40" s="332">
        <v>1.641</v>
      </c>
      <c r="AC40" s="332">
        <v>0.20319999999999999</v>
      </c>
      <c r="AE40" s="332">
        <f t="shared" si="5"/>
        <v>121.35195</v>
      </c>
      <c r="AF40" s="332">
        <f t="shared" si="6"/>
        <v>121.35195</v>
      </c>
      <c r="AG40" s="332">
        <f t="shared" si="7"/>
        <v>0</v>
      </c>
      <c r="AH40" s="333">
        <f t="shared" si="8"/>
        <v>1</v>
      </c>
      <c r="AI40" s="332">
        <f t="shared" si="9"/>
        <v>73.95</v>
      </c>
      <c r="AJ40" s="332">
        <f t="shared" si="10"/>
        <v>73.95</v>
      </c>
      <c r="AK40" s="332">
        <f t="shared" si="11"/>
        <v>0</v>
      </c>
      <c r="AL40" s="333">
        <f t="shared" si="12"/>
        <v>1</v>
      </c>
    </row>
    <row r="41" spans="2:39" s="303" customFormat="1" ht="28.5" x14ac:dyDescent="0.2">
      <c r="B41" s="319">
        <f t="shared" si="13"/>
        <v>31</v>
      </c>
      <c r="C41" s="320" t="s">
        <v>183</v>
      </c>
      <c r="D41" s="321" t="s">
        <v>184</v>
      </c>
      <c r="E41" s="319" t="s">
        <v>191</v>
      </c>
      <c r="F41" s="319">
        <v>87</v>
      </c>
      <c r="G41" s="319">
        <v>850</v>
      </c>
      <c r="H41" s="319" t="s">
        <v>173</v>
      </c>
      <c r="I41" s="319">
        <v>2300</v>
      </c>
      <c r="J41" s="2"/>
      <c r="K41" s="319">
        <v>11</v>
      </c>
      <c r="L41" s="321" t="s">
        <v>42</v>
      </c>
      <c r="M41" s="322" t="s">
        <v>43</v>
      </c>
      <c r="N41" s="321" t="s">
        <v>39</v>
      </c>
      <c r="O41" s="323" t="s">
        <v>188</v>
      </c>
      <c r="P41" s="321" t="s">
        <v>3</v>
      </c>
      <c r="Q41" s="2"/>
      <c r="R41" s="324">
        <f t="shared" si="16"/>
        <v>850</v>
      </c>
      <c r="S41" s="325">
        <v>1</v>
      </c>
      <c r="T41" s="325">
        <f t="shared" si="1"/>
        <v>87</v>
      </c>
      <c r="V41" s="324">
        <v>5000</v>
      </c>
      <c r="W41" s="326">
        <f t="shared" si="2"/>
        <v>5</v>
      </c>
      <c r="X41" s="326">
        <f t="shared" si="3"/>
        <v>4370</v>
      </c>
      <c r="Y41" s="327">
        <v>4600</v>
      </c>
      <c r="Z41" s="328">
        <f t="shared" si="4"/>
        <v>17.399999999999999</v>
      </c>
      <c r="AA41" s="392"/>
      <c r="AB41" s="329">
        <v>1.72</v>
      </c>
      <c r="AC41" s="329">
        <v>0.32400000000000001</v>
      </c>
      <c r="AE41" s="332">
        <f t="shared" si="5"/>
        <v>127.194</v>
      </c>
      <c r="AF41" s="332">
        <f t="shared" si="6"/>
        <v>137.6688</v>
      </c>
      <c r="AG41" s="332">
        <f t="shared" si="7"/>
        <v>-10.474800000000002</v>
      </c>
      <c r="AH41" s="333">
        <f t="shared" si="8"/>
        <v>1.0823529411764705</v>
      </c>
      <c r="AI41" s="332">
        <f t="shared" si="9"/>
        <v>73.95</v>
      </c>
      <c r="AJ41" s="332">
        <f t="shared" si="10"/>
        <v>80.039999999999992</v>
      </c>
      <c r="AK41" s="332">
        <f t="shared" si="11"/>
        <v>-6.0899999999999892</v>
      </c>
      <c r="AL41" s="333">
        <f t="shared" si="12"/>
        <v>1.0823529411764705</v>
      </c>
    </row>
    <row r="42" spans="2:39" s="303" customFormat="1" ht="28.5" x14ac:dyDescent="0.2">
      <c r="B42" s="319">
        <f t="shared" si="13"/>
        <v>32</v>
      </c>
      <c r="C42" s="320" t="s">
        <v>183</v>
      </c>
      <c r="D42" s="321" t="s">
        <v>184</v>
      </c>
      <c r="E42" s="319" t="s">
        <v>191</v>
      </c>
      <c r="F42" s="319">
        <v>87</v>
      </c>
      <c r="G42" s="319">
        <v>850</v>
      </c>
      <c r="H42" s="319" t="s">
        <v>173</v>
      </c>
      <c r="I42" s="319">
        <v>2300</v>
      </c>
      <c r="J42" s="2"/>
      <c r="K42" s="319">
        <v>11</v>
      </c>
      <c r="L42" s="321" t="s">
        <v>40</v>
      </c>
      <c r="M42" s="322" t="s">
        <v>41</v>
      </c>
      <c r="N42" s="321" t="s">
        <v>39</v>
      </c>
      <c r="O42" s="323" t="s">
        <v>188</v>
      </c>
      <c r="P42" s="321" t="s">
        <v>3</v>
      </c>
      <c r="Q42" s="2"/>
      <c r="R42" s="324">
        <f t="shared" si="16"/>
        <v>850</v>
      </c>
      <c r="S42" s="325">
        <v>1</v>
      </c>
      <c r="T42" s="325">
        <f t="shared" si="1"/>
        <v>87</v>
      </c>
      <c r="V42" s="324">
        <v>5000</v>
      </c>
      <c r="W42" s="326">
        <f t="shared" si="2"/>
        <v>5</v>
      </c>
      <c r="X42" s="326">
        <f t="shared" si="3"/>
        <v>4370</v>
      </c>
      <c r="Y42" s="327">
        <v>4600</v>
      </c>
      <c r="Z42" s="328">
        <f t="shared" si="4"/>
        <v>17.399999999999999</v>
      </c>
      <c r="AA42" s="392"/>
      <c r="AB42" s="329">
        <v>0.27700000000000002</v>
      </c>
      <c r="AC42" s="329">
        <v>0.114</v>
      </c>
      <c r="AE42" s="332">
        <f t="shared" si="5"/>
        <v>20.484150000000003</v>
      </c>
      <c r="AF42" s="332">
        <f t="shared" si="6"/>
        <v>22.171080000000003</v>
      </c>
      <c r="AG42" s="332">
        <f t="shared" si="7"/>
        <v>-1.6869300000000003</v>
      </c>
      <c r="AH42" s="333">
        <f t="shared" si="8"/>
        <v>1.0823529411764705</v>
      </c>
      <c r="AI42" s="332">
        <f t="shared" si="9"/>
        <v>73.95</v>
      </c>
      <c r="AJ42" s="332">
        <f t="shared" si="10"/>
        <v>80.039999999999992</v>
      </c>
      <c r="AK42" s="332">
        <f t="shared" si="11"/>
        <v>-6.0899999999999892</v>
      </c>
      <c r="AL42" s="333">
        <f t="shared" si="12"/>
        <v>1.0823529411764705</v>
      </c>
    </row>
    <row r="43" spans="2:39" s="303" customFormat="1" ht="28.5" x14ac:dyDescent="0.2">
      <c r="B43" s="319">
        <f t="shared" si="13"/>
        <v>33</v>
      </c>
      <c r="C43" s="320" t="s">
        <v>183</v>
      </c>
      <c r="D43" s="321" t="s">
        <v>184</v>
      </c>
      <c r="E43" s="319" t="s">
        <v>191</v>
      </c>
      <c r="F43" s="319">
        <v>87</v>
      </c>
      <c r="G43" s="319">
        <v>850</v>
      </c>
      <c r="H43" s="319" t="s">
        <v>173</v>
      </c>
      <c r="I43" s="319">
        <v>2300</v>
      </c>
      <c r="J43" s="2"/>
      <c r="K43" s="341">
        <v>11</v>
      </c>
      <c r="L43" s="342" t="s">
        <v>37</v>
      </c>
      <c r="M43" s="343" t="s">
        <v>38</v>
      </c>
      <c r="N43" s="342" t="s">
        <v>39</v>
      </c>
      <c r="O43" s="323" t="s">
        <v>188</v>
      </c>
      <c r="P43" s="342" t="s">
        <v>3</v>
      </c>
      <c r="Q43" s="2"/>
      <c r="R43" s="324">
        <f t="shared" si="16"/>
        <v>850</v>
      </c>
      <c r="S43" s="325">
        <v>1</v>
      </c>
      <c r="T43" s="325">
        <f t="shared" si="1"/>
        <v>87</v>
      </c>
      <c r="V43" s="324">
        <v>5000</v>
      </c>
      <c r="W43" s="326">
        <f t="shared" si="2"/>
        <v>5</v>
      </c>
      <c r="X43" s="326">
        <f t="shared" si="3"/>
        <v>4370</v>
      </c>
      <c r="Y43" s="327">
        <v>4600</v>
      </c>
      <c r="Z43" s="328">
        <f t="shared" si="4"/>
        <v>17.399999999999999</v>
      </c>
      <c r="AA43" s="426">
        <v>35</v>
      </c>
      <c r="AB43" s="329">
        <v>0.29899999999999999</v>
      </c>
      <c r="AC43" s="329">
        <v>0.13900000000000001</v>
      </c>
      <c r="AE43" s="332">
        <f t="shared" si="5"/>
        <v>22.111049999999999</v>
      </c>
      <c r="AF43" s="332">
        <f t="shared" si="6"/>
        <v>23.93196</v>
      </c>
      <c r="AG43" s="332">
        <f t="shared" si="7"/>
        <v>-1.8209100000000014</v>
      </c>
      <c r="AH43" s="333">
        <f t="shared" si="8"/>
        <v>1.0823529411764707</v>
      </c>
      <c r="AI43" s="332">
        <f t="shared" si="9"/>
        <v>73.95</v>
      </c>
      <c r="AJ43" s="332">
        <f t="shared" si="10"/>
        <v>80.039999999999992</v>
      </c>
      <c r="AK43" s="332">
        <f t="shared" si="11"/>
        <v>-6.0899999999999892</v>
      </c>
      <c r="AL43" s="333">
        <f t="shared" si="12"/>
        <v>1.0823529411764705</v>
      </c>
    </row>
    <row r="44" spans="2:39" s="303" customFormat="1" ht="28.5" x14ac:dyDescent="0.2">
      <c r="B44" s="341">
        <f t="shared" si="13"/>
        <v>34</v>
      </c>
      <c r="C44" s="344" t="s">
        <v>183</v>
      </c>
      <c r="D44" s="342" t="s">
        <v>184</v>
      </c>
      <c r="E44" s="341" t="s">
        <v>191</v>
      </c>
      <c r="F44" s="341">
        <v>87</v>
      </c>
      <c r="G44" s="341">
        <v>850</v>
      </c>
      <c r="H44" s="341" t="s">
        <v>173</v>
      </c>
      <c r="I44" s="341">
        <v>2300</v>
      </c>
      <c r="J44" s="2"/>
      <c r="K44" s="345">
        <v>11</v>
      </c>
      <c r="L44" s="335" t="s">
        <v>28</v>
      </c>
      <c r="M44" s="346" t="s">
        <v>118</v>
      </c>
      <c r="N44" s="347" t="s">
        <v>6</v>
      </c>
      <c r="O44" s="323" t="s">
        <v>188</v>
      </c>
      <c r="P44" s="347" t="s">
        <v>187</v>
      </c>
      <c r="Q44" s="2"/>
      <c r="R44" s="348">
        <f t="shared" si="16"/>
        <v>850</v>
      </c>
      <c r="S44" s="349">
        <v>1</v>
      </c>
      <c r="T44" s="349">
        <f t="shared" si="1"/>
        <v>87</v>
      </c>
      <c r="V44" s="338">
        <v>3660</v>
      </c>
      <c r="W44" s="350">
        <f t="shared" si="2"/>
        <v>4</v>
      </c>
      <c r="X44" s="350">
        <f t="shared" si="3"/>
        <v>3515</v>
      </c>
      <c r="Y44" s="327">
        <v>3660</v>
      </c>
      <c r="Z44" s="340">
        <f>($R44*$T44)/$V44</f>
        <v>20.204918032786885</v>
      </c>
      <c r="AA44" s="392"/>
      <c r="AB44" s="332">
        <v>1.641</v>
      </c>
      <c r="AC44" s="332">
        <v>0.20319999999999999</v>
      </c>
      <c r="AE44" s="332">
        <f t="shared" si="5"/>
        <v>121.35195</v>
      </c>
      <c r="AF44" s="332">
        <f t="shared" si="6"/>
        <v>121.35195</v>
      </c>
      <c r="AG44" s="332">
        <f t="shared" si="7"/>
        <v>0</v>
      </c>
      <c r="AH44" s="333">
        <f t="shared" si="8"/>
        <v>1</v>
      </c>
      <c r="AI44" s="332">
        <f t="shared" si="9"/>
        <v>73.95</v>
      </c>
      <c r="AJ44" s="332">
        <f t="shared" si="10"/>
        <v>73.95</v>
      </c>
      <c r="AK44" s="332">
        <f t="shared" si="11"/>
        <v>0</v>
      </c>
      <c r="AL44" s="333">
        <f t="shared" si="12"/>
        <v>1</v>
      </c>
    </row>
    <row r="45" spans="2:39" s="353" customFormat="1" ht="30" customHeight="1" x14ac:dyDescent="0.25">
      <c r="B45" s="341">
        <f t="shared" si="13"/>
        <v>35</v>
      </c>
      <c r="C45" s="344" t="s">
        <v>183</v>
      </c>
      <c r="D45" s="342" t="s">
        <v>184</v>
      </c>
      <c r="E45" s="341" t="s">
        <v>191</v>
      </c>
      <c r="F45" s="341">
        <v>87</v>
      </c>
      <c r="G45" s="341">
        <v>850</v>
      </c>
      <c r="H45" s="341" t="s">
        <v>173</v>
      </c>
      <c r="I45" s="341">
        <v>2300</v>
      </c>
      <c r="J45" s="2"/>
      <c r="K45" s="354"/>
      <c r="L45" s="355" t="s">
        <v>28</v>
      </c>
      <c r="M45" s="356" t="s">
        <v>29</v>
      </c>
      <c r="N45" s="469" t="s">
        <v>6</v>
      </c>
      <c r="O45" s="323" t="s">
        <v>189</v>
      </c>
      <c r="P45" s="347" t="s">
        <v>187</v>
      </c>
      <c r="Q45" s="2"/>
      <c r="R45" s="338">
        <v>51</v>
      </c>
      <c r="S45" s="357">
        <f>4*1</f>
        <v>4</v>
      </c>
      <c r="T45" s="357">
        <f t="shared" si="1"/>
        <v>348</v>
      </c>
      <c r="U45" s="303"/>
      <c r="V45" s="338">
        <v>3250</v>
      </c>
      <c r="W45" s="358">
        <f t="shared" si="2"/>
        <v>63</v>
      </c>
      <c r="X45" s="358">
        <f t="shared" si="3"/>
        <v>3623</v>
      </c>
      <c r="Y45" s="351">
        <v>3660</v>
      </c>
      <c r="Z45" s="359">
        <f t="shared" si="4"/>
        <v>5.5238095238095237</v>
      </c>
      <c r="AA45" s="392"/>
      <c r="AB45" s="332">
        <v>1.641</v>
      </c>
      <c r="AC45" s="332">
        <v>0.20319999999999999</v>
      </c>
      <c r="AD45" s="303"/>
      <c r="AE45" s="332">
        <f t="shared" si="5"/>
        <v>29.124467999999997</v>
      </c>
      <c r="AF45" s="332">
        <f t="shared" si="6"/>
        <v>33.176331428571423</v>
      </c>
      <c r="AG45" s="332">
        <f t="shared" si="7"/>
        <v>-4.0518634285714263</v>
      </c>
      <c r="AH45" s="333">
        <f t="shared" si="8"/>
        <v>1.1391223155929038</v>
      </c>
      <c r="AI45" s="332">
        <f t="shared" si="9"/>
        <v>17.747999999999998</v>
      </c>
      <c r="AJ45" s="332">
        <f t="shared" si="10"/>
        <v>20.217142857142857</v>
      </c>
      <c r="AK45" s="332">
        <f t="shared" si="11"/>
        <v>-2.4691428571428595</v>
      </c>
      <c r="AL45" s="333">
        <f t="shared" si="12"/>
        <v>1.139122315592904</v>
      </c>
      <c r="AM45" s="303"/>
    </row>
    <row r="46" spans="2:39" s="353" customFormat="1" ht="30" customHeight="1" thickBot="1" x14ac:dyDescent="0.3">
      <c r="B46" s="360">
        <f t="shared" si="13"/>
        <v>36</v>
      </c>
      <c r="C46" s="361" t="s">
        <v>183</v>
      </c>
      <c r="D46" s="362" t="s">
        <v>184</v>
      </c>
      <c r="E46" s="360" t="s">
        <v>191</v>
      </c>
      <c r="F46" s="360">
        <v>87</v>
      </c>
      <c r="G46" s="360">
        <v>850</v>
      </c>
      <c r="H46" s="360" t="s">
        <v>173</v>
      </c>
      <c r="I46" s="360">
        <v>2300</v>
      </c>
      <c r="J46" s="2"/>
      <c r="K46" s="363"/>
      <c r="L46" s="364" t="s">
        <v>28</v>
      </c>
      <c r="M46" s="365" t="s">
        <v>29</v>
      </c>
      <c r="N46" s="470" t="s">
        <v>6</v>
      </c>
      <c r="O46" s="366" t="s">
        <v>190</v>
      </c>
      <c r="P46" s="367" t="s">
        <v>187</v>
      </c>
      <c r="Q46" s="2"/>
      <c r="R46" s="368">
        <v>51</v>
      </c>
      <c r="S46" s="369">
        <f>2*2</f>
        <v>4</v>
      </c>
      <c r="T46" s="369">
        <f t="shared" si="1"/>
        <v>348</v>
      </c>
      <c r="U46" s="303"/>
      <c r="V46" s="368">
        <v>3250</v>
      </c>
      <c r="W46" s="370">
        <f t="shared" si="2"/>
        <v>63</v>
      </c>
      <c r="X46" s="370">
        <f t="shared" si="3"/>
        <v>3623</v>
      </c>
      <c r="Y46" s="371">
        <v>3660</v>
      </c>
      <c r="Z46" s="372">
        <f t="shared" si="4"/>
        <v>5.5238095238095237</v>
      </c>
      <c r="AA46" s="392"/>
      <c r="AB46" s="373">
        <v>1.641</v>
      </c>
      <c r="AC46" s="373">
        <v>0.20319999999999999</v>
      </c>
      <c r="AD46" s="303"/>
      <c r="AE46" s="373">
        <f t="shared" si="5"/>
        <v>29.124467999999997</v>
      </c>
      <c r="AF46" s="373">
        <f t="shared" si="6"/>
        <v>33.176331428571423</v>
      </c>
      <c r="AG46" s="373">
        <f t="shared" si="7"/>
        <v>-4.0518634285714263</v>
      </c>
      <c r="AH46" s="374">
        <f t="shared" si="8"/>
        <v>1.1391223155929038</v>
      </c>
      <c r="AI46" s="373">
        <f t="shared" si="9"/>
        <v>17.747999999999998</v>
      </c>
      <c r="AJ46" s="373">
        <f t="shared" si="10"/>
        <v>20.217142857142857</v>
      </c>
      <c r="AK46" s="373">
        <f t="shared" si="11"/>
        <v>-2.4691428571428595</v>
      </c>
      <c r="AL46" s="374">
        <f t="shared" si="12"/>
        <v>1.139122315592904</v>
      </c>
      <c r="AM46" s="303"/>
    </row>
    <row r="47" spans="2:39" s="303" customFormat="1" ht="28.5" x14ac:dyDescent="0.2">
      <c r="B47" s="319">
        <f t="shared" si="13"/>
        <v>37</v>
      </c>
      <c r="C47" s="376" t="s">
        <v>183</v>
      </c>
      <c r="D47" s="321" t="s">
        <v>184</v>
      </c>
      <c r="E47" s="319" t="s">
        <v>192</v>
      </c>
      <c r="F47" s="319">
        <v>30</v>
      </c>
      <c r="G47" s="319">
        <v>1870</v>
      </c>
      <c r="H47" s="319" t="s">
        <v>173</v>
      </c>
      <c r="I47" s="319">
        <v>2450</v>
      </c>
      <c r="J47" s="2"/>
      <c r="K47" s="319">
        <v>12</v>
      </c>
      <c r="L47" s="321" t="s">
        <v>42</v>
      </c>
      <c r="M47" s="322" t="s">
        <v>43</v>
      </c>
      <c r="N47" s="321" t="s">
        <v>39</v>
      </c>
      <c r="O47" s="378" t="s">
        <v>186</v>
      </c>
      <c r="P47" s="321" t="s">
        <v>3</v>
      </c>
      <c r="Q47" s="2"/>
      <c r="R47" s="324">
        <f t="shared" ref="R47:R54" si="17">ROUNDUP(I47,0)</f>
        <v>2450</v>
      </c>
      <c r="S47" s="325">
        <v>1</v>
      </c>
      <c r="T47" s="325">
        <f t="shared" si="1"/>
        <v>30</v>
      </c>
      <c r="V47" s="324">
        <v>7000</v>
      </c>
      <c r="W47" s="326">
        <f t="shared" si="2"/>
        <v>2</v>
      </c>
      <c r="X47" s="326">
        <f t="shared" si="3"/>
        <v>5005</v>
      </c>
      <c r="Y47" s="380">
        <v>4900</v>
      </c>
      <c r="Z47" s="381">
        <f t="shared" si="4"/>
        <v>15</v>
      </c>
      <c r="AA47" s="392"/>
      <c r="AB47" s="329">
        <v>1.72</v>
      </c>
      <c r="AC47" s="329">
        <v>0.32400000000000001</v>
      </c>
      <c r="AE47" s="330">
        <f t="shared" si="5"/>
        <v>126.42</v>
      </c>
      <c r="AF47" s="330">
        <f t="shared" si="6"/>
        <v>126.42</v>
      </c>
      <c r="AG47" s="330">
        <f t="shared" si="7"/>
        <v>0</v>
      </c>
      <c r="AH47" s="331">
        <f t="shared" si="8"/>
        <v>1</v>
      </c>
      <c r="AI47" s="330">
        <f t="shared" si="9"/>
        <v>73.5</v>
      </c>
      <c r="AJ47" s="330">
        <f t="shared" si="10"/>
        <v>73.5</v>
      </c>
      <c r="AK47" s="330">
        <f t="shared" si="11"/>
        <v>0</v>
      </c>
      <c r="AL47" s="331">
        <f t="shared" si="12"/>
        <v>1</v>
      </c>
    </row>
    <row r="48" spans="2:39" s="303" customFormat="1" ht="28.5" x14ac:dyDescent="0.2">
      <c r="B48" s="319">
        <f t="shared" si="13"/>
        <v>38</v>
      </c>
      <c r="C48" s="320" t="s">
        <v>183</v>
      </c>
      <c r="D48" s="321" t="s">
        <v>184</v>
      </c>
      <c r="E48" s="319" t="s">
        <v>192</v>
      </c>
      <c r="F48" s="319">
        <v>30</v>
      </c>
      <c r="G48" s="319">
        <v>1870</v>
      </c>
      <c r="H48" s="319" t="s">
        <v>173</v>
      </c>
      <c r="I48" s="319">
        <v>2450</v>
      </c>
      <c r="J48" s="2"/>
      <c r="K48" s="319">
        <v>12</v>
      </c>
      <c r="L48" s="321" t="s">
        <v>40</v>
      </c>
      <c r="M48" s="322" t="s">
        <v>41</v>
      </c>
      <c r="N48" s="321" t="s">
        <v>39</v>
      </c>
      <c r="O48" s="323" t="s">
        <v>186</v>
      </c>
      <c r="P48" s="321" t="s">
        <v>3</v>
      </c>
      <c r="Q48" s="2"/>
      <c r="R48" s="324">
        <f t="shared" si="17"/>
        <v>2450</v>
      </c>
      <c r="S48" s="325">
        <v>1</v>
      </c>
      <c r="T48" s="325">
        <f t="shared" si="1"/>
        <v>30</v>
      </c>
      <c r="V48" s="324">
        <v>7000</v>
      </c>
      <c r="W48" s="326">
        <f t="shared" si="2"/>
        <v>2</v>
      </c>
      <c r="X48" s="326">
        <f t="shared" si="3"/>
        <v>5005</v>
      </c>
      <c r="Y48" s="327">
        <v>4900</v>
      </c>
      <c r="Z48" s="328">
        <f t="shared" si="4"/>
        <v>15</v>
      </c>
      <c r="AA48" s="304"/>
      <c r="AB48" s="329">
        <v>0.27700000000000002</v>
      </c>
      <c r="AC48" s="329">
        <v>0.114</v>
      </c>
      <c r="AE48" s="332">
        <f t="shared" si="5"/>
        <v>20.359500000000001</v>
      </c>
      <c r="AF48" s="332">
        <f t="shared" si="6"/>
        <v>20.359500000000001</v>
      </c>
      <c r="AG48" s="332">
        <f t="shared" si="7"/>
        <v>0</v>
      </c>
      <c r="AH48" s="333">
        <f t="shared" si="8"/>
        <v>1</v>
      </c>
      <c r="AI48" s="332">
        <f t="shared" si="9"/>
        <v>73.5</v>
      </c>
      <c r="AJ48" s="332">
        <f t="shared" si="10"/>
        <v>73.5</v>
      </c>
      <c r="AK48" s="332">
        <f t="shared" si="11"/>
        <v>0</v>
      </c>
      <c r="AL48" s="333">
        <f t="shared" si="12"/>
        <v>1</v>
      </c>
    </row>
    <row r="49" spans="2:39" s="303" customFormat="1" ht="28.5" x14ac:dyDescent="0.2">
      <c r="B49" s="319">
        <f t="shared" si="13"/>
        <v>39</v>
      </c>
      <c r="C49" s="320" t="s">
        <v>183</v>
      </c>
      <c r="D49" s="321" t="s">
        <v>184</v>
      </c>
      <c r="E49" s="319" t="s">
        <v>192</v>
      </c>
      <c r="F49" s="319">
        <v>30</v>
      </c>
      <c r="G49" s="319">
        <v>1870</v>
      </c>
      <c r="H49" s="319" t="s">
        <v>173</v>
      </c>
      <c r="I49" s="319">
        <v>2450</v>
      </c>
      <c r="J49" s="2"/>
      <c r="K49" s="319">
        <v>12</v>
      </c>
      <c r="L49" s="321" t="s">
        <v>37</v>
      </c>
      <c r="M49" s="322" t="s">
        <v>38</v>
      </c>
      <c r="N49" s="321" t="s">
        <v>39</v>
      </c>
      <c r="O49" s="323" t="s">
        <v>186</v>
      </c>
      <c r="P49" s="321" t="s">
        <v>3</v>
      </c>
      <c r="Q49" s="2"/>
      <c r="R49" s="324">
        <f t="shared" si="17"/>
        <v>2450</v>
      </c>
      <c r="S49" s="325">
        <v>1</v>
      </c>
      <c r="T49" s="325">
        <f t="shared" si="1"/>
        <v>30</v>
      </c>
      <c r="V49" s="324">
        <v>7000</v>
      </c>
      <c r="W49" s="326">
        <f t="shared" si="2"/>
        <v>2</v>
      </c>
      <c r="X49" s="326">
        <f t="shared" si="3"/>
        <v>5005</v>
      </c>
      <c r="Y49" s="327">
        <v>4900</v>
      </c>
      <c r="Z49" s="328">
        <f t="shared" si="4"/>
        <v>15</v>
      </c>
      <c r="AA49" s="392"/>
      <c r="AB49" s="329">
        <v>0.29899999999999999</v>
      </c>
      <c r="AC49" s="329">
        <v>0.13900000000000001</v>
      </c>
      <c r="AE49" s="332">
        <f t="shared" si="5"/>
        <v>21.976499999999998</v>
      </c>
      <c r="AF49" s="332">
        <f t="shared" si="6"/>
        <v>21.976499999999998</v>
      </c>
      <c r="AG49" s="332">
        <f t="shared" si="7"/>
        <v>0</v>
      </c>
      <c r="AH49" s="333">
        <f t="shared" si="8"/>
        <v>1</v>
      </c>
      <c r="AI49" s="332">
        <f t="shared" si="9"/>
        <v>73.5</v>
      </c>
      <c r="AJ49" s="332">
        <f t="shared" si="10"/>
        <v>73.5</v>
      </c>
      <c r="AK49" s="332">
        <f t="shared" si="11"/>
        <v>0</v>
      </c>
      <c r="AL49" s="333">
        <f t="shared" si="12"/>
        <v>1</v>
      </c>
    </row>
    <row r="50" spans="2:39" s="303" customFormat="1" ht="28.5" x14ac:dyDescent="0.2">
      <c r="B50" s="319">
        <f t="shared" si="13"/>
        <v>40</v>
      </c>
      <c r="C50" s="320" t="s">
        <v>183</v>
      </c>
      <c r="D50" s="321" t="s">
        <v>184</v>
      </c>
      <c r="E50" s="319" t="s">
        <v>192</v>
      </c>
      <c r="F50" s="319">
        <v>30</v>
      </c>
      <c r="G50" s="319">
        <v>1870</v>
      </c>
      <c r="H50" s="319" t="s">
        <v>173</v>
      </c>
      <c r="I50" s="319">
        <v>2450</v>
      </c>
      <c r="J50" s="2"/>
      <c r="K50" s="334">
        <v>12</v>
      </c>
      <c r="L50" s="335" t="s">
        <v>28</v>
      </c>
      <c r="M50" s="336" t="s">
        <v>118</v>
      </c>
      <c r="N50" s="337" t="s">
        <v>6</v>
      </c>
      <c r="O50" s="323" t="s">
        <v>186</v>
      </c>
      <c r="P50" s="337" t="s">
        <v>187</v>
      </c>
      <c r="Q50" s="2"/>
      <c r="R50" s="324">
        <f t="shared" si="17"/>
        <v>2450</v>
      </c>
      <c r="S50" s="325">
        <v>1</v>
      </c>
      <c r="T50" s="325">
        <f t="shared" si="1"/>
        <v>30</v>
      </c>
      <c r="V50" s="338">
        <v>3660</v>
      </c>
      <c r="W50" s="339">
        <f t="shared" si="2"/>
        <v>1</v>
      </c>
      <c r="X50" s="339">
        <f t="shared" si="3"/>
        <v>2550</v>
      </c>
      <c r="Y50" s="327">
        <v>3660</v>
      </c>
      <c r="Z50" s="340">
        <f>($R50*$T50)/$V50</f>
        <v>20.081967213114755</v>
      </c>
      <c r="AA50" s="392"/>
      <c r="AB50" s="332">
        <v>1.641</v>
      </c>
      <c r="AC50" s="332">
        <v>0.20319999999999999</v>
      </c>
      <c r="AE50" s="332">
        <f t="shared" si="5"/>
        <v>120.6135</v>
      </c>
      <c r="AF50" s="332">
        <f t="shared" si="6"/>
        <v>120.6135</v>
      </c>
      <c r="AG50" s="332">
        <f t="shared" si="7"/>
        <v>0</v>
      </c>
      <c r="AH50" s="333">
        <f t="shared" si="8"/>
        <v>1</v>
      </c>
      <c r="AI50" s="332">
        <f t="shared" si="9"/>
        <v>73.5</v>
      </c>
      <c r="AJ50" s="332">
        <f t="shared" si="10"/>
        <v>73.5</v>
      </c>
      <c r="AK50" s="332">
        <f t="shared" si="11"/>
        <v>0</v>
      </c>
      <c r="AL50" s="333">
        <f t="shared" si="12"/>
        <v>1</v>
      </c>
    </row>
    <row r="51" spans="2:39" s="303" customFormat="1" ht="28.5" x14ac:dyDescent="0.2">
      <c r="B51" s="319">
        <f t="shared" si="13"/>
        <v>41</v>
      </c>
      <c r="C51" s="320" t="s">
        <v>183</v>
      </c>
      <c r="D51" s="321" t="s">
        <v>184</v>
      </c>
      <c r="E51" s="319" t="s">
        <v>192</v>
      </c>
      <c r="F51" s="319">
        <v>30</v>
      </c>
      <c r="G51" s="319">
        <v>1870</v>
      </c>
      <c r="H51" s="319" t="s">
        <v>173</v>
      </c>
      <c r="I51" s="319">
        <v>2450</v>
      </c>
      <c r="J51" s="2"/>
      <c r="K51" s="319">
        <v>13</v>
      </c>
      <c r="L51" s="321" t="s">
        <v>42</v>
      </c>
      <c r="M51" s="322" t="s">
        <v>43</v>
      </c>
      <c r="N51" s="321" t="s">
        <v>39</v>
      </c>
      <c r="O51" s="323" t="s">
        <v>186</v>
      </c>
      <c r="P51" s="321" t="s">
        <v>3</v>
      </c>
      <c r="Q51" s="2"/>
      <c r="R51" s="324">
        <f t="shared" si="17"/>
        <v>2450</v>
      </c>
      <c r="S51" s="325">
        <v>1</v>
      </c>
      <c r="T51" s="325">
        <f t="shared" si="1"/>
        <v>30</v>
      </c>
      <c r="V51" s="324">
        <v>7000</v>
      </c>
      <c r="W51" s="326">
        <f t="shared" si="2"/>
        <v>2</v>
      </c>
      <c r="X51" s="326">
        <f t="shared" si="3"/>
        <v>5005</v>
      </c>
      <c r="Y51" s="327">
        <v>4900</v>
      </c>
      <c r="Z51" s="328">
        <f t="shared" si="4"/>
        <v>15</v>
      </c>
      <c r="AA51" s="392"/>
      <c r="AB51" s="329">
        <v>1.72</v>
      </c>
      <c r="AC51" s="329">
        <v>0.32400000000000001</v>
      </c>
      <c r="AE51" s="332">
        <f t="shared" si="5"/>
        <v>126.42</v>
      </c>
      <c r="AF51" s="332">
        <f t="shared" si="6"/>
        <v>126.42</v>
      </c>
      <c r="AG51" s="332">
        <f t="shared" si="7"/>
        <v>0</v>
      </c>
      <c r="AH51" s="333">
        <f t="shared" si="8"/>
        <v>1</v>
      </c>
      <c r="AI51" s="332">
        <f t="shared" si="9"/>
        <v>73.5</v>
      </c>
      <c r="AJ51" s="332">
        <f t="shared" si="10"/>
        <v>73.5</v>
      </c>
      <c r="AK51" s="332">
        <f t="shared" si="11"/>
        <v>0</v>
      </c>
      <c r="AL51" s="333">
        <f t="shared" si="12"/>
        <v>1</v>
      </c>
    </row>
    <row r="52" spans="2:39" s="303" customFormat="1" ht="28.5" x14ac:dyDescent="0.2">
      <c r="B52" s="319">
        <f t="shared" si="13"/>
        <v>42</v>
      </c>
      <c r="C52" s="320" t="s">
        <v>183</v>
      </c>
      <c r="D52" s="321" t="s">
        <v>184</v>
      </c>
      <c r="E52" s="319" t="s">
        <v>192</v>
      </c>
      <c r="F52" s="319">
        <v>30</v>
      </c>
      <c r="G52" s="319">
        <v>1870</v>
      </c>
      <c r="H52" s="319" t="s">
        <v>173</v>
      </c>
      <c r="I52" s="319">
        <v>2450</v>
      </c>
      <c r="J52" s="2"/>
      <c r="K52" s="319">
        <v>13</v>
      </c>
      <c r="L52" s="321" t="s">
        <v>40</v>
      </c>
      <c r="M52" s="322" t="s">
        <v>41</v>
      </c>
      <c r="N52" s="321" t="s">
        <v>39</v>
      </c>
      <c r="O52" s="323" t="s">
        <v>186</v>
      </c>
      <c r="P52" s="321" t="s">
        <v>3</v>
      </c>
      <c r="Q52" s="2"/>
      <c r="R52" s="324">
        <f t="shared" si="17"/>
        <v>2450</v>
      </c>
      <c r="S52" s="325">
        <v>1</v>
      </c>
      <c r="T52" s="325">
        <f t="shared" si="1"/>
        <v>30</v>
      </c>
      <c r="V52" s="324">
        <v>7000</v>
      </c>
      <c r="W52" s="326">
        <f t="shared" si="2"/>
        <v>2</v>
      </c>
      <c r="X52" s="326">
        <f t="shared" si="3"/>
        <v>5005</v>
      </c>
      <c r="Y52" s="327">
        <v>4900</v>
      </c>
      <c r="Z52" s="328">
        <f t="shared" si="4"/>
        <v>15</v>
      </c>
      <c r="AA52" s="304"/>
      <c r="AB52" s="329">
        <v>0.27700000000000002</v>
      </c>
      <c r="AC52" s="329">
        <v>0.114</v>
      </c>
      <c r="AE52" s="332">
        <f t="shared" si="5"/>
        <v>20.359500000000001</v>
      </c>
      <c r="AF52" s="332">
        <f t="shared" si="6"/>
        <v>20.359500000000001</v>
      </c>
      <c r="AG52" s="332">
        <f t="shared" si="7"/>
        <v>0</v>
      </c>
      <c r="AH52" s="333">
        <f t="shared" si="8"/>
        <v>1</v>
      </c>
      <c r="AI52" s="332">
        <f t="shared" si="9"/>
        <v>73.5</v>
      </c>
      <c r="AJ52" s="332">
        <f t="shared" si="10"/>
        <v>73.5</v>
      </c>
      <c r="AK52" s="332">
        <f t="shared" si="11"/>
        <v>0</v>
      </c>
      <c r="AL52" s="333">
        <f t="shared" si="12"/>
        <v>1</v>
      </c>
    </row>
    <row r="53" spans="2:39" s="303" customFormat="1" ht="28.5" x14ac:dyDescent="0.2">
      <c r="B53" s="319">
        <f t="shared" si="13"/>
        <v>43</v>
      </c>
      <c r="C53" s="320" t="s">
        <v>183</v>
      </c>
      <c r="D53" s="321" t="s">
        <v>184</v>
      </c>
      <c r="E53" s="319" t="s">
        <v>192</v>
      </c>
      <c r="F53" s="319">
        <v>30</v>
      </c>
      <c r="G53" s="319">
        <v>1870</v>
      </c>
      <c r="H53" s="319" t="s">
        <v>173</v>
      </c>
      <c r="I53" s="319">
        <v>2450</v>
      </c>
      <c r="J53" s="2"/>
      <c r="K53" s="319">
        <v>13</v>
      </c>
      <c r="L53" s="321" t="s">
        <v>37</v>
      </c>
      <c r="M53" s="322" t="s">
        <v>38</v>
      </c>
      <c r="N53" s="321" t="s">
        <v>39</v>
      </c>
      <c r="O53" s="323" t="s">
        <v>186</v>
      </c>
      <c r="P53" s="321" t="s">
        <v>3</v>
      </c>
      <c r="Q53" s="2"/>
      <c r="R53" s="324">
        <f t="shared" si="17"/>
        <v>2450</v>
      </c>
      <c r="S53" s="325">
        <v>1</v>
      </c>
      <c r="T53" s="325">
        <f t="shared" si="1"/>
        <v>30</v>
      </c>
      <c r="V53" s="324">
        <v>7000</v>
      </c>
      <c r="W53" s="326">
        <f t="shared" si="2"/>
        <v>2</v>
      </c>
      <c r="X53" s="326">
        <f t="shared" si="3"/>
        <v>5005</v>
      </c>
      <c r="Y53" s="327">
        <v>4900</v>
      </c>
      <c r="Z53" s="328">
        <f t="shared" si="4"/>
        <v>15</v>
      </c>
      <c r="AA53" s="392"/>
      <c r="AB53" s="329">
        <v>0.29899999999999999</v>
      </c>
      <c r="AC53" s="329">
        <v>0.13900000000000001</v>
      </c>
      <c r="AE53" s="332">
        <f t="shared" si="5"/>
        <v>21.976499999999998</v>
      </c>
      <c r="AF53" s="332">
        <f t="shared" si="6"/>
        <v>21.976499999999998</v>
      </c>
      <c r="AG53" s="332">
        <f t="shared" si="7"/>
        <v>0</v>
      </c>
      <c r="AH53" s="333">
        <f t="shared" si="8"/>
        <v>1</v>
      </c>
      <c r="AI53" s="332">
        <f t="shared" si="9"/>
        <v>73.5</v>
      </c>
      <c r="AJ53" s="332">
        <f t="shared" si="10"/>
        <v>73.5</v>
      </c>
      <c r="AK53" s="332">
        <f t="shared" si="11"/>
        <v>0</v>
      </c>
      <c r="AL53" s="333">
        <f t="shared" si="12"/>
        <v>1</v>
      </c>
    </row>
    <row r="54" spans="2:39" s="303" customFormat="1" ht="28.5" x14ac:dyDescent="0.2">
      <c r="B54" s="319">
        <f t="shared" si="13"/>
        <v>44</v>
      </c>
      <c r="C54" s="320" t="s">
        <v>183</v>
      </c>
      <c r="D54" s="321" t="s">
        <v>184</v>
      </c>
      <c r="E54" s="319" t="s">
        <v>192</v>
      </c>
      <c r="F54" s="319">
        <v>30</v>
      </c>
      <c r="G54" s="319">
        <v>1870</v>
      </c>
      <c r="H54" s="319" t="s">
        <v>173</v>
      </c>
      <c r="I54" s="319">
        <v>2450</v>
      </c>
      <c r="J54" s="2"/>
      <c r="K54" s="334">
        <v>13</v>
      </c>
      <c r="L54" s="335" t="s">
        <v>28</v>
      </c>
      <c r="M54" s="336" t="s">
        <v>118</v>
      </c>
      <c r="N54" s="337" t="s">
        <v>6</v>
      </c>
      <c r="O54" s="323" t="s">
        <v>186</v>
      </c>
      <c r="P54" s="337" t="s">
        <v>187</v>
      </c>
      <c r="Q54" s="2"/>
      <c r="R54" s="324">
        <f t="shared" si="17"/>
        <v>2450</v>
      </c>
      <c r="S54" s="325">
        <v>1</v>
      </c>
      <c r="T54" s="325">
        <f t="shared" si="1"/>
        <v>30</v>
      </c>
      <c r="V54" s="338">
        <v>3660</v>
      </c>
      <c r="W54" s="339">
        <f t="shared" si="2"/>
        <v>1</v>
      </c>
      <c r="X54" s="339">
        <f t="shared" si="3"/>
        <v>2550</v>
      </c>
      <c r="Y54" s="327">
        <v>3660</v>
      </c>
      <c r="Z54" s="340">
        <f>($R54*$T54)/$V54</f>
        <v>20.081967213114755</v>
      </c>
      <c r="AA54" s="392"/>
      <c r="AB54" s="332">
        <v>1.641</v>
      </c>
      <c r="AC54" s="332">
        <v>0.20319999999999999</v>
      </c>
      <c r="AE54" s="332">
        <f t="shared" si="5"/>
        <v>120.6135</v>
      </c>
      <c r="AF54" s="332">
        <f t="shared" si="6"/>
        <v>120.6135</v>
      </c>
      <c r="AG54" s="332">
        <f t="shared" si="7"/>
        <v>0</v>
      </c>
      <c r="AH54" s="333">
        <f t="shared" si="8"/>
        <v>1</v>
      </c>
      <c r="AI54" s="332">
        <f t="shared" si="9"/>
        <v>73.5</v>
      </c>
      <c r="AJ54" s="332">
        <f t="shared" si="10"/>
        <v>73.5</v>
      </c>
      <c r="AK54" s="332">
        <f t="shared" si="11"/>
        <v>0</v>
      </c>
      <c r="AL54" s="333">
        <f t="shared" si="12"/>
        <v>1</v>
      </c>
    </row>
    <row r="55" spans="2:39" s="303" customFormat="1" ht="28.5" x14ac:dyDescent="0.2">
      <c r="B55" s="319">
        <f t="shared" si="13"/>
        <v>45</v>
      </c>
      <c r="C55" s="320" t="s">
        <v>183</v>
      </c>
      <c r="D55" s="321" t="s">
        <v>184</v>
      </c>
      <c r="E55" s="319" t="s">
        <v>192</v>
      </c>
      <c r="F55" s="319">
        <v>30</v>
      </c>
      <c r="G55" s="319">
        <v>1870</v>
      </c>
      <c r="H55" s="319" t="s">
        <v>173</v>
      </c>
      <c r="I55" s="319">
        <v>2450</v>
      </c>
      <c r="J55" s="2"/>
      <c r="K55" s="319">
        <v>10</v>
      </c>
      <c r="L55" s="321" t="s">
        <v>42</v>
      </c>
      <c r="M55" s="322" t="s">
        <v>43</v>
      </c>
      <c r="N55" s="321" t="s">
        <v>39</v>
      </c>
      <c r="O55" s="323" t="s">
        <v>188</v>
      </c>
      <c r="P55" s="321" t="s">
        <v>3</v>
      </c>
      <c r="Q55" s="2"/>
      <c r="R55" s="324">
        <f>ROUNDUP(G55/2,0)</f>
        <v>935</v>
      </c>
      <c r="S55" s="325">
        <v>2</v>
      </c>
      <c r="T55" s="325">
        <f t="shared" si="1"/>
        <v>60</v>
      </c>
      <c r="V55" s="324">
        <v>5000</v>
      </c>
      <c r="W55" s="326">
        <f t="shared" si="2"/>
        <v>5</v>
      </c>
      <c r="X55" s="326">
        <f t="shared" si="3"/>
        <v>4795</v>
      </c>
      <c r="Y55" s="327">
        <v>4900</v>
      </c>
      <c r="Z55" s="328">
        <f t="shared" si="4"/>
        <v>12</v>
      </c>
      <c r="AA55" s="392"/>
      <c r="AB55" s="329">
        <v>1.72</v>
      </c>
      <c r="AC55" s="329">
        <v>0.32400000000000001</v>
      </c>
      <c r="AE55" s="332">
        <f t="shared" si="5"/>
        <v>96.492000000000004</v>
      </c>
      <c r="AF55" s="332">
        <f t="shared" si="6"/>
        <v>101.136</v>
      </c>
      <c r="AG55" s="332">
        <f t="shared" si="7"/>
        <v>-4.6439999999999912</v>
      </c>
      <c r="AH55" s="333">
        <f t="shared" si="8"/>
        <v>1.0481283422459893</v>
      </c>
      <c r="AI55" s="332">
        <f t="shared" si="9"/>
        <v>56.1</v>
      </c>
      <c r="AJ55" s="332">
        <f t="shared" si="10"/>
        <v>58.800000000000004</v>
      </c>
      <c r="AK55" s="332">
        <f t="shared" si="11"/>
        <v>-2.7000000000000028</v>
      </c>
      <c r="AL55" s="333">
        <f t="shared" si="12"/>
        <v>1.0481283422459893</v>
      </c>
    </row>
    <row r="56" spans="2:39" s="303" customFormat="1" ht="28.5" x14ac:dyDescent="0.2">
      <c r="B56" s="319">
        <f t="shared" si="13"/>
        <v>46</v>
      </c>
      <c r="C56" s="320" t="s">
        <v>183</v>
      </c>
      <c r="D56" s="321" t="s">
        <v>184</v>
      </c>
      <c r="E56" s="319" t="s">
        <v>192</v>
      </c>
      <c r="F56" s="319">
        <v>30</v>
      </c>
      <c r="G56" s="319">
        <v>1870</v>
      </c>
      <c r="H56" s="319" t="s">
        <v>173</v>
      </c>
      <c r="I56" s="319">
        <v>2450</v>
      </c>
      <c r="J56" s="2"/>
      <c r="K56" s="319">
        <v>10</v>
      </c>
      <c r="L56" s="321" t="s">
        <v>40</v>
      </c>
      <c r="M56" s="322" t="s">
        <v>41</v>
      </c>
      <c r="N56" s="321" t="s">
        <v>39</v>
      </c>
      <c r="O56" s="323" t="s">
        <v>188</v>
      </c>
      <c r="P56" s="321" t="s">
        <v>3</v>
      </c>
      <c r="Q56" s="2"/>
      <c r="R56" s="324">
        <f t="shared" ref="R56:R62" si="18">ROUNDUP(G56/2,0)</f>
        <v>935</v>
      </c>
      <c r="S56" s="325">
        <v>2</v>
      </c>
      <c r="T56" s="325">
        <f t="shared" si="1"/>
        <v>60</v>
      </c>
      <c r="V56" s="324">
        <v>5000</v>
      </c>
      <c r="W56" s="326">
        <f t="shared" si="2"/>
        <v>5</v>
      </c>
      <c r="X56" s="326">
        <f t="shared" si="3"/>
        <v>4795</v>
      </c>
      <c r="Y56" s="327">
        <v>4900</v>
      </c>
      <c r="Z56" s="328">
        <f t="shared" si="4"/>
        <v>12</v>
      </c>
      <c r="AA56" s="304"/>
      <c r="AB56" s="329">
        <v>0.27700000000000002</v>
      </c>
      <c r="AC56" s="329">
        <v>0.114</v>
      </c>
      <c r="AE56" s="332">
        <f t="shared" si="5"/>
        <v>15.539700000000002</v>
      </c>
      <c r="AF56" s="332">
        <f t="shared" si="6"/>
        <v>16.287600000000001</v>
      </c>
      <c r="AG56" s="332">
        <f t="shared" si="7"/>
        <v>-0.74789999999999957</v>
      </c>
      <c r="AH56" s="333">
        <f t="shared" si="8"/>
        <v>1.0481283422459893</v>
      </c>
      <c r="AI56" s="332">
        <f t="shared" si="9"/>
        <v>56.1</v>
      </c>
      <c r="AJ56" s="332">
        <f t="shared" si="10"/>
        <v>58.800000000000004</v>
      </c>
      <c r="AK56" s="332">
        <f t="shared" si="11"/>
        <v>-2.7000000000000028</v>
      </c>
      <c r="AL56" s="333">
        <f t="shared" si="12"/>
        <v>1.0481283422459893</v>
      </c>
    </row>
    <row r="57" spans="2:39" s="303" customFormat="1" ht="28.5" x14ac:dyDescent="0.2">
      <c r="B57" s="319">
        <f t="shared" si="13"/>
        <v>47</v>
      </c>
      <c r="C57" s="320" t="s">
        <v>183</v>
      </c>
      <c r="D57" s="321" t="s">
        <v>184</v>
      </c>
      <c r="E57" s="319" t="s">
        <v>192</v>
      </c>
      <c r="F57" s="319">
        <v>30</v>
      </c>
      <c r="G57" s="319">
        <v>1870</v>
      </c>
      <c r="H57" s="319" t="s">
        <v>173</v>
      </c>
      <c r="I57" s="319">
        <v>2450</v>
      </c>
      <c r="J57" s="2"/>
      <c r="K57" s="319">
        <v>10</v>
      </c>
      <c r="L57" s="321" t="s">
        <v>37</v>
      </c>
      <c r="M57" s="322" t="s">
        <v>38</v>
      </c>
      <c r="N57" s="321" t="s">
        <v>39</v>
      </c>
      <c r="O57" s="323" t="s">
        <v>188</v>
      </c>
      <c r="P57" s="321" t="s">
        <v>3</v>
      </c>
      <c r="Q57" s="2"/>
      <c r="R57" s="324">
        <f t="shared" si="18"/>
        <v>935</v>
      </c>
      <c r="S57" s="325">
        <v>2</v>
      </c>
      <c r="T57" s="325">
        <f t="shared" si="1"/>
        <v>60</v>
      </c>
      <c r="V57" s="324">
        <v>5000</v>
      </c>
      <c r="W57" s="326">
        <f t="shared" si="2"/>
        <v>5</v>
      </c>
      <c r="X57" s="326">
        <f t="shared" si="3"/>
        <v>4795</v>
      </c>
      <c r="Y57" s="327">
        <v>4900</v>
      </c>
      <c r="Z57" s="328">
        <f t="shared" si="4"/>
        <v>12</v>
      </c>
      <c r="AA57" s="392"/>
      <c r="AB57" s="329">
        <v>0.29899999999999999</v>
      </c>
      <c r="AC57" s="329">
        <v>0.13900000000000001</v>
      </c>
      <c r="AE57" s="332">
        <f t="shared" si="5"/>
        <v>16.773900000000001</v>
      </c>
      <c r="AF57" s="332">
        <f t="shared" si="6"/>
        <v>17.581199999999999</v>
      </c>
      <c r="AG57" s="332">
        <f t="shared" si="7"/>
        <v>-0.80729999999999791</v>
      </c>
      <c r="AH57" s="333">
        <f t="shared" si="8"/>
        <v>1.0481283422459893</v>
      </c>
      <c r="AI57" s="332">
        <f t="shared" si="9"/>
        <v>56.1</v>
      </c>
      <c r="AJ57" s="332">
        <f t="shared" si="10"/>
        <v>58.800000000000004</v>
      </c>
      <c r="AK57" s="332">
        <f t="shared" si="11"/>
        <v>-2.7000000000000028</v>
      </c>
      <c r="AL57" s="333">
        <f t="shared" si="12"/>
        <v>1.0481283422459893</v>
      </c>
    </row>
    <row r="58" spans="2:39" s="303" customFormat="1" ht="28.5" x14ac:dyDescent="0.2">
      <c r="B58" s="319">
        <f t="shared" si="13"/>
        <v>48</v>
      </c>
      <c r="C58" s="320" t="s">
        <v>183</v>
      </c>
      <c r="D58" s="321" t="s">
        <v>184</v>
      </c>
      <c r="E58" s="319" t="s">
        <v>192</v>
      </c>
      <c r="F58" s="319">
        <v>30</v>
      </c>
      <c r="G58" s="319">
        <v>1870</v>
      </c>
      <c r="H58" s="319" t="s">
        <v>173</v>
      </c>
      <c r="I58" s="319">
        <v>2450</v>
      </c>
      <c r="J58" s="2"/>
      <c r="K58" s="334">
        <v>10</v>
      </c>
      <c r="L58" s="335" t="s">
        <v>28</v>
      </c>
      <c r="M58" s="336" t="s">
        <v>118</v>
      </c>
      <c r="N58" s="337" t="s">
        <v>6</v>
      </c>
      <c r="O58" s="323" t="s">
        <v>188</v>
      </c>
      <c r="P58" s="337" t="s">
        <v>187</v>
      </c>
      <c r="Q58" s="2"/>
      <c r="R58" s="324">
        <f t="shared" si="18"/>
        <v>935</v>
      </c>
      <c r="S58" s="325">
        <v>2</v>
      </c>
      <c r="T58" s="325">
        <f t="shared" si="1"/>
        <v>60</v>
      </c>
      <c r="V58" s="338">
        <v>3660</v>
      </c>
      <c r="W58" s="339">
        <f t="shared" si="2"/>
        <v>3</v>
      </c>
      <c r="X58" s="339">
        <f t="shared" si="3"/>
        <v>2915</v>
      </c>
      <c r="Y58" s="327">
        <v>3660</v>
      </c>
      <c r="Z58" s="340">
        <f>($R58*$T58)/$V58</f>
        <v>15.327868852459016</v>
      </c>
      <c r="AA58" s="392"/>
      <c r="AB58" s="332">
        <v>1.641</v>
      </c>
      <c r="AC58" s="332">
        <v>0.20319999999999999</v>
      </c>
      <c r="AE58" s="332">
        <f t="shared" si="5"/>
        <v>92.060100000000006</v>
      </c>
      <c r="AF58" s="332">
        <f t="shared" si="6"/>
        <v>92.060100000000006</v>
      </c>
      <c r="AG58" s="332">
        <f t="shared" si="7"/>
        <v>0</v>
      </c>
      <c r="AH58" s="333">
        <f t="shared" si="8"/>
        <v>1</v>
      </c>
      <c r="AI58" s="332">
        <f t="shared" si="9"/>
        <v>56.1</v>
      </c>
      <c r="AJ58" s="332">
        <f t="shared" si="10"/>
        <v>56.1</v>
      </c>
      <c r="AK58" s="332">
        <f t="shared" si="11"/>
        <v>0</v>
      </c>
      <c r="AL58" s="333">
        <f t="shared" si="12"/>
        <v>1</v>
      </c>
    </row>
    <row r="59" spans="2:39" s="303" customFormat="1" ht="28.5" x14ac:dyDescent="0.2">
      <c r="B59" s="319">
        <f t="shared" si="13"/>
        <v>49</v>
      </c>
      <c r="C59" s="320" t="s">
        <v>183</v>
      </c>
      <c r="D59" s="321" t="s">
        <v>184</v>
      </c>
      <c r="E59" s="319" t="s">
        <v>192</v>
      </c>
      <c r="F59" s="319">
        <v>30</v>
      </c>
      <c r="G59" s="319">
        <v>1870</v>
      </c>
      <c r="H59" s="319" t="s">
        <v>173</v>
      </c>
      <c r="I59" s="319">
        <v>2450</v>
      </c>
      <c r="J59" s="2"/>
      <c r="K59" s="319">
        <v>11</v>
      </c>
      <c r="L59" s="321" t="s">
        <v>42</v>
      </c>
      <c r="M59" s="322" t="s">
        <v>43</v>
      </c>
      <c r="N59" s="321" t="s">
        <v>39</v>
      </c>
      <c r="O59" s="323" t="s">
        <v>188</v>
      </c>
      <c r="P59" s="321" t="s">
        <v>3</v>
      </c>
      <c r="Q59" s="2"/>
      <c r="R59" s="324">
        <f t="shared" si="18"/>
        <v>935</v>
      </c>
      <c r="S59" s="325">
        <v>2</v>
      </c>
      <c r="T59" s="325">
        <f t="shared" si="1"/>
        <v>60</v>
      </c>
      <c r="V59" s="324">
        <v>5000</v>
      </c>
      <c r="W59" s="326">
        <f t="shared" si="2"/>
        <v>5</v>
      </c>
      <c r="X59" s="326">
        <f t="shared" si="3"/>
        <v>4795</v>
      </c>
      <c r="Y59" s="327">
        <v>4900</v>
      </c>
      <c r="Z59" s="328">
        <f t="shared" si="4"/>
        <v>12</v>
      </c>
      <c r="AA59" s="392"/>
      <c r="AB59" s="329">
        <v>1.72</v>
      </c>
      <c r="AC59" s="329">
        <v>0.32400000000000001</v>
      </c>
      <c r="AE59" s="332">
        <f t="shared" si="5"/>
        <v>96.492000000000004</v>
      </c>
      <c r="AF59" s="332">
        <f t="shared" si="6"/>
        <v>101.136</v>
      </c>
      <c r="AG59" s="332">
        <f t="shared" si="7"/>
        <v>-4.6439999999999912</v>
      </c>
      <c r="AH59" s="333">
        <f t="shared" si="8"/>
        <v>1.0481283422459893</v>
      </c>
      <c r="AI59" s="332">
        <f t="shared" si="9"/>
        <v>56.1</v>
      </c>
      <c r="AJ59" s="332">
        <f t="shared" si="10"/>
        <v>58.800000000000004</v>
      </c>
      <c r="AK59" s="332">
        <f t="shared" si="11"/>
        <v>-2.7000000000000028</v>
      </c>
      <c r="AL59" s="333">
        <f t="shared" si="12"/>
        <v>1.0481283422459893</v>
      </c>
    </row>
    <row r="60" spans="2:39" s="303" customFormat="1" ht="28.5" x14ac:dyDescent="0.2">
      <c r="B60" s="319">
        <f t="shared" si="13"/>
        <v>50</v>
      </c>
      <c r="C60" s="320" t="s">
        <v>183</v>
      </c>
      <c r="D60" s="321" t="s">
        <v>184</v>
      </c>
      <c r="E60" s="319" t="s">
        <v>192</v>
      </c>
      <c r="F60" s="319">
        <v>30</v>
      </c>
      <c r="G60" s="319">
        <v>1870</v>
      </c>
      <c r="H60" s="319" t="s">
        <v>173</v>
      </c>
      <c r="I60" s="319">
        <v>2450</v>
      </c>
      <c r="J60" s="2"/>
      <c r="K60" s="319">
        <v>11</v>
      </c>
      <c r="L60" s="321" t="s">
        <v>40</v>
      </c>
      <c r="M60" s="322" t="s">
        <v>41</v>
      </c>
      <c r="N60" s="321" t="s">
        <v>39</v>
      </c>
      <c r="O60" s="323" t="s">
        <v>188</v>
      </c>
      <c r="P60" s="321" t="s">
        <v>3</v>
      </c>
      <c r="Q60" s="2"/>
      <c r="R60" s="324">
        <f t="shared" si="18"/>
        <v>935</v>
      </c>
      <c r="S60" s="325">
        <v>2</v>
      </c>
      <c r="T60" s="325">
        <f t="shared" si="1"/>
        <v>60</v>
      </c>
      <c r="V60" s="324">
        <v>5000</v>
      </c>
      <c r="W60" s="326">
        <f t="shared" si="2"/>
        <v>5</v>
      </c>
      <c r="X60" s="326">
        <f t="shared" si="3"/>
        <v>4795</v>
      </c>
      <c r="Y60" s="327">
        <v>4900</v>
      </c>
      <c r="Z60" s="328">
        <f t="shared" si="4"/>
        <v>12</v>
      </c>
      <c r="AA60" s="392"/>
      <c r="AB60" s="329">
        <v>0.27700000000000002</v>
      </c>
      <c r="AC60" s="329">
        <v>0.114</v>
      </c>
      <c r="AE60" s="332">
        <f t="shared" si="5"/>
        <v>15.539700000000002</v>
      </c>
      <c r="AF60" s="332">
        <f t="shared" si="6"/>
        <v>16.287600000000001</v>
      </c>
      <c r="AG60" s="332">
        <f t="shared" si="7"/>
        <v>-0.74789999999999957</v>
      </c>
      <c r="AH60" s="333">
        <f t="shared" si="8"/>
        <v>1.0481283422459893</v>
      </c>
      <c r="AI60" s="332">
        <f t="shared" si="9"/>
        <v>56.1</v>
      </c>
      <c r="AJ60" s="332">
        <f t="shared" si="10"/>
        <v>58.800000000000004</v>
      </c>
      <c r="AK60" s="332">
        <f t="shared" si="11"/>
        <v>-2.7000000000000028</v>
      </c>
      <c r="AL60" s="333">
        <f t="shared" si="12"/>
        <v>1.0481283422459893</v>
      </c>
    </row>
    <row r="61" spans="2:39" s="303" customFormat="1" ht="28.5" x14ac:dyDescent="0.2">
      <c r="B61" s="319">
        <f t="shared" si="13"/>
        <v>51</v>
      </c>
      <c r="C61" s="320" t="s">
        <v>183</v>
      </c>
      <c r="D61" s="321" t="s">
        <v>184</v>
      </c>
      <c r="E61" s="319" t="s">
        <v>192</v>
      </c>
      <c r="F61" s="319">
        <v>30</v>
      </c>
      <c r="G61" s="319">
        <v>1870</v>
      </c>
      <c r="H61" s="319" t="s">
        <v>173</v>
      </c>
      <c r="I61" s="319">
        <v>2450</v>
      </c>
      <c r="J61" s="2"/>
      <c r="K61" s="341">
        <v>11</v>
      </c>
      <c r="L61" s="342" t="s">
        <v>37</v>
      </c>
      <c r="M61" s="343" t="s">
        <v>38</v>
      </c>
      <c r="N61" s="342" t="s">
        <v>39</v>
      </c>
      <c r="O61" s="323" t="s">
        <v>188</v>
      </c>
      <c r="P61" s="342" t="s">
        <v>3</v>
      </c>
      <c r="Q61" s="2"/>
      <c r="R61" s="324">
        <f t="shared" si="18"/>
        <v>935</v>
      </c>
      <c r="S61" s="325">
        <v>2</v>
      </c>
      <c r="T61" s="325">
        <f t="shared" si="1"/>
        <v>60</v>
      </c>
      <c r="V61" s="324">
        <v>5000</v>
      </c>
      <c r="W61" s="326">
        <f t="shared" si="2"/>
        <v>5</v>
      </c>
      <c r="X61" s="326">
        <f t="shared" si="3"/>
        <v>4795</v>
      </c>
      <c r="Y61" s="327">
        <v>4900</v>
      </c>
      <c r="Z61" s="328">
        <f t="shared" si="4"/>
        <v>12</v>
      </c>
      <c r="AA61" s="387">
        <v>54</v>
      </c>
      <c r="AB61" s="332">
        <v>0.29899999999999999</v>
      </c>
      <c r="AC61" s="332">
        <v>0.13900000000000001</v>
      </c>
      <c r="AE61" s="332">
        <f t="shared" si="5"/>
        <v>16.773900000000001</v>
      </c>
      <c r="AF61" s="332">
        <f t="shared" si="6"/>
        <v>17.581199999999999</v>
      </c>
      <c r="AG61" s="332">
        <f t="shared" si="7"/>
        <v>-0.80729999999999791</v>
      </c>
      <c r="AH61" s="333">
        <f t="shared" si="8"/>
        <v>1.0481283422459893</v>
      </c>
      <c r="AI61" s="332">
        <f t="shared" si="9"/>
        <v>56.1</v>
      </c>
      <c r="AJ61" s="332">
        <f t="shared" si="10"/>
        <v>58.800000000000004</v>
      </c>
      <c r="AK61" s="332">
        <f t="shared" si="11"/>
        <v>-2.7000000000000028</v>
      </c>
      <c r="AL61" s="333">
        <f t="shared" si="12"/>
        <v>1.0481283422459893</v>
      </c>
    </row>
    <row r="62" spans="2:39" s="303" customFormat="1" ht="28.5" x14ac:dyDescent="0.2">
      <c r="B62" s="341">
        <f t="shared" si="13"/>
        <v>52</v>
      </c>
      <c r="C62" s="344" t="s">
        <v>183</v>
      </c>
      <c r="D62" s="342" t="s">
        <v>184</v>
      </c>
      <c r="E62" s="341" t="s">
        <v>192</v>
      </c>
      <c r="F62" s="341">
        <v>30</v>
      </c>
      <c r="G62" s="341">
        <v>1870</v>
      </c>
      <c r="H62" s="341" t="s">
        <v>173</v>
      </c>
      <c r="I62" s="341">
        <v>2450</v>
      </c>
      <c r="J62" s="2"/>
      <c r="K62" s="345">
        <v>11</v>
      </c>
      <c r="L62" s="335" t="s">
        <v>28</v>
      </c>
      <c r="M62" s="346" t="s">
        <v>118</v>
      </c>
      <c r="N62" s="347" t="s">
        <v>6</v>
      </c>
      <c r="O62" s="323" t="s">
        <v>188</v>
      </c>
      <c r="P62" s="347" t="s">
        <v>187</v>
      </c>
      <c r="Q62" s="2"/>
      <c r="R62" s="324">
        <f t="shared" si="18"/>
        <v>935</v>
      </c>
      <c r="S62" s="349">
        <v>2</v>
      </c>
      <c r="T62" s="349">
        <f t="shared" si="1"/>
        <v>60</v>
      </c>
      <c r="V62" s="338">
        <v>3660</v>
      </c>
      <c r="W62" s="350">
        <f t="shared" si="2"/>
        <v>3</v>
      </c>
      <c r="X62" s="350">
        <f t="shared" si="3"/>
        <v>2915</v>
      </c>
      <c r="Y62" s="327">
        <v>3660</v>
      </c>
      <c r="Z62" s="340">
        <f>($R62*$T62)/$V62</f>
        <v>15.327868852459016</v>
      </c>
      <c r="AA62" s="392"/>
      <c r="AB62" s="332">
        <v>1.641</v>
      </c>
      <c r="AC62" s="332">
        <v>0.20319999999999999</v>
      </c>
      <c r="AE62" s="332">
        <f t="shared" si="5"/>
        <v>92.060100000000006</v>
      </c>
      <c r="AF62" s="332">
        <f t="shared" si="6"/>
        <v>92.060100000000006</v>
      </c>
      <c r="AG62" s="332">
        <f t="shared" si="7"/>
        <v>0</v>
      </c>
      <c r="AH62" s="333">
        <f t="shared" si="8"/>
        <v>1</v>
      </c>
      <c r="AI62" s="332">
        <f t="shared" si="9"/>
        <v>56.1</v>
      </c>
      <c r="AJ62" s="332">
        <f t="shared" si="10"/>
        <v>56.1</v>
      </c>
      <c r="AK62" s="332">
        <f t="shared" si="11"/>
        <v>0</v>
      </c>
      <c r="AL62" s="333">
        <f t="shared" si="12"/>
        <v>1</v>
      </c>
    </row>
    <row r="63" spans="2:39" s="353" customFormat="1" ht="30" customHeight="1" x14ac:dyDescent="0.25">
      <c r="B63" s="341">
        <f t="shared" si="13"/>
        <v>53</v>
      </c>
      <c r="C63" s="344" t="s">
        <v>183</v>
      </c>
      <c r="D63" s="342" t="s">
        <v>184</v>
      </c>
      <c r="E63" s="341" t="s">
        <v>192</v>
      </c>
      <c r="F63" s="341">
        <v>30</v>
      </c>
      <c r="G63" s="341">
        <v>1870</v>
      </c>
      <c r="H63" s="341" t="s">
        <v>173</v>
      </c>
      <c r="I63" s="341">
        <v>2450</v>
      </c>
      <c r="J63" s="2"/>
      <c r="K63" s="354"/>
      <c r="L63" s="355" t="s">
        <v>28</v>
      </c>
      <c r="M63" s="356" t="s">
        <v>29</v>
      </c>
      <c r="N63" s="469" t="s">
        <v>6</v>
      </c>
      <c r="O63" s="323" t="s">
        <v>189</v>
      </c>
      <c r="P63" s="347" t="s">
        <v>187</v>
      </c>
      <c r="Q63" s="2"/>
      <c r="R63" s="338">
        <v>51</v>
      </c>
      <c r="S63" s="357">
        <f>4*2</f>
        <v>8</v>
      </c>
      <c r="T63" s="357">
        <f t="shared" si="1"/>
        <v>240</v>
      </c>
      <c r="U63" s="303"/>
      <c r="V63" s="338">
        <v>3250</v>
      </c>
      <c r="W63" s="358">
        <f t="shared" si="2"/>
        <v>63</v>
      </c>
      <c r="X63" s="358">
        <f t="shared" si="3"/>
        <v>3623</v>
      </c>
      <c r="Y63" s="351">
        <v>3660</v>
      </c>
      <c r="Z63" s="359">
        <f t="shared" si="4"/>
        <v>3.8095238095238093</v>
      </c>
      <c r="AA63" s="392"/>
      <c r="AB63" s="332">
        <v>1.641</v>
      </c>
      <c r="AC63" s="332">
        <v>0.20319999999999999</v>
      </c>
      <c r="AD63" s="303"/>
      <c r="AE63" s="332">
        <f t="shared" si="5"/>
        <v>20.085839999999997</v>
      </c>
      <c r="AF63" s="332">
        <f t="shared" si="6"/>
        <v>22.880228571428567</v>
      </c>
      <c r="AG63" s="332">
        <f t="shared" si="7"/>
        <v>-2.7943885714285699</v>
      </c>
      <c r="AH63" s="333">
        <f t="shared" si="8"/>
        <v>1.1391223155929038</v>
      </c>
      <c r="AI63" s="332">
        <f t="shared" si="9"/>
        <v>12.239999999999998</v>
      </c>
      <c r="AJ63" s="332">
        <f t="shared" si="10"/>
        <v>13.942857142857143</v>
      </c>
      <c r="AK63" s="332">
        <f t="shared" si="11"/>
        <v>-1.7028571428571446</v>
      </c>
      <c r="AL63" s="333">
        <f t="shared" si="12"/>
        <v>1.139122315592904</v>
      </c>
      <c r="AM63" s="303"/>
    </row>
    <row r="64" spans="2:39" s="353" customFormat="1" ht="30" customHeight="1" thickBot="1" x14ac:dyDescent="0.3">
      <c r="B64" s="360">
        <f t="shared" si="13"/>
        <v>54</v>
      </c>
      <c r="C64" s="361" t="s">
        <v>183</v>
      </c>
      <c r="D64" s="362" t="s">
        <v>184</v>
      </c>
      <c r="E64" s="360" t="s">
        <v>192</v>
      </c>
      <c r="F64" s="360">
        <v>30</v>
      </c>
      <c r="G64" s="360">
        <v>1870</v>
      </c>
      <c r="H64" s="360" t="s">
        <v>173</v>
      </c>
      <c r="I64" s="360">
        <v>2450</v>
      </c>
      <c r="J64" s="2"/>
      <c r="K64" s="363"/>
      <c r="L64" s="364" t="s">
        <v>28</v>
      </c>
      <c r="M64" s="365" t="s">
        <v>29</v>
      </c>
      <c r="N64" s="470" t="s">
        <v>6</v>
      </c>
      <c r="O64" s="366" t="s">
        <v>190</v>
      </c>
      <c r="P64" s="367" t="s">
        <v>187</v>
      </c>
      <c r="Q64" s="2"/>
      <c r="R64" s="368">
        <v>51</v>
      </c>
      <c r="S64" s="369">
        <f>3*2</f>
        <v>6</v>
      </c>
      <c r="T64" s="369">
        <f t="shared" si="1"/>
        <v>180</v>
      </c>
      <c r="U64" s="303"/>
      <c r="V64" s="368">
        <v>3250</v>
      </c>
      <c r="W64" s="370">
        <f t="shared" si="2"/>
        <v>63</v>
      </c>
      <c r="X64" s="370">
        <f t="shared" si="3"/>
        <v>3623</v>
      </c>
      <c r="Y64" s="371">
        <v>3660</v>
      </c>
      <c r="Z64" s="372">
        <f t="shared" si="4"/>
        <v>2.8571428571428572</v>
      </c>
      <c r="AA64" s="392"/>
      <c r="AB64" s="373">
        <v>1.641</v>
      </c>
      <c r="AC64" s="373">
        <v>0.20319999999999999</v>
      </c>
      <c r="AD64" s="303"/>
      <c r="AE64" s="373">
        <f t="shared" si="5"/>
        <v>15.06438</v>
      </c>
      <c r="AF64" s="373">
        <f t="shared" si="6"/>
        <v>17.160171428571427</v>
      </c>
      <c r="AG64" s="373">
        <f t="shared" si="7"/>
        <v>-2.0957914285714274</v>
      </c>
      <c r="AH64" s="374">
        <f t="shared" si="8"/>
        <v>1.1391223155929038</v>
      </c>
      <c r="AI64" s="373">
        <f t="shared" si="9"/>
        <v>9.18</v>
      </c>
      <c r="AJ64" s="373">
        <f t="shared" si="10"/>
        <v>10.457142857142857</v>
      </c>
      <c r="AK64" s="373">
        <f t="shared" si="11"/>
        <v>-1.2771428571428576</v>
      </c>
      <c r="AL64" s="374">
        <f t="shared" si="12"/>
        <v>1.1391223155929038</v>
      </c>
      <c r="AM64" s="303"/>
    </row>
    <row r="65" spans="2:38" s="303" customFormat="1" ht="28.5" x14ac:dyDescent="0.2">
      <c r="B65" s="375">
        <f t="shared" si="13"/>
        <v>55</v>
      </c>
      <c r="C65" s="376" t="s">
        <v>183</v>
      </c>
      <c r="D65" s="321" t="s">
        <v>193</v>
      </c>
      <c r="E65" s="319" t="s">
        <v>194</v>
      </c>
      <c r="F65" s="319">
        <v>1</v>
      </c>
      <c r="G65" s="319">
        <v>1750</v>
      </c>
      <c r="H65" s="319" t="s">
        <v>173</v>
      </c>
      <c r="I65" s="319">
        <v>2400</v>
      </c>
      <c r="J65" s="2"/>
      <c r="K65" s="319">
        <v>12</v>
      </c>
      <c r="L65" s="321" t="s">
        <v>42</v>
      </c>
      <c r="M65" s="322" t="s">
        <v>43</v>
      </c>
      <c r="N65" s="321" t="s">
        <v>39</v>
      </c>
      <c r="O65" s="378" t="s">
        <v>186</v>
      </c>
      <c r="P65" s="321" t="s">
        <v>3</v>
      </c>
      <c r="Q65" s="2"/>
      <c r="R65" s="324">
        <f t="shared" ref="R65:R72" si="19">ROUNDUP(I65,0)</f>
        <v>2400</v>
      </c>
      <c r="S65" s="325">
        <v>1</v>
      </c>
      <c r="T65" s="325">
        <f t="shared" si="1"/>
        <v>1</v>
      </c>
      <c r="V65" s="324">
        <v>7000</v>
      </c>
      <c r="W65" s="326">
        <f t="shared" si="2"/>
        <v>2</v>
      </c>
      <c r="X65" s="326">
        <f t="shared" si="3"/>
        <v>4905</v>
      </c>
      <c r="Y65" s="327">
        <v>4900</v>
      </c>
      <c r="Z65" s="328">
        <f t="shared" si="4"/>
        <v>0.5</v>
      </c>
      <c r="AA65" s="392"/>
      <c r="AB65" s="329">
        <v>1.72</v>
      </c>
      <c r="AC65" s="329">
        <v>0.32400000000000001</v>
      </c>
      <c r="AE65" s="330">
        <f t="shared" si="5"/>
        <v>4.1280000000000001</v>
      </c>
      <c r="AF65" s="330">
        <f t="shared" si="6"/>
        <v>4.2140000000000004</v>
      </c>
      <c r="AG65" s="330">
        <f t="shared" si="7"/>
        <v>-8.6000000000000298E-2</v>
      </c>
      <c r="AH65" s="331">
        <f t="shared" si="8"/>
        <v>1.0208333333333335</v>
      </c>
      <c r="AI65" s="330">
        <f t="shared" si="9"/>
        <v>2.4</v>
      </c>
      <c r="AJ65" s="330">
        <f t="shared" si="10"/>
        <v>2.4500000000000002</v>
      </c>
      <c r="AK65" s="330">
        <f t="shared" si="11"/>
        <v>-5.0000000000000266E-2</v>
      </c>
      <c r="AL65" s="331">
        <f t="shared" si="12"/>
        <v>1.0208333333333335</v>
      </c>
    </row>
    <row r="66" spans="2:38" s="303" customFormat="1" ht="28.5" x14ac:dyDescent="0.2">
      <c r="B66" s="341">
        <f t="shared" si="13"/>
        <v>56</v>
      </c>
      <c r="C66" s="320" t="s">
        <v>183</v>
      </c>
      <c r="D66" s="321" t="s">
        <v>193</v>
      </c>
      <c r="E66" s="319" t="s">
        <v>194</v>
      </c>
      <c r="F66" s="319">
        <v>1</v>
      </c>
      <c r="G66" s="319">
        <v>1750</v>
      </c>
      <c r="H66" s="319" t="s">
        <v>173</v>
      </c>
      <c r="I66" s="319">
        <v>2400</v>
      </c>
      <c r="J66" s="2"/>
      <c r="K66" s="319">
        <v>12</v>
      </c>
      <c r="L66" s="321" t="s">
        <v>40</v>
      </c>
      <c r="M66" s="322" t="s">
        <v>41</v>
      </c>
      <c r="N66" s="321" t="s">
        <v>39</v>
      </c>
      <c r="O66" s="323" t="s">
        <v>186</v>
      </c>
      <c r="P66" s="321" t="s">
        <v>3</v>
      </c>
      <c r="Q66" s="2"/>
      <c r="R66" s="324">
        <f t="shared" si="19"/>
        <v>2400</v>
      </c>
      <c r="S66" s="325">
        <v>1</v>
      </c>
      <c r="T66" s="325">
        <f t="shared" si="1"/>
        <v>1</v>
      </c>
      <c r="V66" s="324">
        <v>7000</v>
      </c>
      <c r="W66" s="326">
        <f t="shared" si="2"/>
        <v>2</v>
      </c>
      <c r="X66" s="326">
        <f t="shared" si="3"/>
        <v>4905</v>
      </c>
      <c r="Y66" s="327">
        <v>4900</v>
      </c>
      <c r="Z66" s="328">
        <f t="shared" si="4"/>
        <v>0.5</v>
      </c>
      <c r="AA66" s="304"/>
      <c r="AB66" s="329">
        <v>0.27700000000000002</v>
      </c>
      <c r="AC66" s="329">
        <v>0.114</v>
      </c>
      <c r="AE66" s="332">
        <f t="shared" si="5"/>
        <v>0.66480000000000006</v>
      </c>
      <c r="AF66" s="332">
        <f t="shared" si="6"/>
        <v>0.67865000000000009</v>
      </c>
      <c r="AG66" s="332">
        <f t="shared" si="7"/>
        <v>-1.3850000000000029E-2</v>
      </c>
      <c r="AH66" s="333">
        <f t="shared" si="8"/>
        <v>1.0208333333333335</v>
      </c>
      <c r="AI66" s="332">
        <f t="shared" si="9"/>
        <v>2.4</v>
      </c>
      <c r="AJ66" s="332">
        <f t="shared" si="10"/>
        <v>2.4500000000000002</v>
      </c>
      <c r="AK66" s="332">
        <f t="shared" si="11"/>
        <v>-5.0000000000000266E-2</v>
      </c>
      <c r="AL66" s="333">
        <f t="shared" si="12"/>
        <v>1.0208333333333335</v>
      </c>
    </row>
    <row r="67" spans="2:38" s="303" customFormat="1" ht="28.5" x14ac:dyDescent="0.2">
      <c r="B67" s="319">
        <f t="shared" si="13"/>
        <v>57</v>
      </c>
      <c r="C67" s="320" t="s">
        <v>183</v>
      </c>
      <c r="D67" s="321" t="s">
        <v>193</v>
      </c>
      <c r="E67" s="319" t="s">
        <v>194</v>
      </c>
      <c r="F67" s="319">
        <v>1</v>
      </c>
      <c r="G67" s="319">
        <v>1750</v>
      </c>
      <c r="H67" s="319" t="s">
        <v>173</v>
      </c>
      <c r="I67" s="319">
        <v>2400</v>
      </c>
      <c r="J67" s="2"/>
      <c r="K67" s="319">
        <v>12</v>
      </c>
      <c r="L67" s="321" t="s">
        <v>37</v>
      </c>
      <c r="M67" s="322" t="s">
        <v>38</v>
      </c>
      <c r="N67" s="321" t="s">
        <v>39</v>
      </c>
      <c r="O67" s="323" t="s">
        <v>186</v>
      </c>
      <c r="P67" s="321" t="s">
        <v>3</v>
      </c>
      <c r="Q67" s="2"/>
      <c r="R67" s="324">
        <f t="shared" si="19"/>
        <v>2400</v>
      </c>
      <c r="S67" s="325">
        <v>1</v>
      </c>
      <c r="T67" s="325">
        <f t="shared" si="1"/>
        <v>1</v>
      </c>
      <c r="V67" s="324">
        <v>7000</v>
      </c>
      <c r="W67" s="326">
        <f t="shared" si="2"/>
        <v>2</v>
      </c>
      <c r="X67" s="326">
        <f t="shared" si="3"/>
        <v>4905</v>
      </c>
      <c r="Y67" s="327">
        <v>4900</v>
      </c>
      <c r="Z67" s="328">
        <f t="shared" si="4"/>
        <v>0.5</v>
      </c>
      <c r="AA67" s="392"/>
      <c r="AB67" s="329">
        <v>0.29899999999999999</v>
      </c>
      <c r="AC67" s="329">
        <v>0.13900000000000001</v>
      </c>
      <c r="AE67" s="332">
        <f t="shared" si="5"/>
        <v>0.7175999999999999</v>
      </c>
      <c r="AF67" s="332">
        <f t="shared" si="6"/>
        <v>0.73255000000000003</v>
      </c>
      <c r="AG67" s="332">
        <f t="shared" si="7"/>
        <v>-1.495000000000013E-2</v>
      </c>
      <c r="AH67" s="333">
        <f t="shared" si="8"/>
        <v>1.0208333333333335</v>
      </c>
      <c r="AI67" s="332">
        <f t="shared" si="9"/>
        <v>2.4</v>
      </c>
      <c r="AJ67" s="332">
        <f t="shared" si="10"/>
        <v>2.4500000000000002</v>
      </c>
      <c r="AK67" s="332">
        <f t="shared" si="11"/>
        <v>-5.0000000000000266E-2</v>
      </c>
      <c r="AL67" s="333">
        <f t="shared" si="12"/>
        <v>1.0208333333333335</v>
      </c>
    </row>
    <row r="68" spans="2:38" s="303" customFormat="1" ht="28.5" x14ac:dyDescent="0.2">
      <c r="B68" s="319">
        <f t="shared" si="13"/>
        <v>58</v>
      </c>
      <c r="C68" s="320" t="s">
        <v>183</v>
      </c>
      <c r="D68" s="321" t="s">
        <v>193</v>
      </c>
      <c r="E68" s="319" t="s">
        <v>194</v>
      </c>
      <c r="F68" s="319">
        <v>1</v>
      </c>
      <c r="G68" s="319">
        <v>1750</v>
      </c>
      <c r="H68" s="319" t="s">
        <v>173</v>
      </c>
      <c r="I68" s="319">
        <v>2400</v>
      </c>
      <c r="J68" s="2"/>
      <c r="K68" s="334">
        <v>12</v>
      </c>
      <c r="L68" s="335" t="s">
        <v>28</v>
      </c>
      <c r="M68" s="336" t="s">
        <v>118</v>
      </c>
      <c r="N68" s="337" t="s">
        <v>6</v>
      </c>
      <c r="O68" s="323" t="s">
        <v>186</v>
      </c>
      <c r="P68" s="337" t="s">
        <v>187</v>
      </c>
      <c r="Q68" s="2"/>
      <c r="R68" s="324">
        <f t="shared" si="19"/>
        <v>2400</v>
      </c>
      <c r="S68" s="325">
        <v>1</v>
      </c>
      <c r="T68" s="325">
        <f t="shared" si="1"/>
        <v>1</v>
      </c>
      <c r="V68" s="338">
        <v>3660</v>
      </c>
      <c r="W68" s="339">
        <f t="shared" si="2"/>
        <v>1</v>
      </c>
      <c r="X68" s="339">
        <f t="shared" si="3"/>
        <v>2500</v>
      </c>
      <c r="Y68" s="327">
        <v>3660</v>
      </c>
      <c r="Z68" s="340">
        <f>($R68*$T68)/$V68</f>
        <v>0.65573770491803274</v>
      </c>
      <c r="AA68" s="392"/>
      <c r="AB68" s="332">
        <v>1.641</v>
      </c>
      <c r="AC68" s="332">
        <v>0.20319999999999999</v>
      </c>
      <c r="AE68" s="332">
        <f t="shared" si="5"/>
        <v>3.9383999999999997</v>
      </c>
      <c r="AF68" s="332">
        <f t="shared" si="6"/>
        <v>3.9383999999999997</v>
      </c>
      <c r="AG68" s="332">
        <f t="shared" si="7"/>
        <v>0</v>
      </c>
      <c r="AH68" s="333">
        <f t="shared" si="8"/>
        <v>1</v>
      </c>
      <c r="AI68" s="332">
        <f t="shared" si="9"/>
        <v>2.4</v>
      </c>
      <c r="AJ68" s="332">
        <f t="shared" si="10"/>
        <v>2.4</v>
      </c>
      <c r="AK68" s="332">
        <f t="shared" si="11"/>
        <v>0</v>
      </c>
      <c r="AL68" s="333">
        <f t="shared" si="12"/>
        <v>1</v>
      </c>
    </row>
    <row r="69" spans="2:38" s="303" customFormat="1" ht="28.5" x14ac:dyDescent="0.2">
      <c r="B69" s="319">
        <f t="shared" si="13"/>
        <v>59</v>
      </c>
      <c r="C69" s="320" t="s">
        <v>183</v>
      </c>
      <c r="D69" s="321" t="s">
        <v>193</v>
      </c>
      <c r="E69" s="319" t="s">
        <v>194</v>
      </c>
      <c r="F69" s="319">
        <v>1</v>
      </c>
      <c r="G69" s="319">
        <v>1750</v>
      </c>
      <c r="H69" s="319" t="s">
        <v>173</v>
      </c>
      <c r="I69" s="319">
        <v>2400</v>
      </c>
      <c r="J69" s="2"/>
      <c r="K69" s="319">
        <v>13</v>
      </c>
      <c r="L69" s="321" t="s">
        <v>42</v>
      </c>
      <c r="M69" s="322" t="s">
        <v>43</v>
      </c>
      <c r="N69" s="321" t="s">
        <v>39</v>
      </c>
      <c r="O69" s="323" t="s">
        <v>186</v>
      </c>
      <c r="P69" s="321" t="s">
        <v>3</v>
      </c>
      <c r="Q69" s="2"/>
      <c r="R69" s="324">
        <f t="shared" si="19"/>
        <v>2400</v>
      </c>
      <c r="S69" s="325">
        <v>1</v>
      </c>
      <c r="T69" s="325">
        <f t="shared" si="1"/>
        <v>1</v>
      </c>
      <c r="V69" s="324">
        <v>7000</v>
      </c>
      <c r="W69" s="326">
        <f t="shared" si="2"/>
        <v>2</v>
      </c>
      <c r="X69" s="326">
        <f t="shared" si="3"/>
        <v>4905</v>
      </c>
      <c r="Y69" s="327">
        <v>4900</v>
      </c>
      <c r="Z69" s="328">
        <f t="shared" si="4"/>
        <v>0.5</v>
      </c>
      <c r="AA69" s="392"/>
      <c r="AB69" s="329">
        <v>1.72</v>
      </c>
      <c r="AC69" s="329">
        <v>0.32400000000000001</v>
      </c>
      <c r="AE69" s="332">
        <f t="shared" si="5"/>
        <v>4.1280000000000001</v>
      </c>
      <c r="AF69" s="332">
        <f t="shared" si="6"/>
        <v>4.2140000000000004</v>
      </c>
      <c r="AG69" s="332">
        <f t="shared" si="7"/>
        <v>-8.6000000000000298E-2</v>
      </c>
      <c r="AH69" s="333">
        <f t="shared" si="8"/>
        <v>1.0208333333333335</v>
      </c>
      <c r="AI69" s="332">
        <f t="shared" si="9"/>
        <v>2.4</v>
      </c>
      <c r="AJ69" s="332">
        <f t="shared" si="10"/>
        <v>2.4500000000000002</v>
      </c>
      <c r="AK69" s="332">
        <f t="shared" si="11"/>
        <v>-5.0000000000000266E-2</v>
      </c>
      <c r="AL69" s="333">
        <f t="shared" si="12"/>
        <v>1.0208333333333335</v>
      </c>
    </row>
    <row r="70" spans="2:38" s="303" customFormat="1" ht="28.5" x14ac:dyDescent="0.2">
      <c r="B70" s="319">
        <f t="shared" si="13"/>
        <v>60</v>
      </c>
      <c r="C70" s="320" t="s">
        <v>183</v>
      </c>
      <c r="D70" s="321" t="s">
        <v>193</v>
      </c>
      <c r="E70" s="319" t="s">
        <v>194</v>
      </c>
      <c r="F70" s="319">
        <v>1</v>
      </c>
      <c r="G70" s="319">
        <v>1750</v>
      </c>
      <c r="H70" s="319" t="s">
        <v>173</v>
      </c>
      <c r="I70" s="319">
        <v>2400</v>
      </c>
      <c r="J70" s="2"/>
      <c r="K70" s="319">
        <v>13</v>
      </c>
      <c r="L70" s="321" t="s">
        <v>40</v>
      </c>
      <c r="M70" s="322" t="s">
        <v>41</v>
      </c>
      <c r="N70" s="321" t="s">
        <v>39</v>
      </c>
      <c r="O70" s="323" t="s">
        <v>186</v>
      </c>
      <c r="P70" s="321" t="s">
        <v>3</v>
      </c>
      <c r="Q70" s="2"/>
      <c r="R70" s="324">
        <f t="shared" si="19"/>
        <v>2400</v>
      </c>
      <c r="S70" s="325">
        <v>1</v>
      </c>
      <c r="T70" s="325">
        <f t="shared" si="1"/>
        <v>1</v>
      </c>
      <c r="V70" s="324">
        <v>7000</v>
      </c>
      <c r="W70" s="326">
        <f t="shared" si="2"/>
        <v>2</v>
      </c>
      <c r="X70" s="326">
        <f t="shared" si="3"/>
        <v>4905</v>
      </c>
      <c r="Y70" s="327">
        <v>4900</v>
      </c>
      <c r="Z70" s="328">
        <f t="shared" si="4"/>
        <v>0.5</v>
      </c>
      <c r="AA70" s="304"/>
      <c r="AB70" s="329">
        <v>0.27700000000000002</v>
      </c>
      <c r="AC70" s="329">
        <v>0.114</v>
      </c>
      <c r="AE70" s="332">
        <f t="shared" si="5"/>
        <v>0.66480000000000006</v>
      </c>
      <c r="AF70" s="332">
        <f t="shared" si="6"/>
        <v>0.67865000000000009</v>
      </c>
      <c r="AG70" s="332">
        <f t="shared" si="7"/>
        <v>-1.3850000000000029E-2</v>
      </c>
      <c r="AH70" s="333">
        <f t="shared" si="8"/>
        <v>1.0208333333333335</v>
      </c>
      <c r="AI70" s="332">
        <f t="shared" si="9"/>
        <v>2.4</v>
      </c>
      <c r="AJ70" s="332">
        <f t="shared" si="10"/>
        <v>2.4500000000000002</v>
      </c>
      <c r="AK70" s="332">
        <f t="shared" si="11"/>
        <v>-5.0000000000000266E-2</v>
      </c>
      <c r="AL70" s="333">
        <f t="shared" si="12"/>
        <v>1.0208333333333335</v>
      </c>
    </row>
    <row r="71" spans="2:38" s="303" customFormat="1" ht="28.5" x14ac:dyDescent="0.2">
      <c r="B71" s="319">
        <f t="shared" si="13"/>
        <v>61</v>
      </c>
      <c r="C71" s="320" t="s">
        <v>183</v>
      </c>
      <c r="D71" s="321" t="s">
        <v>193</v>
      </c>
      <c r="E71" s="319" t="s">
        <v>194</v>
      </c>
      <c r="F71" s="319">
        <v>1</v>
      </c>
      <c r="G71" s="319">
        <v>1750</v>
      </c>
      <c r="H71" s="319" t="s">
        <v>173</v>
      </c>
      <c r="I71" s="319">
        <v>2400</v>
      </c>
      <c r="J71" s="2"/>
      <c r="K71" s="319">
        <v>13</v>
      </c>
      <c r="L71" s="321" t="s">
        <v>37</v>
      </c>
      <c r="M71" s="322" t="s">
        <v>38</v>
      </c>
      <c r="N71" s="321" t="s">
        <v>39</v>
      </c>
      <c r="O71" s="323" t="s">
        <v>186</v>
      </c>
      <c r="P71" s="321" t="s">
        <v>3</v>
      </c>
      <c r="Q71" s="2"/>
      <c r="R71" s="324">
        <f t="shared" si="19"/>
        <v>2400</v>
      </c>
      <c r="S71" s="325">
        <v>1</v>
      </c>
      <c r="T71" s="325">
        <f t="shared" si="1"/>
        <v>1</v>
      </c>
      <c r="V71" s="324">
        <v>7000</v>
      </c>
      <c r="W71" s="326">
        <f t="shared" si="2"/>
        <v>2</v>
      </c>
      <c r="X71" s="326">
        <f t="shared" si="3"/>
        <v>4905</v>
      </c>
      <c r="Y71" s="327">
        <v>4900</v>
      </c>
      <c r="Z71" s="328">
        <f t="shared" si="4"/>
        <v>0.5</v>
      </c>
      <c r="AA71" s="387">
        <v>1</v>
      </c>
      <c r="AB71" s="329">
        <v>0.29899999999999999</v>
      </c>
      <c r="AC71" s="329">
        <v>0.13900000000000001</v>
      </c>
      <c r="AE71" s="332">
        <f t="shared" si="5"/>
        <v>0.7175999999999999</v>
      </c>
      <c r="AF71" s="332">
        <f t="shared" si="6"/>
        <v>0.73255000000000003</v>
      </c>
      <c r="AG71" s="332">
        <f t="shared" si="7"/>
        <v>-1.495000000000013E-2</v>
      </c>
      <c r="AH71" s="333">
        <f t="shared" si="8"/>
        <v>1.0208333333333335</v>
      </c>
      <c r="AI71" s="332">
        <f t="shared" si="9"/>
        <v>2.4</v>
      </c>
      <c r="AJ71" s="332">
        <f t="shared" si="10"/>
        <v>2.4500000000000002</v>
      </c>
      <c r="AK71" s="332">
        <f t="shared" si="11"/>
        <v>-5.0000000000000266E-2</v>
      </c>
      <c r="AL71" s="333">
        <f t="shared" si="12"/>
        <v>1.0208333333333335</v>
      </c>
    </row>
    <row r="72" spans="2:38" s="303" customFormat="1" ht="28.5" x14ac:dyDescent="0.2">
      <c r="B72" s="319">
        <f t="shared" si="13"/>
        <v>62</v>
      </c>
      <c r="C72" s="320" t="s">
        <v>183</v>
      </c>
      <c r="D72" s="321" t="s">
        <v>193</v>
      </c>
      <c r="E72" s="319" t="s">
        <v>194</v>
      </c>
      <c r="F72" s="319">
        <v>1</v>
      </c>
      <c r="G72" s="319">
        <v>1750</v>
      </c>
      <c r="H72" s="319" t="s">
        <v>173</v>
      </c>
      <c r="I72" s="319">
        <v>2400</v>
      </c>
      <c r="J72" s="2"/>
      <c r="K72" s="334">
        <v>13</v>
      </c>
      <c r="L72" s="335" t="s">
        <v>28</v>
      </c>
      <c r="M72" s="336" t="s">
        <v>118</v>
      </c>
      <c r="N72" s="337" t="s">
        <v>6</v>
      </c>
      <c r="O72" s="323" t="s">
        <v>186</v>
      </c>
      <c r="P72" s="337" t="s">
        <v>187</v>
      </c>
      <c r="Q72" s="2"/>
      <c r="R72" s="324">
        <f t="shared" si="19"/>
        <v>2400</v>
      </c>
      <c r="S72" s="325">
        <v>1</v>
      </c>
      <c r="T72" s="325">
        <f t="shared" si="1"/>
        <v>1</v>
      </c>
      <c r="V72" s="338">
        <v>3660</v>
      </c>
      <c r="W72" s="339">
        <f t="shared" si="2"/>
        <v>1</v>
      </c>
      <c r="X72" s="339">
        <f t="shared" si="3"/>
        <v>2500</v>
      </c>
      <c r="Y72" s="327">
        <v>3660</v>
      </c>
      <c r="Z72" s="340">
        <f>($R72*$T72)/$V72</f>
        <v>0.65573770491803274</v>
      </c>
      <c r="AA72" s="392"/>
      <c r="AB72" s="332">
        <v>1.641</v>
      </c>
      <c r="AC72" s="332">
        <v>0.20319999999999999</v>
      </c>
      <c r="AE72" s="332">
        <f t="shared" si="5"/>
        <v>3.9383999999999997</v>
      </c>
      <c r="AF72" s="332">
        <f t="shared" si="6"/>
        <v>3.9383999999999997</v>
      </c>
      <c r="AG72" s="332">
        <f t="shared" si="7"/>
        <v>0</v>
      </c>
      <c r="AH72" s="333">
        <f t="shared" si="8"/>
        <v>1</v>
      </c>
      <c r="AI72" s="332">
        <f t="shared" si="9"/>
        <v>2.4</v>
      </c>
      <c r="AJ72" s="332">
        <f t="shared" si="10"/>
        <v>2.4</v>
      </c>
      <c r="AK72" s="332">
        <f t="shared" si="11"/>
        <v>0</v>
      </c>
      <c r="AL72" s="333">
        <f t="shared" si="12"/>
        <v>1</v>
      </c>
    </row>
    <row r="73" spans="2:38" s="303" customFormat="1" ht="28.5" x14ac:dyDescent="0.2">
      <c r="B73" s="319">
        <f t="shared" si="13"/>
        <v>63</v>
      </c>
      <c r="C73" s="320" t="s">
        <v>183</v>
      </c>
      <c r="D73" s="321" t="s">
        <v>193</v>
      </c>
      <c r="E73" s="319" t="s">
        <v>194</v>
      </c>
      <c r="F73" s="319">
        <v>1</v>
      </c>
      <c r="G73" s="319">
        <v>1750</v>
      </c>
      <c r="H73" s="319" t="s">
        <v>173</v>
      </c>
      <c r="I73" s="319">
        <v>2400</v>
      </c>
      <c r="J73" s="2"/>
      <c r="K73" s="319">
        <v>10</v>
      </c>
      <c r="L73" s="321" t="s">
        <v>42</v>
      </c>
      <c r="M73" s="322" t="s">
        <v>43</v>
      </c>
      <c r="N73" s="321" t="s">
        <v>39</v>
      </c>
      <c r="O73" s="323" t="s">
        <v>188</v>
      </c>
      <c r="P73" s="321" t="s">
        <v>3</v>
      </c>
      <c r="Q73" s="2"/>
      <c r="R73" s="324">
        <f>ROUNDUP(G73/2,0)</f>
        <v>875</v>
      </c>
      <c r="S73" s="325">
        <v>2</v>
      </c>
      <c r="T73" s="325">
        <f t="shared" si="1"/>
        <v>2</v>
      </c>
      <c r="V73" s="324">
        <v>5000</v>
      </c>
      <c r="W73" s="326">
        <f t="shared" si="2"/>
        <v>5</v>
      </c>
      <c r="X73" s="326">
        <f t="shared" si="3"/>
        <v>4495</v>
      </c>
      <c r="Y73" s="327">
        <v>4600</v>
      </c>
      <c r="Z73" s="328">
        <f t="shared" ref="Z73:Z150" si="20">$T73/$W73</f>
        <v>0.4</v>
      </c>
      <c r="AA73" s="392"/>
      <c r="AB73" s="329">
        <v>1.72</v>
      </c>
      <c r="AC73" s="329">
        <v>0.32400000000000001</v>
      </c>
      <c r="AE73" s="332">
        <f t="shared" si="5"/>
        <v>3.01</v>
      </c>
      <c r="AF73" s="332">
        <f t="shared" si="6"/>
        <v>3.1648000000000001</v>
      </c>
      <c r="AG73" s="332">
        <f t="shared" si="7"/>
        <v>-0.15480000000000027</v>
      </c>
      <c r="AH73" s="333">
        <f t="shared" si="8"/>
        <v>1.0514285714285716</v>
      </c>
      <c r="AI73" s="332">
        <f t="shared" si="9"/>
        <v>1.75</v>
      </c>
      <c r="AJ73" s="332">
        <f t="shared" si="10"/>
        <v>1.8399999999999999</v>
      </c>
      <c r="AK73" s="332">
        <f t="shared" si="11"/>
        <v>-8.9999999999999858E-2</v>
      </c>
      <c r="AL73" s="333">
        <f t="shared" si="12"/>
        <v>1.0514285714285714</v>
      </c>
    </row>
    <row r="74" spans="2:38" s="303" customFormat="1" ht="28.5" x14ac:dyDescent="0.2">
      <c r="B74" s="319">
        <f t="shared" si="13"/>
        <v>64</v>
      </c>
      <c r="C74" s="320" t="s">
        <v>183</v>
      </c>
      <c r="D74" s="321" t="s">
        <v>193</v>
      </c>
      <c r="E74" s="319" t="s">
        <v>194</v>
      </c>
      <c r="F74" s="319">
        <v>1</v>
      </c>
      <c r="G74" s="319">
        <v>1750</v>
      </c>
      <c r="H74" s="319" t="s">
        <v>173</v>
      </c>
      <c r="I74" s="319">
        <v>2400</v>
      </c>
      <c r="J74" s="2"/>
      <c r="K74" s="319">
        <v>10</v>
      </c>
      <c r="L74" s="321" t="s">
        <v>40</v>
      </c>
      <c r="M74" s="322" t="s">
        <v>41</v>
      </c>
      <c r="N74" s="321" t="s">
        <v>39</v>
      </c>
      <c r="O74" s="323" t="s">
        <v>188</v>
      </c>
      <c r="P74" s="321" t="s">
        <v>3</v>
      </c>
      <c r="Q74" s="2"/>
      <c r="R74" s="324">
        <f t="shared" ref="R74:R80" si="21">ROUNDUP(G74/2,0)</f>
        <v>875</v>
      </c>
      <c r="S74" s="325">
        <v>2</v>
      </c>
      <c r="T74" s="325">
        <f t="shared" si="1"/>
        <v>2</v>
      </c>
      <c r="V74" s="324">
        <v>5000</v>
      </c>
      <c r="W74" s="326">
        <f t="shared" si="2"/>
        <v>5</v>
      </c>
      <c r="X74" s="326">
        <f t="shared" si="3"/>
        <v>4495</v>
      </c>
      <c r="Y74" s="327">
        <v>4600</v>
      </c>
      <c r="Z74" s="328">
        <f t="shared" si="20"/>
        <v>0.4</v>
      </c>
      <c r="AA74" s="304"/>
      <c r="AB74" s="329">
        <v>0.27700000000000002</v>
      </c>
      <c r="AC74" s="329">
        <v>0.114</v>
      </c>
      <c r="AE74" s="332">
        <f t="shared" si="5"/>
        <v>0.48475000000000001</v>
      </c>
      <c r="AF74" s="332">
        <f t="shared" si="6"/>
        <v>0.50968000000000002</v>
      </c>
      <c r="AG74" s="332">
        <f t="shared" si="7"/>
        <v>-2.4930000000000008E-2</v>
      </c>
      <c r="AH74" s="333">
        <f t="shared" si="8"/>
        <v>1.0514285714285714</v>
      </c>
      <c r="AI74" s="332">
        <f t="shared" si="9"/>
        <v>1.75</v>
      </c>
      <c r="AJ74" s="332">
        <f t="shared" si="10"/>
        <v>1.8399999999999999</v>
      </c>
      <c r="AK74" s="332">
        <f t="shared" si="11"/>
        <v>-8.9999999999999858E-2</v>
      </c>
      <c r="AL74" s="333">
        <f t="shared" si="12"/>
        <v>1.0514285714285714</v>
      </c>
    </row>
    <row r="75" spans="2:38" s="303" customFormat="1" ht="28.5" x14ac:dyDescent="0.2">
      <c r="B75" s="319">
        <f t="shared" si="13"/>
        <v>65</v>
      </c>
      <c r="C75" s="320" t="s">
        <v>183</v>
      </c>
      <c r="D75" s="321" t="s">
        <v>193</v>
      </c>
      <c r="E75" s="319" t="s">
        <v>194</v>
      </c>
      <c r="F75" s="319">
        <v>1</v>
      </c>
      <c r="G75" s="319">
        <v>1750</v>
      </c>
      <c r="H75" s="319" t="s">
        <v>173</v>
      </c>
      <c r="I75" s="319">
        <v>2400</v>
      </c>
      <c r="J75" s="2"/>
      <c r="K75" s="319">
        <v>10</v>
      </c>
      <c r="L75" s="321" t="s">
        <v>37</v>
      </c>
      <c r="M75" s="322" t="s">
        <v>38</v>
      </c>
      <c r="N75" s="321" t="s">
        <v>39</v>
      </c>
      <c r="O75" s="323" t="s">
        <v>188</v>
      </c>
      <c r="P75" s="321" t="s">
        <v>3</v>
      </c>
      <c r="Q75" s="2"/>
      <c r="R75" s="324">
        <f t="shared" si="21"/>
        <v>875</v>
      </c>
      <c r="S75" s="325">
        <v>2</v>
      </c>
      <c r="T75" s="325">
        <f t="shared" ref="T75:T153" si="22">$F75*$S75</f>
        <v>2</v>
      </c>
      <c r="V75" s="324">
        <v>5000</v>
      </c>
      <c r="W75" s="326">
        <f t="shared" ref="W75:W153" si="23">ROUNDDOWN($V75/$R75,0)</f>
        <v>5</v>
      </c>
      <c r="X75" s="326">
        <f t="shared" ref="X75:X153" si="24">($R75*$W75)+(50*2)+(5*($W75-1))</f>
        <v>4495</v>
      </c>
      <c r="Y75" s="327">
        <v>4600</v>
      </c>
      <c r="Z75" s="328">
        <f t="shared" si="20"/>
        <v>0.4</v>
      </c>
      <c r="AA75" s="392"/>
      <c r="AB75" s="329">
        <v>0.29899999999999999</v>
      </c>
      <c r="AC75" s="329">
        <v>0.13900000000000001</v>
      </c>
      <c r="AE75" s="332">
        <f t="shared" ref="AE75:AE142" si="25">(($R75/1000)*$T75)*$AB75</f>
        <v>0.52324999999999999</v>
      </c>
      <c r="AF75" s="332">
        <f t="shared" ref="AF75:AF142" si="26">(($Y75*$Z75)/1000)*$AB75</f>
        <v>0.55015999999999998</v>
      </c>
      <c r="AG75" s="332">
        <f t="shared" ref="AG75:AG142" si="27">+AE75-AF75</f>
        <v>-2.6909999999999989E-2</v>
      </c>
      <c r="AH75" s="333">
        <f t="shared" ref="AH75:AH142" si="28">+AF75/AE75</f>
        <v>1.0514285714285714</v>
      </c>
      <c r="AI75" s="332">
        <f t="shared" ref="AI75:AI153" si="29">($R75/1000)*$T75</f>
        <v>1.75</v>
      </c>
      <c r="AJ75" s="332">
        <f t="shared" ref="AJ75:AJ153" si="30">($Y75/1000)*$Z75</f>
        <v>1.8399999999999999</v>
      </c>
      <c r="AK75" s="332">
        <f t="shared" ref="AK75:AK153" si="31">+AI75-AJ75</f>
        <v>-8.9999999999999858E-2</v>
      </c>
      <c r="AL75" s="333">
        <f t="shared" ref="AL75:AL153" si="32">+AJ75/AI75</f>
        <v>1.0514285714285714</v>
      </c>
    </row>
    <row r="76" spans="2:38" s="303" customFormat="1" ht="28.5" x14ac:dyDescent="0.2">
      <c r="B76" s="319">
        <f t="shared" ref="B76:B139" si="33">B75+1</f>
        <v>66</v>
      </c>
      <c r="C76" s="320" t="s">
        <v>183</v>
      </c>
      <c r="D76" s="321" t="s">
        <v>193</v>
      </c>
      <c r="E76" s="319" t="s">
        <v>194</v>
      </c>
      <c r="F76" s="319">
        <v>1</v>
      </c>
      <c r="G76" s="319">
        <v>1750</v>
      </c>
      <c r="H76" s="319" t="s">
        <v>173</v>
      </c>
      <c r="I76" s="319">
        <v>2400</v>
      </c>
      <c r="J76" s="2"/>
      <c r="K76" s="334">
        <v>10</v>
      </c>
      <c r="L76" s="335" t="s">
        <v>28</v>
      </c>
      <c r="M76" s="336" t="s">
        <v>118</v>
      </c>
      <c r="N76" s="337" t="s">
        <v>6</v>
      </c>
      <c r="O76" s="323" t="s">
        <v>188</v>
      </c>
      <c r="P76" s="337" t="s">
        <v>187</v>
      </c>
      <c r="Q76" s="2"/>
      <c r="R76" s="324">
        <f t="shared" si="21"/>
        <v>875</v>
      </c>
      <c r="S76" s="325">
        <v>2</v>
      </c>
      <c r="T76" s="325">
        <f t="shared" si="22"/>
        <v>2</v>
      </c>
      <c r="V76" s="338">
        <v>3660</v>
      </c>
      <c r="W76" s="339">
        <f t="shared" si="23"/>
        <v>4</v>
      </c>
      <c r="X76" s="339">
        <f t="shared" si="24"/>
        <v>3615</v>
      </c>
      <c r="Y76" s="327">
        <v>3660</v>
      </c>
      <c r="Z76" s="340">
        <f>($R76*$T76)/$V76</f>
        <v>0.47814207650273222</v>
      </c>
      <c r="AA76" s="392"/>
      <c r="AB76" s="332">
        <v>1.641</v>
      </c>
      <c r="AC76" s="332">
        <v>0.20319999999999999</v>
      </c>
      <c r="AE76" s="332">
        <f t="shared" si="25"/>
        <v>2.87175</v>
      </c>
      <c r="AF76" s="332">
        <f t="shared" si="26"/>
        <v>2.87175</v>
      </c>
      <c r="AG76" s="332">
        <f t="shared" si="27"/>
        <v>0</v>
      </c>
      <c r="AH76" s="333">
        <f t="shared" si="28"/>
        <v>1</v>
      </c>
      <c r="AI76" s="332">
        <f t="shared" si="29"/>
        <v>1.75</v>
      </c>
      <c r="AJ76" s="332">
        <f t="shared" si="30"/>
        <v>1.75</v>
      </c>
      <c r="AK76" s="332">
        <f t="shared" si="31"/>
        <v>0</v>
      </c>
      <c r="AL76" s="333">
        <f t="shared" si="32"/>
        <v>1</v>
      </c>
    </row>
    <row r="77" spans="2:38" s="303" customFormat="1" ht="28.5" x14ac:dyDescent="0.2">
      <c r="B77" s="319">
        <f t="shared" si="33"/>
        <v>67</v>
      </c>
      <c r="C77" s="320" t="s">
        <v>183</v>
      </c>
      <c r="D77" s="321" t="s">
        <v>193</v>
      </c>
      <c r="E77" s="319" t="s">
        <v>194</v>
      </c>
      <c r="F77" s="319">
        <v>1</v>
      </c>
      <c r="G77" s="319">
        <v>1750</v>
      </c>
      <c r="H77" s="319" t="s">
        <v>173</v>
      </c>
      <c r="I77" s="319">
        <v>2400</v>
      </c>
      <c r="J77" s="2"/>
      <c r="K77" s="319">
        <v>11</v>
      </c>
      <c r="L77" s="321" t="s">
        <v>42</v>
      </c>
      <c r="M77" s="322" t="s">
        <v>43</v>
      </c>
      <c r="N77" s="321" t="s">
        <v>39</v>
      </c>
      <c r="O77" s="323" t="s">
        <v>188</v>
      </c>
      <c r="P77" s="321" t="s">
        <v>3</v>
      </c>
      <c r="Q77" s="2"/>
      <c r="R77" s="324">
        <f t="shared" si="21"/>
        <v>875</v>
      </c>
      <c r="S77" s="325">
        <v>2</v>
      </c>
      <c r="T77" s="325">
        <f t="shared" si="22"/>
        <v>2</v>
      </c>
      <c r="V77" s="324">
        <v>5000</v>
      </c>
      <c r="W77" s="326">
        <f t="shared" si="23"/>
        <v>5</v>
      </c>
      <c r="X77" s="326">
        <f t="shared" si="24"/>
        <v>4495</v>
      </c>
      <c r="Y77" s="327">
        <v>4600</v>
      </c>
      <c r="Z77" s="328">
        <f t="shared" si="20"/>
        <v>0.4</v>
      </c>
      <c r="AA77" s="392"/>
      <c r="AB77" s="329">
        <v>1.72</v>
      </c>
      <c r="AC77" s="329">
        <v>0.32400000000000001</v>
      </c>
      <c r="AE77" s="332">
        <f t="shared" si="25"/>
        <v>3.01</v>
      </c>
      <c r="AF77" s="332">
        <f t="shared" si="26"/>
        <v>3.1648000000000001</v>
      </c>
      <c r="AG77" s="332">
        <f t="shared" si="27"/>
        <v>-0.15480000000000027</v>
      </c>
      <c r="AH77" s="333">
        <f t="shared" si="28"/>
        <v>1.0514285714285716</v>
      </c>
      <c r="AI77" s="332">
        <f t="shared" si="29"/>
        <v>1.75</v>
      </c>
      <c r="AJ77" s="332">
        <f t="shared" si="30"/>
        <v>1.8399999999999999</v>
      </c>
      <c r="AK77" s="332">
        <f t="shared" si="31"/>
        <v>-8.9999999999999858E-2</v>
      </c>
      <c r="AL77" s="333">
        <f t="shared" si="32"/>
        <v>1.0514285714285714</v>
      </c>
    </row>
    <row r="78" spans="2:38" s="303" customFormat="1" ht="28.5" x14ac:dyDescent="0.2">
      <c r="B78" s="319">
        <f t="shared" si="33"/>
        <v>68</v>
      </c>
      <c r="C78" s="320" t="s">
        <v>183</v>
      </c>
      <c r="D78" s="321" t="s">
        <v>193</v>
      </c>
      <c r="E78" s="319" t="s">
        <v>194</v>
      </c>
      <c r="F78" s="319">
        <v>1</v>
      </c>
      <c r="G78" s="319">
        <v>1750</v>
      </c>
      <c r="H78" s="319" t="s">
        <v>173</v>
      </c>
      <c r="I78" s="319">
        <v>2400</v>
      </c>
      <c r="J78" s="2"/>
      <c r="K78" s="319">
        <v>11</v>
      </c>
      <c r="L78" s="321" t="s">
        <v>40</v>
      </c>
      <c r="M78" s="322" t="s">
        <v>41</v>
      </c>
      <c r="N78" s="321" t="s">
        <v>39</v>
      </c>
      <c r="O78" s="323" t="s">
        <v>188</v>
      </c>
      <c r="P78" s="321" t="s">
        <v>3</v>
      </c>
      <c r="Q78" s="2"/>
      <c r="R78" s="324">
        <f t="shared" si="21"/>
        <v>875</v>
      </c>
      <c r="S78" s="325">
        <v>2</v>
      </c>
      <c r="T78" s="325">
        <f t="shared" si="22"/>
        <v>2</v>
      </c>
      <c r="V78" s="324">
        <v>5000</v>
      </c>
      <c r="W78" s="326">
        <f t="shared" si="23"/>
        <v>5</v>
      </c>
      <c r="X78" s="326">
        <f t="shared" si="24"/>
        <v>4495</v>
      </c>
      <c r="Y78" s="327">
        <v>4600</v>
      </c>
      <c r="Z78" s="328">
        <f t="shared" si="20"/>
        <v>0.4</v>
      </c>
      <c r="AA78" s="392"/>
      <c r="AB78" s="329">
        <v>0.27700000000000002</v>
      </c>
      <c r="AC78" s="329">
        <v>0.114</v>
      </c>
      <c r="AE78" s="332">
        <f t="shared" si="25"/>
        <v>0.48475000000000001</v>
      </c>
      <c r="AF78" s="332">
        <f t="shared" si="26"/>
        <v>0.50968000000000002</v>
      </c>
      <c r="AG78" s="332">
        <f t="shared" si="27"/>
        <v>-2.4930000000000008E-2</v>
      </c>
      <c r="AH78" s="333">
        <f t="shared" si="28"/>
        <v>1.0514285714285714</v>
      </c>
      <c r="AI78" s="332">
        <f t="shared" si="29"/>
        <v>1.75</v>
      </c>
      <c r="AJ78" s="332">
        <f t="shared" si="30"/>
        <v>1.8399999999999999</v>
      </c>
      <c r="AK78" s="332">
        <f t="shared" si="31"/>
        <v>-8.9999999999999858E-2</v>
      </c>
      <c r="AL78" s="333">
        <f t="shared" si="32"/>
        <v>1.0514285714285714</v>
      </c>
    </row>
    <row r="79" spans="2:38" s="303" customFormat="1" ht="28.5" x14ac:dyDescent="0.2">
      <c r="B79" s="319">
        <f t="shared" si="33"/>
        <v>69</v>
      </c>
      <c r="C79" s="320" t="s">
        <v>183</v>
      </c>
      <c r="D79" s="321" t="s">
        <v>193</v>
      </c>
      <c r="E79" s="319" t="s">
        <v>194</v>
      </c>
      <c r="F79" s="319">
        <v>1</v>
      </c>
      <c r="G79" s="319">
        <v>1750</v>
      </c>
      <c r="H79" s="319" t="s">
        <v>173</v>
      </c>
      <c r="I79" s="319">
        <v>2400</v>
      </c>
      <c r="J79" s="2"/>
      <c r="K79" s="319">
        <v>11</v>
      </c>
      <c r="L79" s="321" t="s">
        <v>37</v>
      </c>
      <c r="M79" s="322" t="s">
        <v>38</v>
      </c>
      <c r="N79" s="321" t="s">
        <v>39</v>
      </c>
      <c r="O79" s="323" t="s">
        <v>188</v>
      </c>
      <c r="P79" s="321" t="s">
        <v>3</v>
      </c>
      <c r="Q79" s="2"/>
      <c r="R79" s="324">
        <f t="shared" si="21"/>
        <v>875</v>
      </c>
      <c r="S79" s="325">
        <v>2</v>
      </c>
      <c r="T79" s="325">
        <f t="shared" si="22"/>
        <v>2</v>
      </c>
      <c r="V79" s="324">
        <v>5000</v>
      </c>
      <c r="W79" s="326">
        <f t="shared" si="23"/>
        <v>5</v>
      </c>
      <c r="X79" s="326">
        <f t="shared" si="24"/>
        <v>4495</v>
      </c>
      <c r="Y79" s="327">
        <v>4600</v>
      </c>
      <c r="Z79" s="328">
        <f t="shared" si="20"/>
        <v>0.4</v>
      </c>
      <c r="AA79" s="426">
        <v>1</v>
      </c>
      <c r="AB79" s="329">
        <v>0.29899999999999999</v>
      </c>
      <c r="AC79" s="329">
        <v>0.13900000000000001</v>
      </c>
      <c r="AE79" s="332">
        <f t="shared" si="25"/>
        <v>0.52324999999999999</v>
      </c>
      <c r="AF79" s="332">
        <f t="shared" si="26"/>
        <v>0.55015999999999998</v>
      </c>
      <c r="AG79" s="332">
        <f t="shared" si="27"/>
        <v>-2.6909999999999989E-2</v>
      </c>
      <c r="AH79" s="333">
        <f t="shared" si="28"/>
        <v>1.0514285714285714</v>
      </c>
      <c r="AI79" s="332">
        <f t="shared" si="29"/>
        <v>1.75</v>
      </c>
      <c r="AJ79" s="332">
        <f t="shared" si="30"/>
        <v>1.8399999999999999</v>
      </c>
      <c r="AK79" s="332">
        <f t="shared" si="31"/>
        <v>-8.9999999999999858E-2</v>
      </c>
      <c r="AL79" s="333">
        <f t="shared" si="32"/>
        <v>1.0514285714285714</v>
      </c>
    </row>
    <row r="80" spans="2:38" s="303" customFormat="1" ht="28.5" x14ac:dyDescent="0.2">
      <c r="B80" s="341">
        <f t="shared" si="33"/>
        <v>70</v>
      </c>
      <c r="C80" s="344" t="s">
        <v>183</v>
      </c>
      <c r="D80" s="342" t="s">
        <v>193</v>
      </c>
      <c r="E80" s="341" t="s">
        <v>194</v>
      </c>
      <c r="F80" s="341">
        <v>1</v>
      </c>
      <c r="G80" s="341">
        <v>1750</v>
      </c>
      <c r="H80" s="341" t="s">
        <v>173</v>
      </c>
      <c r="I80" s="341">
        <v>2400</v>
      </c>
      <c r="J80" s="2"/>
      <c r="K80" s="345">
        <v>11</v>
      </c>
      <c r="L80" s="335" t="s">
        <v>28</v>
      </c>
      <c r="M80" s="346" t="s">
        <v>118</v>
      </c>
      <c r="N80" s="347" t="s">
        <v>6</v>
      </c>
      <c r="O80" s="323" t="s">
        <v>188</v>
      </c>
      <c r="P80" s="347" t="s">
        <v>187</v>
      </c>
      <c r="Q80" s="2"/>
      <c r="R80" s="324">
        <f t="shared" si="21"/>
        <v>875</v>
      </c>
      <c r="S80" s="325">
        <v>2</v>
      </c>
      <c r="T80" s="349">
        <f t="shared" si="22"/>
        <v>2</v>
      </c>
      <c r="V80" s="338">
        <v>3660</v>
      </c>
      <c r="W80" s="350">
        <f t="shared" si="23"/>
        <v>4</v>
      </c>
      <c r="X80" s="350">
        <f t="shared" si="24"/>
        <v>3615</v>
      </c>
      <c r="Y80" s="327">
        <v>3660</v>
      </c>
      <c r="Z80" s="340">
        <f>($R80*$T80)/$V80</f>
        <v>0.47814207650273222</v>
      </c>
      <c r="AA80" s="392"/>
      <c r="AB80" s="332">
        <v>1.641</v>
      </c>
      <c r="AC80" s="332">
        <v>0.20319999999999999</v>
      </c>
      <c r="AE80" s="332">
        <f t="shared" si="25"/>
        <v>2.87175</v>
      </c>
      <c r="AF80" s="332">
        <f t="shared" si="26"/>
        <v>2.87175</v>
      </c>
      <c r="AG80" s="332">
        <f t="shared" si="27"/>
        <v>0</v>
      </c>
      <c r="AH80" s="333">
        <f t="shared" si="28"/>
        <v>1</v>
      </c>
      <c r="AI80" s="332">
        <f t="shared" si="29"/>
        <v>1.75</v>
      </c>
      <c r="AJ80" s="332">
        <f t="shared" si="30"/>
        <v>1.75</v>
      </c>
      <c r="AK80" s="332">
        <f t="shared" si="31"/>
        <v>0</v>
      </c>
      <c r="AL80" s="333">
        <f t="shared" si="32"/>
        <v>1</v>
      </c>
    </row>
    <row r="81" spans="2:39" s="353" customFormat="1" ht="30" customHeight="1" x14ac:dyDescent="0.25">
      <c r="B81" s="341">
        <f t="shared" si="33"/>
        <v>71</v>
      </c>
      <c r="C81" s="344" t="s">
        <v>183</v>
      </c>
      <c r="D81" s="342" t="s">
        <v>193</v>
      </c>
      <c r="E81" s="341" t="s">
        <v>194</v>
      </c>
      <c r="F81" s="341">
        <v>1</v>
      </c>
      <c r="G81" s="341">
        <v>1750</v>
      </c>
      <c r="H81" s="341" t="s">
        <v>173</v>
      </c>
      <c r="I81" s="341">
        <v>2400</v>
      </c>
      <c r="J81" s="2"/>
      <c r="K81" s="354"/>
      <c r="L81" s="355" t="s">
        <v>28</v>
      </c>
      <c r="M81" s="356" t="s">
        <v>29</v>
      </c>
      <c r="N81" s="469" t="s">
        <v>6</v>
      </c>
      <c r="O81" s="323" t="s">
        <v>189</v>
      </c>
      <c r="P81" s="347" t="s">
        <v>187</v>
      </c>
      <c r="Q81" s="2"/>
      <c r="R81" s="338">
        <v>51</v>
      </c>
      <c r="S81" s="357">
        <f>4*2</f>
        <v>8</v>
      </c>
      <c r="T81" s="357">
        <f t="shared" si="22"/>
        <v>8</v>
      </c>
      <c r="U81" s="303"/>
      <c r="V81" s="338">
        <v>3250</v>
      </c>
      <c r="W81" s="358">
        <f t="shared" si="23"/>
        <v>63</v>
      </c>
      <c r="X81" s="358">
        <f t="shared" si="24"/>
        <v>3623</v>
      </c>
      <c r="Y81" s="351">
        <v>3660</v>
      </c>
      <c r="Z81" s="359">
        <f t="shared" si="20"/>
        <v>0.12698412698412698</v>
      </c>
      <c r="AA81" s="392"/>
      <c r="AB81" s="332">
        <v>1.641</v>
      </c>
      <c r="AC81" s="332">
        <v>0.20319999999999999</v>
      </c>
      <c r="AD81" s="303"/>
      <c r="AE81" s="332">
        <f t="shared" si="25"/>
        <v>0.66952800000000001</v>
      </c>
      <c r="AF81" s="332">
        <f t="shared" si="26"/>
        <v>0.76267428571428575</v>
      </c>
      <c r="AG81" s="332">
        <f t="shared" si="27"/>
        <v>-9.3146285714285737E-2</v>
      </c>
      <c r="AH81" s="333">
        <f t="shared" si="28"/>
        <v>1.1391223155929038</v>
      </c>
      <c r="AI81" s="332">
        <f t="shared" si="29"/>
        <v>0.40799999999999997</v>
      </c>
      <c r="AJ81" s="332">
        <f t="shared" si="30"/>
        <v>0.46476190476190476</v>
      </c>
      <c r="AK81" s="332">
        <f t="shared" si="31"/>
        <v>-5.6761904761904791E-2</v>
      </c>
      <c r="AL81" s="333">
        <f t="shared" si="32"/>
        <v>1.139122315592904</v>
      </c>
      <c r="AM81" s="303"/>
    </row>
    <row r="82" spans="2:39" s="353" customFormat="1" ht="30" customHeight="1" thickBot="1" x14ac:dyDescent="0.3">
      <c r="B82" s="360">
        <f t="shared" si="33"/>
        <v>72</v>
      </c>
      <c r="C82" s="361" t="s">
        <v>183</v>
      </c>
      <c r="D82" s="362" t="s">
        <v>193</v>
      </c>
      <c r="E82" s="360" t="s">
        <v>194</v>
      </c>
      <c r="F82" s="360">
        <v>1</v>
      </c>
      <c r="G82" s="360">
        <v>1750</v>
      </c>
      <c r="H82" s="360" t="s">
        <v>173</v>
      </c>
      <c r="I82" s="360">
        <v>2400</v>
      </c>
      <c r="J82" s="2"/>
      <c r="K82" s="363"/>
      <c r="L82" s="364" t="s">
        <v>28</v>
      </c>
      <c r="M82" s="365" t="s">
        <v>29</v>
      </c>
      <c r="N82" s="470" t="s">
        <v>6</v>
      </c>
      <c r="O82" s="366" t="s">
        <v>190</v>
      </c>
      <c r="P82" s="367" t="s">
        <v>187</v>
      </c>
      <c r="Q82" s="2"/>
      <c r="R82" s="368">
        <v>51</v>
      </c>
      <c r="S82" s="369">
        <f>3*2</f>
        <v>6</v>
      </c>
      <c r="T82" s="369">
        <f t="shared" si="22"/>
        <v>6</v>
      </c>
      <c r="U82" s="303"/>
      <c r="V82" s="368">
        <v>3250</v>
      </c>
      <c r="W82" s="370">
        <f t="shared" si="23"/>
        <v>63</v>
      </c>
      <c r="X82" s="370">
        <f t="shared" si="24"/>
        <v>3623</v>
      </c>
      <c r="Y82" s="371">
        <v>3660</v>
      </c>
      <c r="Z82" s="372">
        <f t="shared" si="20"/>
        <v>9.5238095238095233E-2</v>
      </c>
      <c r="AA82" s="392"/>
      <c r="AB82" s="373">
        <v>1.641</v>
      </c>
      <c r="AC82" s="373">
        <v>0.20319999999999999</v>
      </c>
      <c r="AD82" s="303"/>
      <c r="AE82" s="373">
        <f t="shared" si="25"/>
        <v>0.50214599999999998</v>
      </c>
      <c r="AF82" s="373">
        <f t="shared" si="26"/>
        <v>0.57200571428571423</v>
      </c>
      <c r="AG82" s="373">
        <f t="shared" si="27"/>
        <v>-6.9859714285714247E-2</v>
      </c>
      <c r="AH82" s="374">
        <f t="shared" si="28"/>
        <v>1.1391223155929038</v>
      </c>
      <c r="AI82" s="373">
        <f t="shared" si="29"/>
        <v>0.30599999999999999</v>
      </c>
      <c r="AJ82" s="373">
        <f t="shared" si="30"/>
        <v>0.34857142857142859</v>
      </c>
      <c r="AK82" s="373">
        <f t="shared" si="31"/>
        <v>-4.2571428571428593E-2</v>
      </c>
      <c r="AL82" s="374">
        <f t="shared" si="32"/>
        <v>1.139122315592904</v>
      </c>
      <c r="AM82" s="303"/>
    </row>
    <row r="83" spans="2:39" s="303" customFormat="1" ht="28.5" x14ac:dyDescent="0.2">
      <c r="B83" s="375">
        <f t="shared" si="33"/>
        <v>73</v>
      </c>
      <c r="C83" s="376" t="s">
        <v>183</v>
      </c>
      <c r="D83" s="377" t="s">
        <v>193</v>
      </c>
      <c r="E83" s="375" t="s">
        <v>234</v>
      </c>
      <c r="F83" s="375">
        <v>1</v>
      </c>
      <c r="G83" s="375">
        <v>850</v>
      </c>
      <c r="H83" s="375" t="s">
        <v>173</v>
      </c>
      <c r="I83" s="375">
        <v>2300</v>
      </c>
      <c r="J83" s="2"/>
      <c r="K83" s="319">
        <v>12</v>
      </c>
      <c r="L83" s="321" t="s">
        <v>42</v>
      </c>
      <c r="M83" s="322" t="s">
        <v>43</v>
      </c>
      <c r="N83" s="321" t="s">
        <v>39</v>
      </c>
      <c r="O83" s="378" t="s">
        <v>186</v>
      </c>
      <c r="P83" s="321" t="s">
        <v>3</v>
      </c>
      <c r="Q83" s="2"/>
      <c r="R83" s="324">
        <f t="shared" ref="R83:R90" si="34">ROUNDUP(I83,0)</f>
        <v>2300</v>
      </c>
      <c r="S83" s="325">
        <v>1</v>
      </c>
      <c r="T83" s="325">
        <f t="shared" si="22"/>
        <v>1</v>
      </c>
      <c r="V83" s="324">
        <v>6000</v>
      </c>
      <c r="W83" s="326">
        <f t="shared" si="23"/>
        <v>2</v>
      </c>
      <c r="X83" s="379">
        <f t="shared" si="24"/>
        <v>4705</v>
      </c>
      <c r="Y83" s="380">
        <v>4900</v>
      </c>
      <c r="Z83" s="381">
        <f t="shared" si="20"/>
        <v>0.5</v>
      </c>
      <c r="AA83" s="392"/>
      <c r="AB83" s="329">
        <v>1.72</v>
      </c>
      <c r="AC83" s="329">
        <v>0.32400000000000001</v>
      </c>
      <c r="AE83" s="330">
        <f t="shared" si="25"/>
        <v>3.9559999999999995</v>
      </c>
      <c r="AF83" s="330">
        <f t="shared" si="26"/>
        <v>4.2140000000000004</v>
      </c>
      <c r="AG83" s="330">
        <f t="shared" si="27"/>
        <v>-0.2580000000000009</v>
      </c>
      <c r="AH83" s="331">
        <f t="shared" si="28"/>
        <v>1.0652173913043481</v>
      </c>
      <c r="AI83" s="329">
        <f t="shared" si="29"/>
        <v>2.2999999999999998</v>
      </c>
      <c r="AJ83" s="329">
        <f t="shared" si="30"/>
        <v>2.4500000000000002</v>
      </c>
      <c r="AK83" s="329">
        <f t="shared" si="31"/>
        <v>-0.15000000000000036</v>
      </c>
      <c r="AL83" s="382">
        <f t="shared" si="32"/>
        <v>1.0652173913043479</v>
      </c>
    </row>
    <row r="84" spans="2:39" s="303" customFormat="1" ht="28.5" x14ac:dyDescent="0.2">
      <c r="B84" s="341">
        <f t="shared" si="33"/>
        <v>74</v>
      </c>
      <c r="C84" s="344" t="s">
        <v>183</v>
      </c>
      <c r="D84" s="342" t="s">
        <v>193</v>
      </c>
      <c r="E84" s="341" t="s">
        <v>234</v>
      </c>
      <c r="F84" s="341">
        <v>1</v>
      </c>
      <c r="G84" s="341">
        <v>850</v>
      </c>
      <c r="H84" s="341" t="s">
        <v>173</v>
      </c>
      <c r="I84" s="341">
        <v>2300</v>
      </c>
      <c r="J84" s="2"/>
      <c r="K84" s="319">
        <v>12</v>
      </c>
      <c r="L84" s="321" t="s">
        <v>40</v>
      </c>
      <c r="M84" s="322" t="s">
        <v>41</v>
      </c>
      <c r="N84" s="321" t="s">
        <v>39</v>
      </c>
      <c r="O84" s="323" t="s">
        <v>186</v>
      </c>
      <c r="P84" s="321" t="s">
        <v>3</v>
      </c>
      <c r="Q84" s="2"/>
      <c r="R84" s="324">
        <f t="shared" si="34"/>
        <v>2300</v>
      </c>
      <c r="S84" s="325">
        <v>1</v>
      </c>
      <c r="T84" s="325">
        <f t="shared" si="22"/>
        <v>1</v>
      </c>
      <c r="V84" s="324">
        <v>6000</v>
      </c>
      <c r="W84" s="326">
        <f t="shared" si="23"/>
        <v>2</v>
      </c>
      <c r="X84" s="326">
        <f t="shared" si="24"/>
        <v>4705</v>
      </c>
      <c r="Y84" s="327">
        <v>4900</v>
      </c>
      <c r="Z84" s="328">
        <f t="shared" si="20"/>
        <v>0.5</v>
      </c>
      <c r="AA84" s="304"/>
      <c r="AB84" s="329">
        <v>0.27700000000000002</v>
      </c>
      <c r="AC84" s="329">
        <v>0.114</v>
      </c>
      <c r="AE84" s="332">
        <f t="shared" si="25"/>
        <v>0.6371</v>
      </c>
      <c r="AF84" s="332">
        <f t="shared" si="26"/>
        <v>0.67865000000000009</v>
      </c>
      <c r="AG84" s="332">
        <f t="shared" si="27"/>
        <v>-4.1550000000000087E-2</v>
      </c>
      <c r="AH84" s="333">
        <f t="shared" si="28"/>
        <v>1.0652173913043479</v>
      </c>
      <c r="AI84" s="332">
        <f t="shared" si="29"/>
        <v>2.2999999999999998</v>
      </c>
      <c r="AJ84" s="332">
        <f t="shared" si="30"/>
        <v>2.4500000000000002</v>
      </c>
      <c r="AK84" s="332">
        <f t="shared" si="31"/>
        <v>-0.15000000000000036</v>
      </c>
      <c r="AL84" s="333">
        <f t="shared" si="32"/>
        <v>1.0652173913043479</v>
      </c>
    </row>
    <row r="85" spans="2:39" s="303" customFormat="1" ht="28.5" x14ac:dyDescent="0.2">
      <c r="B85" s="319">
        <f t="shared" si="33"/>
        <v>75</v>
      </c>
      <c r="C85" s="344" t="s">
        <v>183</v>
      </c>
      <c r="D85" s="342" t="s">
        <v>193</v>
      </c>
      <c r="E85" s="341" t="s">
        <v>234</v>
      </c>
      <c r="F85" s="341">
        <v>1</v>
      </c>
      <c r="G85" s="341">
        <v>850</v>
      </c>
      <c r="H85" s="341" t="s">
        <v>173</v>
      </c>
      <c r="I85" s="341">
        <v>2300</v>
      </c>
      <c r="J85" s="2"/>
      <c r="K85" s="319">
        <v>12</v>
      </c>
      <c r="L85" s="321" t="s">
        <v>37</v>
      </c>
      <c r="M85" s="322" t="s">
        <v>38</v>
      </c>
      <c r="N85" s="321" t="s">
        <v>39</v>
      </c>
      <c r="O85" s="323" t="s">
        <v>186</v>
      </c>
      <c r="P85" s="321" t="s">
        <v>3</v>
      </c>
      <c r="Q85" s="2"/>
      <c r="R85" s="324">
        <f t="shared" si="34"/>
        <v>2300</v>
      </c>
      <c r="S85" s="325">
        <v>1</v>
      </c>
      <c r="T85" s="325">
        <f t="shared" si="22"/>
        <v>1</v>
      </c>
      <c r="V85" s="324">
        <v>6000</v>
      </c>
      <c r="W85" s="326">
        <f t="shared" si="23"/>
        <v>2</v>
      </c>
      <c r="X85" s="326">
        <f t="shared" si="24"/>
        <v>4705</v>
      </c>
      <c r="Y85" s="327">
        <v>4900</v>
      </c>
      <c r="Z85" s="328">
        <f t="shared" si="20"/>
        <v>0.5</v>
      </c>
      <c r="AA85" s="392"/>
      <c r="AB85" s="329">
        <v>0.29899999999999999</v>
      </c>
      <c r="AC85" s="329">
        <v>0.13900000000000001</v>
      </c>
      <c r="AE85" s="332">
        <f t="shared" si="25"/>
        <v>0.68769999999999987</v>
      </c>
      <c r="AF85" s="332">
        <f t="shared" si="26"/>
        <v>0.73255000000000003</v>
      </c>
      <c r="AG85" s="332">
        <f t="shared" si="27"/>
        <v>-4.4850000000000168E-2</v>
      </c>
      <c r="AH85" s="333">
        <f t="shared" si="28"/>
        <v>1.0652173913043481</v>
      </c>
      <c r="AI85" s="332">
        <f t="shared" si="29"/>
        <v>2.2999999999999998</v>
      </c>
      <c r="AJ85" s="332">
        <f t="shared" si="30"/>
        <v>2.4500000000000002</v>
      </c>
      <c r="AK85" s="332">
        <f t="shared" si="31"/>
        <v>-0.15000000000000036</v>
      </c>
      <c r="AL85" s="333">
        <f t="shared" si="32"/>
        <v>1.0652173913043479</v>
      </c>
    </row>
    <row r="86" spans="2:39" s="303" customFormat="1" ht="28.5" x14ac:dyDescent="0.2">
      <c r="B86" s="319">
        <f t="shared" si="33"/>
        <v>76</v>
      </c>
      <c r="C86" s="344" t="s">
        <v>183</v>
      </c>
      <c r="D86" s="342" t="s">
        <v>193</v>
      </c>
      <c r="E86" s="341" t="s">
        <v>234</v>
      </c>
      <c r="F86" s="341">
        <v>1</v>
      </c>
      <c r="G86" s="341">
        <v>850</v>
      </c>
      <c r="H86" s="341" t="s">
        <v>173</v>
      </c>
      <c r="I86" s="341">
        <v>2300</v>
      </c>
      <c r="J86" s="2"/>
      <c r="K86" s="334">
        <v>12</v>
      </c>
      <c r="L86" s="335" t="s">
        <v>28</v>
      </c>
      <c r="M86" s="336" t="s">
        <v>118</v>
      </c>
      <c r="N86" s="337" t="s">
        <v>6</v>
      </c>
      <c r="O86" s="323" t="s">
        <v>186</v>
      </c>
      <c r="P86" s="337" t="s">
        <v>187</v>
      </c>
      <c r="Q86" s="2"/>
      <c r="R86" s="324">
        <f t="shared" si="34"/>
        <v>2300</v>
      </c>
      <c r="S86" s="325">
        <v>1</v>
      </c>
      <c r="T86" s="325">
        <f t="shared" si="22"/>
        <v>1</v>
      </c>
      <c r="V86" s="338">
        <v>3660</v>
      </c>
      <c r="W86" s="339">
        <f t="shared" si="23"/>
        <v>1</v>
      </c>
      <c r="X86" s="339">
        <f t="shared" si="24"/>
        <v>2400</v>
      </c>
      <c r="Y86" s="327">
        <v>3660</v>
      </c>
      <c r="Z86" s="340">
        <f>($R86*$T86)/$V86</f>
        <v>0.62841530054644812</v>
      </c>
      <c r="AA86" s="392"/>
      <c r="AB86" s="332">
        <v>1.641</v>
      </c>
      <c r="AC86" s="332">
        <v>0.20319999999999999</v>
      </c>
      <c r="AE86" s="332">
        <f t="shared" si="25"/>
        <v>3.7742999999999998</v>
      </c>
      <c r="AF86" s="332">
        <f t="shared" si="26"/>
        <v>3.7742999999999998</v>
      </c>
      <c r="AG86" s="332">
        <f t="shared" si="27"/>
        <v>0</v>
      </c>
      <c r="AH86" s="333">
        <f t="shared" si="28"/>
        <v>1</v>
      </c>
      <c r="AI86" s="332">
        <f t="shared" si="29"/>
        <v>2.2999999999999998</v>
      </c>
      <c r="AJ86" s="332">
        <f t="shared" si="30"/>
        <v>2.3000000000000003</v>
      </c>
      <c r="AK86" s="332">
        <f t="shared" si="31"/>
        <v>0</v>
      </c>
      <c r="AL86" s="333">
        <f t="shared" si="32"/>
        <v>1.0000000000000002</v>
      </c>
    </row>
    <row r="87" spans="2:39" s="303" customFormat="1" ht="28.5" x14ac:dyDescent="0.2">
      <c r="B87" s="319">
        <f t="shared" si="33"/>
        <v>77</v>
      </c>
      <c r="C87" s="344" t="s">
        <v>183</v>
      </c>
      <c r="D87" s="342" t="s">
        <v>193</v>
      </c>
      <c r="E87" s="341" t="s">
        <v>234</v>
      </c>
      <c r="F87" s="341">
        <v>1</v>
      </c>
      <c r="G87" s="341">
        <v>850</v>
      </c>
      <c r="H87" s="341" t="s">
        <v>173</v>
      </c>
      <c r="I87" s="341">
        <v>2300</v>
      </c>
      <c r="J87" s="2"/>
      <c r="K87" s="319">
        <v>13</v>
      </c>
      <c r="L87" s="321" t="s">
        <v>42</v>
      </c>
      <c r="M87" s="322" t="s">
        <v>43</v>
      </c>
      <c r="N87" s="321" t="s">
        <v>39</v>
      </c>
      <c r="O87" s="323" t="s">
        <v>186</v>
      </c>
      <c r="P87" s="321" t="s">
        <v>3</v>
      </c>
      <c r="Q87" s="2"/>
      <c r="R87" s="324">
        <f t="shared" si="34"/>
        <v>2300</v>
      </c>
      <c r="S87" s="325">
        <v>1</v>
      </c>
      <c r="T87" s="325">
        <f t="shared" si="22"/>
        <v>1</v>
      </c>
      <c r="V87" s="324">
        <v>6000</v>
      </c>
      <c r="W87" s="326">
        <f t="shared" si="23"/>
        <v>2</v>
      </c>
      <c r="X87" s="326">
        <f t="shared" si="24"/>
        <v>4705</v>
      </c>
      <c r="Y87" s="327">
        <v>4900</v>
      </c>
      <c r="Z87" s="328">
        <f t="shared" si="20"/>
        <v>0.5</v>
      </c>
      <c r="AA87" s="392"/>
      <c r="AB87" s="329">
        <v>1.72</v>
      </c>
      <c r="AC87" s="329">
        <v>0.32400000000000001</v>
      </c>
      <c r="AE87" s="332">
        <f t="shared" si="25"/>
        <v>3.9559999999999995</v>
      </c>
      <c r="AF87" s="332">
        <f t="shared" si="26"/>
        <v>4.2140000000000004</v>
      </c>
      <c r="AG87" s="332">
        <f t="shared" si="27"/>
        <v>-0.2580000000000009</v>
      </c>
      <c r="AH87" s="333">
        <f t="shared" si="28"/>
        <v>1.0652173913043481</v>
      </c>
      <c r="AI87" s="332">
        <f t="shared" si="29"/>
        <v>2.2999999999999998</v>
      </c>
      <c r="AJ87" s="332">
        <f t="shared" si="30"/>
        <v>2.4500000000000002</v>
      </c>
      <c r="AK87" s="332">
        <f t="shared" si="31"/>
        <v>-0.15000000000000036</v>
      </c>
      <c r="AL87" s="333">
        <f t="shared" si="32"/>
        <v>1.0652173913043479</v>
      </c>
    </row>
    <row r="88" spans="2:39" s="303" customFormat="1" ht="28.5" x14ac:dyDescent="0.2">
      <c r="B88" s="319">
        <f t="shared" si="33"/>
        <v>78</v>
      </c>
      <c r="C88" s="344" t="s">
        <v>183</v>
      </c>
      <c r="D88" s="342" t="s">
        <v>193</v>
      </c>
      <c r="E88" s="341" t="s">
        <v>234</v>
      </c>
      <c r="F88" s="341">
        <v>1</v>
      </c>
      <c r="G88" s="341">
        <v>850</v>
      </c>
      <c r="H88" s="341" t="s">
        <v>173</v>
      </c>
      <c r="I88" s="341">
        <v>2300</v>
      </c>
      <c r="J88" s="2"/>
      <c r="K88" s="319">
        <v>13</v>
      </c>
      <c r="L88" s="321" t="s">
        <v>40</v>
      </c>
      <c r="M88" s="322" t="s">
        <v>41</v>
      </c>
      <c r="N88" s="321" t="s">
        <v>39</v>
      </c>
      <c r="O88" s="323" t="s">
        <v>186</v>
      </c>
      <c r="P88" s="321" t="s">
        <v>3</v>
      </c>
      <c r="Q88" s="2"/>
      <c r="R88" s="324">
        <f t="shared" si="34"/>
        <v>2300</v>
      </c>
      <c r="S88" s="325">
        <v>1</v>
      </c>
      <c r="T88" s="325">
        <f t="shared" si="22"/>
        <v>1</v>
      </c>
      <c r="V88" s="324">
        <v>6000</v>
      </c>
      <c r="W88" s="326">
        <f t="shared" si="23"/>
        <v>2</v>
      </c>
      <c r="X88" s="326">
        <f t="shared" si="24"/>
        <v>4705</v>
      </c>
      <c r="Y88" s="327">
        <v>4900</v>
      </c>
      <c r="Z88" s="328">
        <f t="shared" si="20"/>
        <v>0.5</v>
      </c>
      <c r="AA88" s="392"/>
      <c r="AB88" s="329">
        <v>0.27700000000000002</v>
      </c>
      <c r="AC88" s="329">
        <v>0.114</v>
      </c>
      <c r="AE88" s="332">
        <f t="shared" si="25"/>
        <v>0.6371</v>
      </c>
      <c r="AF88" s="332">
        <f t="shared" si="26"/>
        <v>0.67865000000000009</v>
      </c>
      <c r="AG88" s="332">
        <f t="shared" si="27"/>
        <v>-4.1550000000000087E-2</v>
      </c>
      <c r="AH88" s="333">
        <f t="shared" si="28"/>
        <v>1.0652173913043479</v>
      </c>
      <c r="AI88" s="332">
        <f t="shared" si="29"/>
        <v>2.2999999999999998</v>
      </c>
      <c r="AJ88" s="332">
        <f t="shared" si="30"/>
        <v>2.4500000000000002</v>
      </c>
      <c r="AK88" s="332">
        <f t="shared" si="31"/>
        <v>-0.15000000000000036</v>
      </c>
      <c r="AL88" s="333">
        <f t="shared" si="32"/>
        <v>1.0652173913043479</v>
      </c>
    </row>
    <row r="89" spans="2:39" s="303" customFormat="1" ht="28.5" x14ac:dyDescent="0.2">
      <c r="B89" s="319">
        <f t="shared" si="33"/>
        <v>79</v>
      </c>
      <c r="C89" s="344" t="s">
        <v>183</v>
      </c>
      <c r="D89" s="342" t="s">
        <v>193</v>
      </c>
      <c r="E89" s="341" t="s">
        <v>234</v>
      </c>
      <c r="F89" s="341">
        <v>1</v>
      </c>
      <c r="G89" s="341">
        <v>850</v>
      </c>
      <c r="H89" s="341" t="s">
        <v>173</v>
      </c>
      <c r="I89" s="341">
        <v>2300</v>
      </c>
      <c r="J89" s="2"/>
      <c r="K89" s="319">
        <v>13</v>
      </c>
      <c r="L89" s="321" t="s">
        <v>37</v>
      </c>
      <c r="M89" s="322" t="s">
        <v>38</v>
      </c>
      <c r="N89" s="321" t="s">
        <v>39</v>
      </c>
      <c r="O89" s="323" t="s">
        <v>186</v>
      </c>
      <c r="P89" s="321" t="s">
        <v>3</v>
      </c>
      <c r="Q89" s="2"/>
      <c r="R89" s="324">
        <f t="shared" si="34"/>
        <v>2300</v>
      </c>
      <c r="S89" s="325">
        <v>1</v>
      </c>
      <c r="T89" s="325">
        <f t="shared" si="22"/>
        <v>1</v>
      </c>
      <c r="V89" s="324">
        <v>6000</v>
      </c>
      <c r="W89" s="326">
        <f t="shared" si="23"/>
        <v>2</v>
      </c>
      <c r="X89" s="326">
        <f t="shared" si="24"/>
        <v>4705</v>
      </c>
      <c r="Y89" s="327">
        <v>4900</v>
      </c>
      <c r="Z89" s="328">
        <f t="shared" si="20"/>
        <v>0.5</v>
      </c>
      <c r="AA89" s="387">
        <v>1</v>
      </c>
      <c r="AB89" s="329">
        <v>0.29899999999999999</v>
      </c>
      <c r="AC89" s="329">
        <v>0.13900000000000001</v>
      </c>
      <c r="AE89" s="332">
        <f t="shared" si="25"/>
        <v>0.68769999999999987</v>
      </c>
      <c r="AF89" s="332">
        <f t="shared" si="26"/>
        <v>0.73255000000000003</v>
      </c>
      <c r="AG89" s="332">
        <f t="shared" si="27"/>
        <v>-4.4850000000000168E-2</v>
      </c>
      <c r="AH89" s="333">
        <f t="shared" si="28"/>
        <v>1.0652173913043481</v>
      </c>
      <c r="AI89" s="332">
        <f t="shared" si="29"/>
        <v>2.2999999999999998</v>
      </c>
      <c r="AJ89" s="332">
        <f t="shared" si="30"/>
        <v>2.4500000000000002</v>
      </c>
      <c r="AK89" s="332">
        <f t="shared" si="31"/>
        <v>-0.15000000000000036</v>
      </c>
      <c r="AL89" s="333">
        <f t="shared" si="32"/>
        <v>1.0652173913043479</v>
      </c>
    </row>
    <row r="90" spans="2:39" s="303" customFormat="1" ht="28.5" x14ac:dyDescent="0.2">
      <c r="B90" s="319">
        <f t="shared" si="33"/>
        <v>80</v>
      </c>
      <c r="C90" s="344" t="s">
        <v>183</v>
      </c>
      <c r="D90" s="342" t="s">
        <v>193</v>
      </c>
      <c r="E90" s="341" t="s">
        <v>234</v>
      </c>
      <c r="F90" s="341">
        <v>1</v>
      </c>
      <c r="G90" s="341">
        <v>850</v>
      </c>
      <c r="H90" s="341" t="s">
        <v>173</v>
      </c>
      <c r="I90" s="341">
        <v>2300</v>
      </c>
      <c r="J90" s="2"/>
      <c r="K90" s="334">
        <v>13</v>
      </c>
      <c r="L90" s="335" t="s">
        <v>28</v>
      </c>
      <c r="M90" s="336" t="s">
        <v>118</v>
      </c>
      <c r="N90" s="337" t="s">
        <v>6</v>
      </c>
      <c r="O90" s="323" t="s">
        <v>186</v>
      </c>
      <c r="P90" s="337" t="s">
        <v>187</v>
      </c>
      <c r="Q90" s="2"/>
      <c r="R90" s="324">
        <f t="shared" si="34"/>
        <v>2300</v>
      </c>
      <c r="S90" s="325">
        <v>1</v>
      </c>
      <c r="T90" s="325">
        <f t="shared" si="22"/>
        <v>1</v>
      </c>
      <c r="V90" s="338">
        <v>3660</v>
      </c>
      <c r="W90" s="339">
        <f t="shared" si="23"/>
        <v>1</v>
      </c>
      <c r="X90" s="339">
        <f t="shared" si="24"/>
        <v>2400</v>
      </c>
      <c r="Y90" s="327">
        <v>3660</v>
      </c>
      <c r="Z90" s="340">
        <f>($R90*$T90)/$V90</f>
        <v>0.62841530054644812</v>
      </c>
      <c r="AA90" s="392"/>
      <c r="AB90" s="332">
        <v>1.641</v>
      </c>
      <c r="AC90" s="332">
        <v>0.20319999999999999</v>
      </c>
      <c r="AE90" s="332">
        <f t="shared" si="25"/>
        <v>3.7742999999999998</v>
      </c>
      <c r="AF90" s="332">
        <f t="shared" si="26"/>
        <v>3.7742999999999998</v>
      </c>
      <c r="AG90" s="332">
        <f t="shared" si="27"/>
        <v>0</v>
      </c>
      <c r="AH90" s="333">
        <f t="shared" si="28"/>
        <v>1</v>
      </c>
      <c r="AI90" s="332">
        <f t="shared" si="29"/>
        <v>2.2999999999999998</v>
      </c>
      <c r="AJ90" s="332">
        <f t="shared" si="30"/>
        <v>2.3000000000000003</v>
      </c>
      <c r="AK90" s="332">
        <f t="shared" si="31"/>
        <v>0</v>
      </c>
      <c r="AL90" s="333">
        <f t="shared" si="32"/>
        <v>1.0000000000000002</v>
      </c>
    </row>
    <row r="91" spans="2:39" s="353" customFormat="1" ht="30" customHeight="1" x14ac:dyDescent="0.25">
      <c r="B91" s="341">
        <f t="shared" si="33"/>
        <v>81</v>
      </c>
      <c r="C91" s="344" t="s">
        <v>183</v>
      </c>
      <c r="D91" s="342" t="s">
        <v>193</v>
      </c>
      <c r="E91" s="341" t="s">
        <v>234</v>
      </c>
      <c r="F91" s="341">
        <v>1</v>
      </c>
      <c r="G91" s="341">
        <v>850</v>
      </c>
      <c r="H91" s="341" t="s">
        <v>173</v>
      </c>
      <c r="I91" s="341">
        <v>2300</v>
      </c>
      <c r="J91" s="2"/>
      <c r="K91" s="319">
        <v>10</v>
      </c>
      <c r="L91" s="321" t="s">
        <v>42</v>
      </c>
      <c r="M91" s="322" t="s">
        <v>43</v>
      </c>
      <c r="N91" s="321" t="s">
        <v>39</v>
      </c>
      <c r="O91" s="323" t="s">
        <v>188</v>
      </c>
      <c r="P91" s="321" t="s">
        <v>3</v>
      </c>
      <c r="Q91" s="2"/>
      <c r="R91" s="324">
        <f t="shared" ref="R91:R98" si="35">ROUNDUP(G91,0)</f>
        <v>850</v>
      </c>
      <c r="S91" s="325">
        <v>1</v>
      </c>
      <c r="T91" s="325">
        <f t="shared" si="22"/>
        <v>1</v>
      </c>
      <c r="U91" s="303"/>
      <c r="V91" s="324">
        <v>5000</v>
      </c>
      <c r="W91" s="326">
        <f t="shared" si="23"/>
        <v>5</v>
      </c>
      <c r="X91" s="326">
        <f t="shared" si="24"/>
        <v>4370</v>
      </c>
      <c r="Y91" s="327">
        <v>4600</v>
      </c>
      <c r="Z91" s="328">
        <f t="shared" si="20"/>
        <v>0.2</v>
      </c>
      <c r="AA91" s="392"/>
      <c r="AB91" s="329">
        <v>1.72</v>
      </c>
      <c r="AC91" s="329">
        <v>0.32400000000000001</v>
      </c>
      <c r="AD91" s="303"/>
      <c r="AE91" s="332">
        <f t="shared" si="25"/>
        <v>1.462</v>
      </c>
      <c r="AF91" s="332">
        <f t="shared" si="26"/>
        <v>1.5824</v>
      </c>
      <c r="AG91" s="332">
        <f t="shared" si="27"/>
        <v>-0.12040000000000006</v>
      </c>
      <c r="AH91" s="333">
        <f t="shared" si="28"/>
        <v>1.0823529411764707</v>
      </c>
      <c r="AI91" s="332">
        <f t="shared" si="29"/>
        <v>0.85</v>
      </c>
      <c r="AJ91" s="332">
        <f t="shared" si="30"/>
        <v>0.91999999999999993</v>
      </c>
      <c r="AK91" s="332">
        <f t="shared" si="31"/>
        <v>-6.9999999999999951E-2</v>
      </c>
      <c r="AL91" s="333">
        <f t="shared" si="32"/>
        <v>1.0823529411764705</v>
      </c>
      <c r="AM91" s="303"/>
    </row>
    <row r="92" spans="2:39" s="353" customFormat="1" ht="30" customHeight="1" x14ac:dyDescent="0.25">
      <c r="B92" s="341">
        <f t="shared" si="33"/>
        <v>82</v>
      </c>
      <c r="C92" s="344" t="s">
        <v>183</v>
      </c>
      <c r="D92" s="342" t="s">
        <v>193</v>
      </c>
      <c r="E92" s="341" t="s">
        <v>234</v>
      </c>
      <c r="F92" s="341">
        <v>1</v>
      </c>
      <c r="G92" s="341">
        <v>850</v>
      </c>
      <c r="H92" s="341" t="s">
        <v>173</v>
      </c>
      <c r="I92" s="341">
        <v>2300</v>
      </c>
      <c r="J92" s="390"/>
      <c r="K92" s="319">
        <v>10</v>
      </c>
      <c r="L92" s="321" t="s">
        <v>40</v>
      </c>
      <c r="M92" s="322" t="s">
        <v>41</v>
      </c>
      <c r="N92" s="321" t="s">
        <v>39</v>
      </c>
      <c r="O92" s="323" t="s">
        <v>188</v>
      </c>
      <c r="P92" s="321" t="s">
        <v>3</v>
      </c>
      <c r="Q92" s="2"/>
      <c r="R92" s="324">
        <f t="shared" si="35"/>
        <v>850</v>
      </c>
      <c r="S92" s="325">
        <v>1</v>
      </c>
      <c r="T92" s="325">
        <f t="shared" si="22"/>
        <v>1</v>
      </c>
      <c r="U92" s="303"/>
      <c r="V92" s="324">
        <v>5000</v>
      </c>
      <c r="W92" s="326">
        <f t="shared" si="23"/>
        <v>5</v>
      </c>
      <c r="X92" s="326">
        <f t="shared" si="24"/>
        <v>4370</v>
      </c>
      <c r="Y92" s="327">
        <v>4600</v>
      </c>
      <c r="Z92" s="328">
        <f t="shared" si="20"/>
        <v>0.2</v>
      </c>
      <c r="AA92" s="304"/>
      <c r="AB92" s="329">
        <v>0.27700000000000002</v>
      </c>
      <c r="AC92" s="329">
        <v>0.114</v>
      </c>
      <c r="AD92" s="303"/>
      <c r="AE92" s="332">
        <f t="shared" si="25"/>
        <v>0.23545000000000002</v>
      </c>
      <c r="AF92" s="332">
        <f t="shared" si="26"/>
        <v>0.25484000000000001</v>
      </c>
      <c r="AG92" s="332">
        <f t="shared" si="27"/>
        <v>-1.9389999999999991E-2</v>
      </c>
      <c r="AH92" s="333">
        <f t="shared" si="28"/>
        <v>1.0823529411764705</v>
      </c>
      <c r="AI92" s="332">
        <f t="shared" si="29"/>
        <v>0.85</v>
      </c>
      <c r="AJ92" s="332">
        <f t="shared" si="30"/>
        <v>0.91999999999999993</v>
      </c>
      <c r="AK92" s="332">
        <f t="shared" si="31"/>
        <v>-6.9999999999999951E-2</v>
      </c>
      <c r="AL92" s="333">
        <f t="shared" si="32"/>
        <v>1.0823529411764705</v>
      </c>
      <c r="AM92" s="303"/>
    </row>
    <row r="93" spans="2:39" s="303" customFormat="1" ht="28.5" x14ac:dyDescent="0.2">
      <c r="B93" s="319">
        <f t="shared" si="33"/>
        <v>83</v>
      </c>
      <c r="C93" s="344" t="s">
        <v>183</v>
      </c>
      <c r="D93" s="342" t="s">
        <v>193</v>
      </c>
      <c r="E93" s="341" t="s">
        <v>234</v>
      </c>
      <c r="F93" s="341">
        <v>1</v>
      </c>
      <c r="G93" s="341">
        <v>850</v>
      </c>
      <c r="H93" s="341" t="s">
        <v>173</v>
      </c>
      <c r="I93" s="341">
        <v>2300</v>
      </c>
      <c r="J93" s="2"/>
      <c r="K93" s="319">
        <v>10</v>
      </c>
      <c r="L93" s="321" t="s">
        <v>37</v>
      </c>
      <c r="M93" s="322" t="s">
        <v>38</v>
      </c>
      <c r="N93" s="321" t="s">
        <v>39</v>
      </c>
      <c r="O93" s="323" t="s">
        <v>188</v>
      </c>
      <c r="P93" s="321" t="s">
        <v>3</v>
      </c>
      <c r="Q93" s="2"/>
      <c r="R93" s="324">
        <f t="shared" si="35"/>
        <v>850</v>
      </c>
      <c r="S93" s="325">
        <v>1</v>
      </c>
      <c r="T93" s="325">
        <f t="shared" si="22"/>
        <v>1</v>
      </c>
      <c r="V93" s="324">
        <v>5000</v>
      </c>
      <c r="W93" s="326">
        <f t="shared" si="23"/>
        <v>5</v>
      </c>
      <c r="X93" s="326">
        <f t="shared" si="24"/>
        <v>4370</v>
      </c>
      <c r="Y93" s="327">
        <v>4600</v>
      </c>
      <c r="Z93" s="328">
        <f t="shared" si="20"/>
        <v>0.2</v>
      </c>
      <c r="AA93" s="392"/>
      <c r="AB93" s="329">
        <v>0.29899999999999999</v>
      </c>
      <c r="AC93" s="329">
        <v>0.13900000000000001</v>
      </c>
      <c r="AE93" s="332">
        <f t="shared" si="25"/>
        <v>0.25414999999999999</v>
      </c>
      <c r="AF93" s="332">
        <f t="shared" si="26"/>
        <v>0.27507999999999999</v>
      </c>
      <c r="AG93" s="332">
        <f t="shared" si="27"/>
        <v>-2.0930000000000004E-2</v>
      </c>
      <c r="AH93" s="333">
        <f t="shared" si="28"/>
        <v>1.0823529411764705</v>
      </c>
      <c r="AI93" s="332">
        <f t="shared" si="29"/>
        <v>0.85</v>
      </c>
      <c r="AJ93" s="332">
        <f t="shared" si="30"/>
        <v>0.91999999999999993</v>
      </c>
      <c r="AK93" s="332">
        <f t="shared" si="31"/>
        <v>-6.9999999999999951E-2</v>
      </c>
      <c r="AL93" s="333">
        <f t="shared" si="32"/>
        <v>1.0823529411764705</v>
      </c>
    </row>
    <row r="94" spans="2:39" s="303" customFormat="1" ht="28.5" x14ac:dyDescent="0.2">
      <c r="B94" s="319">
        <f t="shared" si="33"/>
        <v>84</v>
      </c>
      <c r="C94" s="344" t="s">
        <v>183</v>
      </c>
      <c r="D94" s="342" t="s">
        <v>193</v>
      </c>
      <c r="E94" s="341" t="s">
        <v>234</v>
      </c>
      <c r="F94" s="341">
        <v>1</v>
      </c>
      <c r="G94" s="341">
        <v>850</v>
      </c>
      <c r="H94" s="341" t="s">
        <v>173</v>
      </c>
      <c r="I94" s="341">
        <v>2300</v>
      </c>
      <c r="J94" s="2"/>
      <c r="K94" s="334">
        <v>10</v>
      </c>
      <c r="L94" s="335" t="s">
        <v>28</v>
      </c>
      <c r="M94" s="336" t="s">
        <v>118</v>
      </c>
      <c r="N94" s="337" t="s">
        <v>6</v>
      </c>
      <c r="O94" s="323" t="s">
        <v>188</v>
      </c>
      <c r="P94" s="337" t="s">
        <v>187</v>
      </c>
      <c r="Q94" s="2"/>
      <c r="R94" s="324">
        <f t="shared" si="35"/>
        <v>850</v>
      </c>
      <c r="S94" s="325">
        <v>1</v>
      </c>
      <c r="T94" s="325">
        <f t="shared" si="22"/>
        <v>1</v>
      </c>
      <c r="V94" s="338">
        <v>3660</v>
      </c>
      <c r="W94" s="339">
        <f t="shared" si="23"/>
        <v>4</v>
      </c>
      <c r="X94" s="339">
        <f t="shared" si="24"/>
        <v>3515</v>
      </c>
      <c r="Y94" s="327">
        <v>3660</v>
      </c>
      <c r="Z94" s="340">
        <f>($R94*$T94)/$V94</f>
        <v>0.23224043715846995</v>
      </c>
      <c r="AA94" s="392"/>
      <c r="AB94" s="332">
        <v>1.641</v>
      </c>
      <c r="AC94" s="332">
        <v>0.20319999999999999</v>
      </c>
      <c r="AE94" s="332">
        <f t="shared" si="25"/>
        <v>1.3948499999999999</v>
      </c>
      <c r="AF94" s="332">
        <f t="shared" si="26"/>
        <v>1.3948499999999999</v>
      </c>
      <c r="AG94" s="332">
        <f t="shared" si="27"/>
        <v>0</v>
      </c>
      <c r="AH94" s="333">
        <f t="shared" si="28"/>
        <v>1</v>
      </c>
      <c r="AI94" s="332">
        <f t="shared" si="29"/>
        <v>0.85</v>
      </c>
      <c r="AJ94" s="332">
        <f t="shared" si="30"/>
        <v>0.85000000000000009</v>
      </c>
      <c r="AK94" s="332">
        <f t="shared" si="31"/>
        <v>0</v>
      </c>
      <c r="AL94" s="333">
        <f t="shared" si="32"/>
        <v>1.0000000000000002</v>
      </c>
    </row>
    <row r="95" spans="2:39" s="303" customFormat="1" ht="28.5" x14ac:dyDescent="0.2">
      <c r="B95" s="319">
        <f t="shared" si="33"/>
        <v>85</v>
      </c>
      <c r="C95" s="344" t="s">
        <v>183</v>
      </c>
      <c r="D95" s="342" t="s">
        <v>193</v>
      </c>
      <c r="E95" s="341" t="s">
        <v>234</v>
      </c>
      <c r="F95" s="341">
        <v>1</v>
      </c>
      <c r="G95" s="341">
        <v>850</v>
      </c>
      <c r="H95" s="341" t="s">
        <v>173</v>
      </c>
      <c r="I95" s="341">
        <v>2300</v>
      </c>
      <c r="J95" s="2"/>
      <c r="K95" s="319">
        <v>11</v>
      </c>
      <c r="L95" s="321" t="s">
        <v>42</v>
      </c>
      <c r="M95" s="322" t="s">
        <v>43</v>
      </c>
      <c r="N95" s="321" t="s">
        <v>39</v>
      </c>
      <c r="O95" s="323" t="s">
        <v>188</v>
      </c>
      <c r="P95" s="321" t="s">
        <v>3</v>
      </c>
      <c r="Q95" s="2"/>
      <c r="R95" s="324">
        <f t="shared" si="35"/>
        <v>850</v>
      </c>
      <c r="S95" s="325">
        <v>1</v>
      </c>
      <c r="T95" s="325">
        <f t="shared" si="22"/>
        <v>1</v>
      </c>
      <c r="V95" s="324">
        <v>5000</v>
      </c>
      <c r="W95" s="326">
        <f t="shared" si="23"/>
        <v>5</v>
      </c>
      <c r="X95" s="326">
        <f t="shared" si="24"/>
        <v>4370</v>
      </c>
      <c r="Y95" s="327">
        <v>4600</v>
      </c>
      <c r="Z95" s="328">
        <f t="shared" si="20"/>
        <v>0.2</v>
      </c>
      <c r="AA95" s="392"/>
      <c r="AB95" s="329">
        <v>1.72</v>
      </c>
      <c r="AC95" s="329">
        <v>0.32400000000000001</v>
      </c>
      <c r="AE95" s="332">
        <f t="shared" si="25"/>
        <v>1.462</v>
      </c>
      <c r="AF95" s="332">
        <f t="shared" si="26"/>
        <v>1.5824</v>
      </c>
      <c r="AG95" s="332">
        <f t="shared" si="27"/>
        <v>-0.12040000000000006</v>
      </c>
      <c r="AH95" s="333">
        <f t="shared" si="28"/>
        <v>1.0823529411764707</v>
      </c>
      <c r="AI95" s="332">
        <f t="shared" si="29"/>
        <v>0.85</v>
      </c>
      <c r="AJ95" s="332">
        <f t="shared" si="30"/>
        <v>0.91999999999999993</v>
      </c>
      <c r="AK95" s="332">
        <f t="shared" si="31"/>
        <v>-6.9999999999999951E-2</v>
      </c>
      <c r="AL95" s="333">
        <f t="shared" si="32"/>
        <v>1.0823529411764705</v>
      </c>
    </row>
    <row r="96" spans="2:39" s="303" customFormat="1" ht="28.5" x14ac:dyDescent="0.2">
      <c r="B96" s="319">
        <f t="shared" si="33"/>
        <v>86</v>
      </c>
      <c r="C96" s="344" t="s">
        <v>183</v>
      </c>
      <c r="D96" s="342" t="s">
        <v>193</v>
      </c>
      <c r="E96" s="341" t="s">
        <v>234</v>
      </c>
      <c r="F96" s="341">
        <v>1</v>
      </c>
      <c r="G96" s="341">
        <v>850</v>
      </c>
      <c r="H96" s="341" t="s">
        <v>173</v>
      </c>
      <c r="I96" s="341">
        <v>2300</v>
      </c>
      <c r="J96" s="2"/>
      <c r="K96" s="319">
        <v>11</v>
      </c>
      <c r="L96" s="321" t="s">
        <v>40</v>
      </c>
      <c r="M96" s="322" t="s">
        <v>41</v>
      </c>
      <c r="N96" s="321" t="s">
        <v>39</v>
      </c>
      <c r="O96" s="323" t="s">
        <v>188</v>
      </c>
      <c r="P96" s="321" t="s">
        <v>3</v>
      </c>
      <c r="Q96" s="2"/>
      <c r="R96" s="324">
        <f t="shared" si="35"/>
        <v>850</v>
      </c>
      <c r="S96" s="325">
        <v>1</v>
      </c>
      <c r="T96" s="325">
        <f t="shared" si="22"/>
        <v>1</v>
      </c>
      <c r="V96" s="324">
        <v>5000</v>
      </c>
      <c r="W96" s="326">
        <f t="shared" si="23"/>
        <v>5</v>
      </c>
      <c r="X96" s="326">
        <f t="shared" si="24"/>
        <v>4370</v>
      </c>
      <c r="Y96" s="327">
        <v>4600</v>
      </c>
      <c r="Z96" s="328">
        <f t="shared" si="20"/>
        <v>0.2</v>
      </c>
      <c r="AA96" s="392"/>
      <c r="AB96" s="329">
        <v>0.27700000000000002</v>
      </c>
      <c r="AC96" s="329">
        <v>0.114</v>
      </c>
      <c r="AE96" s="332">
        <f t="shared" si="25"/>
        <v>0.23545000000000002</v>
      </c>
      <c r="AF96" s="332">
        <f t="shared" si="26"/>
        <v>0.25484000000000001</v>
      </c>
      <c r="AG96" s="332">
        <f t="shared" si="27"/>
        <v>-1.9389999999999991E-2</v>
      </c>
      <c r="AH96" s="333">
        <f t="shared" si="28"/>
        <v>1.0823529411764705</v>
      </c>
      <c r="AI96" s="332">
        <f t="shared" si="29"/>
        <v>0.85</v>
      </c>
      <c r="AJ96" s="332">
        <f t="shared" si="30"/>
        <v>0.91999999999999993</v>
      </c>
      <c r="AK96" s="332">
        <f t="shared" si="31"/>
        <v>-6.9999999999999951E-2</v>
      </c>
      <c r="AL96" s="333">
        <f t="shared" si="32"/>
        <v>1.0823529411764705</v>
      </c>
    </row>
    <row r="97" spans="2:39" s="303" customFormat="1" ht="28.5" x14ac:dyDescent="0.2">
      <c r="B97" s="319">
        <f t="shared" si="33"/>
        <v>87</v>
      </c>
      <c r="C97" s="344" t="s">
        <v>183</v>
      </c>
      <c r="D97" s="342" t="s">
        <v>193</v>
      </c>
      <c r="E97" s="341" t="s">
        <v>234</v>
      </c>
      <c r="F97" s="341">
        <v>1</v>
      </c>
      <c r="G97" s="341">
        <v>850</v>
      </c>
      <c r="H97" s="341" t="s">
        <v>173</v>
      </c>
      <c r="I97" s="341">
        <v>2300</v>
      </c>
      <c r="J97" s="2"/>
      <c r="K97" s="341">
        <v>11</v>
      </c>
      <c r="L97" s="342" t="s">
        <v>37</v>
      </c>
      <c r="M97" s="343" t="s">
        <v>38</v>
      </c>
      <c r="N97" s="342" t="s">
        <v>39</v>
      </c>
      <c r="O97" s="323" t="s">
        <v>188</v>
      </c>
      <c r="P97" s="342" t="s">
        <v>3</v>
      </c>
      <c r="Q97" s="2"/>
      <c r="R97" s="324">
        <f t="shared" si="35"/>
        <v>850</v>
      </c>
      <c r="S97" s="325">
        <v>1</v>
      </c>
      <c r="T97" s="325">
        <f t="shared" si="22"/>
        <v>1</v>
      </c>
      <c r="V97" s="324">
        <v>5000</v>
      </c>
      <c r="W97" s="326">
        <f t="shared" si="23"/>
        <v>5</v>
      </c>
      <c r="X97" s="326">
        <f t="shared" si="24"/>
        <v>4370</v>
      </c>
      <c r="Y97" s="327">
        <v>4600</v>
      </c>
      <c r="Z97" s="328">
        <f t="shared" si="20"/>
        <v>0.2</v>
      </c>
      <c r="AA97" s="426">
        <v>0.5</v>
      </c>
      <c r="AB97" s="329">
        <v>0.29899999999999999</v>
      </c>
      <c r="AC97" s="329">
        <v>0.13900000000000001</v>
      </c>
      <c r="AE97" s="332">
        <f t="shared" si="25"/>
        <v>0.25414999999999999</v>
      </c>
      <c r="AF97" s="332">
        <f t="shared" si="26"/>
        <v>0.27507999999999999</v>
      </c>
      <c r="AG97" s="332">
        <f t="shared" si="27"/>
        <v>-2.0930000000000004E-2</v>
      </c>
      <c r="AH97" s="333">
        <f t="shared" si="28"/>
        <v>1.0823529411764705</v>
      </c>
      <c r="AI97" s="332">
        <f t="shared" si="29"/>
        <v>0.85</v>
      </c>
      <c r="AJ97" s="332">
        <f t="shared" si="30"/>
        <v>0.91999999999999993</v>
      </c>
      <c r="AK97" s="332">
        <f t="shared" si="31"/>
        <v>-6.9999999999999951E-2</v>
      </c>
      <c r="AL97" s="333">
        <f t="shared" si="32"/>
        <v>1.0823529411764705</v>
      </c>
    </row>
    <row r="98" spans="2:39" s="353" customFormat="1" ht="30" customHeight="1" x14ac:dyDescent="0.25">
      <c r="B98" s="341">
        <f t="shared" si="33"/>
        <v>88</v>
      </c>
      <c r="C98" s="344" t="s">
        <v>183</v>
      </c>
      <c r="D98" s="342" t="s">
        <v>193</v>
      </c>
      <c r="E98" s="341" t="s">
        <v>234</v>
      </c>
      <c r="F98" s="341">
        <v>1</v>
      </c>
      <c r="G98" s="341">
        <v>850</v>
      </c>
      <c r="H98" s="341" t="s">
        <v>173</v>
      </c>
      <c r="I98" s="341">
        <v>2300</v>
      </c>
      <c r="J98" s="2"/>
      <c r="K98" s="345">
        <v>11</v>
      </c>
      <c r="L98" s="335" t="s">
        <v>28</v>
      </c>
      <c r="M98" s="346" t="s">
        <v>118</v>
      </c>
      <c r="N98" s="347" t="s">
        <v>6</v>
      </c>
      <c r="O98" s="323" t="s">
        <v>188</v>
      </c>
      <c r="P98" s="347" t="s">
        <v>187</v>
      </c>
      <c r="Q98" s="2"/>
      <c r="R98" s="348">
        <f t="shared" si="35"/>
        <v>850</v>
      </c>
      <c r="S98" s="349">
        <v>1</v>
      </c>
      <c r="T98" s="349">
        <f t="shared" si="22"/>
        <v>1</v>
      </c>
      <c r="U98" s="303"/>
      <c r="V98" s="338">
        <v>3660</v>
      </c>
      <c r="W98" s="350">
        <f t="shared" si="23"/>
        <v>4</v>
      </c>
      <c r="X98" s="350">
        <f t="shared" si="24"/>
        <v>3515</v>
      </c>
      <c r="Y98" s="327">
        <v>3660</v>
      </c>
      <c r="Z98" s="340">
        <f>($R98*$T98)/$V98</f>
        <v>0.23224043715846995</v>
      </c>
      <c r="AA98" s="392"/>
      <c r="AB98" s="332">
        <v>1.641</v>
      </c>
      <c r="AC98" s="332">
        <v>0.20319999999999999</v>
      </c>
      <c r="AD98" s="303"/>
      <c r="AE98" s="332">
        <f t="shared" si="25"/>
        <v>1.3948499999999999</v>
      </c>
      <c r="AF98" s="332">
        <f t="shared" si="26"/>
        <v>1.3948499999999999</v>
      </c>
      <c r="AG98" s="332">
        <f t="shared" si="27"/>
        <v>0</v>
      </c>
      <c r="AH98" s="333">
        <f t="shared" si="28"/>
        <v>1</v>
      </c>
      <c r="AI98" s="332">
        <f t="shared" si="29"/>
        <v>0.85</v>
      </c>
      <c r="AJ98" s="332">
        <f t="shared" si="30"/>
        <v>0.85000000000000009</v>
      </c>
      <c r="AK98" s="332">
        <f t="shared" si="31"/>
        <v>0</v>
      </c>
      <c r="AL98" s="333">
        <f t="shared" si="32"/>
        <v>1.0000000000000002</v>
      </c>
      <c r="AM98" s="303"/>
    </row>
    <row r="99" spans="2:39" s="353" customFormat="1" ht="30" customHeight="1" x14ac:dyDescent="0.25">
      <c r="B99" s="341">
        <f t="shared" si="33"/>
        <v>89</v>
      </c>
      <c r="C99" s="344" t="s">
        <v>183</v>
      </c>
      <c r="D99" s="342" t="s">
        <v>193</v>
      </c>
      <c r="E99" s="341" t="s">
        <v>234</v>
      </c>
      <c r="F99" s="341">
        <v>1</v>
      </c>
      <c r="G99" s="341">
        <v>850</v>
      </c>
      <c r="H99" s="341" t="s">
        <v>173</v>
      </c>
      <c r="I99" s="341">
        <v>2300</v>
      </c>
      <c r="J99" s="390"/>
      <c r="K99" s="354"/>
      <c r="L99" s="355" t="s">
        <v>28</v>
      </c>
      <c r="M99" s="356" t="s">
        <v>29</v>
      </c>
      <c r="N99" s="469" t="s">
        <v>6</v>
      </c>
      <c r="O99" s="323" t="s">
        <v>189</v>
      </c>
      <c r="P99" s="347" t="s">
        <v>187</v>
      </c>
      <c r="Q99" s="2"/>
      <c r="R99" s="338">
        <v>51</v>
      </c>
      <c r="S99" s="357">
        <f>4*1</f>
        <v>4</v>
      </c>
      <c r="T99" s="357">
        <f t="shared" si="22"/>
        <v>4</v>
      </c>
      <c r="U99" s="303"/>
      <c r="V99" s="338">
        <v>3250</v>
      </c>
      <c r="W99" s="358">
        <f t="shared" si="23"/>
        <v>63</v>
      </c>
      <c r="X99" s="358">
        <f t="shared" si="24"/>
        <v>3623</v>
      </c>
      <c r="Y99" s="351">
        <v>3660</v>
      </c>
      <c r="Z99" s="359">
        <f t="shared" si="20"/>
        <v>6.3492063492063489E-2</v>
      </c>
      <c r="AA99" s="392"/>
      <c r="AB99" s="332">
        <v>1.641</v>
      </c>
      <c r="AC99" s="332">
        <v>0.20319999999999999</v>
      </c>
      <c r="AD99" s="303"/>
      <c r="AE99" s="332">
        <f t="shared" si="25"/>
        <v>0.33476400000000001</v>
      </c>
      <c r="AF99" s="332">
        <f t="shared" si="26"/>
        <v>0.38133714285714287</v>
      </c>
      <c r="AG99" s="332">
        <f t="shared" si="27"/>
        <v>-4.6573142857142869E-2</v>
      </c>
      <c r="AH99" s="333">
        <f t="shared" si="28"/>
        <v>1.1391223155929038</v>
      </c>
      <c r="AI99" s="332">
        <f t="shared" si="29"/>
        <v>0.20399999999999999</v>
      </c>
      <c r="AJ99" s="332">
        <f t="shared" si="30"/>
        <v>0.23238095238095238</v>
      </c>
      <c r="AK99" s="332">
        <f t="shared" si="31"/>
        <v>-2.8380952380952396E-2</v>
      </c>
      <c r="AL99" s="333">
        <f t="shared" si="32"/>
        <v>1.139122315592904</v>
      </c>
      <c r="AM99" s="303"/>
    </row>
    <row r="100" spans="2:39" s="353" customFormat="1" ht="30" customHeight="1" thickBot="1" x14ac:dyDescent="0.3">
      <c r="B100" s="360">
        <f>B99+1</f>
        <v>90</v>
      </c>
      <c r="C100" s="344" t="s">
        <v>183</v>
      </c>
      <c r="D100" s="342" t="s">
        <v>193</v>
      </c>
      <c r="E100" s="341" t="s">
        <v>234</v>
      </c>
      <c r="F100" s="341">
        <v>1</v>
      </c>
      <c r="G100" s="341">
        <v>850</v>
      </c>
      <c r="H100" s="341" t="s">
        <v>173</v>
      </c>
      <c r="I100" s="341">
        <v>2300</v>
      </c>
      <c r="J100" s="390"/>
      <c r="K100" s="363"/>
      <c r="L100" s="364" t="s">
        <v>28</v>
      </c>
      <c r="M100" s="365" t="s">
        <v>29</v>
      </c>
      <c r="N100" s="470" t="s">
        <v>6</v>
      </c>
      <c r="O100" s="366" t="s">
        <v>190</v>
      </c>
      <c r="P100" s="367" t="s">
        <v>187</v>
      </c>
      <c r="Q100" s="2"/>
      <c r="R100" s="368">
        <v>51</v>
      </c>
      <c r="S100" s="369">
        <f>2*2</f>
        <v>4</v>
      </c>
      <c r="T100" s="369">
        <f t="shared" si="22"/>
        <v>4</v>
      </c>
      <c r="U100" s="303"/>
      <c r="V100" s="368">
        <v>3250</v>
      </c>
      <c r="W100" s="370">
        <f t="shared" si="23"/>
        <v>63</v>
      </c>
      <c r="X100" s="370">
        <f t="shared" si="24"/>
        <v>3623</v>
      </c>
      <c r="Y100" s="371">
        <v>3660</v>
      </c>
      <c r="Z100" s="372">
        <f t="shared" si="20"/>
        <v>6.3492063492063489E-2</v>
      </c>
      <c r="AA100" s="392"/>
      <c r="AB100" s="373">
        <v>1.641</v>
      </c>
      <c r="AC100" s="373">
        <v>0.20319999999999999</v>
      </c>
      <c r="AD100" s="303"/>
      <c r="AE100" s="373">
        <f t="shared" si="25"/>
        <v>0.33476400000000001</v>
      </c>
      <c r="AF100" s="373">
        <f t="shared" si="26"/>
        <v>0.38133714285714287</v>
      </c>
      <c r="AG100" s="373">
        <f t="shared" si="27"/>
        <v>-4.6573142857142869E-2</v>
      </c>
      <c r="AH100" s="374">
        <f t="shared" si="28"/>
        <v>1.1391223155929038</v>
      </c>
      <c r="AI100" s="373">
        <f t="shared" si="29"/>
        <v>0.20399999999999999</v>
      </c>
      <c r="AJ100" s="373">
        <f t="shared" si="30"/>
        <v>0.23238095238095238</v>
      </c>
      <c r="AK100" s="373">
        <f t="shared" si="31"/>
        <v>-2.8380952380952396E-2</v>
      </c>
      <c r="AL100" s="374">
        <f t="shared" si="32"/>
        <v>1.139122315592904</v>
      </c>
      <c r="AM100" s="303"/>
    </row>
    <row r="101" spans="2:39" s="303" customFormat="1" ht="28.5" x14ac:dyDescent="0.2">
      <c r="B101" s="375">
        <f>B100+1</f>
        <v>91</v>
      </c>
      <c r="C101" s="376" t="s">
        <v>183</v>
      </c>
      <c r="D101" s="377" t="s">
        <v>196</v>
      </c>
      <c r="E101" s="375" t="s">
        <v>197</v>
      </c>
      <c r="F101" s="375">
        <v>1</v>
      </c>
      <c r="G101" s="375">
        <v>7840</v>
      </c>
      <c r="H101" s="375" t="s">
        <v>173</v>
      </c>
      <c r="I101" s="375">
        <v>1470</v>
      </c>
      <c r="J101" s="2"/>
      <c r="K101" s="319">
        <v>12</v>
      </c>
      <c r="L101" s="321" t="s">
        <v>42</v>
      </c>
      <c r="M101" s="322" t="s">
        <v>43</v>
      </c>
      <c r="N101" s="321" t="s">
        <v>39</v>
      </c>
      <c r="O101" s="378" t="s">
        <v>186</v>
      </c>
      <c r="P101" s="321" t="s">
        <v>3</v>
      </c>
      <c r="Q101" s="2"/>
      <c r="R101" s="324">
        <f t="shared" ref="R101:R111" si="36">ROUNDUP(I101,0)</f>
        <v>1470</v>
      </c>
      <c r="S101" s="325">
        <v>1</v>
      </c>
      <c r="T101" s="325">
        <f t="shared" si="22"/>
        <v>1</v>
      </c>
      <c r="V101" s="324">
        <v>5000</v>
      </c>
      <c r="W101" s="326">
        <f t="shared" si="23"/>
        <v>3</v>
      </c>
      <c r="X101" s="326">
        <f t="shared" si="24"/>
        <v>4520</v>
      </c>
      <c r="Y101" s="327">
        <v>4600</v>
      </c>
      <c r="Z101" s="328">
        <f t="shared" si="20"/>
        <v>0.33333333333333331</v>
      </c>
      <c r="AA101" s="392"/>
      <c r="AB101" s="329">
        <v>1.72</v>
      </c>
      <c r="AC101" s="329">
        <v>0.32400000000000001</v>
      </c>
      <c r="AE101" s="330">
        <f t="shared" si="25"/>
        <v>2.5284</v>
      </c>
      <c r="AF101" s="330">
        <f t="shared" si="26"/>
        <v>2.6373333333333333</v>
      </c>
      <c r="AG101" s="330">
        <f t="shared" si="27"/>
        <v>-0.10893333333333333</v>
      </c>
      <c r="AH101" s="331">
        <f t="shared" si="28"/>
        <v>1.0430839002267573</v>
      </c>
      <c r="AI101" s="330">
        <f t="shared" si="29"/>
        <v>1.47</v>
      </c>
      <c r="AJ101" s="330">
        <f t="shared" si="30"/>
        <v>1.5333333333333332</v>
      </c>
      <c r="AK101" s="330">
        <f t="shared" si="31"/>
        <v>-6.3333333333333242E-2</v>
      </c>
      <c r="AL101" s="331">
        <f t="shared" si="32"/>
        <v>1.0430839002267573</v>
      </c>
    </row>
    <row r="102" spans="2:39" s="303" customFormat="1" ht="28.5" x14ac:dyDescent="0.2">
      <c r="B102" s="341">
        <f t="shared" si="33"/>
        <v>92</v>
      </c>
      <c r="C102" s="344" t="s">
        <v>183</v>
      </c>
      <c r="D102" s="342" t="s">
        <v>196</v>
      </c>
      <c r="E102" s="341" t="s">
        <v>197</v>
      </c>
      <c r="F102" s="341">
        <v>1</v>
      </c>
      <c r="G102" s="341">
        <v>7840</v>
      </c>
      <c r="H102" s="341" t="s">
        <v>173</v>
      </c>
      <c r="I102" s="341">
        <v>1470</v>
      </c>
      <c r="J102" s="2"/>
      <c r="K102" s="319">
        <v>12</v>
      </c>
      <c r="L102" s="321" t="s">
        <v>40</v>
      </c>
      <c r="M102" s="322" t="s">
        <v>41</v>
      </c>
      <c r="N102" s="321" t="s">
        <v>39</v>
      </c>
      <c r="O102" s="323" t="s">
        <v>186</v>
      </c>
      <c r="P102" s="321" t="s">
        <v>3</v>
      </c>
      <c r="Q102" s="2"/>
      <c r="R102" s="324">
        <f t="shared" si="36"/>
        <v>1470</v>
      </c>
      <c r="S102" s="325">
        <v>1</v>
      </c>
      <c r="T102" s="325">
        <f t="shared" si="22"/>
        <v>1</v>
      </c>
      <c r="V102" s="324">
        <v>5000</v>
      </c>
      <c r="W102" s="326">
        <f t="shared" si="23"/>
        <v>3</v>
      </c>
      <c r="X102" s="326">
        <f t="shared" si="24"/>
        <v>4520</v>
      </c>
      <c r="Y102" s="327">
        <v>4600</v>
      </c>
      <c r="Z102" s="328">
        <f t="shared" si="20"/>
        <v>0.33333333333333331</v>
      </c>
      <c r="AA102" s="392"/>
      <c r="AB102" s="329">
        <v>0.27700000000000002</v>
      </c>
      <c r="AC102" s="329">
        <v>0.114</v>
      </c>
      <c r="AE102" s="332">
        <f t="shared" si="25"/>
        <v>0.40719000000000005</v>
      </c>
      <c r="AF102" s="332">
        <f t="shared" si="26"/>
        <v>0.42473333333333335</v>
      </c>
      <c r="AG102" s="332">
        <f t="shared" si="27"/>
        <v>-1.75433333333333E-2</v>
      </c>
      <c r="AH102" s="333">
        <f t="shared" si="28"/>
        <v>1.0430839002267573</v>
      </c>
      <c r="AI102" s="332">
        <f t="shared" si="29"/>
        <v>1.47</v>
      </c>
      <c r="AJ102" s="332">
        <f t="shared" si="30"/>
        <v>1.5333333333333332</v>
      </c>
      <c r="AK102" s="332">
        <f t="shared" si="31"/>
        <v>-6.3333333333333242E-2</v>
      </c>
      <c r="AL102" s="333">
        <f t="shared" si="32"/>
        <v>1.0430839002267573</v>
      </c>
    </row>
    <row r="103" spans="2:39" s="303" customFormat="1" ht="28.5" x14ac:dyDescent="0.2">
      <c r="B103" s="319">
        <f t="shared" si="33"/>
        <v>93</v>
      </c>
      <c r="C103" s="344" t="s">
        <v>183</v>
      </c>
      <c r="D103" s="342" t="s">
        <v>196</v>
      </c>
      <c r="E103" s="341" t="s">
        <v>197</v>
      </c>
      <c r="F103" s="341">
        <v>1</v>
      </c>
      <c r="G103" s="341">
        <v>7840</v>
      </c>
      <c r="H103" s="341" t="s">
        <v>173</v>
      </c>
      <c r="I103" s="341">
        <v>1470</v>
      </c>
      <c r="J103" s="2"/>
      <c r="K103" s="319">
        <v>12</v>
      </c>
      <c r="L103" s="321" t="s">
        <v>37</v>
      </c>
      <c r="M103" s="322" t="s">
        <v>38</v>
      </c>
      <c r="N103" s="321" t="s">
        <v>39</v>
      </c>
      <c r="O103" s="323" t="s">
        <v>186</v>
      </c>
      <c r="P103" s="321" t="s">
        <v>3</v>
      </c>
      <c r="Q103" s="2"/>
      <c r="R103" s="324">
        <f t="shared" si="36"/>
        <v>1470</v>
      </c>
      <c r="S103" s="325">
        <v>1</v>
      </c>
      <c r="T103" s="325">
        <f t="shared" si="22"/>
        <v>1</v>
      </c>
      <c r="V103" s="324">
        <v>5000</v>
      </c>
      <c r="W103" s="326">
        <f t="shared" si="23"/>
        <v>3</v>
      </c>
      <c r="X103" s="326">
        <f t="shared" si="24"/>
        <v>4520</v>
      </c>
      <c r="Y103" s="327">
        <v>4600</v>
      </c>
      <c r="Z103" s="328">
        <f t="shared" si="20"/>
        <v>0.33333333333333331</v>
      </c>
      <c r="AA103" s="392"/>
      <c r="AB103" s="329">
        <v>0.29899999999999999</v>
      </c>
      <c r="AC103" s="329">
        <v>0.13900000000000001</v>
      </c>
      <c r="AE103" s="332">
        <f t="shared" si="25"/>
        <v>0.43952999999999998</v>
      </c>
      <c r="AF103" s="332">
        <f t="shared" si="26"/>
        <v>0.45846666666666663</v>
      </c>
      <c r="AG103" s="332">
        <f t="shared" si="27"/>
        <v>-1.8936666666666657E-2</v>
      </c>
      <c r="AH103" s="333">
        <f t="shared" si="28"/>
        <v>1.0430839002267573</v>
      </c>
      <c r="AI103" s="332">
        <f t="shared" si="29"/>
        <v>1.47</v>
      </c>
      <c r="AJ103" s="332">
        <f t="shared" si="30"/>
        <v>1.5333333333333332</v>
      </c>
      <c r="AK103" s="332">
        <f t="shared" si="31"/>
        <v>-6.3333333333333242E-2</v>
      </c>
      <c r="AL103" s="333">
        <f t="shared" si="32"/>
        <v>1.0430839002267573</v>
      </c>
    </row>
    <row r="104" spans="2:39" s="303" customFormat="1" ht="28.5" x14ac:dyDescent="0.2">
      <c r="B104" s="319">
        <f t="shared" si="33"/>
        <v>94</v>
      </c>
      <c r="C104" s="344" t="s">
        <v>183</v>
      </c>
      <c r="D104" s="342" t="s">
        <v>196</v>
      </c>
      <c r="E104" s="341" t="s">
        <v>197</v>
      </c>
      <c r="F104" s="341">
        <v>1</v>
      </c>
      <c r="G104" s="341">
        <v>7840</v>
      </c>
      <c r="H104" s="341" t="s">
        <v>173</v>
      </c>
      <c r="I104" s="341">
        <v>1470</v>
      </c>
      <c r="J104" s="2"/>
      <c r="K104" s="334">
        <v>12</v>
      </c>
      <c r="L104" s="335" t="s">
        <v>28</v>
      </c>
      <c r="M104" s="336" t="s">
        <v>118</v>
      </c>
      <c r="N104" s="337" t="s">
        <v>6</v>
      </c>
      <c r="O104" s="323" t="s">
        <v>186</v>
      </c>
      <c r="P104" s="337" t="s">
        <v>187</v>
      </c>
      <c r="Q104" s="2"/>
      <c r="R104" s="324">
        <f t="shared" si="36"/>
        <v>1470</v>
      </c>
      <c r="S104" s="325">
        <v>1</v>
      </c>
      <c r="T104" s="325">
        <f t="shared" si="22"/>
        <v>1</v>
      </c>
      <c r="V104" s="338">
        <v>3660</v>
      </c>
      <c r="W104" s="339">
        <f t="shared" si="23"/>
        <v>2</v>
      </c>
      <c r="X104" s="339">
        <f t="shared" si="24"/>
        <v>3045</v>
      </c>
      <c r="Y104" s="327">
        <v>3660</v>
      </c>
      <c r="Z104" s="340">
        <f>($R104*$T104)/$V104</f>
        <v>0.40163934426229508</v>
      </c>
      <c r="AA104" s="392"/>
      <c r="AB104" s="332">
        <v>1.641</v>
      </c>
      <c r="AC104" s="332">
        <v>0.20319999999999999</v>
      </c>
      <c r="AE104" s="332">
        <f t="shared" si="25"/>
        <v>2.4122699999999999</v>
      </c>
      <c r="AF104" s="332">
        <f t="shared" si="26"/>
        <v>2.4122699999999999</v>
      </c>
      <c r="AG104" s="332">
        <f t="shared" si="27"/>
        <v>0</v>
      </c>
      <c r="AH104" s="333">
        <f t="shared" si="28"/>
        <v>1</v>
      </c>
      <c r="AI104" s="332">
        <f t="shared" si="29"/>
        <v>1.47</v>
      </c>
      <c r="AJ104" s="332">
        <f t="shared" si="30"/>
        <v>1.47</v>
      </c>
      <c r="AK104" s="332">
        <f t="shared" si="31"/>
        <v>0</v>
      </c>
      <c r="AL104" s="333">
        <f t="shared" si="32"/>
        <v>1</v>
      </c>
    </row>
    <row r="105" spans="2:39" s="303" customFormat="1" ht="28.5" x14ac:dyDescent="0.2">
      <c r="B105" s="319">
        <f t="shared" si="33"/>
        <v>95</v>
      </c>
      <c r="C105" s="344" t="s">
        <v>183</v>
      </c>
      <c r="D105" s="342" t="s">
        <v>196</v>
      </c>
      <c r="E105" s="341" t="s">
        <v>197</v>
      </c>
      <c r="F105" s="341">
        <v>1</v>
      </c>
      <c r="G105" s="341">
        <v>7840</v>
      </c>
      <c r="H105" s="341" t="s">
        <v>173</v>
      </c>
      <c r="I105" s="341">
        <v>1470</v>
      </c>
      <c r="J105" s="2"/>
      <c r="K105" s="319">
        <v>13</v>
      </c>
      <c r="L105" s="321" t="s">
        <v>42</v>
      </c>
      <c r="M105" s="322" t="s">
        <v>43</v>
      </c>
      <c r="N105" s="321" t="s">
        <v>39</v>
      </c>
      <c r="O105" s="323" t="s">
        <v>186</v>
      </c>
      <c r="P105" s="321" t="s">
        <v>3</v>
      </c>
      <c r="Q105" s="2"/>
      <c r="R105" s="324">
        <f t="shared" si="36"/>
        <v>1470</v>
      </c>
      <c r="S105" s="325">
        <v>1</v>
      </c>
      <c r="T105" s="325">
        <f t="shared" si="22"/>
        <v>1</v>
      </c>
      <c r="V105" s="324">
        <v>5000</v>
      </c>
      <c r="W105" s="326">
        <f t="shared" si="23"/>
        <v>3</v>
      </c>
      <c r="X105" s="326">
        <f t="shared" si="24"/>
        <v>4520</v>
      </c>
      <c r="Y105" s="327">
        <v>4600</v>
      </c>
      <c r="Z105" s="328">
        <f t="shared" si="20"/>
        <v>0.33333333333333331</v>
      </c>
      <c r="AA105" s="392"/>
      <c r="AB105" s="329">
        <v>1.72</v>
      </c>
      <c r="AC105" s="329">
        <v>0.32400000000000001</v>
      </c>
      <c r="AE105" s="332">
        <f t="shared" si="25"/>
        <v>2.5284</v>
      </c>
      <c r="AF105" s="332">
        <f t="shared" si="26"/>
        <v>2.6373333333333333</v>
      </c>
      <c r="AG105" s="332">
        <f t="shared" si="27"/>
        <v>-0.10893333333333333</v>
      </c>
      <c r="AH105" s="333">
        <f t="shared" si="28"/>
        <v>1.0430839002267573</v>
      </c>
      <c r="AI105" s="332">
        <f t="shared" si="29"/>
        <v>1.47</v>
      </c>
      <c r="AJ105" s="332">
        <f t="shared" si="30"/>
        <v>1.5333333333333332</v>
      </c>
      <c r="AK105" s="332">
        <f t="shared" si="31"/>
        <v>-6.3333333333333242E-2</v>
      </c>
      <c r="AL105" s="333">
        <f t="shared" si="32"/>
        <v>1.0430839002267573</v>
      </c>
    </row>
    <row r="106" spans="2:39" s="303" customFormat="1" ht="28.5" x14ac:dyDescent="0.2">
      <c r="B106" s="319">
        <f t="shared" si="33"/>
        <v>96</v>
      </c>
      <c r="C106" s="344" t="s">
        <v>183</v>
      </c>
      <c r="D106" s="342" t="s">
        <v>196</v>
      </c>
      <c r="E106" s="341" t="s">
        <v>197</v>
      </c>
      <c r="F106" s="341">
        <v>1</v>
      </c>
      <c r="G106" s="341">
        <v>7840</v>
      </c>
      <c r="H106" s="341" t="s">
        <v>173</v>
      </c>
      <c r="I106" s="341">
        <v>1470</v>
      </c>
      <c r="J106" s="2"/>
      <c r="K106" s="319">
        <v>13</v>
      </c>
      <c r="L106" s="321" t="s">
        <v>40</v>
      </c>
      <c r="M106" s="322" t="s">
        <v>41</v>
      </c>
      <c r="N106" s="321" t="s">
        <v>39</v>
      </c>
      <c r="O106" s="323" t="s">
        <v>186</v>
      </c>
      <c r="P106" s="321" t="s">
        <v>3</v>
      </c>
      <c r="Q106" s="2"/>
      <c r="R106" s="324">
        <f t="shared" si="36"/>
        <v>1470</v>
      </c>
      <c r="S106" s="325">
        <v>1</v>
      </c>
      <c r="T106" s="325">
        <f t="shared" si="22"/>
        <v>1</v>
      </c>
      <c r="V106" s="324">
        <v>5000</v>
      </c>
      <c r="W106" s="326">
        <f t="shared" si="23"/>
        <v>3</v>
      </c>
      <c r="X106" s="326">
        <f t="shared" si="24"/>
        <v>4520</v>
      </c>
      <c r="Y106" s="327">
        <v>4600</v>
      </c>
      <c r="Z106" s="328">
        <f t="shared" si="20"/>
        <v>0.33333333333333331</v>
      </c>
      <c r="AA106" s="304"/>
      <c r="AB106" s="329">
        <v>0.27700000000000002</v>
      </c>
      <c r="AC106" s="329">
        <v>0.114</v>
      </c>
      <c r="AE106" s="332">
        <f t="shared" si="25"/>
        <v>0.40719000000000005</v>
      </c>
      <c r="AF106" s="332">
        <f t="shared" si="26"/>
        <v>0.42473333333333335</v>
      </c>
      <c r="AG106" s="332">
        <f t="shared" si="27"/>
        <v>-1.75433333333333E-2</v>
      </c>
      <c r="AH106" s="333">
        <f t="shared" si="28"/>
        <v>1.0430839002267573</v>
      </c>
      <c r="AI106" s="332">
        <f t="shared" si="29"/>
        <v>1.47</v>
      </c>
      <c r="AJ106" s="332">
        <f t="shared" si="30"/>
        <v>1.5333333333333332</v>
      </c>
      <c r="AK106" s="332">
        <f t="shared" si="31"/>
        <v>-6.3333333333333242E-2</v>
      </c>
      <c r="AL106" s="333">
        <f t="shared" si="32"/>
        <v>1.0430839002267573</v>
      </c>
    </row>
    <row r="107" spans="2:39" s="303" customFormat="1" ht="28.5" x14ac:dyDescent="0.2">
      <c r="B107" s="319">
        <f t="shared" si="33"/>
        <v>97</v>
      </c>
      <c r="C107" s="344" t="s">
        <v>183</v>
      </c>
      <c r="D107" s="342" t="s">
        <v>196</v>
      </c>
      <c r="E107" s="341" t="s">
        <v>197</v>
      </c>
      <c r="F107" s="341">
        <v>1</v>
      </c>
      <c r="G107" s="341">
        <v>7840</v>
      </c>
      <c r="H107" s="341" t="s">
        <v>173</v>
      </c>
      <c r="I107" s="341">
        <v>1470</v>
      </c>
      <c r="J107" s="2"/>
      <c r="K107" s="319">
        <v>13</v>
      </c>
      <c r="L107" s="321" t="s">
        <v>37</v>
      </c>
      <c r="M107" s="322" t="s">
        <v>38</v>
      </c>
      <c r="N107" s="321" t="s">
        <v>39</v>
      </c>
      <c r="O107" s="323" t="s">
        <v>186</v>
      </c>
      <c r="P107" s="321" t="s">
        <v>3</v>
      </c>
      <c r="Q107" s="2"/>
      <c r="R107" s="324">
        <f t="shared" si="36"/>
        <v>1470</v>
      </c>
      <c r="S107" s="325">
        <v>1</v>
      </c>
      <c r="T107" s="325">
        <f t="shared" si="22"/>
        <v>1</v>
      </c>
      <c r="V107" s="324">
        <v>5000</v>
      </c>
      <c r="W107" s="326">
        <f t="shared" si="23"/>
        <v>3</v>
      </c>
      <c r="X107" s="326">
        <f t="shared" si="24"/>
        <v>4520</v>
      </c>
      <c r="Y107" s="327">
        <v>4600</v>
      </c>
      <c r="Z107" s="328">
        <f t="shared" si="20"/>
        <v>0.33333333333333331</v>
      </c>
      <c r="AA107" s="392"/>
      <c r="AB107" s="329">
        <v>0.29899999999999999</v>
      </c>
      <c r="AC107" s="329">
        <v>0.13900000000000001</v>
      </c>
      <c r="AE107" s="332">
        <f t="shared" si="25"/>
        <v>0.43952999999999998</v>
      </c>
      <c r="AF107" s="332">
        <f t="shared" si="26"/>
        <v>0.45846666666666663</v>
      </c>
      <c r="AG107" s="332">
        <f t="shared" si="27"/>
        <v>-1.8936666666666657E-2</v>
      </c>
      <c r="AH107" s="333">
        <f t="shared" si="28"/>
        <v>1.0430839002267573</v>
      </c>
      <c r="AI107" s="332">
        <f t="shared" si="29"/>
        <v>1.47</v>
      </c>
      <c r="AJ107" s="332">
        <f t="shared" si="30"/>
        <v>1.5333333333333332</v>
      </c>
      <c r="AK107" s="332">
        <f t="shared" si="31"/>
        <v>-6.3333333333333242E-2</v>
      </c>
      <c r="AL107" s="333">
        <f t="shared" si="32"/>
        <v>1.0430839002267573</v>
      </c>
    </row>
    <row r="108" spans="2:39" s="303" customFormat="1" ht="28.5" x14ac:dyDescent="0.2">
      <c r="B108" s="319">
        <f t="shared" si="33"/>
        <v>98</v>
      </c>
      <c r="C108" s="344" t="s">
        <v>183</v>
      </c>
      <c r="D108" s="342" t="s">
        <v>196</v>
      </c>
      <c r="E108" s="341" t="s">
        <v>197</v>
      </c>
      <c r="F108" s="341">
        <v>1</v>
      </c>
      <c r="G108" s="341">
        <v>7840</v>
      </c>
      <c r="H108" s="341" t="s">
        <v>173</v>
      </c>
      <c r="I108" s="341">
        <v>1470</v>
      </c>
      <c r="J108" s="2"/>
      <c r="K108" s="334">
        <v>13</v>
      </c>
      <c r="L108" s="335" t="s">
        <v>28</v>
      </c>
      <c r="M108" s="336" t="s">
        <v>118</v>
      </c>
      <c r="N108" s="337" t="s">
        <v>6</v>
      </c>
      <c r="O108" s="323" t="s">
        <v>186</v>
      </c>
      <c r="P108" s="337" t="s">
        <v>187</v>
      </c>
      <c r="Q108" s="2"/>
      <c r="R108" s="324">
        <f t="shared" si="36"/>
        <v>1470</v>
      </c>
      <c r="S108" s="325">
        <v>1</v>
      </c>
      <c r="T108" s="325">
        <f t="shared" si="22"/>
        <v>1</v>
      </c>
      <c r="V108" s="338">
        <v>3660</v>
      </c>
      <c r="W108" s="339">
        <f t="shared" si="23"/>
        <v>2</v>
      </c>
      <c r="X108" s="339">
        <f t="shared" si="24"/>
        <v>3045</v>
      </c>
      <c r="Y108" s="327">
        <v>3660</v>
      </c>
      <c r="Z108" s="340">
        <f>($R108*$T108)/$V108</f>
        <v>0.40163934426229508</v>
      </c>
      <c r="AA108" s="392"/>
      <c r="AB108" s="332">
        <v>1.641</v>
      </c>
      <c r="AC108" s="332">
        <v>0.20319999999999999</v>
      </c>
      <c r="AE108" s="332">
        <f t="shared" si="25"/>
        <v>2.4122699999999999</v>
      </c>
      <c r="AF108" s="332">
        <f t="shared" si="26"/>
        <v>2.4122699999999999</v>
      </c>
      <c r="AG108" s="332">
        <f t="shared" si="27"/>
        <v>0</v>
      </c>
      <c r="AH108" s="333">
        <f t="shared" si="28"/>
        <v>1</v>
      </c>
      <c r="AI108" s="332">
        <f t="shared" si="29"/>
        <v>1.47</v>
      </c>
      <c r="AJ108" s="332">
        <f t="shared" si="30"/>
        <v>1.47</v>
      </c>
      <c r="AK108" s="332">
        <f t="shared" si="31"/>
        <v>0</v>
      </c>
      <c r="AL108" s="333">
        <f t="shared" si="32"/>
        <v>1</v>
      </c>
    </row>
    <row r="109" spans="2:39" s="303" customFormat="1" ht="28.5" x14ac:dyDescent="0.2">
      <c r="B109" s="319">
        <f t="shared" si="33"/>
        <v>99</v>
      </c>
      <c r="C109" s="344" t="s">
        <v>183</v>
      </c>
      <c r="D109" s="342" t="s">
        <v>196</v>
      </c>
      <c r="E109" s="341" t="s">
        <v>197</v>
      </c>
      <c r="F109" s="341">
        <v>1</v>
      </c>
      <c r="G109" s="341">
        <v>7840</v>
      </c>
      <c r="H109" s="341" t="s">
        <v>173</v>
      </c>
      <c r="I109" s="341">
        <v>1470</v>
      </c>
      <c r="J109" s="2"/>
      <c r="K109" s="319">
        <v>14</v>
      </c>
      <c r="L109" s="321" t="s">
        <v>42</v>
      </c>
      <c r="M109" s="322" t="s">
        <v>43</v>
      </c>
      <c r="N109" s="321" t="s">
        <v>39</v>
      </c>
      <c r="O109" s="323" t="s">
        <v>186</v>
      </c>
      <c r="P109" s="321" t="s">
        <v>3</v>
      </c>
      <c r="Q109" s="2"/>
      <c r="R109" s="324">
        <f t="shared" si="36"/>
        <v>1470</v>
      </c>
      <c r="S109" s="325">
        <v>6</v>
      </c>
      <c r="T109" s="325">
        <f t="shared" si="22"/>
        <v>6</v>
      </c>
      <c r="V109" s="324">
        <v>5000</v>
      </c>
      <c r="W109" s="326">
        <f t="shared" si="23"/>
        <v>3</v>
      </c>
      <c r="X109" s="326">
        <f t="shared" si="24"/>
        <v>4520</v>
      </c>
      <c r="Y109" s="327">
        <v>4600</v>
      </c>
      <c r="Z109" s="328">
        <f t="shared" si="20"/>
        <v>2</v>
      </c>
      <c r="AA109" s="392"/>
      <c r="AB109" s="329">
        <v>1.72</v>
      </c>
      <c r="AC109" s="329">
        <v>0.32400000000000001</v>
      </c>
      <c r="AE109" s="332">
        <f t="shared" si="25"/>
        <v>15.170400000000001</v>
      </c>
      <c r="AF109" s="332">
        <f t="shared" si="26"/>
        <v>15.823999999999998</v>
      </c>
      <c r="AG109" s="332">
        <f t="shared" si="27"/>
        <v>-0.65359999999999729</v>
      </c>
      <c r="AH109" s="333">
        <f t="shared" si="28"/>
        <v>1.0430839002267571</v>
      </c>
      <c r="AI109" s="332">
        <f t="shared" si="29"/>
        <v>8.82</v>
      </c>
      <c r="AJ109" s="332">
        <f t="shared" si="30"/>
        <v>9.1999999999999993</v>
      </c>
      <c r="AK109" s="332">
        <f t="shared" si="31"/>
        <v>-0.37999999999999901</v>
      </c>
      <c r="AL109" s="333">
        <f t="shared" si="32"/>
        <v>1.0430839002267573</v>
      </c>
    </row>
    <row r="110" spans="2:39" s="303" customFormat="1" ht="28.5" x14ac:dyDescent="0.2">
      <c r="B110" s="319">
        <f t="shared" si="33"/>
        <v>100</v>
      </c>
      <c r="C110" s="344" t="s">
        <v>183</v>
      </c>
      <c r="D110" s="342" t="s">
        <v>196</v>
      </c>
      <c r="E110" s="341" t="s">
        <v>197</v>
      </c>
      <c r="F110" s="341">
        <v>1</v>
      </c>
      <c r="G110" s="341">
        <v>7840</v>
      </c>
      <c r="H110" s="341" t="s">
        <v>173</v>
      </c>
      <c r="I110" s="341">
        <v>1470</v>
      </c>
      <c r="J110" s="2"/>
      <c r="K110" s="319">
        <v>14</v>
      </c>
      <c r="L110" s="321" t="s">
        <v>40</v>
      </c>
      <c r="M110" s="322" t="s">
        <v>41</v>
      </c>
      <c r="N110" s="321" t="s">
        <v>39</v>
      </c>
      <c r="O110" s="323" t="s">
        <v>186</v>
      </c>
      <c r="P110" s="321" t="s">
        <v>3</v>
      </c>
      <c r="Q110" s="2"/>
      <c r="R110" s="324">
        <f t="shared" si="36"/>
        <v>1470</v>
      </c>
      <c r="S110" s="325">
        <v>6</v>
      </c>
      <c r="T110" s="325">
        <f t="shared" si="22"/>
        <v>6</v>
      </c>
      <c r="V110" s="324">
        <v>5000</v>
      </c>
      <c r="W110" s="326">
        <f t="shared" si="23"/>
        <v>3</v>
      </c>
      <c r="X110" s="326">
        <f t="shared" si="24"/>
        <v>4520</v>
      </c>
      <c r="Y110" s="327">
        <v>4600</v>
      </c>
      <c r="Z110" s="328">
        <f t="shared" si="20"/>
        <v>2</v>
      </c>
      <c r="AA110" s="304"/>
      <c r="AB110" s="329">
        <v>0.27700000000000002</v>
      </c>
      <c r="AC110" s="329">
        <v>0.114</v>
      </c>
      <c r="AE110" s="332">
        <f t="shared" si="25"/>
        <v>2.4431400000000001</v>
      </c>
      <c r="AF110" s="332">
        <f t="shared" si="26"/>
        <v>2.5484</v>
      </c>
      <c r="AG110" s="332">
        <f t="shared" si="27"/>
        <v>-0.10525999999999991</v>
      </c>
      <c r="AH110" s="333">
        <f t="shared" si="28"/>
        <v>1.0430839002267573</v>
      </c>
      <c r="AI110" s="332">
        <f t="shared" si="29"/>
        <v>8.82</v>
      </c>
      <c r="AJ110" s="332">
        <f t="shared" si="30"/>
        <v>9.1999999999999993</v>
      </c>
      <c r="AK110" s="332">
        <f t="shared" si="31"/>
        <v>-0.37999999999999901</v>
      </c>
      <c r="AL110" s="333">
        <f t="shared" si="32"/>
        <v>1.0430839002267573</v>
      </c>
    </row>
    <row r="111" spans="2:39" s="303" customFormat="1" ht="28.5" x14ac:dyDescent="0.2">
      <c r="B111" s="319">
        <f t="shared" si="33"/>
        <v>101</v>
      </c>
      <c r="C111" s="344" t="s">
        <v>183</v>
      </c>
      <c r="D111" s="342" t="s">
        <v>196</v>
      </c>
      <c r="E111" s="341" t="s">
        <v>197</v>
      </c>
      <c r="F111" s="341">
        <v>1</v>
      </c>
      <c r="G111" s="341">
        <v>7840</v>
      </c>
      <c r="H111" s="341" t="s">
        <v>173</v>
      </c>
      <c r="I111" s="341">
        <v>1470</v>
      </c>
      <c r="J111" s="2"/>
      <c r="K111" s="319">
        <v>14</v>
      </c>
      <c r="L111" s="321" t="s">
        <v>37</v>
      </c>
      <c r="M111" s="322" t="s">
        <v>38</v>
      </c>
      <c r="N111" s="321" t="s">
        <v>39</v>
      </c>
      <c r="O111" s="323" t="s">
        <v>186</v>
      </c>
      <c r="P111" s="321" t="s">
        <v>3</v>
      </c>
      <c r="Q111" s="2"/>
      <c r="R111" s="324">
        <f t="shared" si="36"/>
        <v>1470</v>
      </c>
      <c r="S111" s="325">
        <v>6</v>
      </c>
      <c r="T111" s="325">
        <f t="shared" si="22"/>
        <v>6</v>
      </c>
      <c r="V111" s="324">
        <v>5000</v>
      </c>
      <c r="W111" s="326">
        <f t="shared" si="23"/>
        <v>3</v>
      </c>
      <c r="X111" s="326">
        <f t="shared" si="24"/>
        <v>4520</v>
      </c>
      <c r="Y111" s="327">
        <v>4600</v>
      </c>
      <c r="Z111" s="328">
        <f t="shared" si="20"/>
        <v>2</v>
      </c>
      <c r="AA111" s="392"/>
      <c r="AB111" s="329">
        <v>0.29899999999999999</v>
      </c>
      <c r="AC111" s="329">
        <v>0.13900000000000001</v>
      </c>
      <c r="AE111" s="332">
        <f t="shared" si="25"/>
        <v>2.6371799999999999</v>
      </c>
      <c r="AF111" s="332">
        <f t="shared" si="26"/>
        <v>2.7507999999999995</v>
      </c>
      <c r="AG111" s="332">
        <f t="shared" si="27"/>
        <v>-0.11361999999999961</v>
      </c>
      <c r="AH111" s="333">
        <f t="shared" si="28"/>
        <v>1.0430839002267571</v>
      </c>
      <c r="AI111" s="332">
        <f t="shared" si="29"/>
        <v>8.82</v>
      </c>
      <c r="AJ111" s="332">
        <f t="shared" si="30"/>
        <v>9.1999999999999993</v>
      </c>
      <c r="AK111" s="332">
        <f t="shared" si="31"/>
        <v>-0.37999999999999901</v>
      </c>
      <c r="AL111" s="333">
        <f t="shared" si="32"/>
        <v>1.0430839002267573</v>
      </c>
    </row>
    <row r="112" spans="2:39" s="303" customFormat="1" ht="28.5" x14ac:dyDescent="0.2">
      <c r="B112" s="319">
        <f t="shared" si="33"/>
        <v>102</v>
      </c>
      <c r="C112" s="344" t="s">
        <v>183</v>
      </c>
      <c r="D112" s="342" t="s">
        <v>196</v>
      </c>
      <c r="E112" s="341" t="s">
        <v>197</v>
      </c>
      <c r="F112" s="341">
        <v>1</v>
      </c>
      <c r="G112" s="341">
        <v>7840</v>
      </c>
      <c r="H112" s="341" t="s">
        <v>173</v>
      </c>
      <c r="I112" s="341">
        <v>1470</v>
      </c>
      <c r="J112" s="2"/>
      <c r="K112" s="319">
        <v>10</v>
      </c>
      <c r="L112" s="321" t="s">
        <v>42</v>
      </c>
      <c r="M112" s="322" t="s">
        <v>43</v>
      </c>
      <c r="N112" s="321" t="s">
        <v>39</v>
      </c>
      <c r="O112" s="323" t="s">
        <v>188</v>
      </c>
      <c r="P112" s="321" t="s">
        <v>3</v>
      </c>
      <c r="Q112" s="2"/>
      <c r="R112" s="324">
        <f>ROUNDUP((G112/7),0)</f>
        <v>1120</v>
      </c>
      <c r="S112" s="325">
        <v>7</v>
      </c>
      <c r="T112" s="325">
        <f t="shared" si="22"/>
        <v>7</v>
      </c>
      <c r="V112" s="324">
        <v>5000</v>
      </c>
      <c r="W112" s="326">
        <f t="shared" si="23"/>
        <v>4</v>
      </c>
      <c r="X112" s="326">
        <f t="shared" si="24"/>
        <v>4595</v>
      </c>
      <c r="Y112" s="327">
        <v>4600</v>
      </c>
      <c r="Z112" s="328">
        <f t="shared" si="20"/>
        <v>1.75</v>
      </c>
      <c r="AA112" s="392"/>
      <c r="AB112" s="329">
        <v>1.72</v>
      </c>
      <c r="AC112" s="329">
        <v>0.32400000000000001</v>
      </c>
      <c r="AE112" s="332">
        <f t="shared" si="25"/>
        <v>13.484800000000002</v>
      </c>
      <c r="AF112" s="332">
        <f t="shared" si="26"/>
        <v>13.846000000000002</v>
      </c>
      <c r="AG112" s="332">
        <f t="shared" si="27"/>
        <v>-0.36120000000000019</v>
      </c>
      <c r="AH112" s="333">
        <f t="shared" si="28"/>
        <v>1.0267857142857142</v>
      </c>
      <c r="AI112" s="332">
        <f t="shared" si="29"/>
        <v>7.8400000000000007</v>
      </c>
      <c r="AJ112" s="332">
        <f t="shared" si="30"/>
        <v>8.0499999999999989</v>
      </c>
      <c r="AK112" s="332">
        <f t="shared" si="31"/>
        <v>-0.20999999999999819</v>
      </c>
      <c r="AL112" s="333">
        <f t="shared" si="32"/>
        <v>1.026785714285714</v>
      </c>
    </row>
    <row r="113" spans="2:39" s="303" customFormat="1" ht="28.5" x14ac:dyDescent="0.2">
      <c r="B113" s="319">
        <f t="shared" si="33"/>
        <v>103</v>
      </c>
      <c r="C113" s="344" t="s">
        <v>183</v>
      </c>
      <c r="D113" s="342" t="s">
        <v>196</v>
      </c>
      <c r="E113" s="341" t="s">
        <v>197</v>
      </c>
      <c r="F113" s="341">
        <v>1</v>
      </c>
      <c r="G113" s="341">
        <v>7840</v>
      </c>
      <c r="H113" s="341" t="s">
        <v>173</v>
      </c>
      <c r="I113" s="341">
        <v>1470</v>
      </c>
      <c r="J113" s="2"/>
      <c r="K113" s="319">
        <v>10</v>
      </c>
      <c r="L113" s="321" t="s">
        <v>40</v>
      </c>
      <c r="M113" s="322" t="s">
        <v>41</v>
      </c>
      <c r="N113" s="321" t="s">
        <v>39</v>
      </c>
      <c r="O113" s="323" t="s">
        <v>188</v>
      </c>
      <c r="P113" s="321" t="s">
        <v>3</v>
      </c>
      <c r="Q113" s="2"/>
      <c r="R113" s="324">
        <f t="shared" ref="R113:R118" si="37">ROUNDUP((G113/7),0)</f>
        <v>1120</v>
      </c>
      <c r="S113" s="325">
        <v>7</v>
      </c>
      <c r="T113" s="325">
        <f t="shared" si="22"/>
        <v>7</v>
      </c>
      <c r="V113" s="324">
        <v>5000</v>
      </c>
      <c r="W113" s="326">
        <f t="shared" si="23"/>
        <v>4</v>
      </c>
      <c r="X113" s="326">
        <f t="shared" si="24"/>
        <v>4595</v>
      </c>
      <c r="Y113" s="327">
        <v>4600</v>
      </c>
      <c r="Z113" s="328">
        <f t="shared" si="20"/>
        <v>1.75</v>
      </c>
      <c r="AA113" s="304"/>
      <c r="AB113" s="329">
        <v>0.27700000000000002</v>
      </c>
      <c r="AC113" s="329">
        <v>0.114</v>
      </c>
      <c r="AE113" s="332">
        <f t="shared" si="25"/>
        <v>2.1716800000000003</v>
      </c>
      <c r="AF113" s="332">
        <f t="shared" si="26"/>
        <v>2.2298500000000003</v>
      </c>
      <c r="AG113" s="332">
        <f t="shared" si="27"/>
        <v>-5.8170000000000055E-2</v>
      </c>
      <c r="AH113" s="333">
        <f t="shared" si="28"/>
        <v>1.0267857142857144</v>
      </c>
      <c r="AI113" s="332">
        <f t="shared" si="29"/>
        <v>7.8400000000000007</v>
      </c>
      <c r="AJ113" s="332">
        <f t="shared" si="30"/>
        <v>8.0499999999999989</v>
      </c>
      <c r="AK113" s="332">
        <f t="shared" si="31"/>
        <v>-0.20999999999999819</v>
      </c>
      <c r="AL113" s="333">
        <f t="shared" si="32"/>
        <v>1.026785714285714</v>
      </c>
    </row>
    <row r="114" spans="2:39" s="303" customFormat="1" ht="28.5" x14ac:dyDescent="0.2">
      <c r="B114" s="319">
        <f t="shared" si="33"/>
        <v>104</v>
      </c>
      <c r="C114" s="344" t="s">
        <v>183</v>
      </c>
      <c r="D114" s="342" t="s">
        <v>196</v>
      </c>
      <c r="E114" s="341" t="s">
        <v>197</v>
      </c>
      <c r="F114" s="341">
        <v>1</v>
      </c>
      <c r="G114" s="341">
        <v>7840</v>
      </c>
      <c r="H114" s="341" t="s">
        <v>173</v>
      </c>
      <c r="I114" s="341">
        <v>1470</v>
      </c>
      <c r="J114" s="2"/>
      <c r="K114" s="319">
        <v>10</v>
      </c>
      <c r="L114" s="321" t="s">
        <v>37</v>
      </c>
      <c r="M114" s="322" t="s">
        <v>38</v>
      </c>
      <c r="N114" s="321" t="s">
        <v>39</v>
      </c>
      <c r="O114" s="323" t="s">
        <v>188</v>
      </c>
      <c r="P114" s="321" t="s">
        <v>3</v>
      </c>
      <c r="Q114" s="2"/>
      <c r="R114" s="324">
        <f t="shared" si="37"/>
        <v>1120</v>
      </c>
      <c r="S114" s="325">
        <v>7</v>
      </c>
      <c r="T114" s="325">
        <f t="shared" si="22"/>
        <v>7</v>
      </c>
      <c r="V114" s="324">
        <v>5000</v>
      </c>
      <c r="W114" s="326">
        <f t="shared" si="23"/>
        <v>4</v>
      </c>
      <c r="X114" s="326">
        <f t="shared" si="24"/>
        <v>4595</v>
      </c>
      <c r="Y114" s="327">
        <v>4600</v>
      </c>
      <c r="Z114" s="328">
        <f t="shared" si="20"/>
        <v>1.75</v>
      </c>
      <c r="AA114" s="392"/>
      <c r="AB114" s="329">
        <v>0.29899999999999999</v>
      </c>
      <c r="AC114" s="329">
        <v>0.13900000000000001</v>
      </c>
      <c r="AE114" s="332">
        <f t="shared" si="25"/>
        <v>2.34416</v>
      </c>
      <c r="AF114" s="332">
        <f t="shared" si="26"/>
        <v>2.4069500000000001</v>
      </c>
      <c r="AG114" s="332">
        <f t="shared" si="27"/>
        <v>-6.2790000000000123E-2</v>
      </c>
      <c r="AH114" s="333">
        <f t="shared" si="28"/>
        <v>1.0267857142857144</v>
      </c>
      <c r="AI114" s="332">
        <f t="shared" si="29"/>
        <v>7.8400000000000007</v>
      </c>
      <c r="AJ114" s="332">
        <f t="shared" si="30"/>
        <v>8.0499999999999989</v>
      </c>
      <c r="AK114" s="332">
        <f t="shared" si="31"/>
        <v>-0.20999999999999819</v>
      </c>
      <c r="AL114" s="333">
        <f t="shared" si="32"/>
        <v>1.026785714285714</v>
      </c>
    </row>
    <row r="115" spans="2:39" s="303" customFormat="1" ht="28.5" x14ac:dyDescent="0.2">
      <c r="B115" s="319">
        <f t="shared" si="33"/>
        <v>105</v>
      </c>
      <c r="C115" s="344" t="s">
        <v>183</v>
      </c>
      <c r="D115" s="342" t="s">
        <v>196</v>
      </c>
      <c r="E115" s="341" t="s">
        <v>197</v>
      </c>
      <c r="F115" s="341">
        <v>1</v>
      </c>
      <c r="G115" s="341">
        <v>7840</v>
      </c>
      <c r="H115" s="341" t="s">
        <v>173</v>
      </c>
      <c r="I115" s="341">
        <v>1470</v>
      </c>
      <c r="J115" s="2"/>
      <c r="K115" s="334">
        <v>10</v>
      </c>
      <c r="L115" s="335" t="s">
        <v>28</v>
      </c>
      <c r="M115" s="336" t="s">
        <v>118</v>
      </c>
      <c r="N115" s="337" t="s">
        <v>6</v>
      </c>
      <c r="O115" s="323" t="s">
        <v>188</v>
      </c>
      <c r="P115" s="337" t="s">
        <v>187</v>
      </c>
      <c r="Q115" s="2"/>
      <c r="R115" s="324">
        <f>ROUNDUP((G115/7)*4,0)</f>
        <v>4480</v>
      </c>
      <c r="S115" s="349">
        <v>2</v>
      </c>
      <c r="T115" s="325">
        <f t="shared" si="22"/>
        <v>2</v>
      </c>
      <c r="V115" s="338">
        <v>3660</v>
      </c>
      <c r="W115" s="339">
        <f t="shared" si="23"/>
        <v>0</v>
      </c>
      <c r="X115" s="339">
        <f t="shared" si="24"/>
        <v>95</v>
      </c>
      <c r="Y115" s="327">
        <v>3660</v>
      </c>
      <c r="Z115" s="340">
        <f>($R115*$T115)/$V115</f>
        <v>2.4480874316939891</v>
      </c>
      <c r="AA115" s="392"/>
      <c r="AB115" s="332">
        <v>1.641</v>
      </c>
      <c r="AC115" s="332">
        <v>0.20319999999999999</v>
      </c>
      <c r="AE115" s="332">
        <f t="shared" si="25"/>
        <v>14.703360000000002</v>
      </c>
      <c r="AF115" s="332">
        <f t="shared" si="26"/>
        <v>14.703360000000002</v>
      </c>
      <c r="AG115" s="332">
        <f t="shared" si="27"/>
        <v>0</v>
      </c>
      <c r="AH115" s="333">
        <f t="shared" si="28"/>
        <v>1</v>
      </c>
      <c r="AI115" s="332">
        <f t="shared" si="29"/>
        <v>8.9600000000000009</v>
      </c>
      <c r="AJ115" s="332">
        <f t="shared" si="30"/>
        <v>8.9600000000000009</v>
      </c>
      <c r="AK115" s="332">
        <f t="shared" si="31"/>
        <v>0</v>
      </c>
      <c r="AL115" s="333">
        <f t="shared" si="32"/>
        <v>1</v>
      </c>
    </row>
    <row r="116" spans="2:39" s="303" customFormat="1" ht="28.5" x14ac:dyDescent="0.2">
      <c r="B116" s="319">
        <f t="shared" si="33"/>
        <v>106</v>
      </c>
      <c r="C116" s="344" t="s">
        <v>183</v>
      </c>
      <c r="D116" s="342" t="s">
        <v>196</v>
      </c>
      <c r="E116" s="341" t="s">
        <v>197</v>
      </c>
      <c r="F116" s="341">
        <v>1</v>
      </c>
      <c r="G116" s="341">
        <v>7840</v>
      </c>
      <c r="H116" s="341" t="s">
        <v>173</v>
      </c>
      <c r="I116" s="341">
        <v>1470</v>
      </c>
      <c r="J116" s="2"/>
      <c r="K116" s="319">
        <v>11</v>
      </c>
      <c r="L116" s="321" t="s">
        <v>42</v>
      </c>
      <c r="M116" s="322" t="s">
        <v>43</v>
      </c>
      <c r="N116" s="321" t="s">
        <v>39</v>
      </c>
      <c r="O116" s="323" t="s">
        <v>188</v>
      </c>
      <c r="P116" s="321" t="s">
        <v>3</v>
      </c>
      <c r="Q116" s="2"/>
      <c r="R116" s="324">
        <f t="shared" si="37"/>
        <v>1120</v>
      </c>
      <c r="S116" s="325">
        <v>7</v>
      </c>
      <c r="T116" s="325">
        <f t="shared" si="22"/>
        <v>7</v>
      </c>
      <c r="V116" s="324">
        <v>5000</v>
      </c>
      <c r="W116" s="326">
        <f t="shared" si="23"/>
        <v>4</v>
      </c>
      <c r="X116" s="326">
        <f t="shared" si="24"/>
        <v>4595</v>
      </c>
      <c r="Y116" s="327">
        <v>4600</v>
      </c>
      <c r="Z116" s="328">
        <f t="shared" si="20"/>
        <v>1.75</v>
      </c>
      <c r="AA116" s="392"/>
      <c r="AB116" s="329">
        <v>1.72</v>
      </c>
      <c r="AC116" s="329">
        <v>0.32400000000000001</v>
      </c>
      <c r="AE116" s="332">
        <f t="shared" si="25"/>
        <v>13.484800000000002</v>
      </c>
      <c r="AF116" s="332">
        <f t="shared" si="26"/>
        <v>13.846000000000002</v>
      </c>
      <c r="AG116" s="332">
        <f t="shared" si="27"/>
        <v>-0.36120000000000019</v>
      </c>
      <c r="AH116" s="333">
        <f t="shared" si="28"/>
        <v>1.0267857142857142</v>
      </c>
      <c r="AI116" s="332">
        <f t="shared" si="29"/>
        <v>7.8400000000000007</v>
      </c>
      <c r="AJ116" s="332">
        <f t="shared" si="30"/>
        <v>8.0499999999999989</v>
      </c>
      <c r="AK116" s="332">
        <f t="shared" si="31"/>
        <v>-0.20999999999999819</v>
      </c>
      <c r="AL116" s="333">
        <f t="shared" si="32"/>
        <v>1.026785714285714</v>
      </c>
    </row>
    <row r="117" spans="2:39" s="303" customFormat="1" ht="28.5" x14ac:dyDescent="0.2">
      <c r="B117" s="319">
        <f t="shared" si="33"/>
        <v>107</v>
      </c>
      <c r="C117" s="344" t="s">
        <v>183</v>
      </c>
      <c r="D117" s="342" t="s">
        <v>196</v>
      </c>
      <c r="E117" s="341" t="s">
        <v>197</v>
      </c>
      <c r="F117" s="341">
        <v>1</v>
      </c>
      <c r="G117" s="341">
        <v>7840</v>
      </c>
      <c r="H117" s="341" t="s">
        <v>173</v>
      </c>
      <c r="I117" s="341">
        <v>1470</v>
      </c>
      <c r="J117" s="2"/>
      <c r="K117" s="319">
        <v>11</v>
      </c>
      <c r="L117" s="321" t="s">
        <v>40</v>
      </c>
      <c r="M117" s="322" t="s">
        <v>41</v>
      </c>
      <c r="N117" s="321" t="s">
        <v>39</v>
      </c>
      <c r="O117" s="323" t="s">
        <v>188</v>
      </c>
      <c r="P117" s="321" t="s">
        <v>3</v>
      </c>
      <c r="Q117" s="2"/>
      <c r="R117" s="324">
        <f t="shared" si="37"/>
        <v>1120</v>
      </c>
      <c r="S117" s="325">
        <v>7</v>
      </c>
      <c r="T117" s="325">
        <f t="shared" si="22"/>
        <v>7</v>
      </c>
      <c r="V117" s="324">
        <v>5000</v>
      </c>
      <c r="W117" s="326">
        <f t="shared" si="23"/>
        <v>4</v>
      </c>
      <c r="X117" s="326">
        <f t="shared" si="24"/>
        <v>4595</v>
      </c>
      <c r="Y117" s="327">
        <v>4600</v>
      </c>
      <c r="Z117" s="328">
        <f t="shared" si="20"/>
        <v>1.75</v>
      </c>
      <c r="AA117" s="392"/>
      <c r="AB117" s="329">
        <v>0.27700000000000002</v>
      </c>
      <c r="AC117" s="329">
        <v>0.114</v>
      </c>
      <c r="AE117" s="332">
        <f t="shared" si="25"/>
        <v>2.1716800000000003</v>
      </c>
      <c r="AF117" s="332">
        <f t="shared" si="26"/>
        <v>2.2298500000000003</v>
      </c>
      <c r="AG117" s="332">
        <f t="shared" si="27"/>
        <v>-5.8170000000000055E-2</v>
      </c>
      <c r="AH117" s="333">
        <f t="shared" si="28"/>
        <v>1.0267857142857144</v>
      </c>
      <c r="AI117" s="332">
        <f t="shared" si="29"/>
        <v>7.8400000000000007</v>
      </c>
      <c r="AJ117" s="332">
        <f t="shared" si="30"/>
        <v>8.0499999999999989</v>
      </c>
      <c r="AK117" s="332">
        <f t="shared" si="31"/>
        <v>-0.20999999999999819</v>
      </c>
      <c r="AL117" s="333">
        <f t="shared" si="32"/>
        <v>1.026785714285714</v>
      </c>
    </row>
    <row r="118" spans="2:39" s="303" customFormat="1" ht="28.5" x14ac:dyDescent="0.2">
      <c r="B118" s="319">
        <f t="shared" si="33"/>
        <v>108</v>
      </c>
      <c r="C118" s="344" t="s">
        <v>183</v>
      </c>
      <c r="D118" s="342" t="s">
        <v>196</v>
      </c>
      <c r="E118" s="341" t="s">
        <v>197</v>
      </c>
      <c r="F118" s="341">
        <v>1</v>
      </c>
      <c r="G118" s="341">
        <v>7840</v>
      </c>
      <c r="H118" s="341" t="s">
        <v>173</v>
      </c>
      <c r="I118" s="341">
        <v>1470</v>
      </c>
      <c r="J118" s="2"/>
      <c r="K118" s="319">
        <v>11</v>
      </c>
      <c r="L118" s="321" t="s">
        <v>37</v>
      </c>
      <c r="M118" s="322" t="s">
        <v>38</v>
      </c>
      <c r="N118" s="321" t="s">
        <v>39</v>
      </c>
      <c r="O118" s="323" t="s">
        <v>188</v>
      </c>
      <c r="P118" s="321" t="s">
        <v>3</v>
      </c>
      <c r="Q118" s="2"/>
      <c r="R118" s="324">
        <f t="shared" si="37"/>
        <v>1120</v>
      </c>
      <c r="S118" s="325">
        <v>7</v>
      </c>
      <c r="T118" s="325">
        <f t="shared" si="22"/>
        <v>7</v>
      </c>
      <c r="V118" s="324">
        <v>5000</v>
      </c>
      <c r="W118" s="326">
        <f t="shared" si="23"/>
        <v>4</v>
      </c>
      <c r="X118" s="326">
        <f t="shared" si="24"/>
        <v>4595</v>
      </c>
      <c r="Y118" s="327">
        <v>4600</v>
      </c>
      <c r="Z118" s="328">
        <f t="shared" si="20"/>
        <v>1.75</v>
      </c>
      <c r="AA118" s="426">
        <v>6.5</v>
      </c>
      <c r="AB118" s="329">
        <v>0.29899999999999999</v>
      </c>
      <c r="AC118" s="329">
        <v>0.13900000000000001</v>
      </c>
      <c r="AE118" s="332">
        <f t="shared" si="25"/>
        <v>2.34416</v>
      </c>
      <c r="AF118" s="332">
        <f t="shared" si="26"/>
        <v>2.4069500000000001</v>
      </c>
      <c r="AG118" s="332">
        <f t="shared" si="27"/>
        <v>-6.2790000000000123E-2</v>
      </c>
      <c r="AH118" s="333">
        <f t="shared" si="28"/>
        <v>1.0267857142857144</v>
      </c>
      <c r="AI118" s="332">
        <f t="shared" si="29"/>
        <v>7.8400000000000007</v>
      </c>
      <c r="AJ118" s="332">
        <f t="shared" si="30"/>
        <v>8.0499999999999989</v>
      </c>
      <c r="AK118" s="332">
        <f t="shared" si="31"/>
        <v>-0.20999999999999819</v>
      </c>
      <c r="AL118" s="333">
        <f t="shared" si="32"/>
        <v>1.026785714285714</v>
      </c>
    </row>
    <row r="119" spans="2:39" s="303" customFormat="1" ht="28.5" x14ac:dyDescent="0.2">
      <c r="B119" s="341">
        <f t="shared" si="33"/>
        <v>109</v>
      </c>
      <c r="C119" s="344" t="s">
        <v>183</v>
      </c>
      <c r="D119" s="342" t="s">
        <v>196</v>
      </c>
      <c r="E119" s="341" t="s">
        <v>197</v>
      </c>
      <c r="F119" s="341">
        <v>1</v>
      </c>
      <c r="G119" s="341">
        <v>7840</v>
      </c>
      <c r="H119" s="341" t="s">
        <v>173</v>
      </c>
      <c r="I119" s="341">
        <v>1470</v>
      </c>
      <c r="J119" s="2"/>
      <c r="K119" s="345">
        <v>11</v>
      </c>
      <c r="L119" s="335" t="s">
        <v>28</v>
      </c>
      <c r="M119" s="346" t="s">
        <v>118</v>
      </c>
      <c r="N119" s="347" t="s">
        <v>6</v>
      </c>
      <c r="O119" s="323" t="s">
        <v>188</v>
      </c>
      <c r="P119" s="347" t="s">
        <v>187</v>
      </c>
      <c r="Q119" s="2"/>
      <c r="R119" s="324">
        <f>ROUNDUP((G119/7)*4,0)</f>
        <v>4480</v>
      </c>
      <c r="S119" s="349">
        <v>2</v>
      </c>
      <c r="T119" s="349">
        <f t="shared" si="22"/>
        <v>2</v>
      </c>
      <c r="V119" s="338">
        <v>3660</v>
      </c>
      <c r="W119" s="350">
        <f t="shared" si="23"/>
        <v>0</v>
      </c>
      <c r="X119" s="350">
        <f t="shared" si="24"/>
        <v>95</v>
      </c>
      <c r="Y119" s="351">
        <v>3660</v>
      </c>
      <c r="Z119" s="352">
        <f>($R119*$T119)/$V119</f>
        <v>2.4480874316939891</v>
      </c>
      <c r="AA119" s="392"/>
      <c r="AB119" s="332">
        <v>1.641</v>
      </c>
      <c r="AC119" s="332">
        <v>0.20319999999999999</v>
      </c>
      <c r="AE119" s="332">
        <f t="shared" si="25"/>
        <v>14.703360000000002</v>
      </c>
      <c r="AF119" s="332">
        <f t="shared" si="26"/>
        <v>14.703360000000002</v>
      </c>
      <c r="AG119" s="332">
        <f t="shared" si="27"/>
        <v>0</v>
      </c>
      <c r="AH119" s="333">
        <f t="shared" si="28"/>
        <v>1</v>
      </c>
      <c r="AI119" s="332">
        <f t="shared" si="29"/>
        <v>8.9600000000000009</v>
      </c>
      <c r="AJ119" s="332">
        <f t="shared" si="30"/>
        <v>8.9600000000000009</v>
      </c>
      <c r="AK119" s="332">
        <f t="shared" si="31"/>
        <v>0</v>
      </c>
      <c r="AL119" s="333">
        <f t="shared" si="32"/>
        <v>1</v>
      </c>
    </row>
    <row r="120" spans="2:39" s="353" customFormat="1" ht="30" customHeight="1" x14ac:dyDescent="0.25">
      <c r="B120" s="341">
        <f t="shared" si="33"/>
        <v>110</v>
      </c>
      <c r="C120" s="344" t="s">
        <v>183</v>
      </c>
      <c r="D120" s="342" t="s">
        <v>196</v>
      </c>
      <c r="E120" s="341" t="s">
        <v>197</v>
      </c>
      <c r="F120" s="341">
        <v>1</v>
      </c>
      <c r="G120" s="341">
        <v>7840</v>
      </c>
      <c r="H120" s="341" t="s">
        <v>173</v>
      </c>
      <c r="I120" s="341">
        <v>1470</v>
      </c>
      <c r="J120" s="2"/>
      <c r="K120" s="354"/>
      <c r="L120" s="355" t="s">
        <v>28</v>
      </c>
      <c r="M120" s="356" t="s">
        <v>29</v>
      </c>
      <c r="N120" s="469" t="s">
        <v>6</v>
      </c>
      <c r="O120" s="323" t="s">
        <v>189</v>
      </c>
      <c r="P120" s="347" t="s">
        <v>187</v>
      </c>
      <c r="Q120" s="2"/>
      <c r="R120" s="338">
        <v>51</v>
      </c>
      <c r="S120" s="357">
        <f>4*7</f>
        <v>28</v>
      </c>
      <c r="T120" s="357">
        <f t="shared" si="22"/>
        <v>28</v>
      </c>
      <c r="U120" s="303"/>
      <c r="V120" s="338">
        <v>3250</v>
      </c>
      <c r="W120" s="358">
        <f t="shared" si="23"/>
        <v>63</v>
      </c>
      <c r="X120" s="358">
        <f t="shared" si="24"/>
        <v>3623</v>
      </c>
      <c r="Y120" s="351">
        <v>3660</v>
      </c>
      <c r="Z120" s="359">
        <f t="shared" si="20"/>
        <v>0.44444444444444442</v>
      </c>
      <c r="AA120" s="392"/>
      <c r="AB120" s="332">
        <v>1.641</v>
      </c>
      <c r="AC120" s="332">
        <v>0.20319999999999999</v>
      </c>
      <c r="AD120" s="303"/>
      <c r="AE120" s="332">
        <f t="shared" si="25"/>
        <v>2.3433479999999998</v>
      </c>
      <c r="AF120" s="332">
        <f t="shared" si="26"/>
        <v>2.6693599999999997</v>
      </c>
      <c r="AG120" s="332">
        <f t="shared" si="27"/>
        <v>-0.32601199999999997</v>
      </c>
      <c r="AH120" s="333">
        <f t="shared" si="28"/>
        <v>1.1391223155929038</v>
      </c>
      <c r="AI120" s="332">
        <f t="shared" si="29"/>
        <v>1.4279999999999999</v>
      </c>
      <c r="AJ120" s="332">
        <f t="shared" si="30"/>
        <v>1.6266666666666667</v>
      </c>
      <c r="AK120" s="332">
        <f t="shared" si="31"/>
        <v>-0.19866666666666677</v>
      </c>
      <c r="AL120" s="333">
        <f t="shared" si="32"/>
        <v>1.139122315592904</v>
      </c>
      <c r="AM120" s="303"/>
    </row>
    <row r="121" spans="2:39" s="353" customFormat="1" ht="30" customHeight="1" thickBot="1" x14ac:dyDescent="0.3">
      <c r="B121" s="360">
        <f t="shared" si="33"/>
        <v>111</v>
      </c>
      <c r="C121" s="361" t="s">
        <v>183</v>
      </c>
      <c r="D121" s="362" t="s">
        <v>196</v>
      </c>
      <c r="E121" s="360" t="s">
        <v>197</v>
      </c>
      <c r="F121" s="360">
        <v>1</v>
      </c>
      <c r="G121" s="360">
        <v>7840</v>
      </c>
      <c r="H121" s="360" t="s">
        <v>173</v>
      </c>
      <c r="I121" s="360">
        <v>1470</v>
      </c>
      <c r="J121" s="2"/>
      <c r="K121" s="363"/>
      <c r="L121" s="355" t="s">
        <v>28</v>
      </c>
      <c r="M121" s="356" t="s">
        <v>29</v>
      </c>
      <c r="N121" s="470" t="s">
        <v>6</v>
      </c>
      <c r="O121" s="366" t="s">
        <v>190</v>
      </c>
      <c r="P121" s="367" t="s">
        <v>187</v>
      </c>
      <c r="Q121" s="2"/>
      <c r="R121" s="368">
        <v>51</v>
      </c>
      <c r="S121" s="369">
        <f>2*8</f>
        <v>16</v>
      </c>
      <c r="T121" s="369">
        <f t="shared" si="22"/>
        <v>16</v>
      </c>
      <c r="U121" s="303"/>
      <c r="V121" s="368">
        <v>3250</v>
      </c>
      <c r="W121" s="370">
        <f t="shared" si="23"/>
        <v>63</v>
      </c>
      <c r="X121" s="370">
        <f t="shared" si="24"/>
        <v>3623</v>
      </c>
      <c r="Y121" s="371">
        <v>3660</v>
      </c>
      <c r="Z121" s="372">
        <f t="shared" si="20"/>
        <v>0.25396825396825395</v>
      </c>
      <c r="AA121" s="392"/>
      <c r="AB121" s="373">
        <v>1.641</v>
      </c>
      <c r="AC121" s="373">
        <v>0.20319999999999999</v>
      </c>
      <c r="AD121" s="303"/>
      <c r="AE121" s="373">
        <f t="shared" si="25"/>
        <v>1.339056</v>
      </c>
      <c r="AF121" s="373">
        <f t="shared" si="26"/>
        <v>1.5253485714285715</v>
      </c>
      <c r="AG121" s="373">
        <f t="shared" si="27"/>
        <v>-0.18629257142857147</v>
      </c>
      <c r="AH121" s="374">
        <f t="shared" si="28"/>
        <v>1.1391223155929038</v>
      </c>
      <c r="AI121" s="373">
        <f t="shared" si="29"/>
        <v>0.81599999999999995</v>
      </c>
      <c r="AJ121" s="373">
        <f t="shared" si="30"/>
        <v>0.92952380952380953</v>
      </c>
      <c r="AK121" s="373">
        <f t="shared" si="31"/>
        <v>-0.11352380952380958</v>
      </c>
      <c r="AL121" s="374">
        <f t="shared" si="32"/>
        <v>1.139122315592904</v>
      </c>
      <c r="AM121" s="303"/>
    </row>
    <row r="122" spans="2:39" s="303" customFormat="1" ht="28.5" x14ac:dyDescent="0.2">
      <c r="B122" s="375">
        <f t="shared" si="33"/>
        <v>112</v>
      </c>
      <c r="C122" s="376" t="s">
        <v>183</v>
      </c>
      <c r="D122" s="377" t="s">
        <v>196</v>
      </c>
      <c r="E122" s="375" t="s">
        <v>198</v>
      </c>
      <c r="F122" s="375">
        <v>1</v>
      </c>
      <c r="G122" s="375">
        <v>8150</v>
      </c>
      <c r="H122" s="375" t="s">
        <v>173</v>
      </c>
      <c r="I122" s="375">
        <v>2440</v>
      </c>
      <c r="J122" s="2"/>
      <c r="K122" s="375">
        <v>72</v>
      </c>
      <c r="L122" s="377" t="s">
        <v>52</v>
      </c>
      <c r="M122" s="383" t="s">
        <v>53</v>
      </c>
      <c r="N122" s="377" t="s">
        <v>39</v>
      </c>
      <c r="O122" s="384" t="s">
        <v>186</v>
      </c>
      <c r="P122" s="377" t="s">
        <v>3</v>
      </c>
      <c r="Q122" s="2"/>
      <c r="R122" s="324">
        <f>ROUNDUP(I122,0)</f>
        <v>2440</v>
      </c>
      <c r="S122" s="325">
        <v>1</v>
      </c>
      <c r="T122" s="325">
        <f t="shared" si="22"/>
        <v>1</v>
      </c>
      <c r="V122" s="324">
        <v>7000</v>
      </c>
      <c r="W122" s="326">
        <f t="shared" si="23"/>
        <v>2</v>
      </c>
      <c r="X122" s="326">
        <f t="shared" si="24"/>
        <v>4985</v>
      </c>
      <c r="Y122" s="327">
        <v>5000</v>
      </c>
      <c r="Z122" s="328">
        <f t="shared" si="20"/>
        <v>0.5</v>
      </c>
      <c r="AA122" s="392"/>
      <c r="AB122" s="329">
        <v>0.97399999999999998</v>
      </c>
      <c r="AC122" s="329">
        <v>0.216</v>
      </c>
      <c r="AE122" s="330">
        <f t="shared" si="25"/>
        <v>2.37656</v>
      </c>
      <c r="AF122" s="330">
        <f t="shared" si="26"/>
        <v>2.4350000000000001</v>
      </c>
      <c r="AG122" s="330">
        <f t="shared" si="27"/>
        <v>-5.8440000000000047E-2</v>
      </c>
      <c r="AH122" s="331">
        <f t="shared" si="28"/>
        <v>1.0245901639344261</v>
      </c>
      <c r="AI122" s="330">
        <f t="shared" si="29"/>
        <v>2.44</v>
      </c>
      <c r="AJ122" s="330">
        <f t="shared" si="30"/>
        <v>2.5</v>
      </c>
      <c r="AK122" s="330">
        <f t="shared" si="31"/>
        <v>-6.0000000000000053E-2</v>
      </c>
      <c r="AL122" s="331">
        <f t="shared" si="32"/>
        <v>1.0245901639344261</v>
      </c>
    </row>
    <row r="123" spans="2:39" s="303" customFormat="1" ht="28.5" x14ac:dyDescent="0.2">
      <c r="B123" s="341">
        <f t="shared" si="33"/>
        <v>113</v>
      </c>
      <c r="C123" s="344" t="s">
        <v>183</v>
      </c>
      <c r="D123" s="342" t="s">
        <v>196</v>
      </c>
      <c r="E123" s="341" t="s">
        <v>198</v>
      </c>
      <c r="F123" s="341">
        <v>1</v>
      </c>
      <c r="G123" s="341">
        <v>8150</v>
      </c>
      <c r="H123" s="341" t="s">
        <v>173</v>
      </c>
      <c r="I123" s="341">
        <v>2440</v>
      </c>
      <c r="J123" s="2"/>
      <c r="K123" s="341">
        <v>72</v>
      </c>
      <c r="L123" s="342" t="s">
        <v>54</v>
      </c>
      <c r="M123" s="343" t="s">
        <v>55</v>
      </c>
      <c r="N123" s="342" t="s">
        <v>39</v>
      </c>
      <c r="O123" s="323" t="s">
        <v>186</v>
      </c>
      <c r="P123" s="342" t="s">
        <v>3</v>
      </c>
      <c r="Q123" s="2"/>
      <c r="R123" s="324">
        <f>ROUNDUP(I123,0)</f>
        <v>2440</v>
      </c>
      <c r="S123" s="325">
        <v>1</v>
      </c>
      <c r="T123" s="325">
        <f t="shared" si="22"/>
        <v>1</v>
      </c>
      <c r="V123" s="324">
        <v>7000</v>
      </c>
      <c r="W123" s="326">
        <f t="shared" si="23"/>
        <v>2</v>
      </c>
      <c r="X123" s="326">
        <f t="shared" si="24"/>
        <v>4985</v>
      </c>
      <c r="Y123" s="327">
        <v>5000</v>
      </c>
      <c r="Z123" s="328">
        <f t="shared" si="20"/>
        <v>0.5</v>
      </c>
      <c r="AA123" s="304"/>
      <c r="AB123" s="329">
        <v>1.2410000000000001</v>
      </c>
      <c r="AC123" s="329">
        <v>0.32674979999999998</v>
      </c>
      <c r="AE123" s="332">
        <f t="shared" si="25"/>
        <v>3.0280400000000003</v>
      </c>
      <c r="AF123" s="332">
        <f t="shared" si="26"/>
        <v>3.1025</v>
      </c>
      <c r="AG123" s="332">
        <f t="shared" si="27"/>
        <v>-7.4459999999999749E-2</v>
      </c>
      <c r="AH123" s="333">
        <f t="shared" si="28"/>
        <v>1.0245901639344261</v>
      </c>
      <c r="AI123" s="332">
        <f t="shared" si="29"/>
        <v>2.44</v>
      </c>
      <c r="AJ123" s="332">
        <f t="shared" si="30"/>
        <v>2.5</v>
      </c>
      <c r="AK123" s="332">
        <f t="shared" si="31"/>
        <v>-6.0000000000000053E-2</v>
      </c>
      <c r="AL123" s="333">
        <f t="shared" si="32"/>
        <v>1.0245901639344261</v>
      </c>
    </row>
    <row r="124" spans="2:39" s="303" customFormat="1" ht="28.5" x14ac:dyDescent="0.2">
      <c r="B124" s="341">
        <f t="shared" si="33"/>
        <v>114</v>
      </c>
      <c r="C124" s="344" t="s">
        <v>183</v>
      </c>
      <c r="D124" s="342" t="s">
        <v>196</v>
      </c>
      <c r="E124" s="341" t="s">
        <v>198</v>
      </c>
      <c r="F124" s="341">
        <v>1</v>
      </c>
      <c r="G124" s="341">
        <v>8150</v>
      </c>
      <c r="H124" s="341" t="s">
        <v>173</v>
      </c>
      <c r="I124" s="341">
        <v>2440</v>
      </c>
      <c r="J124" s="2"/>
      <c r="K124" s="345">
        <v>72</v>
      </c>
      <c r="L124" s="345" t="s">
        <v>34</v>
      </c>
      <c r="M124" s="346" t="s">
        <v>35</v>
      </c>
      <c r="N124" s="347" t="s">
        <v>6</v>
      </c>
      <c r="O124" s="323" t="s">
        <v>186</v>
      </c>
      <c r="P124" s="347" t="s">
        <v>187</v>
      </c>
      <c r="Q124" s="2"/>
      <c r="R124" s="324">
        <f>ROUNDUP(I124,0)</f>
        <v>2440</v>
      </c>
      <c r="S124" s="325">
        <v>1</v>
      </c>
      <c r="T124" s="325">
        <f t="shared" si="22"/>
        <v>1</v>
      </c>
      <c r="V124" s="324">
        <v>6100</v>
      </c>
      <c r="W124" s="339">
        <f t="shared" si="23"/>
        <v>2</v>
      </c>
      <c r="X124" s="339">
        <f t="shared" si="24"/>
        <v>4985</v>
      </c>
      <c r="Y124" s="327">
        <v>6100</v>
      </c>
      <c r="Z124" s="328">
        <f t="shared" si="20"/>
        <v>0.5</v>
      </c>
      <c r="AA124" s="392"/>
      <c r="AB124" s="329">
        <v>0.438</v>
      </c>
      <c r="AC124" s="329">
        <v>0</v>
      </c>
      <c r="AE124" s="332">
        <f t="shared" si="25"/>
        <v>1.0687199999999999</v>
      </c>
      <c r="AF124" s="332">
        <f t="shared" si="26"/>
        <v>1.3358999999999999</v>
      </c>
      <c r="AG124" s="332">
        <f t="shared" si="27"/>
        <v>-0.26717999999999997</v>
      </c>
      <c r="AH124" s="333">
        <f t="shared" si="28"/>
        <v>1.25</v>
      </c>
      <c r="AI124" s="332">
        <f t="shared" si="29"/>
        <v>2.44</v>
      </c>
      <c r="AJ124" s="332">
        <f t="shared" si="30"/>
        <v>3.05</v>
      </c>
      <c r="AK124" s="332">
        <f t="shared" si="31"/>
        <v>-0.60999999999999988</v>
      </c>
      <c r="AL124" s="333">
        <f t="shared" si="32"/>
        <v>1.25</v>
      </c>
    </row>
    <row r="125" spans="2:39" s="303" customFormat="1" ht="28.5" x14ac:dyDescent="0.2">
      <c r="B125" s="341">
        <f t="shared" si="33"/>
        <v>115</v>
      </c>
      <c r="C125" s="344" t="s">
        <v>183</v>
      </c>
      <c r="D125" s="342" t="s">
        <v>196</v>
      </c>
      <c r="E125" s="341" t="s">
        <v>198</v>
      </c>
      <c r="F125" s="341">
        <v>1</v>
      </c>
      <c r="G125" s="341">
        <v>8150</v>
      </c>
      <c r="H125" s="341" t="s">
        <v>173</v>
      </c>
      <c r="I125" s="341">
        <v>2440</v>
      </c>
      <c r="J125" s="2"/>
      <c r="K125" s="341">
        <v>73</v>
      </c>
      <c r="L125" s="342" t="s">
        <v>42</v>
      </c>
      <c r="M125" s="343" t="s">
        <v>43</v>
      </c>
      <c r="N125" s="342" t="s">
        <v>39</v>
      </c>
      <c r="O125" s="323" t="s">
        <v>186</v>
      </c>
      <c r="P125" s="342" t="s">
        <v>3</v>
      </c>
      <c r="Q125" s="2"/>
      <c r="R125" s="324">
        <f>ROUNDUP(1470,0)</f>
        <v>1470</v>
      </c>
      <c r="S125" s="325">
        <v>1</v>
      </c>
      <c r="T125" s="325">
        <f t="shared" si="22"/>
        <v>1</v>
      </c>
      <c r="V125" s="324">
        <v>5000</v>
      </c>
      <c r="W125" s="326">
        <f t="shared" si="23"/>
        <v>3</v>
      </c>
      <c r="X125" s="326">
        <f t="shared" si="24"/>
        <v>4520</v>
      </c>
      <c r="Y125" s="327">
        <v>4600</v>
      </c>
      <c r="Z125" s="328">
        <f t="shared" si="20"/>
        <v>0.33333333333333331</v>
      </c>
      <c r="AA125" s="392"/>
      <c r="AB125" s="329">
        <v>1.72</v>
      </c>
      <c r="AC125" s="329">
        <v>0.32400000000000001</v>
      </c>
      <c r="AE125" s="332">
        <f t="shared" si="25"/>
        <v>2.5284</v>
      </c>
      <c r="AF125" s="332">
        <f t="shared" si="26"/>
        <v>2.6373333333333333</v>
      </c>
      <c r="AG125" s="332">
        <f t="shared" si="27"/>
        <v>-0.10893333333333333</v>
      </c>
      <c r="AH125" s="333">
        <f t="shared" si="28"/>
        <v>1.0430839002267573</v>
      </c>
      <c r="AI125" s="332">
        <f t="shared" si="29"/>
        <v>1.47</v>
      </c>
      <c r="AJ125" s="332">
        <f t="shared" si="30"/>
        <v>1.5333333333333332</v>
      </c>
      <c r="AK125" s="332">
        <f t="shared" si="31"/>
        <v>-6.3333333333333242E-2</v>
      </c>
      <c r="AL125" s="333">
        <f t="shared" si="32"/>
        <v>1.0430839002267573</v>
      </c>
    </row>
    <row r="126" spans="2:39" s="303" customFormat="1" ht="28.5" x14ac:dyDescent="0.2">
      <c r="B126" s="341">
        <f t="shared" si="33"/>
        <v>116</v>
      </c>
      <c r="C126" s="344" t="s">
        <v>183</v>
      </c>
      <c r="D126" s="342" t="s">
        <v>196</v>
      </c>
      <c r="E126" s="341" t="s">
        <v>198</v>
      </c>
      <c r="F126" s="341">
        <v>1</v>
      </c>
      <c r="G126" s="341">
        <v>8150</v>
      </c>
      <c r="H126" s="341" t="s">
        <v>173</v>
      </c>
      <c r="I126" s="341">
        <v>2440</v>
      </c>
      <c r="J126" s="2"/>
      <c r="K126" s="341">
        <v>73</v>
      </c>
      <c r="L126" s="342" t="s">
        <v>40</v>
      </c>
      <c r="M126" s="343" t="s">
        <v>41</v>
      </c>
      <c r="N126" s="342" t="s">
        <v>39</v>
      </c>
      <c r="O126" s="323" t="s">
        <v>186</v>
      </c>
      <c r="P126" s="342" t="s">
        <v>3</v>
      </c>
      <c r="Q126" s="2"/>
      <c r="R126" s="324">
        <f>ROUNDUP(1470,0)</f>
        <v>1470</v>
      </c>
      <c r="S126" s="325">
        <v>1</v>
      </c>
      <c r="T126" s="325">
        <f t="shared" si="22"/>
        <v>1</v>
      </c>
      <c r="V126" s="324">
        <v>5000</v>
      </c>
      <c r="W126" s="326">
        <f t="shared" si="23"/>
        <v>3</v>
      </c>
      <c r="X126" s="326">
        <f t="shared" si="24"/>
        <v>4520</v>
      </c>
      <c r="Y126" s="327">
        <v>4600</v>
      </c>
      <c r="Z126" s="328">
        <f t="shared" si="20"/>
        <v>0.33333333333333331</v>
      </c>
      <c r="AA126" s="304"/>
      <c r="AB126" s="329">
        <v>0.27700000000000002</v>
      </c>
      <c r="AC126" s="329">
        <v>0.114</v>
      </c>
      <c r="AE126" s="332">
        <f t="shared" si="25"/>
        <v>0.40719000000000005</v>
      </c>
      <c r="AF126" s="332">
        <f t="shared" si="26"/>
        <v>0.42473333333333335</v>
      </c>
      <c r="AG126" s="332">
        <f t="shared" si="27"/>
        <v>-1.75433333333333E-2</v>
      </c>
      <c r="AH126" s="333">
        <f t="shared" si="28"/>
        <v>1.0430839002267573</v>
      </c>
      <c r="AI126" s="329">
        <f t="shared" si="29"/>
        <v>1.47</v>
      </c>
      <c r="AJ126" s="329">
        <f t="shared" si="30"/>
        <v>1.5333333333333332</v>
      </c>
      <c r="AK126" s="329">
        <f t="shared" si="31"/>
        <v>-6.3333333333333242E-2</v>
      </c>
      <c r="AL126" s="382">
        <f t="shared" si="32"/>
        <v>1.0430839002267573</v>
      </c>
    </row>
    <row r="127" spans="2:39" s="303" customFormat="1" ht="28.5" x14ac:dyDescent="0.2">
      <c r="B127" s="341">
        <f t="shared" si="33"/>
        <v>117</v>
      </c>
      <c r="C127" s="344" t="s">
        <v>183</v>
      </c>
      <c r="D127" s="342" t="s">
        <v>196</v>
      </c>
      <c r="E127" s="341" t="s">
        <v>198</v>
      </c>
      <c r="F127" s="341">
        <v>1</v>
      </c>
      <c r="G127" s="341">
        <v>8150</v>
      </c>
      <c r="H127" s="341" t="s">
        <v>173</v>
      </c>
      <c r="I127" s="341">
        <v>2440</v>
      </c>
      <c r="J127" s="2"/>
      <c r="K127" s="319">
        <v>73</v>
      </c>
      <c r="L127" s="321" t="s">
        <v>37</v>
      </c>
      <c r="M127" s="322" t="s">
        <v>38</v>
      </c>
      <c r="N127" s="321" t="s">
        <v>39</v>
      </c>
      <c r="O127" s="323" t="s">
        <v>186</v>
      </c>
      <c r="P127" s="321" t="s">
        <v>3</v>
      </c>
      <c r="Q127" s="2"/>
      <c r="R127" s="324">
        <f>ROUNDUP(1470,0)</f>
        <v>1470</v>
      </c>
      <c r="S127" s="325">
        <v>1</v>
      </c>
      <c r="T127" s="325">
        <f t="shared" si="22"/>
        <v>1</v>
      </c>
      <c r="V127" s="324">
        <v>5000</v>
      </c>
      <c r="W127" s="326">
        <f t="shared" si="23"/>
        <v>3</v>
      </c>
      <c r="X127" s="326">
        <f t="shared" si="24"/>
        <v>4520</v>
      </c>
      <c r="Y127" s="327">
        <v>4600</v>
      </c>
      <c r="Z127" s="328">
        <f t="shared" si="20"/>
        <v>0.33333333333333331</v>
      </c>
      <c r="AA127" s="392"/>
      <c r="AB127" s="329">
        <v>0.29899999999999999</v>
      </c>
      <c r="AC127" s="329">
        <v>0.13900000000000001</v>
      </c>
      <c r="AE127" s="332">
        <f t="shared" si="25"/>
        <v>0.43952999999999998</v>
      </c>
      <c r="AF127" s="332">
        <f t="shared" si="26"/>
        <v>0.45846666666666663</v>
      </c>
      <c r="AG127" s="332">
        <f t="shared" si="27"/>
        <v>-1.8936666666666657E-2</v>
      </c>
      <c r="AH127" s="333">
        <f t="shared" si="28"/>
        <v>1.0430839002267573</v>
      </c>
      <c r="AI127" s="329">
        <f t="shared" si="29"/>
        <v>1.47</v>
      </c>
      <c r="AJ127" s="329">
        <f t="shared" si="30"/>
        <v>1.5333333333333332</v>
      </c>
      <c r="AK127" s="329">
        <f t="shared" si="31"/>
        <v>-6.3333333333333242E-2</v>
      </c>
      <c r="AL127" s="382">
        <f t="shared" si="32"/>
        <v>1.0430839002267573</v>
      </c>
    </row>
    <row r="128" spans="2:39" s="303" customFormat="1" ht="28.5" x14ac:dyDescent="0.2">
      <c r="B128" s="341">
        <f t="shared" si="33"/>
        <v>118</v>
      </c>
      <c r="C128" s="344" t="s">
        <v>183</v>
      </c>
      <c r="D128" s="342" t="s">
        <v>196</v>
      </c>
      <c r="E128" s="341" t="s">
        <v>198</v>
      </c>
      <c r="F128" s="341">
        <v>1</v>
      </c>
      <c r="G128" s="341">
        <v>8150</v>
      </c>
      <c r="H128" s="341" t="s">
        <v>173</v>
      </c>
      <c r="I128" s="341">
        <v>2440</v>
      </c>
      <c r="J128" s="2"/>
      <c r="K128" s="319">
        <v>73</v>
      </c>
      <c r="L128" s="321" t="s">
        <v>52</v>
      </c>
      <c r="M128" s="322" t="s">
        <v>53</v>
      </c>
      <c r="N128" s="321" t="s">
        <v>39</v>
      </c>
      <c r="O128" s="323" t="s">
        <v>186</v>
      </c>
      <c r="P128" s="321" t="s">
        <v>3</v>
      </c>
      <c r="Q128" s="2"/>
      <c r="R128" s="324">
        <f>ROUNDUP(I128,0)</f>
        <v>2440</v>
      </c>
      <c r="S128" s="325">
        <v>1</v>
      </c>
      <c r="T128" s="325">
        <f t="shared" si="22"/>
        <v>1</v>
      </c>
      <c r="V128" s="324">
        <v>7000</v>
      </c>
      <c r="W128" s="326">
        <f t="shared" si="23"/>
        <v>2</v>
      </c>
      <c r="X128" s="326">
        <f t="shared" si="24"/>
        <v>4985</v>
      </c>
      <c r="Y128" s="327">
        <v>5000</v>
      </c>
      <c r="Z128" s="328">
        <f t="shared" si="20"/>
        <v>0.5</v>
      </c>
      <c r="AA128" s="392"/>
      <c r="AB128" s="329">
        <v>0.97399999999999998</v>
      </c>
      <c r="AC128" s="329">
        <v>0.216</v>
      </c>
      <c r="AE128" s="332">
        <f t="shared" si="25"/>
        <v>2.37656</v>
      </c>
      <c r="AF128" s="332">
        <f t="shared" si="26"/>
        <v>2.4350000000000001</v>
      </c>
      <c r="AG128" s="332">
        <f t="shared" si="27"/>
        <v>-5.8440000000000047E-2</v>
      </c>
      <c r="AH128" s="333">
        <f t="shared" si="28"/>
        <v>1.0245901639344261</v>
      </c>
      <c r="AI128" s="329">
        <f t="shared" si="29"/>
        <v>2.44</v>
      </c>
      <c r="AJ128" s="329">
        <f t="shared" si="30"/>
        <v>2.5</v>
      </c>
      <c r="AK128" s="329">
        <f t="shared" si="31"/>
        <v>-6.0000000000000053E-2</v>
      </c>
      <c r="AL128" s="382">
        <f t="shared" si="32"/>
        <v>1.0245901639344261</v>
      </c>
    </row>
    <row r="129" spans="2:38" s="303" customFormat="1" ht="28.5" x14ac:dyDescent="0.2">
      <c r="B129" s="341">
        <f t="shared" si="33"/>
        <v>119</v>
      </c>
      <c r="C129" s="344" t="s">
        <v>183</v>
      </c>
      <c r="D129" s="342" t="s">
        <v>196</v>
      </c>
      <c r="E129" s="341" t="s">
        <v>198</v>
      </c>
      <c r="F129" s="341">
        <v>1</v>
      </c>
      <c r="G129" s="341">
        <v>8150</v>
      </c>
      <c r="H129" s="341" t="s">
        <v>173</v>
      </c>
      <c r="I129" s="341">
        <v>2440</v>
      </c>
      <c r="J129" s="2"/>
      <c r="K129" s="319">
        <v>73</v>
      </c>
      <c r="L129" s="321" t="s">
        <v>54</v>
      </c>
      <c r="M129" s="322" t="s">
        <v>55</v>
      </c>
      <c r="N129" s="321" t="s">
        <v>39</v>
      </c>
      <c r="O129" s="323" t="s">
        <v>186</v>
      </c>
      <c r="P129" s="321" t="s">
        <v>3</v>
      </c>
      <c r="Q129" s="2"/>
      <c r="R129" s="324">
        <f>ROUNDUP(I129,0)</f>
        <v>2440</v>
      </c>
      <c r="S129" s="325">
        <v>1</v>
      </c>
      <c r="T129" s="325">
        <f t="shared" si="22"/>
        <v>1</v>
      </c>
      <c r="V129" s="324">
        <v>7000</v>
      </c>
      <c r="W129" s="326">
        <f t="shared" si="23"/>
        <v>2</v>
      </c>
      <c r="X129" s="326">
        <f t="shared" si="24"/>
        <v>4985</v>
      </c>
      <c r="Y129" s="327">
        <v>5000</v>
      </c>
      <c r="Z129" s="328">
        <f t="shared" si="20"/>
        <v>0.5</v>
      </c>
      <c r="AA129" s="304"/>
      <c r="AB129" s="329">
        <v>1.2410000000000001</v>
      </c>
      <c r="AC129" s="329">
        <v>0.32674979999999998</v>
      </c>
      <c r="AE129" s="332">
        <f t="shared" si="25"/>
        <v>3.0280400000000003</v>
      </c>
      <c r="AF129" s="332">
        <f t="shared" si="26"/>
        <v>3.1025</v>
      </c>
      <c r="AG129" s="332">
        <f t="shared" si="27"/>
        <v>-7.4459999999999749E-2</v>
      </c>
      <c r="AH129" s="333">
        <f t="shared" si="28"/>
        <v>1.0245901639344261</v>
      </c>
      <c r="AI129" s="329">
        <f t="shared" si="29"/>
        <v>2.44</v>
      </c>
      <c r="AJ129" s="329">
        <f t="shared" si="30"/>
        <v>2.5</v>
      </c>
      <c r="AK129" s="329">
        <f t="shared" si="31"/>
        <v>-6.0000000000000053E-2</v>
      </c>
      <c r="AL129" s="382">
        <f t="shared" si="32"/>
        <v>1.0245901639344261</v>
      </c>
    </row>
    <row r="130" spans="2:38" s="303" customFormat="1" ht="28.5" x14ac:dyDescent="0.2">
      <c r="B130" s="341">
        <f t="shared" si="33"/>
        <v>120</v>
      </c>
      <c r="C130" s="344" t="s">
        <v>183</v>
      </c>
      <c r="D130" s="342" t="s">
        <v>196</v>
      </c>
      <c r="E130" s="341" t="s">
        <v>198</v>
      </c>
      <c r="F130" s="341">
        <v>1</v>
      </c>
      <c r="G130" s="341">
        <v>8150</v>
      </c>
      <c r="H130" s="341" t="s">
        <v>173</v>
      </c>
      <c r="I130" s="341">
        <v>2440</v>
      </c>
      <c r="J130" s="2"/>
      <c r="K130" s="319">
        <v>14</v>
      </c>
      <c r="L130" s="321" t="s">
        <v>42</v>
      </c>
      <c r="M130" s="322" t="s">
        <v>43</v>
      </c>
      <c r="N130" s="321" t="s">
        <v>39</v>
      </c>
      <c r="O130" s="323" t="s">
        <v>186</v>
      </c>
      <c r="P130" s="321" t="s">
        <v>3</v>
      </c>
      <c r="Q130" s="2"/>
      <c r="R130" s="324">
        <f t="shared" ref="R130:R135" si="38">ROUNDUP(1470,0)</f>
        <v>1470</v>
      </c>
      <c r="S130" s="325">
        <v>4</v>
      </c>
      <c r="T130" s="325">
        <f t="shared" si="22"/>
        <v>4</v>
      </c>
      <c r="V130" s="324">
        <v>5000</v>
      </c>
      <c r="W130" s="326">
        <f t="shared" si="23"/>
        <v>3</v>
      </c>
      <c r="X130" s="326">
        <f t="shared" si="24"/>
        <v>4520</v>
      </c>
      <c r="Y130" s="327">
        <v>4600</v>
      </c>
      <c r="Z130" s="328">
        <f t="shared" si="20"/>
        <v>1.3333333333333333</v>
      </c>
      <c r="AA130" s="392"/>
      <c r="AB130" s="329">
        <v>1.72</v>
      </c>
      <c r="AC130" s="329">
        <v>0.32400000000000001</v>
      </c>
      <c r="AE130" s="332">
        <f t="shared" si="25"/>
        <v>10.1136</v>
      </c>
      <c r="AF130" s="332">
        <f t="shared" si="26"/>
        <v>10.549333333333333</v>
      </c>
      <c r="AG130" s="332">
        <f t="shared" si="27"/>
        <v>-0.43573333333333331</v>
      </c>
      <c r="AH130" s="333">
        <f t="shared" si="28"/>
        <v>1.0430839002267573</v>
      </c>
      <c r="AI130" s="329">
        <f t="shared" si="29"/>
        <v>5.88</v>
      </c>
      <c r="AJ130" s="329">
        <f t="shared" si="30"/>
        <v>6.1333333333333329</v>
      </c>
      <c r="AK130" s="329">
        <f t="shared" si="31"/>
        <v>-0.25333333333333297</v>
      </c>
      <c r="AL130" s="382">
        <f t="shared" si="32"/>
        <v>1.0430839002267573</v>
      </c>
    </row>
    <row r="131" spans="2:38" s="303" customFormat="1" ht="28.5" x14ac:dyDescent="0.2">
      <c r="B131" s="341">
        <f t="shared" si="33"/>
        <v>121</v>
      </c>
      <c r="C131" s="344" t="s">
        <v>183</v>
      </c>
      <c r="D131" s="342" t="s">
        <v>196</v>
      </c>
      <c r="E131" s="341" t="s">
        <v>198</v>
      </c>
      <c r="F131" s="341">
        <v>1</v>
      </c>
      <c r="G131" s="341">
        <v>8150</v>
      </c>
      <c r="H131" s="341" t="s">
        <v>173</v>
      </c>
      <c r="I131" s="341">
        <v>2440</v>
      </c>
      <c r="J131" s="2"/>
      <c r="K131" s="319">
        <v>14</v>
      </c>
      <c r="L131" s="321" t="s">
        <v>40</v>
      </c>
      <c r="M131" s="322" t="s">
        <v>41</v>
      </c>
      <c r="N131" s="321" t="s">
        <v>39</v>
      </c>
      <c r="O131" s="323" t="s">
        <v>186</v>
      </c>
      <c r="P131" s="321" t="s">
        <v>3</v>
      </c>
      <c r="Q131" s="2"/>
      <c r="R131" s="324">
        <f t="shared" si="38"/>
        <v>1470</v>
      </c>
      <c r="S131" s="325">
        <v>4</v>
      </c>
      <c r="T131" s="325">
        <f t="shared" si="22"/>
        <v>4</v>
      </c>
      <c r="V131" s="324">
        <v>5000</v>
      </c>
      <c r="W131" s="326">
        <f t="shared" si="23"/>
        <v>3</v>
      </c>
      <c r="X131" s="326">
        <f t="shared" si="24"/>
        <v>4520</v>
      </c>
      <c r="Y131" s="327">
        <v>4600</v>
      </c>
      <c r="Z131" s="328">
        <f t="shared" si="20"/>
        <v>1.3333333333333333</v>
      </c>
      <c r="AA131" s="304"/>
      <c r="AB131" s="329">
        <v>0.27700000000000002</v>
      </c>
      <c r="AC131" s="329">
        <v>0.114</v>
      </c>
      <c r="AE131" s="332">
        <f t="shared" si="25"/>
        <v>1.6287600000000002</v>
      </c>
      <c r="AF131" s="332">
        <f t="shared" si="26"/>
        <v>1.6989333333333334</v>
      </c>
      <c r="AG131" s="332">
        <f t="shared" si="27"/>
        <v>-7.0173333333333199E-2</v>
      </c>
      <c r="AH131" s="333">
        <f t="shared" si="28"/>
        <v>1.0430839002267573</v>
      </c>
      <c r="AI131" s="329">
        <f t="shared" si="29"/>
        <v>5.88</v>
      </c>
      <c r="AJ131" s="329">
        <f t="shared" si="30"/>
        <v>6.1333333333333329</v>
      </c>
      <c r="AK131" s="329">
        <f t="shared" si="31"/>
        <v>-0.25333333333333297</v>
      </c>
      <c r="AL131" s="382">
        <f t="shared" si="32"/>
        <v>1.0430839002267573</v>
      </c>
    </row>
    <row r="132" spans="2:38" s="303" customFormat="1" ht="28.5" x14ac:dyDescent="0.2">
      <c r="B132" s="341">
        <f t="shared" si="33"/>
        <v>122</v>
      </c>
      <c r="C132" s="344" t="s">
        <v>183</v>
      </c>
      <c r="D132" s="342" t="s">
        <v>196</v>
      </c>
      <c r="E132" s="341" t="s">
        <v>198</v>
      </c>
      <c r="F132" s="341">
        <v>1</v>
      </c>
      <c r="G132" s="341">
        <v>8150</v>
      </c>
      <c r="H132" s="341" t="s">
        <v>173</v>
      </c>
      <c r="I132" s="341">
        <v>2440</v>
      </c>
      <c r="J132" s="2"/>
      <c r="K132" s="319">
        <v>14</v>
      </c>
      <c r="L132" s="321" t="s">
        <v>37</v>
      </c>
      <c r="M132" s="322" t="s">
        <v>38</v>
      </c>
      <c r="N132" s="321" t="s">
        <v>39</v>
      </c>
      <c r="O132" s="323" t="s">
        <v>186</v>
      </c>
      <c r="P132" s="321" t="s">
        <v>3</v>
      </c>
      <c r="Q132" s="2"/>
      <c r="R132" s="324">
        <f t="shared" si="38"/>
        <v>1470</v>
      </c>
      <c r="S132" s="325">
        <v>4</v>
      </c>
      <c r="T132" s="325">
        <f t="shared" si="22"/>
        <v>4</v>
      </c>
      <c r="V132" s="324">
        <v>5000</v>
      </c>
      <c r="W132" s="326">
        <f t="shared" si="23"/>
        <v>3</v>
      </c>
      <c r="X132" s="326">
        <f t="shared" si="24"/>
        <v>4520</v>
      </c>
      <c r="Y132" s="327">
        <v>4600</v>
      </c>
      <c r="Z132" s="328">
        <f t="shared" si="20"/>
        <v>1.3333333333333333</v>
      </c>
      <c r="AA132" s="392"/>
      <c r="AB132" s="329">
        <v>0.29899999999999999</v>
      </c>
      <c r="AC132" s="329">
        <v>0.13900000000000001</v>
      </c>
      <c r="AE132" s="332">
        <f t="shared" si="25"/>
        <v>1.7581199999999999</v>
      </c>
      <c r="AF132" s="332">
        <f t="shared" si="26"/>
        <v>1.8338666666666665</v>
      </c>
      <c r="AG132" s="332">
        <f t="shared" si="27"/>
        <v>-7.5746666666666629E-2</v>
      </c>
      <c r="AH132" s="333">
        <f t="shared" si="28"/>
        <v>1.0430839002267573</v>
      </c>
      <c r="AI132" s="329">
        <f t="shared" si="29"/>
        <v>5.88</v>
      </c>
      <c r="AJ132" s="329">
        <f t="shared" si="30"/>
        <v>6.1333333333333329</v>
      </c>
      <c r="AK132" s="329">
        <f t="shared" si="31"/>
        <v>-0.25333333333333297</v>
      </c>
      <c r="AL132" s="382">
        <f t="shared" si="32"/>
        <v>1.0430839002267573</v>
      </c>
    </row>
    <row r="133" spans="2:38" s="303" customFormat="1" ht="28.5" x14ac:dyDescent="0.2">
      <c r="B133" s="341">
        <f t="shared" si="33"/>
        <v>123</v>
      </c>
      <c r="C133" s="344" t="s">
        <v>183</v>
      </c>
      <c r="D133" s="342" t="s">
        <v>196</v>
      </c>
      <c r="E133" s="341" t="s">
        <v>198</v>
      </c>
      <c r="F133" s="341">
        <v>1</v>
      </c>
      <c r="G133" s="341">
        <v>8150</v>
      </c>
      <c r="H133" s="341" t="s">
        <v>173</v>
      </c>
      <c r="I133" s="341">
        <v>2440</v>
      </c>
      <c r="J133" s="2"/>
      <c r="K133" s="341">
        <v>74</v>
      </c>
      <c r="L133" s="342" t="s">
        <v>42</v>
      </c>
      <c r="M133" s="343" t="s">
        <v>43</v>
      </c>
      <c r="N133" s="342" t="s">
        <v>39</v>
      </c>
      <c r="O133" s="323" t="s">
        <v>186</v>
      </c>
      <c r="P133" s="342" t="s">
        <v>3</v>
      </c>
      <c r="Q133" s="2"/>
      <c r="R133" s="324">
        <f t="shared" si="38"/>
        <v>1470</v>
      </c>
      <c r="S133" s="325">
        <v>1</v>
      </c>
      <c r="T133" s="325">
        <f t="shared" si="22"/>
        <v>1</v>
      </c>
      <c r="V133" s="324">
        <v>5000</v>
      </c>
      <c r="W133" s="326">
        <f t="shared" si="23"/>
        <v>3</v>
      </c>
      <c r="X133" s="326">
        <f t="shared" si="24"/>
        <v>4520</v>
      </c>
      <c r="Y133" s="327">
        <v>4600</v>
      </c>
      <c r="Z133" s="328">
        <f t="shared" si="20"/>
        <v>0.33333333333333331</v>
      </c>
      <c r="AA133" s="392"/>
      <c r="AB133" s="329">
        <v>1.72</v>
      </c>
      <c r="AC133" s="329">
        <v>0.32400000000000001</v>
      </c>
      <c r="AE133" s="332">
        <f t="shared" si="25"/>
        <v>2.5284</v>
      </c>
      <c r="AF133" s="332">
        <f t="shared" si="26"/>
        <v>2.6373333333333333</v>
      </c>
      <c r="AG133" s="332">
        <f t="shared" si="27"/>
        <v>-0.10893333333333333</v>
      </c>
      <c r="AH133" s="333">
        <f t="shared" si="28"/>
        <v>1.0430839002267573</v>
      </c>
      <c r="AI133" s="329">
        <f t="shared" si="29"/>
        <v>1.47</v>
      </c>
      <c r="AJ133" s="329">
        <f t="shared" si="30"/>
        <v>1.5333333333333332</v>
      </c>
      <c r="AK133" s="329">
        <f t="shared" si="31"/>
        <v>-6.3333333333333242E-2</v>
      </c>
      <c r="AL133" s="382">
        <f t="shared" si="32"/>
        <v>1.0430839002267573</v>
      </c>
    </row>
    <row r="134" spans="2:38" s="303" customFormat="1" ht="28.5" x14ac:dyDescent="0.2">
      <c r="B134" s="341">
        <f t="shared" si="33"/>
        <v>124</v>
      </c>
      <c r="C134" s="344" t="s">
        <v>183</v>
      </c>
      <c r="D134" s="342" t="s">
        <v>196</v>
      </c>
      <c r="E134" s="341" t="s">
        <v>198</v>
      </c>
      <c r="F134" s="341">
        <v>1</v>
      </c>
      <c r="G134" s="341">
        <v>8150</v>
      </c>
      <c r="H134" s="341" t="s">
        <v>173</v>
      </c>
      <c r="I134" s="341">
        <v>2440</v>
      </c>
      <c r="J134" s="2"/>
      <c r="K134" s="341">
        <v>74</v>
      </c>
      <c r="L134" s="342" t="s">
        <v>40</v>
      </c>
      <c r="M134" s="343" t="s">
        <v>41</v>
      </c>
      <c r="N134" s="342" t="s">
        <v>39</v>
      </c>
      <c r="O134" s="323" t="s">
        <v>186</v>
      </c>
      <c r="P134" s="342" t="s">
        <v>3</v>
      </c>
      <c r="Q134" s="2"/>
      <c r="R134" s="324">
        <f t="shared" si="38"/>
        <v>1470</v>
      </c>
      <c r="S134" s="325">
        <v>1</v>
      </c>
      <c r="T134" s="325">
        <f t="shared" si="22"/>
        <v>1</v>
      </c>
      <c r="V134" s="324">
        <v>5000</v>
      </c>
      <c r="W134" s="326">
        <f t="shared" si="23"/>
        <v>3</v>
      </c>
      <c r="X134" s="326">
        <f t="shared" si="24"/>
        <v>4520</v>
      </c>
      <c r="Y134" s="327">
        <v>4600</v>
      </c>
      <c r="Z134" s="328">
        <f t="shared" si="20"/>
        <v>0.33333333333333331</v>
      </c>
      <c r="AA134" s="392"/>
      <c r="AB134" s="329">
        <v>0.27700000000000002</v>
      </c>
      <c r="AC134" s="329">
        <v>0.114</v>
      </c>
      <c r="AE134" s="332">
        <f t="shared" si="25"/>
        <v>0.40719000000000005</v>
      </c>
      <c r="AF134" s="332">
        <f t="shared" si="26"/>
        <v>0.42473333333333335</v>
      </c>
      <c r="AG134" s="332">
        <f t="shared" si="27"/>
        <v>-1.75433333333333E-2</v>
      </c>
      <c r="AH134" s="333">
        <f t="shared" si="28"/>
        <v>1.0430839002267573</v>
      </c>
      <c r="AI134" s="329">
        <f t="shared" si="29"/>
        <v>1.47</v>
      </c>
      <c r="AJ134" s="329">
        <f t="shared" si="30"/>
        <v>1.5333333333333332</v>
      </c>
      <c r="AK134" s="329">
        <f t="shared" si="31"/>
        <v>-6.3333333333333242E-2</v>
      </c>
      <c r="AL134" s="382">
        <f t="shared" si="32"/>
        <v>1.0430839002267573</v>
      </c>
    </row>
    <row r="135" spans="2:38" s="303" customFormat="1" ht="28.5" x14ac:dyDescent="0.2">
      <c r="B135" s="341">
        <f t="shared" si="33"/>
        <v>125</v>
      </c>
      <c r="C135" s="344" t="s">
        <v>183</v>
      </c>
      <c r="D135" s="342" t="s">
        <v>196</v>
      </c>
      <c r="E135" s="341" t="s">
        <v>198</v>
      </c>
      <c r="F135" s="341">
        <v>1</v>
      </c>
      <c r="G135" s="341">
        <v>8150</v>
      </c>
      <c r="H135" s="341" t="s">
        <v>173</v>
      </c>
      <c r="I135" s="341">
        <v>2440</v>
      </c>
      <c r="J135" s="2"/>
      <c r="K135" s="319">
        <v>74</v>
      </c>
      <c r="L135" s="321" t="s">
        <v>37</v>
      </c>
      <c r="M135" s="322" t="s">
        <v>38</v>
      </c>
      <c r="N135" s="321" t="s">
        <v>39</v>
      </c>
      <c r="O135" s="323" t="s">
        <v>186</v>
      </c>
      <c r="P135" s="321" t="s">
        <v>3</v>
      </c>
      <c r="Q135" s="2"/>
      <c r="R135" s="324">
        <f t="shared" si="38"/>
        <v>1470</v>
      </c>
      <c r="S135" s="325">
        <v>1</v>
      </c>
      <c r="T135" s="325">
        <f t="shared" si="22"/>
        <v>1</v>
      </c>
      <c r="V135" s="324">
        <v>5000</v>
      </c>
      <c r="W135" s="326">
        <f t="shared" si="23"/>
        <v>3</v>
      </c>
      <c r="X135" s="326">
        <f t="shared" si="24"/>
        <v>4520</v>
      </c>
      <c r="Y135" s="327">
        <v>4600</v>
      </c>
      <c r="Z135" s="328">
        <f t="shared" si="20"/>
        <v>0.33333333333333331</v>
      </c>
      <c r="AA135" s="426">
        <v>2</v>
      </c>
      <c r="AB135" s="329">
        <v>0.29899999999999999</v>
      </c>
      <c r="AC135" s="329">
        <v>0.13900000000000001</v>
      </c>
      <c r="AE135" s="332">
        <f t="shared" si="25"/>
        <v>0.43952999999999998</v>
      </c>
      <c r="AF135" s="332">
        <f t="shared" si="26"/>
        <v>0.45846666666666663</v>
      </c>
      <c r="AG135" s="332">
        <f t="shared" si="27"/>
        <v>-1.8936666666666657E-2</v>
      </c>
      <c r="AH135" s="333">
        <f t="shared" si="28"/>
        <v>1.0430839002267573</v>
      </c>
      <c r="AI135" s="329">
        <f t="shared" si="29"/>
        <v>1.47</v>
      </c>
      <c r="AJ135" s="329">
        <f t="shared" si="30"/>
        <v>1.5333333333333332</v>
      </c>
      <c r="AK135" s="329">
        <f t="shared" si="31"/>
        <v>-6.3333333333333242E-2</v>
      </c>
      <c r="AL135" s="382">
        <f t="shared" si="32"/>
        <v>1.0430839002267573</v>
      </c>
    </row>
    <row r="136" spans="2:38" s="303" customFormat="1" ht="28.5" x14ac:dyDescent="0.2">
      <c r="B136" s="341">
        <f t="shared" si="33"/>
        <v>126</v>
      </c>
      <c r="C136" s="344" t="s">
        <v>183</v>
      </c>
      <c r="D136" s="342" t="s">
        <v>196</v>
      </c>
      <c r="E136" s="341" t="s">
        <v>198</v>
      </c>
      <c r="F136" s="341">
        <v>1</v>
      </c>
      <c r="G136" s="341">
        <v>8150</v>
      </c>
      <c r="H136" s="341" t="s">
        <v>173</v>
      </c>
      <c r="I136" s="341">
        <v>2440</v>
      </c>
      <c r="J136" s="2"/>
      <c r="K136" s="319">
        <v>74</v>
      </c>
      <c r="L136" s="321" t="s">
        <v>52</v>
      </c>
      <c r="M136" s="322" t="s">
        <v>53</v>
      </c>
      <c r="N136" s="321" t="s">
        <v>39</v>
      </c>
      <c r="O136" s="323" t="s">
        <v>186</v>
      </c>
      <c r="P136" s="321" t="s">
        <v>3</v>
      </c>
      <c r="Q136" s="2"/>
      <c r="R136" s="324">
        <f>ROUNDUP(I136,0)</f>
        <v>2440</v>
      </c>
      <c r="S136" s="325">
        <v>1</v>
      </c>
      <c r="T136" s="325">
        <f t="shared" si="22"/>
        <v>1</v>
      </c>
      <c r="V136" s="324">
        <v>7000</v>
      </c>
      <c r="W136" s="326">
        <f t="shared" si="23"/>
        <v>2</v>
      </c>
      <c r="X136" s="326">
        <f t="shared" si="24"/>
        <v>4985</v>
      </c>
      <c r="Y136" s="327">
        <v>5000</v>
      </c>
      <c r="Z136" s="328">
        <f t="shared" si="20"/>
        <v>0.5</v>
      </c>
      <c r="AA136" s="392"/>
      <c r="AB136" s="329">
        <v>0.97399999999999998</v>
      </c>
      <c r="AC136" s="329">
        <v>0.216</v>
      </c>
      <c r="AE136" s="332">
        <f t="shared" si="25"/>
        <v>2.37656</v>
      </c>
      <c r="AF136" s="332">
        <f t="shared" si="26"/>
        <v>2.4350000000000001</v>
      </c>
      <c r="AG136" s="332">
        <f t="shared" si="27"/>
        <v>-5.8440000000000047E-2</v>
      </c>
      <c r="AH136" s="333">
        <f t="shared" si="28"/>
        <v>1.0245901639344261</v>
      </c>
      <c r="AI136" s="329">
        <f t="shared" si="29"/>
        <v>2.44</v>
      </c>
      <c r="AJ136" s="329">
        <f t="shared" si="30"/>
        <v>2.5</v>
      </c>
      <c r="AK136" s="329">
        <f t="shared" si="31"/>
        <v>-6.0000000000000053E-2</v>
      </c>
      <c r="AL136" s="382">
        <f t="shared" si="32"/>
        <v>1.0245901639344261</v>
      </c>
    </row>
    <row r="137" spans="2:38" s="303" customFormat="1" ht="28.5" x14ac:dyDescent="0.2">
      <c r="B137" s="341">
        <f t="shared" si="33"/>
        <v>127</v>
      </c>
      <c r="C137" s="344" t="s">
        <v>183</v>
      </c>
      <c r="D137" s="342" t="s">
        <v>196</v>
      </c>
      <c r="E137" s="341" t="s">
        <v>198</v>
      </c>
      <c r="F137" s="341">
        <v>1</v>
      </c>
      <c r="G137" s="341">
        <v>8150</v>
      </c>
      <c r="H137" s="341" t="s">
        <v>173</v>
      </c>
      <c r="I137" s="341">
        <v>2440</v>
      </c>
      <c r="J137" s="2"/>
      <c r="K137" s="341">
        <v>74</v>
      </c>
      <c r="L137" s="342" t="s">
        <v>54</v>
      </c>
      <c r="M137" s="343" t="s">
        <v>55</v>
      </c>
      <c r="N137" s="342" t="s">
        <v>39</v>
      </c>
      <c r="O137" s="323" t="s">
        <v>186</v>
      </c>
      <c r="P137" s="342" t="s">
        <v>3</v>
      </c>
      <c r="Q137" s="2"/>
      <c r="R137" s="324">
        <f>ROUNDUP(I137,0)</f>
        <v>2440</v>
      </c>
      <c r="S137" s="325">
        <v>1</v>
      </c>
      <c r="T137" s="325">
        <f t="shared" si="22"/>
        <v>1</v>
      </c>
      <c r="V137" s="324">
        <v>7000</v>
      </c>
      <c r="W137" s="326">
        <f t="shared" si="23"/>
        <v>2</v>
      </c>
      <c r="X137" s="326">
        <f t="shared" si="24"/>
        <v>4985</v>
      </c>
      <c r="Y137" s="327">
        <v>5000</v>
      </c>
      <c r="Z137" s="328">
        <f t="shared" si="20"/>
        <v>0.5</v>
      </c>
      <c r="AA137" s="304"/>
      <c r="AB137" s="329">
        <v>1.2410000000000001</v>
      </c>
      <c r="AC137" s="329">
        <v>0.32674979999999998</v>
      </c>
      <c r="AE137" s="332">
        <f t="shared" si="25"/>
        <v>3.0280400000000003</v>
      </c>
      <c r="AF137" s="332">
        <f t="shared" si="26"/>
        <v>3.1025</v>
      </c>
      <c r="AG137" s="332">
        <f t="shared" si="27"/>
        <v>-7.4459999999999749E-2</v>
      </c>
      <c r="AH137" s="333">
        <f t="shared" si="28"/>
        <v>1.0245901639344261</v>
      </c>
      <c r="AI137" s="329">
        <f t="shared" si="29"/>
        <v>2.44</v>
      </c>
      <c r="AJ137" s="329">
        <f t="shared" si="30"/>
        <v>2.5</v>
      </c>
      <c r="AK137" s="329">
        <f t="shared" si="31"/>
        <v>-6.0000000000000053E-2</v>
      </c>
      <c r="AL137" s="382">
        <f t="shared" si="32"/>
        <v>1.0245901639344261</v>
      </c>
    </row>
    <row r="138" spans="2:38" s="303" customFormat="1" ht="28.5" x14ac:dyDescent="0.2">
      <c r="B138" s="341">
        <f t="shared" si="33"/>
        <v>128</v>
      </c>
      <c r="C138" s="344" t="s">
        <v>183</v>
      </c>
      <c r="D138" s="342" t="s">
        <v>196</v>
      </c>
      <c r="E138" s="341" t="s">
        <v>198</v>
      </c>
      <c r="F138" s="341">
        <v>1</v>
      </c>
      <c r="G138" s="341">
        <v>8150</v>
      </c>
      <c r="H138" s="341" t="s">
        <v>173</v>
      </c>
      <c r="I138" s="341">
        <v>2440</v>
      </c>
      <c r="J138" s="2"/>
      <c r="K138" s="341">
        <v>75</v>
      </c>
      <c r="L138" s="342" t="s">
        <v>52</v>
      </c>
      <c r="M138" s="343" t="s">
        <v>53</v>
      </c>
      <c r="N138" s="342" t="s">
        <v>39</v>
      </c>
      <c r="O138" s="323" t="s">
        <v>186</v>
      </c>
      <c r="P138" s="342" t="s">
        <v>3</v>
      </c>
      <c r="Q138" s="2"/>
      <c r="R138" s="324">
        <f>ROUNDUP(I138,0)</f>
        <v>2440</v>
      </c>
      <c r="S138" s="325">
        <v>1</v>
      </c>
      <c r="T138" s="325">
        <f t="shared" si="22"/>
        <v>1</v>
      </c>
      <c r="V138" s="324">
        <v>7000</v>
      </c>
      <c r="W138" s="326">
        <f t="shared" si="23"/>
        <v>2</v>
      </c>
      <c r="X138" s="326">
        <f t="shared" si="24"/>
        <v>4985</v>
      </c>
      <c r="Y138" s="327">
        <v>5000</v>
      </c>
      <c r="Z138" s="328">
        <f t="shared" si="20"/>
        <v>0.5</v>
      </c>
      <c r="AA138" s="392"/>
      <c r="AB138" s="329">
        <v>0.97399999999999998</v>
      </c>
      <c r="AC138" s="329">
        <v>0.216</v>
      </c>
      <c r="AE138" s="332">
        <f t="shared" si="25"/>
        <v>2.37656</v>
      </c>
      <c r="AF138" s="332">
        <f t="shared" si="26"/>
        <v>2.4350000000000001</v>
      </c>
      <c r="AG138" s="332">
        <f t="shared" si="27"/>
        <v>-5.8440000000000047E-2</v>
      </c>
      <c r="AH138" s="333">
        <f t="shared" si="28"/>
        <v>1.0245901639344261</v>
      </c>
      <c r="AI138" s="329">
        <f t="shared" si="29"/>
        <v>2.44</v>
      </c>
      <c r="AJ138" s="329">
        <f t="shared" si="30"/>
        <v>2.5</v>
      </c>
      <c r="AK138" s="329">
        <f t="shared" si="31"/>
        <v>-6.0000000000000053E-2</v>
      </c>
      <c r="AL138" s="382">
        <f t="shared" si="32"/>
        <v>1.0245901639344261</v>
      </c>
    </row>
    <row r="139" spans="2:38" s="303" customFormat="1" ht="28.5" x14ac:dyDescent="0.2">
      <c r="B139" s="341">
        <f t="shared" si="33"/>
        <v>129</v>
      </c>
      <c r="C139" s="344" t="s">
        <v>183</v>
      </c>
      <c r="D139" s="342" t="s">
        <v>196</v>
      </c>
      <c r="E139" s="341" t="s">
        <v>198</v>
      </c>
      <c r="F139" s="341">
        <v>1</v>
      </c>
      <c r="G139" s="341">
        <v>8150</v>
      </c>
      <c r="H139" s="341" t="s">
        <v>173</v>
      </c>
      <c r="I139" s="341">
        <v>2440</v>
      </c>
      <c r="J139" s="2"/>
      <c r="K139" s="341">
        <v>75</v>
      </c>
      <c r="L139" s="342" t="s">
        <v>54</v>
      </c>
      <c r="M139" s="343" t="s">
        <v>55</v>
      </c>
      <c r="N139" s="342" t="s">
        <v>39</v>
      </c>
      <c r="O139" s="323" t="s">
        <v>186</v>
      </c>
      <c r="P139" s="342" t="s">
        <v>3</v>
      </c>
      <c r="Q139" s="2"/>
      <c r="R139" s="324">
        <f>ROUNDUP(I139,0)</f>
        <v>2440</v>
      </c>
      <c r="S139" s="325">
        <v>1</v>
      </c>
      <c r="T139" s="325">
        <f t="shared" si="22"/>
        <v>1</v>
      </c>
      <c r="V139" s="324">
        <v>7000</v>
      </c>
      <c r="W139" s="326">
        <f t="shared" si="23"/>
        <v>2</v>
      </c>
      <c r="X139" s="326">
        <f t="shared" si="24"/>
        <v>4985</v>
      </c>
      <c r="Y139" s="327">
        <v>5000</v>
      </c>
      <c r="Z139" s="328">
        <f t="shared" si="20"/>
        <v>0.5</v>
      </c>
      <c r="AA139" s="304"/>
      <c r="AB139" s="329">
        <v>1.2410000000000001</v>
      </c>
      <c r="AC139" s="329">
        <v>0.32674979999999998</v>
      </c>
      <c r="AE139" s="332">
        <f t="shared" si="25"/>
        <v>3.0280400000000003</v>
      </c>
      <c r="AF139" s="332">
        <f t="shared" si="26"/>
        <v>3.1025</v>
      </c>
      <c r="AG139" s="332">
        <f t="shared" si="27"/>
        <v>-7.4459999999999749E-2</v>
      </c>
      <c r="AH139" s="333">
        <f t="shared" si="28"/>
        <v>1.0245901639344261</v>
      </c>
      <c r="AI139" s="329">
        <f t="shared" si="29"/>
        <v>2.44</v>
      </c>
      <c r="AJ139" s="329">
        <f t="shared" si="30"/>
        <v>2.5</v>
      </c>
      <c r="AK139" s="329">
        <f t="shared" si="31"/>
        <v>-6.0000000000000053E-2</v>
      </c>
      <c r="AL139" s="382">
        <f t="shared" si="32"/>
        <v>1.0245901639344261</v>
      </c>
    </row>
    <row r="140" spans="2:38" s="303" customFormat="1" ht="28.5" x14ac:dyDescent="0.2">
      <c r="B140" s="341">
        <f t="shared" ref="B140:B203" si="39">B139+1</f>
        <v>130</v>
      </c>
      <c r="C140" s="344" t="s">
        <v>183</v>
      </c>
      <c r="D140" s="342" t="s">
        <v>196</v>
      </c>
      <c r="E140" s="341" t="s">
        <v>198</v>
      </c>
      <c r="F140" s="341">
        <v>1</v>
      </c>
      <c r="G140" s="341">
        <v>8150</v>
      </c>
      <c r="H140" s="341" t="s">
        <v>173</v>
      </c>
      <c r="I140" s="341">
        <v>2440</v>
      </c>
      <c r="J140" s="2"/>
      <c r="K140" s="345">
        <v>75</v>
      </c>
      <c r="L140" s="345" t="s">
        <v>34</v>
      </c>
      <c r="M140" s="346" t="s">
        <v>35</v>
      </c>
      <c r="N140" s="347" t="s">
        <v>6</v>
      </c>
      <c r="O140" s="323" t="s">
        <v>186</v>
      </c>
      <c r="P140" s="347" t="s">
        <v>187</v>
      </c>
      <c r="Q140" s="2"/>
      <c r="R140" s="324">
        <f>ROUNDUP(I140,0)</f>
        <v>2440</v>
      </c>
      <c r="S140" s="325">
        <v>1</v>
      </c>
      <c r="T140" s="325">
        <f t="shared" si="22"/>
        <v>1</v>
      </c>
      <c r="V140" s="324">
        <v>6100</v>
      </c>
      <c r="W140" s="339">
        <f t="shared" si="23"/>
        <v>2</v>
      </c>
      <c r="X140" s="339">
        <f t="shared" si="24"/>
        <v>4985</v>
      </c>
      <c r="Y140" s="327">
        <v>6100</v>
      </c>
      <c r="Z140" s="328">
        <f t="shared" si="20"/>
        <v>0.5</v>
      </c>
      <c r="AA140" s="392"/>
      <c r="AB140" s="329">
        <v>0.438</v>
      </c>
      <c r="AC140" s="329">
        <v>0</v>
      </c>
      <c r="AE140" s="332">
        <f t="shared" si="25"/>
        <v>1.0687199999999999</v>
      </c>
      <c r="AF140" s="332">
        <f t="shared" si="26"/>
        <v>1.3358999999999999</v>
      </c>
      <c r="AG140" s="332">
        <f t="shared" si="27"/>
        <v>-0.26717999999999997</v>
      </c>
      <c r="AH140" s="333">
        <f t="shared" si="28"/>
        <v>1.25</v>
      </c>
      <c r="AI140" s="329">
        <f t="shared" si="29"/>
        <v>2.44</v>
      </c>
      <c r="AJ140" s="329">
        <f t="shared" si="30"/>
        <v>3.05</v>
      </c>
      <c r="AK140" s="329">
        <f t="shared" si="31"/>
        <v>-0.60999999999999988</v>
      </c>
      <c r="AL140" s="382">
        <f t="shared" si="32"/>
        <v>1.25</v>
      </c>
    </row>
    <row r="141" spans="2:38" s="303" customFormat="1" ht="28.5" x14ac:dyDescent="0.2">
      <c r="B141" s="341">
        <f t="shared" si="39"/>
        <v>131</v>
      </c>
      <c r="C141" s="344" t="s">
        <v>183</v>
      </c>
      <c r="D141" s="342" t="s">
        <v>196</v>
      </c>
      <c r="E141" s="341" t="s">
        <v>198</v>
      </c>
      <c r="F141" s="341">
        <v>1</v>
      </c>
      <c r="G141" s="341">
        <v>8150</v>
      </c>
      <c r="H141" s="341" t="s">
        <v>173</v>
      </c>
      <c r="I141" s="341">
        <v>2440</v>
      </c>
      <c r="J141" s="2"/>
      <c r="K141" s="341">
        <v>70</v>
      </c>
      <c r="L141" s="342" t="s">
        <v>52</v>
      </c>
      <c r="M141" s="343" t="s">
        <v>53</v>
      </c>
      <c r="N141" s="342" t="s">
        <v>39</v>
      </c>
      <c r="O141" s="323" t="s">
        <v>188</v>
      </c>
      <c r="P141" s="342" t="s">
        <v>3</v>
      </c>
      <c r="Q141" s="2"/>
      <c r="R141" s="324">
        <f>ROUNDUP(1150,0)</f>
        <v>1150</v>
      </c>
      <c r="S141" s="325">
        <v>2</v>
      </c>
      <c r="T141" s="325">
        <f t="shared" si="22"/>
        <v>2</v>
      </c>
      <c r="V141" s="324">
        <v>5000</v>
      </c>
      <c r="W141" s="326">
        <f t="shared" si="23"/>
        <v>4</v>
      </c>
      <c r="X141" s="326">
        <f t="shared" si="24"/>
        <v>4715</v>
      </c>
      <c r="Y141" s="327">
        <v>5000</v>
      </c>
      <c r="Z141" s="328">
        <f t="shared" si="20"/>
        <v>0.5</v>
      </c>
      <c r="AA141" s="387">
        <v>2.5</v>
      </c>
      <c r="AB141" s="329">
        <v>0.97399999999999998</v>
      </c>
      <c r="AC141" s="329">
        <v>0.216</v>
      </c>
      <c r="AE141" s="332">
        <f t="shared" si="25"/>
        <v>2.2401999999999997</v>
      </c>
      <c r="AF141" s="332">
        <f t="shared" si="26"/>
        <v>2.4350000000000001</v>
      </c>
      <c r="AG141" s="332">
        <f t="shared" si="27"/>
        <v>-0.19480000000000031</v>
      </c>
      <c r="AH141" s="333">
        <f t="shared" si="28"/>
        <v>1.0869565217391306</v>
      </c>
      <c r="AI141" s="329">
        <f t="shared" si="29"/>
        <v>2.2999999999999998</v>
      </c>
      <c r="AJ141" s="329">
        <f t="shared" si="30"/>
        <v>2.5</v>
      </c>
      <c r="AK141" s="329">
        <f t="shared" si="31"/>
        <v>-0.20000000000000018</v>
      </c>
      <c r="AL141" s="382">
        <f t="shared" si="32"/>
        <v>1.0869565217391306</v>
      </c>
    </row>
    <row r="142" spans="2:38" s="303" customFormat="1" ht="28.5" x14ac:dyDescent="0.2">
      <c r="B142" s="341">
        <f t="shared" si="39"/>
        <v>132</v>
      </c>
      <c r="C142" s="344" t="s">
        <v>183</v>
      </c>
      <c r="D142" s="342" t="s">
        <v>196</v>
      </c>
      <c r="E142" s="341" t="s">
        <v>198</v>
      </c>
      <c r="F142" s="341">
        <v>1</v>
      </c>
      <c r="G142" s="341">
        <v>8150</v>
      </c>
      <c r="H142" s="341" t="s">
        <v>173</v>
      </c>
      <c r="I142" s="341">
        <v>2440</v>
      </c>
      <c r="J142" s="2"/>
      <c r="K142" s="341">
        <v>70</v>
      </c>
      <c r="L142" s="342" t="s">
        <v>54</v>
      </c>
      <c r="M142" s="343" t="s">
        <v>55</v>
      </c>
      <c r="N142" s="342" t="s">
        <v>39</v>
      </c>
      <c r="O142" s="323" t="s">
        <v>188</v>
      </c>
      <c r="P142" s="342" t="s">
        <v>3</v>
      </c>
      <c r="Q142" s="2"/>
      <c r="R142" s="324">
        <f>ROUNDUP(1150,0)</f>
        <v>1150</v>
      </c>
      <c r="S142" s="325">
        <v>2</v>
      </c>
      <c r="T142" s="325">
        <f t="shared" si="22"/>
        <v>2</v>
      </c>
      <c r="V142" s="324">
        <v>5000</v>
      </c>
      <c r="W142" s="326">
        <f t="shared" si="23"/>
        <v>4</v>
      </c>
      <c r="X142" s="326">
        <f t="shared" si="24"/>
        <v>4715</v>
      </c>
      <c r="Y142" s="327">
        <v>5000</v>
      </c>
      <c r="Z142" s="328">
        <f t="shared" si="20"/>
        <v>0.5</v>
      </c>
      <c r="AA142" s="304"/>
      <c r="AB142" s="329">
        <v>1.2410000000000001</v>
      </c>
      <c r="AC142" s="329">
        <v>0.32674979999999998</v>
      </c>
      <c r="AE142" s="332">
        <f t="shared" si="25"/>
        <v>2.8542999999999998</v>
      </c>
      <c r="AF142" s="332">
        <f t="shared" si="26"/>
        <v>3.1025</v>
      </c>
      <c r="AG142" s="332">
        <f t="shared" si="27"/>
        <v>-0.2482000000000002</v>
      </c>
      <c r="AH142" s="333">
        <f t="shared" si="28"/>
        <v>1.0869565217391306</v>
      </c>
      <c r="AI142" s="329">
        <f t="shared" si="29"/>
        <v>2.2999999999999998</v>
      </c>
      <c r="AJ142" s="329">
        <f t="shared" si="30"/>
        <v>2.5</v>
      </c>
      <c r="AK142" s="329">
        <f t="shared" si="31"/>
        <v>-0.20000000000000018</v>
      </c>
      <c r="AL142" s="382">
        <f t="shared" si="32"/>
        <v>1.0869565217391306</v>
      </c>
    </row>
    <row r="143" spans="2:38" s="303" customFormat="1" ht="28.5" x14ac:dyDescent="0.2">
      <c r="B143" s="341">
        <f t="shared" si="39"/>
        <v>133</v>
      </c>
      <c r="C143" s="344" t="s">
        <v>183</v>
      </c>
      <c r="D143" s="342" t="s">
        <v>196</v>
      </c>
      <c r="E143" s="341" t="s">
        <v>198</v>
      </c>
      <c r="F143" s="341">
        <v>1</v>
      </c>
      <c r="G143" s="341">
        <v>8150</v>
      </c>
      <c r="H143" s="341" t="s">
        <v>173</v>
      </c>
      <c r="I143" s="341">
        <v>2440</v>
      </c>
      <c r="J143" s="2"/>
      <c r="K143" s="341">
        <v>71</v>
      </c>
      <c r="L143" s="342" t="s">
        <v>54</v>
      </c>
      <c r="M143" s="343" t="s">
        <v>55</v>
      </c>
      <c r="N143" s="342" t="s">
        <v>39</v>
      </c>
      <c r="O143" s="323" t="s">
        <v>188</v>
      </c>
      <c r="P143" s="342" t="s">
        <v>3</v>
      </c>
      <c r="Q143" s="2"/>
      <c r="R143" s="324">
        <f>ROUNDUP(1150,0)</f>
        <v>1150</v>
      </c>
      <c r="S143" s="325">
        <v>2</v>
      </c>
      <c r="T143" s="325">
        <f t="shared" si="22"/>
        <v>2</v>
      </c>
      <c r="V143" s="324">
        <v>5000</v>
      </c>
      <c r="W143" s="326">
        <f t="shared" si="23"/>
        <v>4</v>
      </c>
      <c r="X143" s="326">
        <f t="shared" si="24"/>
        <v>4715</v>
      </c>
      <c r="Y143" s="327">
        <v>5000</v>
      </c>
      <c r="Z143" s="328">
        <f t="shared" si="20"/>
        <v>0.5</v>
      </c>
      <c r="AA143" s="387">
        <v>3</v>
      </c>
      <c r="AB143" s="329">
        <v>1.2410000000000001</v>
      </c>
      <c r="AC143" s="329">
        <v>0.32674979999999998</v>
      </c>
      <c r="AE143" s="332">
        <f t="shared" ref="AE143:AE208" si="40">(($R143/1000)*$T143)*$AB143</f>
        <v>2.8542999999999998</v>
      </c>
      <c r="AF143" s="332">
        <f t="shared" ref="AF143:AF208" si="41">(($Y143*$Z143)/1000)*$AB143</f>
        <v>3.1025</v>
      </c>
      <c r="AG143" s="332">
        <f t="shared" ref="AG143:AG208" si="42">+AE143-AF143</f>
        <v>-0.2482000000000002</v>
      </c>
      <c r="AH143" s="333">
        <f t="shared" ref="AH143:AH208" si="43">+AF143/AE143</f>
        <v>1.0869565217391306</v>
      </c>
      <c r="AI143" s="329">
        <f t="shared" si="29"/>
        <v>2.2999999999999998</v>
      </c>
      <c r="AJ143" s="329">
        <f t="shared" si="30"/>
        <v>2.5</v>
      </c>
      <c r="AK143" s="329">
        <f t="shared" si="31"/>
        <v>-0.20000000000000018</v>
      </c>
      <c r="AL143" s="382">
        <f t="shared" si="32"/>
        <v>1.0869565217391306</v>
      </c>
    </row>
    <row r="144" spans="2:38" s="303" customFormat="1" ht="28.5" x14ac:dyDescent="0.2">
      <c r="B144" s="341">
        <f t="shared" si="39"/>
        <v>134</v>
      </c>
      <c r="C144" s="344" t="s">
        <v>183</v>
      </c>
      <c r="D144" s="342" t="s">
        <v>196</v>
      </c>
      <c r="E144" s="341" t="s">
        <v>198</v>
      </c>
      <c r="F144" s="341">
        <v>1</v>
      </c>
      <c r="G144" s="341">
        <v>8150</v>
      </c>
      <c r="H144" s="341" t="s">
        <v>173</v>
      </c>
      <c r="I144" s="341">
        <v>2440</v>
      </c>
      <c r="J144" s="2"/>
      <c r="K144" s="319">
        <v>10</v>
      </c>
      <c r="L144" s="321" t="s">
        <v>42</v>
      </c>
      <c r="M144" s="322" t="s">
        <v>43</v>
      </c>
      <c r="N144" s="321" t="s">
        <v>39</v>
      </c>
      <c r="O144" s="323" t="s">
        <v>188</v>
      </c>
      <c r="P144" s="321" t="s">
        <v>3</v>
      </c>
      <c r="Q144" s="2"/>
      <c r="R144" s="324">
        <f>ROUNDUP(((G144-(1150*2))/5),0)</f>
        <v>1170</v>
      </c>
      <c r="S144" s="325">
        <v>5</v>
      </c>
      <c r="T144" s="325">
        <f t="shared" si="22"/>
        <v>5</v>
      </c>
      <c r="V144" s="324">
        <v>5000</v>
      </c>
      <c r="W144" s="326">
        <f t="shared" si="23"/>
        <v>4</v>
      </c>
      <c r="X144" s="326">
        <f t="shared" si="24"/>
        <v>4795</v>
      </c>
      <c r="Y144" s="351">
        <v>4900</v>
      </c>
      <c r="Z144" s="328">
        <f t="shared" si="20"/>
        <v>1.25</v>
      </c>
      <c r="AA144" s="392"/>
      <c r="AB144" s="329">
        <v>1.72</v>
      </c>
      <c r="AC144" s="329">
        <v>0.32400000000000001</v>
      </c>
      <c r="AE144" s="332">
        <f t="shared" si="40"/>
        <v>10.061999999999999</v>
      </c>
      <c r="AF144" s="332">
        <f t="shared" si="41"/>
        <v>10.535</v>
      </c>
      <c r="AG144" s="332">
        <f t="shared" si="42"/>
        <v>-0.47300000000000075</v>
      </c>
      <c r="AH144" s="333">
        <f t="shared" si="43"/>
        <v>1.0470085470085471</v>
      </c>
      <c r="AI144" s="329">
        <f t="shared" si="29"/>
        <v>5.85</v>
      </c>
      <c r="AJ144" s="329">
        <f t="shared" si="30"/>
        <v>6.125</v>
      </c>
      <c r="AK144" s="329">
        <f t="shared" si="31"/>
        <v>-0.27500000000000036</v>
      </c>
      <c r="AL144" s="382">
        <f t="shared" si="32"/>
        <v>1.0470085470085471</v>
      </c>
    </row>
    <row r="145" spans="2:39" s="303" customFormat="1" ht="28.5" x14ac:dyDescent="0.2">
      <c r="B145" s="341">
        <f t="shared" si="39"/>
        <v>135</v>
      </c>
      <c r="C145" s="344" t="s">
        <v>183</v>
      </c>
      <c r="D145" s="342" t="s">
        <v>196</v>
      </c>
      <c r="E145" s="341" t="s">
        <v>198</v>
      </c>
      <c r="F145" s="341">
        <v>1</v>
      </c>
      <c r="G145" s="341">
        <v>8150</v>
      </c>
      <c r="H145" s="341" t="s">
        <v>173</v>
      </c>
      <c r="I145" s="341">
        <v>2440</v>
      </c>
      <c r="J145" s="2"/>
      <c r="K145" s="319">
        <v>10</v>
      </c>
      <c r="L145" s="321" t="s">
        <v>40</v>
      </c>
      <c r="M145" s="322" t="s">
        <v>41</v>
      </c>
      <c r="N145" s="321" t="s">
        <v>39</v>
      </c>
      <c r="O145" s="323" t="s">
        <v>188</v>
      </c>
      <c r="P145" s="321" t="s">
        <v>3</v>
      </c>
      <c r="Q145" s="2"/>
      <c r="R145" s="324">
        <f t="shared" ref="R145:R146" si="44">ROUNDUP(((G145-(1150*2))/5),0)</f>
        <v>1170</v>
      </c>
      <c r="S145" s="325">
        <v>5</v>
      </c>
      <c r="T145" s="325">
        <f t="shared" si="22"/>
        <v>5</v>
      </c>
      <c r="V145" s="324">
        <v>5000</v>
      </c>
      <c r="W145" s="326">
        <f t="shared" si="23"/>
        <v>4</v>
      </c>
      <c r="X145" s="326">
        <f t="shared" si="24"/>
        <v>4795</v>
      </c>
      <c r="Y145" s="327">
        <v>4900</v>
      </c>
      <c r="Z145" s="328">
        <f t="shared" si="20"/>
        <v>1.25</v>
      </c>
      <c r="AA145" s="304"/>
      <c r="AB145" s="329">
        <v>0.27700000000000002</v>
      </c>
      <c r="AC145" s="329">
        <v>0.114</v>
      </c>
      <c r="AE145" s="332">
        <f t="shared" si="40"/>
        <v>1.6204499999999999</v>
      </c>
      <c r="AF145" s="332">
        <f t="shared" si="41"/>
        <v>1.696625</v>
      </c>
      <c r="AG145" s="332">
        <f t="shared" si="42"/>
        <v>-7.6175000000000104E-2</v>
      </c>
      <c r="AH145" s="333">
        <f t="shared" si="43"/>
        <v>1.0470085470085471</v>
      </c>
      <c r="AI145" s="329">
        <f t="shared" si="29"/>
        <v>5.85</v>
      </c>
      <c r="AJ145" s="329">
        <f t="shared" si="30"/>
        <v>6.125</v>
      </c>
      <c r="AK145" s="329">
        <f t="shared" si="31"/>
        <v>-0.27500000000000036</v>
      </c>
      <c r="AL145" s="382">
        <f t="shared" si="32"/>
        <v>1.0470085470085471</v>
      </c>
    </row>
    <row r="146" spans="2:39" s="303" customFormat="1" ht="28.5" x14ac:dyDescent="0.2">
      <c r="B146" s="341">
        <f t="shared" si="39"/>
        <v>136</v>
      </c>
      <c r="C146" s="344" t="s">
        <v>183</v>
      </c>
      <c r="D146" s="342" t="s">
        <v>196</v>
      </c>
      <c r="E146" s="341" t="s">
        <v>198</v>
      </c>
      <c r="F146" s="341">
        <v>1</v>
      </c>
      <c r="G146" s="341">
        <v>8150</v>
      </c>
      <c r="H146" s="341" t="s">
        <v>173</v>
      </c>
      <c r="I146" s="341">
        <v>2440</v>
      </c>
      <c r="J146" s="2"/>
      <c r="K146" s="319">
        <v>10</v>
      </c>
      <c r="L146" s="321" t="s">
        <v>37</v>
      </c>
      <c r="M146" s="322" t="s">
        <v>38</v>
      </c>
      <c r="N146" s="321" t="s">
        <v>39</v>
      </c>
      <c r="O146" s="323" t="s">
        <v>188</v>
      </c>
      <c r="P146" s="321" t="s">
        <v>3</v>
      </c>
      <c r="Q146" s="2"/>
      <c r="R146" s="324">
        <f t="shared" si="44"/>
        <v>1170</v>
      </c>
      <c r="S146" s="325">
        <v>5</v>
      </c>
      <c r="T146" s="325">
        <f t="shared" si="22"/>
        <v>5</v>
      </c>
      <c r="V146" s="324">
        <v>5000</v>
      </c>
      <c r="W146" s="326">
        <f t="shared" si="23"/>
        <v>4</v>
      </c>
      <c r="X146" s="326">
        <f t="shared" si="24"/>
        <v>4795</v>
      </c>
      <c r="Y146" s="327">
        <v>4900</v>
      </c>
      <c r="Z146" s="328">
        <f t="shared" si="20"/>
        <v>1.25</v>
      </c>
      <c r="AA146" s="392"/>
      <c r="AB146" s="329">
        <v>0.29899999999999999</v>
      </c>
      <c r="AC146" s="329">
        <v>0.13900000000000001</v>
      </c>
      <c r="AE146" s="332">
        <f t="shared" si="40"/>
        <v>1.7491499999999998</v>
      </c>
      <c r="AF146" s="332">
        <f t="shared" si="41"/>
        <v>1.831375</v>
      </c>
      <c r="AG146" s="332">
        <f t="shared" si="42"/>
        <v>-8.2225000000000215E-2</v>
      </c>
      <c r="AH146" s="333">
        <f t="shared" si="43"/>
        <v>1.0470085470085471</v>
      </c>
      <c r="AI146" s="329">
        <f t="shared" si="29"/>
        <v>5.85</v>
      </c>
      <c r="AJ146" s="329">
        <f t="shared" si="30"/>
        <v>6.125</v>
      </c>
      <c r="AK146" s="329">
        <f t="shared" si="31"/>
        <v>-0.27500000000000036</v>
      </c>
      <c r="AL146" s="382">
        <f t="shared" si="32"/>
        <v>1.0470085470085471</v>
      </c>
    </row>
    <row r="147" spans="2:39" s="303" customFormat="1" ht="28.5" x14ac:dyDescent="0.2">
      <c r="B147" s="341">
        <f t="shared" si="39"/>
        <v>137</v>
      </c>
      <c r="C147" s="344" t="s">
        <v>183</v>
      </c>
      <c r="D147" s="342" t="s">
        <v>196</v>
      </c>
      <c r="E147" s="341" t="s">
        <v>198</v>
      </c>
      <c r="F147" s="341">
        <v>1</v>
      </c>
      <c r="G147" s="341">
        <v>8150</v>
      </c>
      <c r="H147" s="341" t="s">
        <v>173</v>
      </c>
      <c r="I147" s="341">
        <v>2440</v>
      </c>
      <c r="J147" s="2"/>
      <c r="K147" s="334">
        <v>10</v>
      </c>
      <c r="L147" s="335" t="s">
        <v>28</v>
      </c>
      <c r="M147" s="336" t="s">
        <v>118</v>
      </c>
      <c r="N147" s="337" t="s">
        <v>6</v>
      </c>
      <c r="O147" s="323" t="s">
        <v>188</v>
      </c>
      <c r="P147" s="337" t="s">
        <v>187</v>
      </c>
      <c r="Q147" s="2"/>
      <c r="R147" s="324">
        <f t="shared" ref="R147:R151" si="45">ROUNDUP((G147/2),0)</f>
        <v>4075</v>
      </c>
      <c r="S147" s="325">
        <v>2</v>
      </c>
      <c r="T147" s="325">
        <f t="shared" si="22"/>
        <v>2</v>
      </c>
      <c r="V147" s="338">
        <v>3660</v>
      </c>
      <c r="W147" s="339">
        <f t="shared" si="23"/>
        <v>0</v>
      </c>
      <c r="X147" s="339">
        <f t="shared" si="24"/>
        <v>95</v>
      </c>
      <c r="Y147" s="327">
        <v>3660</v>
      </c>
      <c r="Z147" s="340">
        <f>($R147*$T147)/$V147</f>
        <v>2.2267759562841531</v>
      </c>
      <c r="AA147" s="392"/>
      <c r="AB147" s="332">
        <v>1.641</v>
      </c>
      <c r="AC147" s="332">
        <v>0.20319999999999999</v>
      </c>
      <c r="AE147" s="332">
        <f t="shared" si="40"/>
        <v>13.37415</v>
      </c>
      <c r="AF147" s="332">
        <f t="shared" si="41"/>
        <v>13.37415</v>
      </c>
      <c r="AG147" s="332">
        <f t="shared" si="42"/>
        <v>0</v>
      </c>
      <c r="AH147" s="333">
        <f t="shared" si="43"/>
        <v>1</v>
      </c>
      <c r="AI147" s="329">
        <f t="shared" si="29"/>
        <v>8.15</v>
      </c>
      <c r="AJ147" s="329">
        <f t="shared" si="30"/>
        <v>8.15</v>
      </c>
      <c r="AK147" s="329">
        <f t="shared" si="31"/>
        <v>0</v>
      </c>
      <c r="AL147" s="382">
        <f t="shared" si="32"/>
        <v>1</v>
      </c>
    </row>
    <row r="148" spans="2:39" s="303" customFormat="1" ht="28.5" x14ac:dyDescent="0.2">
      <c r="B148" s="319">
        <f t="shared" si="39"/>
        <v>138</v>
      </c>
      <c r="C148" s="344" t="s">
        <v>183</v>
      </c>
      <c r="D148" s="342" t="s">
        <v>196</v>
      </c>
      <c r="E148" s="341" t="s">
        <v>198</v>
      </c>
      <c r="F148" s="341">
        <v>1</v>
      </c>
      <c r="G148" s="341">
        <v>8150</v>
      </c>
      <c r="H148" s="341" t="s">
        <v>173</v>
      </c>
      <c r="I148" s="341">
        <v>2440</v>
      </c>
      <c r="J148" s="2"/>
      <c r="K148" s="341">
        <v>11</v>
      </c>
      <c r="L148" s="342" t="s">
        <v>42</v>
      </c>
      <c r="M148" s="343" t="s">
        <v>43</v>
      </c>
      <c r="N148" s="342" t="s">
        <v>39</v>
      </c>
      <c r="O148" s="323" t="s">
        <v>188</v>
      </c>
      <c r="P148" s="342" t="s">
        <v>3</v>
      </c>
      <c r="Q148" s="2"/>
      <c r="R148" s="324">
        <f t="shared" ref="R148:R150" si="46">ROUNDUP(((G148-(1150*2))/5),0)</f>
        <v>1170</v>
      </c>
      <c r="S148" s="325">
        <v>5</v>
      </c>
      <c r="T148" s="325">
        <f t="shared" si="22"/>
        <v>5</v>
      </c>
      <c r="V148" s="324">
        <v>5000</v>
      </c>
      <c r="W148" s="326">
        <f t="shared" si="23"/>
        <v>4</v>
      </c>
      <c r="X148" s="326">
        <f t="shared" si="24"/>
        <v>4795</v>
      </c>
      <c r="Y148" s="351">
        <v>4900</v>
      </c>
      <c r="Z148" s="328">
        <f t="shared" si="20"/>
        <v>1.25</v>
      </c>
      <c r="AA148" s="392"/>
      <c r="AB148" s="329">
        <v>1.72</v>
      </c>
      <c r="AC148" s="329">
        <v>0.32400000000000001</v>
      </c>
      <c r="AE148" s="332">
        <f t="shared" si="40"/>
        <v>10.061999999999999</v>
      </c>
      <c r="AF148" s="332">
        <f t="shared" si="41"/>
        <v>10.535</v>
      </c>
      <c r="AG148" s="332">
        <f t="shared" si="42"/>
        <v>-0.47300000000000075</v>
      </c>
      <c r="AH148" s="333">
        <f t="shared" si="43"/>
        <v>1.0470085470085471</v>
      </c>
      <c r="AI148" s="329">
        <f t="shared" si="29"/>
        <v>5.85</v>
      </c>
      <c r="AJ148" s="329">
        <f t="shared" si="30"/>
        <v>6.125</v>
      </c>
      <c r="AK148" s="329">
        <f t="shared" si="31"/>
        <v>-0.27500000000000036</v>
      </c>
      <c r="AL148" s="382">
        <f t="shared" si="32"/>
        <v>1.0470085470085471</v>
      </c>
    </row>
    <row r="149" spans="2:39" s="303" customFormat="1" ht="28.5" x14ac:dyDescent="0.2">
      <c r="B149" s="319">
        <f t="shared" si="39"/>
        <v>139</v>
      </c>
      <c r="C149" s="344" t="s">
        <v>183</v>
      </c>
      <c r="D149" s="342" t="s">
        <v>196</v>
      </c>
      <c r="E149" s="341" t="s">
        <v>198</v>
      </c>
      <c r="F149" s="341">
        <v>1</v>
      </c>
      <c r="G149" s="341">
        <v>8150</v>
      </c>
      <c r="H149" s="341" t="s">
        <v>173</v>
      </c>
      <c r="I149" s="341">
        <v>2440</v>
      </c>
      <c r="J149" s="2"/>
      <c r="K149" s="319">
        <v>11</v>
      </c>
      <c r="L149" s="321" t="s">
        <v>40</v>
      </c>
      <c r="M149" s="322" t="s">
        <v>41</v>
      </c>
      <c r="N149" s="321" t="s">
        <v>39</v>
      </c>
      <c r="O149" s="323" t="s">
        <v>188</v>
      </c>
      <c r="P149" s="321" t="s">
        <v>3</v>
      </c>
      <c r="Q149" s="2"/>
      <c r="R149" s="324">
        <f t="shared" si="46"/>
        <v>1170</v>
      </c>
      <c r="S149" s="325">
        <v>5</v>
      </c>
      <c r="T149" s="325">
        <f t="shared" si="22"/>
        <v>5</v>
      </c>
      <c r="V149" s="324">
        <v>5000</v>
      </c>
      <c r="W149" s="326">
        <f t="shared" si="23"/>
        <v>4</v>
      </c>
      <c r="X149" s="326">
        <f t="shared" si="24"/>
        <v>4795</v>
      </c>
      <c r="Y149" s="327">
        <v>4900</v>
      </c>
      <c r="Z149" s="328">
        <f t="shared" si="20"/>
        <v>1.25</v>
      </c>
      <c r="AA149" s="392"/>
      <c r="AB149" s="329">
        <v>0.27700000000000002</v>
      </c>
      <c r="AC149" s="329">
        <v>0.114</v>
      </c>
      <c r="AE149" s="332">
        <f t="shared" si="40"/>
        <v>1.6204499999999999</v>
      </c>
      <c r="AF149" s="332">
        <f t="shared" si="41"/>
        <v>1.696625</v>
      </c>
      <c r="AG149" s="332">
        <f t="shared" si="42"/>
        <v>-7.6175000000000104E-2</v>
      </c>
      <c r="AH149" s="333">
        <f t="shared" si="43"/>
        <v>1.0470085470085471</v>
      </c>
      <c r="AI149" s="329">
        <f t="shared" si="29"/>
        <v>5.85</v>
      </c>
      <c r="AJ149" s="329">
        <f t="shared" si="30"/>
        <v>6.125</v>
      </c>
      <c r="AK149" s="329">
        <f t="shared" si="31"/>
        <v>-0.27500000000000036</v>
      </c>
      <c r="AL149" s="382">
        <f t="shared" si="32"/>
        <v>1.0470085470085471</v>
      </c>
    </row>
    <row r="150" spans="2:39" s="303" customFormat="1" ht="28.5" x14ac:dyDescent="0.2">
      <c r="B150" s="319">
        <f t="shared" si="39"/>
        <v>140</v>
      </c>
      <c r="C150" s="344" t="s">
        <v>183</v>
      </c>
      <c r="D150" s="342" t="s">
        <v>196</v>
      </c>
      <c r="E150" s="341" t="s">
        <v>198</v>
      </c>
      <c r="F150" s="341">
        <v>1</v>
      </c>
      <c r="G150" s="341">
        <v>8150</v>
      </c>
      <c r="H150" s="341" t="s">
        <v>173</v>
      </c>
      <c r="I150" s="341">
        <v>2440</v>
      </c>
      <c r="J150" s="2"/>
      <c r="K150" s="319">
        <v>11</v>
      </c>
      <c r="L150" s="321" t="s">
        <v>37</v>
      </c>
      <c r="M150" s="322" t="s">
        <v>38</v>
      </c>
      <c r="N150" s="321" t="s">
        <v>39</v>
      </c>
      <c r="O150" s="323" t="s">
        <v>188</v>
      </c>
      <c r="P150" s="321" t="s">
        <v>3</v>
      </c>
      <c r="Q150" s="2"/>
      <c r="R150" s="324">
        <f t="shared" si="46"/>
        <v>1170</v>
      </c>
      <c r="S150" s="325">
        <v>5</v>
      </c>
      <c r="T150" s="325">
        <f t="shared" si="22"/>
        <v>5</v>
      </c>
      <c r="V150" s="324">
        <v>5000</v>
      </c>
      <c r="W150" s="326">
        <f t="shared" si="23"/>
        <v>4</v>
      </c>
      <c r="X150" s="326">
        <f t="shared" si="24"/>
        <v>4795</v>
      </c>
      <c r="Y150" s="327">
        <v>4900</v>
      </c>
      <c r="Z150" s="328">
        <f t="shared" si="20"/>
        <v>1.25</v>
      </c>
      <c r="AA150" s="387">
        <v>2.5</v>
      </c>
      <c r="AB150" s="332">
        <v>0.29899999999999999</v>
      </c>
      <c r="AC150" s="332">
        <v>0.13900000000000001</v>
      </c>
      <c r="AE150" s="332">
        <f t="shared" si="40"/>
        <v>1.7491499999999998</v>
      </c>
      <c r="AF150" s="332">
        <f t="shared" si="41"/>
        <v>1.831375</v>
      </c>
      <c r="AG150" s="332">
        <f t="shared" si="42"/>
        <v>-8.2225000000000215E-2</v>
      </c>
      <c r="AH150" s="333">
        <f t="shared" si="43"/>
        <v>1.0470085470085471</v>
      </c>
      <c r="AI150" s="329">
        <f t="shared" si="29"/>
        <v>5.85</v>
      </c>
      <c r="AJ150" s="329">
        <f t="shared" si="30"/>
        <v>6.125</v>
      </c>
      <c r="AK150" s="329">
        <f t="shared" si="31"/>
        <v>-0.27500000000000036</v>
      </c>
      <c r="AL150" s="382">
        <f t="shared" si="32"/>
        <v>1.0470085470085471</v>
      </c>
    </row>
    <row r="151" spans="2:39" s="303" customFormat="1" ht="28.5" x14ac:dyDescent="0.2">
      <c r="B151" s="341">
        <f t="shared" si="39"/>
        <v>141</v>
      </c>
      <c r="C151" s="344" t="s">
        <v>183</v>
      </c>
      <c r="D151" s="342" t="s">
        <v>196</v>
      </c>
      <c r="E151" s="341" t="s">
        <v>198</v>
      </c>
      <c r="F151" s="341">
        <v>1</v>
      </c>
      <c r="G151" s="341">
        <v>8150</v>
      </c>
      <c r="H151" s="341" t="s">
        <v>173</v>
      </c>
      <c r="I151" s="341">
        <v>2440</v>
      </c>
      <c r="J151" s="2"/>
      <c r="K151" s="345">
        <v>11</v>
      </c>
      <c r="L151" s="335" t="s">
        <v>28</v>
      </c>
      <c r="M151" s="346" t="s">
        <v>118</v>
      </c>
      <c r="N151" s="347" t="s">
        <v>6</v>
      </c>
      <c r="O151" s="323" t="s">
        <v>188</v>
      </c>
      <c r="P151" s="347" t="s">
        <v>187</v>
      </c>
      <c r="Q151" s="2"/>
      <c r="R151" s="324">
        <f t="shared" si="45"/>
        <v>4075</v>
      </c>
      <c r="S151" s="349">
        <v>2</v>
      </c>
      <c r="T151" s="349">
        <f t="shared" si="22"/>
        <v>2</v>
      </c>
      <c r="V151" s="338">
        <v>3660</v>
      </c>
      <c r="W151" s="350">
        <f t="shared" si="23"/>
        <v>0</v>
      </c>
      <c r="X151" s="350">
        <f t="shared" si="24"/>
        <v>95</v>
      </c>
      <c r="Y151" s="327">
        <v>3660</v>
      </c>
      <c r="Z151" s="340">
        <f>($R151*$T151)/$V151</f>
        <v>2.2267759562841531</v>
      </c>
      <c r="AA151" s="392"/>
      <c r="AB151" s="332">
        <v>1.641</v>
      </c>
      <c r="AC151" s="332">
        <v>0.20319999999999999</v>
      </c>
      <c r="AE151" s="332">
        <f t="shared" si="40"/>
        <v>13.37415</v>
      </c>
      <c r="AF151" s="332">
        <f t="shared" si="41"/>
        <v>13.37415</v>
      </c>
      <c r="AG151" s="332">
        <f t="shared" si="42"/>
        <v>0</v>
      </c>
      <c r="AH151" s="333">
        <f t="shared" si="43"/>
        <v>1</v>
      </c>
      <c r="AI151" s="329">
        <f t="shared" si="29"/>
        <v>8.15</v>
      </c>
      <c r="AJ151" s="329">
        <f t="shared" si="30"/>
        <v>8.15</v>
      </c>
      <c r="AK151" s="329">
        <f t="shared" si="31"/>
        <v>0</v>
      </c>
      <c r="AL151" s="382">
        <f t="shared" si="32"/>
        <v>1</v>
      </c>
    </row>
    <row r="152" spans="2:39" s="353" customFormat="1" ht="30" customHeight="1" x14ac:dyDescent="0.25">
      <c r="B152" s="341">
        <f t="shared" si="39"/>
        <v>142</v>
      </c>
      <c r="C152" s="344" t="s">
        <v>183</v>
      </c>
      <c r="D152" s="342" t="s">
        <v>196</v>
      </c>
      <c r="E152" s="341" t="s">
        <v>198</v>
      </c>
      <c r="F152" s="341">
        <v>1</v>
      </c>
      <c r="G152" s="341">
        <v>8150</v>
      </c>
      <c r="H152" s="341" t="s">
        <v>173</v>
      </c>
      <c r="I152" s="341">
        <v>2440</v>
      </c>
      <c r="J152" s="2"/>
      <c r="K152" s="354"/>
      <c r="L152" s="355" t="s">
        <v>28</v>
      </c>
      <c r="M152" s="356" t="s">
        <v>29</v>
      </c>
      <c r="N152" s="469" t="s">
        <v>6</v>
      </c>
      <c r="O152" s="323" t="s">
        <v>189</v>
      </c>
      <c r="P152" s="347" t="s">
        <v>187</v>
      </c>
      <c r="Q152" s="2"/>
      <c r="R152" s="338">
        <v>51</v>
      </c>
      <c r="S152" s="357">
        <f>4*7</f>
        <v>28</v>
      </c>
      <c r="T152" s="357">
        <f t="shared" si="22"/>
        <v>28</v>
      </c>
      <c r="U152" s="303"/>
      <c r="V152" s="338">
        <v>3250</v>
      </c>
      <c r="W152" s="358">
        <f t="shared" si="23"/>
        <v>63</v>
      </c>
      <c r="X152" s="358">
        <f t="shared" si="24"/>
        <v>3623</v>
      </c>
      <c r="Y152" s="351">
        <v>3660</v>
      </c>
      <c r="Z152" s="359">
        <f t="shared" ref="Z152:Z215" si="47">$T152/$W152</f>
        <v>0.44444444444444442</v>
      </c>
      <c r="AA152" s="392"/>
      <c r="AB152" s="332">
        <v>1.641</v>
      </c>
      <c r="AC152" s="332">
        <v>0.20319999999999999</v>
      </c>
      <c r="AD152" s="303"/>
      <c r="AE152" s="332">
        <f t="shared" si="40"/>
        <v>2.3433479999999998</v>
      </c>
      <c r="AF152" s="332">
        <f t="shared" si="41"/>
        <v>2.6693599999999997</v>
      </c>
      <c r="AG152" s="332">
        <f t="shared" si="42"/>
        <v>-0.32601199999999997</v>
      </c>
      <c r="AH152" s="333">
        <f t="shared" si="43"/>
        <v>1.1391223155929038</v>
      </c>
      <c r="AI152" s="329">
        <f t="shared" si="29"/>
        <v>1.4279999999999999</v>
      </c>
      <c r="AJ152" s="329">
        <f t="shared" si="30"/>
        <v>1.6266666666666667</v>
      </c>
      <c r="AK152" s="329">
        <f t="shared" si="31"/>
        <v>-0.19866666666666677</v>
      </c>
      <c r="AL152" s="382">
        <f t="shared" si="32"/>
        <v>1.139122315592904</v>
      </c>
      <c r="AM152" s="303"/>
    </row>
    <row r="153" spans="2:39" s="353" customFormat="1" ht="30" customHeight="1" x14ac:dyDescent="0.25">
      <c r="B153" s="341">
        <f t="shared" si="39"/>
        <v>143</v>
      </c>
      <c r="C153" s="344" t="s">
        <v>183</v>
      </c>
      <c r="D153" s="342" t="s">
        <v>196</v>
      </c>
      <c r="E153" s="341" t="s">
        <v>198</v>
      </c>
      <c r="F153" s="341">
        <v>1</v>
      </c>
      <c r="G153" s="341">
        <v>8150</v>
      </c>
      <c r="H153" s="341" t="s">
        <v>173</v>
      </c>
      <c r="I153" s="341">
        <v>2440</v>
      </c>
      <c r="J153" s="2"/>
      <c r="K153" s="354"/>
      <c r="L153" s="355" t="s">
        <v>28</v>
      </c>
      <c r="M153" s="356" t="s">
        <v>29</v>
      </c>
      <c r="N153" s="469" t="s">
        <v>6</v>
      </c>
      <c r="O153" s="323" t="s">
        <v>190</v>
      </c>
      <c r="P153" s="347" t="s">
        <v>187</v>
      </c>
      <c r="Q153" s="2"/>
      <c r="R153" s="338">
        <v>51</v>
      </c>
      <c r="S153" s="357">
        <f>2*8</f>
        <v>16</v>
      </c>
      <c r="T153" s="357">
        <f t="shared" si="22"/>
        <v>16</v>
      </c>
      <c r="U153" s="303"/>
      <c r="V153" s="338">
        <v>3250</v>
      </c>
      <c r="W153" s="358">
        <f t="shared" si="23"/>
        <v>63</v>
      </c>
      <c r="X153" s="358">
        <f t="shared" si="24"/>
        <v>3623</v>
      </c>
      <c r="Y153" s="351">
        <v>3660</v>
      </c>
      <c r="Z153" s="359">
        <f t="shared" si="47"/>
        <v>0.25396825396825395</v>
      </c>
      <c r="AA153" s="392"/>
      <c r="AB153" s="332">
        <v>1.641</v>
      </c>
      <c r="AC153" s="332">
        <v>0.20319999999999999</v>
      </c>
      <c r="AD153" s="303"/>
      <c r="AE153" s="332">
        <f t="shared" si="40"/>
        <v>1.339056</v>
      </c>
      <c r="AF153" s="332">
        <f t="shared" si="41"/>
        <v>1.5253485714285715</v>
      </c>
      <c r="AG153" s="332">
        <f t="shared" si="42"/>
        <v>-0.18629257142857147</v>
      </c>
      <c r="AH153" s="333">
        <f t="shared" si="43"/>
        <v>1.1391223155929038</v>
      </c>
      <c r="AI153" s="329">
        <f t="shared" si="29"/>
        <v>0.81599999999999995</v>
      </c>
      <c r="AJ153" s="329">
        <f t="shared" si="30"/>
        <v>0.92952380952380953</v>
      </c>
      <c r="AK153" s="329">
        <f t="shared" si="31"/>
        <v>-0.11352380952380958</v>
      </c>
      <c r="AL153" s="382">
        <f t="shared" si="32"/>
        <v>1.139122315592904</v>
      </c>
      <c r="AM153" s="303"/>
    </row>
    <row r="154" spans="2:39" s="353" customFormat="1" ht="30" customHeight="1" x14ac:dyDescent="0.25">
      <c r="B154" s="341">
        <f t="shared" si="39"/>
        <v>144</v>
      </c>
      <c r="C154" s="344" t="s">
        <v>183</v>
      </c>
      <c r="D154" s="342" t="s">
        <v>196</v>
      </c>
      <c r="E154" s="341" t="s">
        <v>198</v>
      </c>
      <c r="F154" s="341">
        <v>1</v>
      </c>
      <c r="G154" s="341">
        <v>8150</v>
      </c>
      <c r="H154" s="341" t="s">
        <v>173</v>
      </c>
      <c r="I154" s="341">
        <v>2440</v>
      </c>
      <c r="J154" s="2"/>
      <c r="K154" s="354"/>
      <c r="L154" s="471" t="s">
        <v>28</v>
      </c>
      <c r="M154" s="472" t="s">
        <v>29</v>
      </c>
      <c r="N154" s="471" t="s">
        <v>6</v>
      </c>
      <c r="O154" s="323" t="s">
        <v>195</v>
      </c>
      <c r="P154" s="347" t="s">
        <v>187</v>
      </c>
      <c r="Q154" s="2"/>
      <c r="R154" s="338">
        <v>51</v>
      </c>
      <c r="S154" s="357">
        <f>4*2</f>
        <v>8</v>
      </c>
      <c r="T154" s="357">
        <f t="shared" ref="T154:T218" si="48">$F154*$S154</f>
        <v>8</v>
      </c>
      <c r="U154" s="303"/>
      <c r="V154" s="338">
        <v>3250</v>
      </c>
      <c r="W154" s="358">
        <f t="shared" ref="W154:W218" si="49">ROUNDDOWN($V154/$R154,0)</f>
        <v>63</v>
      </c>
      <c r="X154" s="358">
        <f t="shared" ref="X154:X218" si="50">($R154*$W154)+(50*2)+(5*($W154-1))</f>
        <v>3623</v>
      </c>
      <c r="Y154" s="351">
        <v>3660</v>
      </c>
      <c r="Z154" s="359">
        <f t="shared" si="47"/>
        <v>0.12698412698412698</v>
      </c>
      <c r="AA154" s="392"/>
      <c r="AB154" s="473">
        <v>1.641</v>
      </c>
      <c r="AC154" s="473">
        <v>0.20319999999999999</v>
      </c>
      <c r="AE154" s="332">
        <f t="shared" si="40"/>
        <v>0.66952800000000001</v>
      </c>
      <c r="AF154" s="332">
        <f t="shared" si="41"/>
        <v>0.76267428571428575</v>
      </c>
      <c r="AG154" s="332">
        <f t="shared" si="42"/>
        <v>-9.3146285714285737E-2</v>
      </c>
      <c r="AH154" s="333">
        <f t="shared" si="43"/>
        <v>1.1391223155929038</v>
      </c>
      <c r="AI154" s="332">
        <f t="shared" ref="AI154:AI218" si="51">($R154/1000)*$T154</f>
        <v>0.40799999999999997</v>
      </c>
      <c r="AJ154" s="332">
        <f t="shared" ref="AJ154:AJ218" si="52">($Y154/1000)*$Z154</f>
        <v>0.46476190476190476</v>
      </c>
      <c r="AK154" s="332">
        <f t="shared" ref="AK154:AK218" si="53">+AI154-AJ154</f>
        <v>-5.6761904761904791E-2</v>
      </c>
      <c r="AL154" s="333">
        <f t="shared" ref="AL154:AL218" si="54">+AJ154/AI154</f>
        <v>1.139122315592904</v>
      </c>
      <c r="AM154" s="303"/>
    </row>
    <row r="155" spans="2:39" s="353" customFormat="1" ht="30" customHeight="1" thickBot="1" x14ac:dyDescent="0.3">
      <c r="B155" s="360">
        <f t="shared" si="39"/>
        <v>145</v>
      </c>
      <c r="C155" s="361" t="s">
        <v>183</v>
      </c>
      <c r="D155" s="362" t="s">
        <v>196</v>
      </c>
      <c r="E155" s="360" t="s">
        <v>198</v>
      </c>
      <c r="F155" s="360">
        <v>1</v>
      </c>
      <c r="G155" s="360">
        <v>8150</v>
      </c>
      <c r="H155" s="360" t="s">
        <v>173</v>
      </c>
      <c r="I155" s="360">
        <v>2440</v>
      </c>
      <c r="J155" s="2"/>
      <c r="K155" s="363"/>
      <c r="L155" s="364" t="s">
        <v>31</v>
      </c>
      <c r="M155" s="365" t="s">
        <v>32</v>
      </c>
      <c r="N155" s="470" t="s">
        <v>6</v>
      </c>
      <c r="O155" s="366" t="s">
        <v>195</v>
      </c>
      <c r="P155" s="367" t="s">
        <v>187</v>
      </c>
      <c r="Q155" s="2"/>
      <c r="R155" s="368">
        <v>51</v>
      </c>
      <c r="S155" s="369">
        <f>4*2</f>
        <v>8</v>
      </c>
      <c r="T155" s="369">
        <f t="shared" si="48"/>
        <v>8</v>
      </c>
      <c r="U155" s="303"/>
      <c r="V155" s="368">
        <v>3250</v>
      </c>
      <c r="W155" s="370">
        <f t="shared" si="49"/>
        <v>63</v>
      </c>
      <c r="X155" s="370">
        <f t="shared" si="50"/>
        <v>3623</v>
      </c>
      <c r="Y155" s="391">
        <v>3660</v>
      </c>
      <c r="Z155" s="372">
        <f t="shared" si="47"/>
        <v>0.12698412698412698</v>
      </c>
      <c r="AA155" s="392"/>
      <c r="AB155" s="474">
        <v>3.3929999999999998</v>
      </c>
      <c r="AC155" s="474">
        <v>0.40600000000000003</v>
      </c>
      <c r="AE155" s="373">
        <f t="shared" si="40"/>
        <v>1.3843439999999998</v>
      </c>
      <c r="AF155" s="373">
        <f t="shared" si="41"/>
        <v>1.5769371428571428</v>
      </c>
      <c r="AG155" s="373">
        <f t="shared" si="42"/>
        <v>-0.19259314285714302</v>
      </c>
      <c r="AH155" s="374">
        <f t="shared" si="43"/>
        <v>1.139122315592904</v>
      </c>
      <c r="AI155" s="373">
        <f t="shared" si="51"/>
        <v>0.40799999999999997</v>
      </c>
      <c r="AJ155" s="373">
        <f t="shared" si="52"/>
        <v>0.46476190476190476</v>
      </c>
      <c r="AK155" s="373">
        <f t="shared" si="53"/>
        <v>-5.6761904761904791E-2</v>
      </c>
      <c r="AL155" s="374">
        <f t="shared" si="54"/>
        <v>1.139122315592904</v>
      </c>
      <c r="AM155" s="303"/>
    </row>
    <row r="156" spans="2:39" s="303" customFormat="1" ht="28.5" x14ac:dyDescent="0.2">
      <c r="B156" s="375">
        <f t="shared" si="39"/>
        <v>146</v>
      </c>
      <c r="C156" s="376" t="s">
        <v>183</v>
      </c>
      <c r="D156" s="377" t="s">
        <v>196</v>
      </c>
      <c r="E156" s="375" t="s">
        <v>199</v>
      </c>
      <c r="F156" s="375">
        <v>1</v>
      </c>
      <c r="G156" s="375">
        <v>7840</v>
      </c>
      <c r="H156" s="375" t="s">
        <v>173</v>
      </c>
      <c r="I156" s="375">
        <v>2440</v>
      </c>
      <c r="J156" s="2"/>
      <c r="K156" s="319">
        <v>12</v>
      </c>
      <c r="L156" s="321" t="s">
        <v>42</v>
      </c>
      <c r="M156" s="322" t="s">
        <v>43</v>
      </c>
      <c r="N156" s="321" t="s">
        <v>39</v>
      </c>
      <c r="O156" s="384" t="s">
        <v>186</v>
      </c>
      <c r="P156" s="377" t="s">
        <v>3</v>
      </c>
      <c r="Q156" s="2"/>
      <c r="R156" s="324">
        <f t="shared" ref="R156:R165" si="55">ROUNDUP(1470,0)</f>
        <v>1470</v>
      </c>
      <c r="S156" s="325">
        <v>1</v>
      </c>
      <c r="T156" s="325">
        <f t="shared" si="48"/>
        <v>1</v>
      </c>
      <c r="V156" s="324">
        <v>5000</v>
      </c>
      <c r="W156" s="326">
        <f t="shared" si="49"/>
        <v>3</v>
      </c>
      <c r="X156" s="326">
        <f t="shared" si="50"/>
        <v>4520</v>
      </c>
      <c r="Y156" s="327">
        <v>4600</v>
      </c>
      <c r="Z156" s="328">
        <f t="shared" si="47"/>
        <v>0.33333333333333331</v>
      </c>
      <c r="AA156" s="392"/>
      <c r="AB156" s="329">
        <v>1.72</v>
      </c>
      <c r="AC156" s="329">
        <v>0.32400000000000001</v>
      </c>
      <c r="AE156" s="330">
        <f t="shared" si="40"/>
        <v>2.5284</v>
      </c>
      <c r="AF156" s="330">
        <f t="shared" si="41"/>
        <v>2.6373333333333333</v>
      </c>
      <c r="AG156" s="330">
        <f t="shared" si="42"/>
        <v>-0.10893333333333333</v>
      </c>
      <c r="AH156" s="331">
        <f t="shared" si="43"/>
        <v>1.0430839002267573</v>
      </c>
      <c r="AI156" s="330">
        <f t="shared" si="51"/>
        <v>1.47</v>
      </c>
      <c r="AJ156" s="330">
        <f t="shared" si="52"/>
        <v>1.5333333333333332</v>
      </c>
      <c r="AK156" s="330">
        <f t="shared" si="53"/>
        <v>-6.3333333333333242E-2</v>
      </c>
      <c r="AL156" s="331">
        <f t="shared" si="54"/>
        <v>1.0430839002267573</v>
      </c>
    </row>
    <row r="157" spans="2:39" s="303" customFormat="1" ht="28.5" x14ac:dyDescent="0.2">
      <c r="B157" s="341">
        <f t="shared" si="39"/>
        <v>147</v>
      </c>
      <c r="C157" s="344" t="s">
        <v>183</v>
      </c>
      <c r="D157" s="342" t="s">
        <v>196</v>
      </c>
      <c r="E157" s="341" t="s">
        <v>199</v>
      </c>
      <c r="F157" s="341">
        <v>1</v>
      </c>
      <c r="G157" s="341">
        <v>7840</v>
      </c>
      <c r="H157" s="341" t="s">
        <v>173</v>
      </c>
      <c r="I157" s="341">
        <v>2440</v>
      </c>
      <c r="J157" s="2"/>
      <c r="K157" s="319">
        <v>12</v>
      </c>
      <c r="L157" s="321" t="s">
        <v>40</v>
      </c>
      <c r="M157" s="322" t="s">
        <v>41</v>
      </c>
      <c r="N157" s="321" t="s">
        <v>39</v>
      </c>
      <c r="O157" s="323" t="s">
        <v>186</v>
      </c>
      <c r="P157" s="321" t="s">
        <v>3</v>
      </c>
      <c r="Q157" s="2"/>
      <c r="R157" s="324">
        <f t="shared" si="55"/>
        <v>1470</v>
      </c>
      <c r="S157" s="325">
        <v>1</v>
      </c>
      <c r="T157" s="325">
        <f t="shared" si="48"/>
        <v>1</v>
      </c>
      <c r="V157" s="324">
        <v>5000</v>
      </c>
      <c r="W157" s="326">
        <f t="shared" si="49"/>
        <v>3</v>
      </c>
      <c r="X157" s="326">
        <f t="shared" si="50"/>
        <v>4520</v>
      </c>
      <c r="Y157" s="327">
        <v>4600</v>
      </c>
      <c r="Z157" s="328">
        <f t="shared" si="47"/>
        <v>0.33333333333333331</v>
      </c>
      <c r="AA157" s="304"/>
      <c r="AB157" s="329">
        <v>0.27700000000000002</v>
      </c>
      <c r="AC157" s="329">
        <v>0.114</v>
      </c>
      <c r="AE157" s="332">
        <f t="shared" si="40"/>
        <v>0.40719000000000005</v>
      </c>
      <c r="AF157" s="332">
        <f t="shared" si="41"/>
        <v>0.42473333333333335</v>
      </c>
      <c r="AG157" s="332">
        <f t="shared" si="42"/>
        <v>-1.75433333333333E-2</v>
      </c>
      <c r="AH157" s="333">
        <f t="shared" si="43"/>
        <v>1.0430839002267573</v>
      </c>
      <c r="AI157" s="332">
        <f t="shared" si="51"/>
        <v>1.47</v>
      </c>
      <c r="AJ157" s="332">
        <f t="shared" si="52"/>
        <v>1.5333333333333332</v>
      </c>
      <c r="AK157" s="332">
        <f t="shared" si="53"/>
        <v>-6.3333333333333242E-2</v>
      </c>
      <c r="AL157" s="333">
        <f t="shared" si="54"/>
        <v>1.0430839002267573</v>
      </c>
    </row>
    <row r="158" spans="2:39" s="303" customFormat="1" ht="28.5" x14ac:dyDescent="0.2">
      <c r="B158" s="341">
        <f t="shared" si="39"/>
        <v>148</v>
      </c>
      <c r="C158" s="344" t="s">
        <v>183</v>
      </c>
      <c r="D158" s="342" t="s">
        <v>196</v>
      </c>
      <c r="E158" s="341" t="s">
        <v>199</v>
      </c>
      <c r="F158" s="341">
        <v>1</v>
      </c>
      <c r="G158" s="341">
        <v>7840</v>
      </c>
      <c r="H158" s="341" t="s">
        <v>173</v>
      </c>
      <c r="I158" s="341">
        <v>2440</v>
      </c>
      <c r="J158" s="2"/>
      <c r="K158" s="319">
        <v>12</v>
      </c>
      <c r="L158" s="321" t="s">
        <v>37</v>
      </c>
      <c r="M158" s="322" t="s">
        <v>38</v>
      </c>
      <c r="N158" s="321" t="s">
        <v>39</v>
      </c>
      <c r="O158" s="323" t="s">
        <v>186</v>
      </c>
      <c r="P158" s="321" t="s">
        <v>3</v>
      </c>
      <c r="Q158" s="2"/>
      <c r="R158" s="324">
        <f t="shared" si="55"/>
        <v>1470</v>
      </c>
      <c r="S158" s="325">
        <v>1</v>
      </c>
      <c r="T158" s="325">
        <f t="shared" si="48"/>
        <v>1</v>
      </c>
      <c r="V158" s="324">
        <v>5000</v>
      </c>
      <c r="W158" s="326">
        <f t="shared" si="49"/>
        <v>3</v>
      </c>
      <c r="X158" s="326">
        <f t="shared" si="50"/>
        <v>4520</v>
      </c>
      <c r="Y158" s="327">
        <v>4600</v>
      </c>
      <c r="Z158" s="328">
        <f t="shared" si="47"/>
        <v>0.33333333333333331</v>
      </c>
      <c r="AA158" s="392"/>
      <c r="AB158" s="329">
        <v>0.29899999999999999</v>
      </c>
      <c r="AC158" s="329">
        <v>0.13900000000000001</v>
      </c>
      <c r="AE158" s="332">
        <f t="shared" si="40"/>
        <v>0.43952999999999998</v>
      </c>
      <c r="AF158" s="332">
        <f t="shared" si="41"/>
        <v>0.45846666666666663</v>
      </c>
      <c r="AG158" s="332">
        <f t="shared" si="42"/>
        <v>-1.8936666666666657E-2</v>
      </c>
      <c r="AH158" s="333">
        <f t="shared" si="43"/>
        <v>1.0430839002267573</v>
      </c>
      <c r="AI158" s="332">
        <f t="shared" si="51"/>
        <v>1.47</v>
      </c>
      <c r="AJ158" s="332">
        <f t="shared" si="52"/>
        <v>1.5333333333333332</v>
      </c>
      <c r="AK158" s="332">
        <f t="shared" si="53"/>
        <v>-6.3333333333333242E-2</v>
      </c>
      <c r="AL158" s="333">
        <f t="shared" si="54"/>
        <v>1.0430839002267573</v>
      </c>
    </row>
    <row r="159" spans="2:39" s="303" customFormat="1" ht="28.5" x14ac:dyDescent="0.2">
      <c r="B159" s="341">
        <f t="shared" si="39"/>
        <v>149</v>
      </c>
      <c r="C159" s="344" t="s">
        <v>183</v>
      </c>
      <c r="D159" s="342" t="s">
        <v>196</v>
      </c>
      <c r="E159" s="341" t="s">
        <v>199</v>
      </c>
      <c r="F159" s="341">
        <v>1</v>
      </c>
      <c r="G159" s="341">
        <v>7840</v>
      </c>
      <c r="H159" s="341" t="s">
        <v>173</v>
      </c>
      <c r="I159" s="341">
        <v>2440</v>
      </c>
      <c r="J159" s="2"/>
      <c r="K159" s="334">
        <v>12</v>
      </c>
      <c r="L159" s="335" t="s">
        <v>28</v>
      </c>
      <c r="M159" s="336" t="s">
        <v>118</v>
      </c>
      <c r="N159" s="337" t="s">
        <v>6</v>
      </c>
      <c r="O159" s="323" t="s">
        <v>186</v>
      </c>
      <c r="P159" s="337" t="s">
        <v>187</v>
      </c>
      <c r="Q159" s="2"/>
      <c r="R159" s="324">
        <f t="shared" si="55"/>
        <v>1470</v>
      </c>
      <c r="S159" s="325">
        <v>1</v>
      </c>
      <c r="T159" s="325">
        <f t="shared" si="48"/>
        <v>1</v>
      </c>
      <c r="V159" s="338">
        <v>3660</v>
      </c>
      <c r="W159" s="339">
        <f t="shared" si="49"/>
        <v>2</v>
      </c>
      <c r="X159" s="339">
        <f t="shared" si="50"/>
        <v>3045</v>
      </c>
      <c r="Y159" s="327">
        <v>3660</v>
      </c>
      <c r="Z159" s="340">
        <f>($R159*$T159)/$V159</f>
        <v>0.40163934426229508</v>
      </c>
      <c r="AA159" s="392"/>
      <c r="AB159" s="332">
        <v>1.641</v>
      </c>
      <c r="AC159" s="332">
        <v>0.20319999999999999</v>
      </c>
      <c r="AE159" s="332">
        <f t="shared" si="40"/>
        <v>2.4122699999999999</v>
      </c>
      <c r="AF159" s="332">
        <f t="shared" si="41"/>
        <v>2.4122699999999999</v>
      </c>
      <c r="AG159" s="332">
        <f t="shared" si="42"/>
        <v>0</v>
      </c>
      <c r="AH159" s="333">
        <f t="shared" si="43"/>
        <v>1</v>
      </c>
      <c r="AI159" s="332">
        <f t="shared" si="51"/>
        <v>1.47</v>
      </c>
      <c r="AJ159" s="332">
        <f t="shared" si="52"/>
        <v>1.47</v>
      </c>
      <c r="AK159" s="332">
        <f t="shared" si="53"/>
        <v>0</v>
      </c>
      <c r="AL159" s="333">
        <f t="shared" si="54"/>
        <v>1</v>
      </c>
    </row>
    <row r="160" spans="2:39" s="303" customFormat="1" ht="28.5" x14ac:dyDescent="0.2">
      <c r="B160" s="341">
        <f t="shared" si="39"/>
        <v>150</v>
      </c>
      <c r="C160" s="344" t="s">
        <v>183</v>
      </c>
      <c r="D160" s="342" t="s">
        <v>196</v>
      </c>
      <c r="E160" s="341" t="s">
        <v>199</v>
      </c>
      <c r="F160" s="341">
        <v>1</v>
      </c>
      <c r="G160" s="341">
        <v>7840</v>
      </c>
      <c r="H160" s="341" t="s">
        <v>173</v>
      </c>
      <c r="I160" s="341">
        <v>2440</v>
      </c>
      <c r="J160" s="2"/>
      <c r="K160" s="319">
        <v>14</v>
      </c>
      <c r="L160" s="321" t="s">
        <v>42</v>
      </c>
      <c r="M160" s="322" t="s">
        <v>43</v>
      </c>
      <c r="N160" s="321" t="s">
        <v>39</v>
      </c>
      <c r="O160" s="323" t="s">
        <v>186</v>
      </c>
      <c r="P160" s="321" t="s">
        <v>3</v>
      </c>
      <c r="Q160" s="2"/>
      <c r="R160" s="324">
        <f t="shared" si="55"/>
        <v>1470</v>
      </c>
      <c r="S160" s="325">
        <v>5</v>
      </c>
      <c r="T160" s="325">
        <f t="shared" si="48"/>
        <v>5</v>
      </c>
      <c r="V160" s="324">
        <v>5000</v>
      </c>
      <c r="W160" s="326">
        <f t="shared" si="49"/>
        <v>3</v>
      </c>
      <c r="X160" s="326">
        <f t="shared" si="50"/>
        <v>4520</v>
      </c>
      <c r="Y160" s="327">
        <v>4600</v>
      </c>
      <c r="Z160" s="328">
        <f t="shared" si="47"/>
        <v>1.6666666666666667</v>
      </c>
      <c r="AA160" s="392"/>
      <c r="AB160" s="329">
        <v>1.72</v>
      </c>
      <c r="AC160" s="329">
        <v>0.32400000000000001</v>
      </c>
      <c r="AE160" s="332">
        <f t="shared" si="40"/>
        <v>12.641999999999999</v>
      </c>
      <c r="AF160" s="332">
        <f t="shared" si="41"/>
        <v>13.186666666666667</v>
      </c>
      <c r="AG160" s="332">
        <f t="shared" si="42"/>
        <v>-0.54466666666666796</v>
      </c>
      <c r="AH160" s="333">
        <f t="shared" si="43"/>
        <v>1.0430839002267576</v>
      </c>
      <c r="AI160" s="329">
        <f t="shared" si="51"/>
        <v>7.35</v>
      </c>
      <c r="AJ160" s="329">
        <f t="shared" si="52"/>
        <v>7.6666666666666661</v>
      </c>
      <c r="AK160" s="329">
        <f t="shared" si="53"/>
        <v>-0.31666666666666643</v>
      </c>
      <c r="AL160" s="382">
        <f t="shared" si="54"/>
        <v>1.0430839002267573</v>
      </c>
    </row>
    <row r="161" spans="2:38" s="303" customFormat="1" ht="28.5" x14ac:dyDescent="0.2">
      <c r="B161" s="341">
        <f t="shared" si="39"/>
        <v>151</v>
      </c>
      <c r="C161" s="344" t="s">
        <v>183</v>
      </c>
      <c r="D161" s="342" t="s">
        <v>196</v>
      </c>
      <c r="E161" s="341" t="s">
        <v>199</v>
      </c>
      <c r="F161" s="341">
        <v>1</v>
      </c>
      <c r="G161" s="341">
        <v>7840</v>
      </c>
      <c r="H161" s="341" t="s">
        <v>173</v>
      </c>
      <c r="I161" s="341">
        <v>2440</v>
      </c>
      <c r="J161" s="2"/>
      <c r="K161" s="319">
        <v>14</v>
      </c>
      <c r="L161" s="321" t="s">
        <v>40</v>
      </c>
      <c r="M161" s="322" t="s">
        <v>41</v>
      </c>
      <c r="N161" s="321" t="s">
        <v>39</v>
      </c>
      <c r="O161" s="323" t="s">
        <v>186</v>
      </c>
      <c r="P161" s="321" t="s">
        <v>3</v>
      </c>
      <c r="Q161" s="2"/>
      <c r="R161" s="324">
        <f t="shared" si="55"/>
        <v>1470</v>
      </c>
      <c r="S161" s="325">
        <v>5</v>
      </c>
      <c r="T161" s="325">
        <f t="shared" si="48"/>
        <v>5</v>
      </c>
      <c r="V161" s="324">
        <v>5000</v>
      </c>
      <c r="W161" s="326">
        <f t="shared" si="49"/>
        <v>3</v>
      </c>
      <c r="X161" s="326">
        <f t="shared" si="50"/>
        <v>4520</v>
      </c>
      <c r="Y161" s="327">
        <v>4600</v>
      </c>
      <c r="Z161" s="328">
        <f t="shared" si="47"/>
        <v>1.6666666666666667</v>
      </c>
      <c r="AA161" s="304"/>
      <c r="AB161" s="329">
        <v>0.27700000000000002</v>
      </c>
      <c r="AC161" s="329">
        <v>0.114</v>
      </c>
      <c r="AE161" s="332">
        <f t="shared" si="40"/>
        <v>2.0359500000000001</v>
      </c>
      <c r="AF161" s="332">
        <f t="shared" si="41"/>
        <v>2.1236666666666668</v>
      </c>
      <c r="AG161" s="332">
        <f t="shared" si="42"/>
        <v>-8.7716666666666665E-2</v>
      </c>
      <c r="AH161" s="333">
        <f t="shared" si="43"/>
        <v>1.0430839002267573</v>
      </c>
      <c r="AI161" s="329">
        <f t="shared" si="51"/>
        <v>7.35</v>
      </c>
      <c r="AJ161" s="329">
        <f t="shared" si="52"/>
        <v>7.6666666666666661</v>
      </c>
      <c r="AK161" s="329">
        <f t="shared" si="53"/>
        <v>-0.31666666666666643</v>
      </c>
      <c r="AL161" s="382">
        <f t="shared" si="54"/>
        <v>1.0430839002267573</v>
      </c>
    </row>
    <row r="162" spans="2:38" s="303" customFormat="1" ht="28.5" x14ac:dyDescent="0.2">
      <c r="B162" s="341">
        <f t="shared" si="39"/>
        <v>152</v>
      </c>
      <c r="C162" s="344" t="s">
        <v>183</v>
      </c>
      <c r="D162" s="342" t="s">
        <v>196</v>
      </c>
      <c r="E162" s="341" t="s">
        <v>199</v>
      </c>
      <c r="F162" s="341">
        <v>1</v>
      </c>
      <c r="G162" s="341">
        <v>7840</v>
      </c>
      <c r="H162" s="341" t="s">
        <v>173</v>
      </c>
      <c r="I162" s="341">
        <v>2440</v>
      </c>
      <c r="J162" s="2"/>
      <c r="K162" s="319">
        <v>14</v>
      </c>
      <c r="L162" s="321" t="s">
        <v>37</v>
      </c>
      <c r="M162" s="322" t="s">
        <v>38</v>
      </c>
      <c r="N162" s="321" t="s">
        <v>39</v>
      </c>
      <c r="O162" s="323" t="s">
        <v>186</v>
      </c>
      <c r="P162" s="321" t="s">
        <v>3</v>
      </c>
      <c r="Q162" s="2"/>
      <c r="R162" s="324">
        <f t="shared" si="55"/>
        <v>1470</v>
      </c>
      <c r="S162" s="325">
        <v>5</v>
      </c>
      <c r="T162" s="325">
        <f t="shared" si="48"/>
        <v>5</v>
      </c>
      <c r="V162" s="324">
        <v>5000</v>
      </c>
      <c r="W162" s="326">
        <f t="shared" si="49"/>
        <v>3</v>
      </c>
      <c r="X162" s="326">
        <f t="shared" si="50"/>
        <v>4520</v>
      </c>
      <c r="Y162" s="327">
        <v>4600</v>
      </c>
      <c r="Z162" s="328">
        <f t="shared" si="47"/>
        <v>1.6666666666666667</v>
      </c>
      <c r="AA162" s="392"/>
      <c r="AB162" s="329">
        <v>0.29899999999999999</v>
      </c>
      <c r="AC162" s="329">
        <v>0.13900000000000001</v>
      </c>
      <c r="AE162" s="332">
        <f t="shared" si="40"/>
        <v>2.1976499999999999</v>
      </c>
      <c r="AF162" s="332">
        <f t="shared" si="41"/>
        <v>2.2923333333333331</v>
      </c>
      <c r="AG162" s="332">
        <f t="shared" si="42"/>
        <v>-9.4683333333333231E-2</v>
      </c>
      <c r="AH162" s="333">
        <f t="shared" si="43"/>
        <v>1.0430839002267573</v>
      </c>
      <c r="AI162" s="329">
        <f t="shared" si="51"/>
        <v>7.35</v>
      </c>
      <c r="AJ162" s="329">
        <f t="shared" si="52"/>
        <v>7.6666666666666661</v>
      </c>
      <c r="AK162" s="329">
        <f t="shared" si="53"/>
        <v>-0.31666666666666643</v>
      </c>
      <c r="AL162" s="382">
        <f t="shared" si="54"/>
        <v>1.0430839002267573</v>
      </c>
    </row>
    <row r="163" spans="2:38" s="303" customFormat="1" ht="28.5" x14ac:dyDescent="0.2">
      <c r="B163" s="341">
        <f t="shared" si="39"/>
        <v>153</v>
      </c>
      <c r="C163" s="344" t="s">
        <v>183</v>
      </c>
      <c r="D163" s="342" t="s">
        <v>196</v>
      </c>
      <c r="E163" s="341" t="s">
        <v>199</v>
      </c>
      <c r="F163" s="341">
        <v>1</v>
      </c>
      <c r="G163" s="341">
        <v>7840</v>
      </c>
      <c r="H163" s="341" t="s">
        <v>173</v>
      </c>
      <c r="I163" s="341">
        <v>2440</v>
      </c>
      <c r="J163" s="2"/>
      <c r="K163" s="341">
        <v>74</v>
      </c>
      <c r="L163" s="342" t="s">
        <v>42</v>
      </c>
      <c r="M163" s="343" t="s">
        <v>43</v>
      </c>
      <c r="N163" s="342" t="s">
        <v>39</v>
      </c>
      <c r="O163" s="323" t="s">
        <v>186</v>
      </c>
      <c r="P163" s="342" t="s">
        <v>3</v>
      </c>
      <c r="Q163" s="2"/>
      <c r="R163" s="324">
        <f t="shared" si="55"/>
        <v>1470</v>
      </c>
      <c r="S163" s="325">
        <v>1</v>
      </c>
      <c r="T163" s="325">
        <f t="shared" si="48"/>
        <v>1</v>
      </c>
      <c r="V163" s="324">
        <v>5000</v>
      </c>
      <c r="W163" s="326">
        <f t="shared" si="49"/>
        <v>3</v>
      </c>
      <c r="X163" s="326">
        <f t="shared" si="50"/>
        <v>4520</v>
      </c>
      <c r="Y163" s="327">
        <v>4600</v>
      </c>
      <c r="Z163" s="328">
        <f t="shared" si="47"/>
        <v>0.33333333333333331</v>
      </c>
      <c r="AA163" s="392"/>
      <c r="AB163" s="329">
        <v>1.72</v>
      </c>
      <c r="AC163" s="329">
        <v>0.32400000000000001</v>
      </c>
      <c r="AE163" s="332">
        <f t="shared" si="40"/>
        <v>2.5284</v>
      </c>
      <c r="AF163" s="332">
        <f t="shared" si="41"/>
        <v>2.6373333333333333</v>
      </c>
      <c r="AG163" s="332">
        <f t="shared" si="42"/>
        <v>-0.10893333333333333</v>
      </c>
      <c r="AH163" s="333">
        <f t="shared" si="43"/>
        <v>1.0430839002267573</v>
      </c>
      <c r="AI163" s="329">
        <f t="shared" si="51"/>
        <v>1.47</v>
      </c>
      <c r="AJ163" s="329">
        <f t="shared" si="52"/>
        <v>1.5333333333333332</v>
      </c>
      <c r="AK163" s="329">
        <f t="shared" si="53"/>
        <v>-6.3333333333333242E-2</v>
      </c>
      <c r="AL163" s="382">
        <f t="shared" si="54"/>
        <v>1.0430839002267573</v>
      </c>
    </row>
    <row r="164" spans="2:38" s="303" customFormat="1" ht="28.5" x14ac:dyDescent="0.2">
      <c r="B164" s="341">
        <f t="shared" si="39"/>
        <v>154</v>
      </c>
      <c r="C164" s="344" t="s">
        <v>183</v>
      </c>
      <c r="D164" s="342" t="s">
        <v>196</v>
      </c>
      <c r="E164" s="341" t="s">
        <v>199</v>
      </c>
      <c r="F164" s="341">
        <v>1</v>
      </c>
      <c r="G164" s="341">
        <v>7840</v>
      </c>
      <c r="H164" s="341" t="s">
        <v>173</v>
      </c>
      <c r="I164" s="341">
        <v>2440</v>
      </c>
      <c r="J164" s="2"/>
      <c r="K164" s="341">
        <v>74</v>
      </c>
      <c r="L164" s="342" t="s">
        <v>40</v>
      </c>
      <c r="M164" s="343" t="s">
        <v>41</v>
      </c>
      <c r="N164" s="342" t="s">
        <v>39</v>
      </c>
      <c r="O164" s="323" t="s">
        <v>186</v>
      </c>
      <c r="P164" s="342" t="s">
        <v>3</v>
      </c>
      <c r="Q164" s="2"/>
      <c r="R164" s="324">
        <f t="shared" si="55"/>
        <v>1470</v>
      </c>
      <c r="S164" s="325">
        <v>1</v>
      </c>
      <c r="T164" s="325">
        <f t="shared" si="48"/>
        <v>1</v>
      </c>
      <c r="V164" s="324">
        <v>5000</v>
      </c>
      <c r="W164" s="326">
        <f t="shared" si="49"/>
        <v>3</v>
      </c>
      <c r="X164" s="326">
        <f t="shared" si="50"/>
        <v>4520</v>
      </c>
      <c r="Y164" s="327">
        <v>4600</v>
      </c>
      <c r="Z164" s="328">
        <f t="shared" si="47"/>
        <v>0.33333333333333331</v>
      </c>
      <c r="AA164" s="304"/>
      <c r="AB164" s="329">
        <v>0.27700000000000002</v>
      </c>
      <c r="AC164" s="329">
        <v>0.114</v>
      </c>
      <c r="AE164" s="332">
        <f t="shared" si="40"/>
        <v>0.40719000000000005</v>
      </c>
      <c r="AF164" s="332">
        <f t="shared" si="41"/>
        <v>0.42473333333333335</v>
      </c>
      <c r="AG164" s="332">
        <f t="shared" si="42"/>
        <v>-1.75433333333333E-2</v>
      </c>
      <c r="AH164" s="333">
        <f t="shared" si="43"/>
        <v>1.0430839002267573</v>
      </c>
      <c r="AI164" s="329">
        <f t="shared" si="51"/>
        <v>1.47</v>
      </c>
      <c r="AJ164" s="329">
        <f t="shared" si="52"/>
        <v>1.5333333333333332</v>
      </c>
      <c r="AK164" s="329">
        <f t="shared" si="53"/>
        <v>-6.3333333333333242E-2</v>
      </c>
      <c r="AL164" s="382">
        <f t="shared" si="54"/>
        <v>1.0430839002267573</v>
      </c>
    </row>
    <row r="165" spans="2:38" s="303" customFormat="1" ht="28.5" x14ac:dyDescent="0.2">
      <c r="B165" s="341">
        <f t="shared" si="39"/>
        <v>155</v>
      </c>
      <c r="C165" s="344" t="s">
        <v>183</v>
      </c>
      <c r="D165" s="342" t="s">
        <v>196</v>
      </c>
      <c r="E165" s="341" t="s">
        <v>199</v>
      </c>
      <c r="F165" s="341">
        <v>1</v>
      </c>
      <c r="G165" s="341">
        <v>7840</v>
      </c>
      <c r="H165" s="341" t="s">
        <v>173</v>
      </c>
      <c r="I165" s="341">
        <v>2440</v>
      </c>
      <c r="J165" s="2"/>
      <c r="K165" s="319">
        <v>74</v>
      </c>
      <c r="L165" s="321" t="s">
        <v>37</v>
      </c>
      <c r="M165" s="322" t="s">
        <v>38</v>
      </c>
      <c r="N165" s="321" t="s">
        <v>39</v>
      </c>
      <c r="O165" s="323" t="s">
        <v>186</v>
      </c>
      <c r="P165" s="321" t="s">
        <v>3</v>
      </c>
      <c r="Q165" s="2"/>
      <c r="R165" s="324">
        <f t="shared" si="55"/>
        <v>1470</v>
      </c>
      <c r="S165" s="325">
        <v>1</v>
      </c>
      <c r="T165" s="325">
        <f t="shared" si="48"/>
        <v>1</v>
      </c>
      <c r="V165" s="324">
        <v>5000</v>
      </c>
      <c r="W165" s="326">
        <f t="shared" si="49"/>
        <v>3</v>
      </c>
      <c r="X165" s="326">
        <f t="shared" si="50"/>
        <v>4520</v>
      </c>
      <c r="Y165" s="327">
        <v>4600</v>
      </c>
      <c r="Z165" s="328">
        <f t="shared" si="47"/>
        <v>0.33333333333333331</v>
      </c>
      <c r="AA165" s="392"/>
      <c r="AB165" s="329">
        <v>0.29899999999999999</v>
      </c>
      <c r="AC165" s="329">
        <v>0.13900000000000001</v>
      </c>
      <c r="AE165" s="332">
        <f t="shared" si="40"/>
        <v>0.43952999999999998</v>
      </c>
      <c r="AF165" s="332">
        <f t="shared" si="41"/>
        <v>0.45846666666666663</v>
      </c>
      <c r="AG165" s="332">
        <f t="shared" si="42"/>
        <v>-1.8936666666666657E-2</v>
      </c>
      <c r="AH165" s="333">
        <f t="shared" si="43"/>
        <v>1.0430839002267573</v>
      </c>
      <c r="AI165" s="329">
        <f t="shared" si="51"/>
        <v>1.47</v>
      </c>
      <c r="AJ165" s="329">
        <f t="shared" si="52"/>
        <v>1.5333333333333332</v>
      </c>
      <c r="AK165" s="329">
        <f t="shared" si="53"/>
        <v>-6.3333333333333242E-2</v>
      </c>
      <c r="AL165" s="382">
        <f t="shared" si="54"/>
        <v>1.0430839002267573</v>
      </c>
    </row>
    <row r="166" spans="2:38" s="303" customFormat="1" ht="28.5" x14ac:dyDescent="0.2">
      <c r="B166" s="341">
        <f t="shared" si="39"/>
        <v>156</v>
      </c>
      <c r="C166" s="344" t="s">
        <v>183</v>
      </c>
      <c r="D166" s="342" t="s">
        <v>196</v>
      </c>
      <c r="E166" s="341" t="s">
        <v>199</v>
      </c>
      <c r="F166" s="341">
        <v>1</v>
      </c>
      <c r="G166" s="341">
        <v>7840</v>
      </c>
      <c r="H166" s="341" t="s">
        <v>173</v>
      </c>
      <c r="I166" s="341">
        <v>2440</v>
      </c>
      <c r="J166" s="2"/>
      <c r="K166" s="319">
        <v>74</v>
      </c>
      <c r="L166" s="321" t="s">
        <v>52</v>
      </c>
      <c r="M166" s="322" t="s">
        <v>53</v>
      </c>
      <c r="N166" s="321" t="s">
        <v>39</v>
      </c>
      <c r="O166" s="323" t="s">
        <v>186</v>
      </c>
      <c r="P166" s="321" t="s">
        <v>3</v>
      </c>
      <c r="Q166" s="2"/>
      <c r="R166" s="324">
        <f>ROUNDUP(I166,0)</f>
        <v>2440</v>
      </c>
      <c r="S166" s="325">
        <v>1</v>
      </c>
      <c r="T166" s="325">
        <f t="shared" si="48"/>
        <v>1</v>
      </c>
      <c r="V166" s="324">
        <v>7000</v>
      </c>
      <c r="W166" s="326">
        <f t="shared" si="49"/>
        <v>2</v>
      </c>
      <c r="X166" s="326">
        <f t="shared" si="50"/>
        <v>4985</v>
      </c>
      <c r="Y166" s="327">
        <v>5000</v>
      </c>
      <c r="Z166" s="328">
        <f t="shared" si="47"/>
        <v>0.5</v>
      </c>
      <c r="AA166" s="392"/>
      <c r="AB166" s="329">
        <v>0.97399999999999998</v>
      </c>
      <c r="AC166" s="329">
        <v>0.216</v>
      </c>
      <c r="AE166" s="332">
        <f t="shared" si="40"/>
        <v>2.37656</v>
      </c>
      <c r="AF166" s="332">
        <f t="shared" si="41"/>
        <v>2.4350000000000001</v>
      </c>
      <c r="AG166" s="332">
        <f t="shared" si="42"/>
        <v>-5.8440000000000047E-2</v>
      </c>
      <c r="AH166" s="333">
        <f t="shared" si="43"/>
        <v>1.0245901639344261</v>
      </c>
      <c r="AI166" s="329">
        <f t="shared" si="51"/>
        <v>2.44</v>
      </c>
      <c r="AJ166" s="329">
        <f t="shared" si="52"/>
        <v>2.5</v>
      </c>
      <c r="AK166" s="329">
        <f t="shared" si="53"/>
        <v>-6.0000000000000053E-2</v>
      </c>
      <c r="AL166" s="382">
        <f t="shared" si="54"/>
        <v>1.0245901639344261</v>
      </c>
    </row>
    <row r="167" spans="2:38" s="303" customFormat="1" ht="28.5" x14ac:dyDescent="0.2">
      <c r="B167" s="341">
        <f t="shared" si="39"/>
        <v>157</v>
      </c>
      <c r="C167" s="344" t="s">
        <v>183</v>
      </c>
      <c r="D167" s="342" t="s">
        <v>196</v>
      </c>
      <c r="E167" s="341" t="s">
        <v>199</v>
      </c>
      <c r="F167" s="341">
        <v>1</v>
      </c>
      <c r="G167" s="341">
        <v>7840</v>
      </c>
      <c r="H167" s="341" t="s">
        <v>173</v>
      </c>
      <c r="I167" s="341">
        <v>2440</v>
      </c>
      <c r="J167" s="2"/>
      <c r="K167" s="341">
        <v>74</v>
      </c>
      <c r="L167" s="342" t="s">
        <v>54</v>
      </c>
      <c r="M167" s="343" t="s">
        <v>55</v>
      </c>
      <c r="N167" s="342" t="s">
        <v>39</v>
      </c>
      <c r="O167" s="323" t="s">
        <v>186</v>
      </c>
      <c r="P167" s="342" t="s">
        <v>3</v>
      </c>
      <c r="Q167" s="2"/>
      <c r="R167" s="324">
        <f>ROUNDUP(I167,0)</f>
        <v>2440</v>
      </c>
      <c r="S167" s="325">
        <v>1</v>
      </c>
      <c r="T167" s="325">
        <f t="shared" si="48"/>
        <v>1</v>
      </c>
      <c r="V167" s="324">
        <v>7000</v>
      </c>
      <c r="W167" s="326">
        <f t="shared" si="49"/>
        <v>2</v>
      </c>
      <c r="X167" s="326">
        <f t="shared" si="50"/>
        <v>4985</v>
      </c>
      <c r="Y167" s="327">
        <v>5000</v>
      </c>
      <c r="Z167" s="328">
        <f t="shared" si="47"/>
        <v>0.5</v>
      </c>
      <c r="AA167" s="304"/>
      <c r="AB167" s="329">
        <v>1.2410000000000001</v>
      </c>
      <c r="AC167" s="329">
        <v>0.32674979999999998</v>
      </c>
      <c r="AE167" s="332">
        <f t="shared" si="40"/>
        <v>3.0280400000000003</v>
      </c>
      <c r="AF167" s="332">
        <f t="shared" si="41"/>
        <v>3.1025</v>
      </c>
      <c r="AG167" s="332">
        <f t="shared" si="42"/>
        <v>-7.4459999999999749E-2</v>
      </c>
      <c r="AH167" s="333">
        <f t="shared" si="43"/>
        <v>1.0245901639344261</v>
      </c>
      <c r="AI167" s="329">
        <f t="shared" si="51"/>
        <v>2.44</v>
      </c>
      <c r="AJ167" s="329">
        <f t="shared" si="52"/>
        <v>2.5</v>
      </c>
      <c r="AK167" s="329">
        <f t="shared" si="53"/>
        <v>-6.0000000000000053E-2</v>
      </c>
      <c r="AL167" s="382">
        <f t="shared" si="54"/>
        <v>1.0245901639344261</v>
      </c>
    </row>
    <row r="168" spans="2:38" s="303" customFormat="1" ht="28.5" x14ac:dyDescent="0.2">
      <c r="B168" s="341">
        <f t="shared" si="39"/>
        <v>158</v>
      </c>
      <c r="C168" s="344" t="s">
        <v>183</v>
      </c>
      <c r="D168" s="342" t="s">
        <v>196</v>
      </c>
      <c r="E168" s="341" t="s">
        <v>199</v>
      </c>
      <c r="F168" s="341">
        <v>1</v>
      </c>
      <c r="G168" s="341">
        <v>7840</v>
      </c>
      <c r="H168" s="341" t="s">
        <v>173</v>
      </c>
      <c r="I168" s="341">
        <v>2440</v>
      </c>
      <c r="J168" s="2"/>
      <c r="K168" s="341">
        <v>75</v>
      </c>
      <c r="L168" s="342" t="s">
        <v>52</v>
      </c>
      <c r="M168" s="343" t="s">
        <v>53</v>
      </c>
      <c r="N168" s="342" t="s">
        <v>39</v>
      </c>
      <c r="O168" s="323" t="s">
        <v>186</v>
      </c>
      <c r="P168" s="342" t="s">
        <v>3</v>
      </c>
      <c r="Q168" s="2"/>
      <c r="R168" s="324">
        <f>ROUNDUP(I168,0)</f>
        <v>2440</v>
      </c>
      <c r="S168" s="325">
        <v>1</v>
      </c>
      <c r="T168" s="325">
        <f t="shared" si="48"/>
        <v>1</v>
      </c>
      <c r="V168" s="324">
        <v>7000</v>
      </c>
      <c r="W168" s="326">
        <f t="shared" si="49"/>
        <v>2</v>
      </c>
      <c r="X168" s="326">
        <f t="shared" si="50"/>
        <v>4985</v>
      </c>
      <c r="Y168" s="327">
        <v>5000</v>
      </c>
      <c r="Z168" s="328">
        <f t="shared" si="47"/>
        <v>0.5</v>
      </c>
      <c r="AA168" s="392"/>
      <c r="AB168" s="329">
        <v>0.97399999999999998</v>
      </c>
      <c r="AC168" s="329">
        <v>0.216</v>
      </c>
      <c r="AE168" s="332">
        <f t="shared" si="40"/>
        <v>2.37656</v>
      </c>
      <c r="AF168" s="332">
        <f t="shared" si="41"/>
        <v>2.4350000000000001</v>
      </c>
      <c r="AG168" s="332">
        <f t="shared" si="42"/>
        <v>-5.8440000000000047E-2</v>
      </c>
      <c r="AH168" s="333">
        <f t="shared" si="43"/>
        <v>1.0245901639344261</v>
      </c>
      <c r="AI168" s="329">
        <f t="shared" si="51"/>
        <v>2.44</v>
      </c>
      <c r="AJ168" s="329">
        <f t="shared" si="52"/>
        <v>2.5</v>
      </c>
      <c r="AK168" s="329">
        <f t="shared" si="53"/>
        <v>-6.0000000000000053E-2</v>
      </c>
      <c r="AL168" s="382">
        <f t="shared" si="54"/>
        <v>1.0245901639344261</v>
      </c>
    </row>
    <row r="169" spans="2:38" s="303" customFormat="1" ht="28.5" x14ac:dyDescent="0.2">
      <c r="B169" s="341">
        <f t="shared" si="39"/>
        <v>159</v>
      </c>
      <c r="C169" s="344" t="s">
        <v>183</v>
      </c>
      <c r="D169" s="342" t="s">
        <v>196</v>
      </c>
      <c r="E169" s="341" t="s">
        <v>199</v>
      </c>
      <c r="F169" s="341">
        <v>1</v>
      </c>
      <c r="G169" s="341">
        <v>7840</v>
      </c>
      <c r="H169" s="341" t="s">
        <v>173</v>
      </c>
      <c r="I169" s="341">
        <v>2440</v>
      </c>
      <c r="J169" s="2"/>
      <c r="K169" s="341">
        <v>75</v>
      </c>
      <c r="L169" s="342" t="s">
        <v>54</v>
      </c>
      <c r="M169" s="343" t="s">
        <v>55</v>
      </c>
      <c r="N169" s="342" t="s">
        <v>39</v>
      </c>
      <c r="O169" s="323" t="s">
        <v>186</v>
      </c>
      <c r="P169" s="342" t="s">
        <v>3</v>
      </c>
      <c r="Q169" s="2"/>
      <c r="R169" s="324">
        <f>ROUNDUP(I169,0)</f>
        <v>2440</v>
      </c>
      <c r="S169" s="325">
        <v>1</v>
      </c>
      <c r="T169" s="325">
        <f t="shared" si="48"/>
        <v>1</v>
      </c>
      <c r="V169" s="324">
        <v>7000</v>
      </c>
      <c r="W169" s="326">
        <f t="shared" si="49"/>
        <v>2</v>
      </c>
      <c r="X169" s="326">
        <f t="shared" si="50"/>
        <v>4985</v>
      </c>
      <c r="Y169" s="327">
        <v>5000</v>
      </c>
      <c r="Z169" s="328">
        <f t="shared" si="47"/>
        <v>0.5</v>
      </c>
      <c r="AA169" s="304"/>
      <c r="AB169" s="329">
        <v>1.2410000000000001</v>
      </c>
      <c r="AC169" s="329">
        <v>0.32674979999999998</v>
      </c>
      <c r="AE169" s="332">
        <f t="shared" si="40"/>
        <v>3.0280400000000003</v>
      </c>
      <c r="AF169" s="332">
        <f t="shared" si="41"/>
        <v>3.1025</v>
      </c>
      <c r="AG169" s="332">
        <f t="shared" si="42"/>
        <v>-7.4459999999999749E-2</v>
      </c>
      <c r="AH169" s="333">
        <f t="shared" si="43"/>
        <v>1.0245901639344261</v>
      </c>
      <c r="AI169" s="329">
        <f t="shared" si="51"/>
        <v>2.44</v>
      </c>
      <c r="AJ169" s="329">
        <f t="shared" si="52"/>
        <v>2.5</v>
      </c>
      <c r="AK169" s="329">
        <f t="shared" si="53"/>
        <v>-6.0000000000000053E-2</v>
      </c>
      <c r="AL169" s="382">
        <f t="shared" si="54"/>
        <v>1.0245901639344261</v>
      </c>
    </row>
    <row r="170" spans="2:38" s="303" customFormat="1" ht="28.5" x14ac:dyDescent="0.2">
      <c r="B170" s="341">
        <f t="shared" si="39"/>
        <v>160</v>
      </c>
      <c r="C170" s="344" t="s">
        <v>183</v>
      </c>
      <c r="D170" s="342" t="s">
        <v>196</v>
      </c>
      <c r="E170" s="341" t="s">
        <v>199</v>
      </c>
      <c r="F170" s="341">
        <v>1</v>
      </c>
      <c r="G170" s="341">
        <v>7840</v>
      </c>
      <c r="H170" s="341" t="s">
        <v>173</v>
      </c>
      <c r="I170" s="341">
        <v>2440</v>
      </c>
      <c r="J170" s="2"/>
      <c r="K170" s="345">
        <v>75</v>
      </c>
      <c r="L170" s="345" t="s">
        <v>34</v>
      </c>
      <c r="M170" s="346" t="s">
        <v>35</v>
      </c>
      <c r="N170" s="347" t="s">
        <v>6</v>
      </c>
      <c r="O170" s="323" t="s">
        <v>186</v>
      </c>
      <c r="P170" s="347" t="s">
        <v>187</v>
      </c>
      <c r="Q170" s="2"/>
      <c r="R170" s="324">
        <f>ROUNDUP(I170,0)</f>
        <v>2440</v>
      </c>
      <c r="S170" s="325">
        <v>1</v>
      </c>
      <c r="T170" s="325">
        <f t="shared" si="48"/>
        <v>1</v>
      </c>
      <c r="V170" s="324">
        <v>6100</v>
      </c>
      <c r="W170" s="339">
        <f t="shared" si="49"/>
        <v>2</v>
      </c>
      <c r="X170" s="339">
        <f t="shared" si="50"/>
        <v>4985</v>
      </c>
      <c r="Y170" s="327">
        <v>6100</v>
      </c>
      <c r="Z170" s="328">
        <f t="shared" si="47"/>
        <v>0.5</v>
      </c>
      <c r="AA170" s="392"/>
      <c r="AB170" s="329">
        <v>0.438</v>
      </c>
      <c r="AC170" s="329">
        <v>0</v>
      </c>
      <c r="AE170" s="332">
        <f t="shared" si="40"/>
        <v>1.0687199999999999</v>
      </c>
      <c r="AF170" s="332">
        <f t="shared" si="41"/>
        <v>1.3358999999999999</v>
      </c>
      <c r="AG170" s="332">
        <f t="shared" si="42"/>
        <v>-0.26717999999999997</v>
      </c>
      <c r="AH170" s="333">
        <f t="shared" si="43"/>
        <v>1.25</v>
      </c>
      <c r="AI170" s="329">
        <f t="shared" si="51"/>
        <v>2.44</v>
      </c>
      <c r="AJ170" s="329">
        <f t="shared" si="52"/>
        <v>3.05</v>
      </c>
      <c r="AK170" s="329">
        <f t="shared" si="53"/>
        <v>-0.60999999999999988</v>
      </c>
      <c r="AL170" s="382">
        <f t="shared" si="54"/>
        <v>1.25</v>
      </c>
    </row>
    <row r="171" spans="2:38" s="303" customFormat="1" ht="28.5" x14ac:dyDescent="0.2">
      <c r="B171" s="341">
        <f t="shared" si="39"/>
        <v>161</v>
      </c>
      <c r="C171" s="344" t="s">
        <v>183</v>
      </c>
      <c r="D171" s="342" t="s">
        <v>196</v>
      </c>
      <c r="E171" s="341" t="s">
        <v>199</v>
      </c>
      <c r="F171" s="341">
        <v>1</v>
      </c>
      <c r="G171" s="341">
        <v>7840</v>
      </c>
      <c r="H171" s="341" t="s">
        <v>173</v>
      </c>
      <c r="I171" s="341">
        <v>2440</v>
      </c>
      <c r="J171" s="2"/>
      <c r="K171" s="341">
        <v>70</v>
      </c>
      <c r="L171" s="342" t="s">
        <v>52</v>
      </c>
      <c r="M171" s="343" t="s">
        <v>53</v>
      </c>
      <c r="N171" s="342" t="s">
        <v>39</v>
      </c>
      <c r="O171" s="323" t="s">
        <v>188</v>
      </c>
      <c r="P171" s="342" t="s">
        <v>3</v>
      </c>
      <c r="Q171" s="2"/>
      <c r="R171" s="324">
        <f>ROUNDUP(1150,0)</f>
        <v>1150</v>
      </c>
      <c r="S171" s="325">
        <v>1</v>
      </c>
      <c r="T171" s="325">
        <f t="shared" si="48"/>
        <v>1</v>
      </c>
      <c r="V171" s="324">
        <v>5000</v>
      </c>
      <c r="W171" s="326">
        <f t="shared" si="49"/>
        <v>4</v>
      </c>
      <c r="X171" s="326">
        <f t="shared" si="50"/>
        <v>4715</v>
      </c>
      <c r="Y171" s="327">
        <v>5000</v>
      </c>
      <c r="Z171" s="328">
        <f t="shared" si="47"/>
        <v>0.25</v>
      </c>
      <c r="AA171" s="387">
        <v>1.5</v>
      </c>
      <c r="AB171" s="329">
        <v>0.97399999999999998</v>
      </c>
      <c r="AC171" s="329">
        <v>0.216</v>
      </c>
      <c r="AE171" s="332">
        <f t="shared" si="40"/>
        <v>1.1200999999999999</v>
      </c>
      <c r="AF171" s="332">
        <f t="shared" si="41"/>
        <v>1.2175</v>
      </c>
      <c r="AG171" s="332">
        <f t="shared" si="42"/>
        <v>-9.7400000000000153E-2</v>
      </c>
      <c r="AH171" s="333">
        <f t="shared" si="43"/>
        <v>1.0869565217391306</v>
      </c>
      <c r="AI171" s="329">
        <f t="shared" si="51"/>
        <v>1.1499999999999999</v>
      </c>
      <c r="AJ171" s="329">
        <f t="shared" si="52"/>
        <v>1.25</v>
      </c>
      <c r="AK171" s="329">
        <f t="shared" si="53"/>
        <v>-0.10000000000000009</v>
      </c>
      <c r="AL171" s="382">
        <f t="shared" si="54"/>
        <v>1.0869565217391306</v>
      </c>
    </row>
    <row r="172" spans="2:38" s="303" customFormat="1" ht="28.5" x14ac:dyDescent="0.2">
      <c r="B172" s="341">
        <f t="shared" si="39"/>
        <v>162</v>
      </c>
      <c r="C172" s="344" t="s">
        <v>183</v>
      </c>
      <c r="D172" s="342" t="s">
        <v>196</v>
      </c>
      <c r="E172" s="341" t="s">
        <v>199</v>
      </c>
      <c r="F172" s="341">
        <v>1</v>
      </c>
      <c r="G172" s="341">
        <v>7840</v>
      </c>
      <c r="H172" s="341" t="s">
        <v>173</v>
      </c>
      <c r="I172" s="341">
        <v>2440</v>
      </c>
      <c r="J172" s="2"/>
      <c r="K172" s="341">
        <v>70</v>
      </c>
      <c r="L172" s="342" t="s">
        <v>54</v>
      </c>
      <c r="M172" s="343" t="s">
        <v>55</v>
      </c>
      <c r="N172" s="342" t="s">
        <v>39</v>
      </c>
      <c r="O172" s="323" t="s">
        <v>188</v>
      </c>
      <c r="P172" s="342" t="s">
        <v>3</v>
      </c>
      <c r="Q172" s="2"/>
      <c r="R172" s="324">
        <f>ROUNDUP(1150,0)</f>
        <v>1150</v>
      </c>
      <c r="S172" s="325">
        <v>1</v>
      </c>
      <c r="T172" s="325">
        <f t="shared" si="48"/>
        <v>1</v>
      </c>
      <c r="V172" s="324">
        <v>5000</v>
      </c>
      <c r="W172" s="326">
        <f t="shared" si="49"/>
        <v>4</v>
      </c>
      <c r="X172" s="326">
        <f t="shared" si="50"/>
        <v>4715</v>
      </c>
      <c r="Y172" s="327">
        <v>5000</v>
      </c>
      <c r="Z172" s="328">
        <f t="shared" si="47"/>
        <v>0.25</v>
      </c>
      <c r="AA172" s="304"/>
      <c r="AB172" s="329">
        <v>1.2410000000000001</v>
      </c>
      <c r="AC172" s="329">
        <v>0.32674979999999998</v>
      </c>
      <c r="AE172" s="332">
        <f t="shared" si="40"/>
        <v>1.4271499999999999</v>
      </c>
      <c r="AF172" s="332">
        <f t="shared" si="41"/>
        <v>1.55125</v>
      </c>
      <c r="AG172" s="332">
        <f t="shared" si="42"/>
        <v>-0.1241000000000001</v>
      </c>
      <c r="AH172" s="333">
        <f t="shared" si="43"/>
        <v>1.0869565217391306</v>
      </c>
      <c r="AI172" s="329">
        <f t="shared" si="51"/>
        <v>1.1499999999999999</v>
      </c>
      <c r="AJ172" s="329">
        <f t="shared" si="52"/>
        <v>1.25</v>
      </c>
      <c r="AK172" s="329">
        <f t="shared" si="53"/>
        <v>-0.10000000000000009</v>
      </c>
      <c r="AL172" s="382">
        <f t="shared" si="54"/>
        <v>1.0869565217391306</v>
      </c>
    </row>
    <row r="173" spans="2:38" s="303" customFormat="1" ht="28.5" x14ac:dyDescent="0.2">
      <c r="B173" s="341">
        <f t="shared" si="39"/>
        <v>163</v>
      </c>
      <c r="C173" s="344" t="s">
        <v>183</v>
      </c>
      <c r="D173" s="342" t="s">
        <v>196</v>
      </c>
      <c r="E173" s="341" t="s">
        <v>199</v>
      </c>
      <c r="F173" s="341">
        <v>1</v>
      </c>
      <c r="G173" s="341">
        <v>7840</v>
      </c>
      <c r="H173" s="341" t="s">
        <v>173</v>
      </c>
      <c r="I173" s="341">
        <v>2440</v>
      </c>
      <c r="J173" s="2"/>
      <c r="K173" s="341">
        <v>71</v>
      </c>
      <c r="L173" s="342" t="s">
        <v>54</v>
      </c>
      <c r="M173" s="343" t="s">
        <v>55</v>
      </c>
      <c r="N173" s="342" t="s">
        <v>39</v>
      </c>
      <c r="O173" s="323" t="s">
        <v>188</v>
      </c>
      <c r="P173" s="342" t="s">
        <v>3</v>
      </c>
      <c r="Q173" s="2"/>
      <c r="R173" s="324">
        <f>ROUNDUP(1150,0)</f>
        <v>1150</v>
      </c>
      <c r="S173" s="325">
        <v>1</v>
      </c>
      <c r="T173" s="325">
        <f t="shared" si="48"/>
        <v>1</v>
      </c>
      <c r="V173" s="324">
        <v>5000</v>
      </c>
      <c r="W173" s="326">
        <f t="shared" si="49"/>
        <v>4</v>
      </c>
      <c r="X173" s="326">
        <f t="shared" si="50"/>
        <v>4715</v>
      </c>
      <c r="Y173" s="327">
        <v>5000</v>
      </c>
      <c r="Z173" s="328">
        <f t="shared" si="47"/>
        <v>0.25</v>
      </c>
      <c r="AA173" s="387">
        <v>1.5</v>
      </c>
      <c r="AB173" s="329">
        <v>1.2410000000000001</v>
      </c>
      <c r="AC173" s="329">
        <v>0.32674979999999998</v>
      </c>
      <c r="AE173" s="332">
        <f t="shared" si="40"/>
        <v>1.4271499999999999</v>
      </c>
      <c r="AF173" s="332">
        <f t="shared" si="41"/>
        <v>1.55125</v>
      </c>
      <c r="AG173" s="332">
        <f t="shared" si="42"/>
        <v>-0.1241000000000001</v>
      </c>
      <c r="AH173" s="333">
        <f t="shared" si="43"/>
        <v>1.0869565217391306</v>
      </c>
      <c r="AI173" s="329">
        <f t="shared" si="51"/>
        <v>1.1499999999999999</v>
      </c>
      <c r="AJ173" s="329">
        <f t="shared" si="52"/>
        <v>1.25</v>
      </c>
      <c r="AK173" s="329">
        <f t="shared" si="53"/>
        <v>-0.10000000000000009</v>
      </c>
      <c r="AL173" s="382">
        <f t="shared" si="54"/>
        <v>1.0869565217391306</v>
      </c>
    </row>
    <row r="174" spans="2:38" s="303" customFormat="1" ht="28.5" x14ac:dyDescent="0.2">
      <c r="B174" s="341">
        <f t="shared" si="39"/>
        <v>164</v>
      </c>
      <c r="C174" s="344" t="s">
        <v>183</v>
      </c>
      <c r="D174" s="342" t="s">
        <v>196</v>
      </c>
      <c r="E174" s="341" t="s">
        <v>199</v>
      </c>
      <c r="F174" s="341">
        <v>1</v>
      </c>
      <c r="G174" s="341">
        <v>7840</v>
      </c>
      <c r="H174" s="341" t="s">
        <v>173</v>
      </c>
      <c r="I174" s="341">
        <v>2440</v>
      </c>
      <c r="J174" s="2"/>
      <c r="K174" s="319">
        <v>10</v>
      </c>
      <c r="L174" s="321" t="s">
        <v>42</v>
      </c>
      <c r="M174" s="322" t="s">
        <v>43</v>
      </c>
      <c r="N174" s="321" t="s">
        <v>39</v>
      </c>
      <c r="O174" s="323" t="s">
        <v>188</v>
      </c>
      <c r="P174" s="321" t="s">
        <v>3</v>
      </c>
      <c r="Q174" s="2"/>
      <c r="R174" s="324">
        <f>ROUNDUP(((G174-1150)/6),0)</f>
        <v>1115</v>
      </c>
      <c r="S174" s="325">
        <v>6</v>
      </c>
      <c r="T174" s="325">
        <f t="shared" si="48"/>
        <v>6</v>
      </c>
      <c r="V174" s="324">
        <v>5500</v>
      </c>
      <c r="W174" s="326">
        <f t="shared" si="49"/>
        <v>4</v>
      </c>
      <c r="X174" s="326">
        <f t="shared" si="50"/>
        <v>4575</v>
      </c>
      <c r="Y174" s="327">
        <v>4600</v>
      </c>
      <c r="Z174" s="328">
        <f t="shared" si="47"/>
        <v>1.5</v>
      </c>
      <c r="AA174" s="392"/>
      <c r="AB174" s="329">
        <v>1.72</v>
      </c>
      <c r="AC174" s="329">
        <v>0.32400000000000001</v>
      </c>
      <c r="AE174" s="332">
        <f t="shared" si="40"/>
        <v>11.506799999999998</v>
      </c>
      <c r="AF174" s="332">
        <f t="shared" si="41"/>
        <v>11.868</v>
      </c>
      <c r="AG174" s="332">
        <f t="shared" si="42"/>
        <v>-0.36120000000000196</v>
      </c>
      <c r="AH174" s="333">
        <f t="shared" si="43"/>
        <v>1.0313901345291481</v>
      </c>
      <c r="AI174" s="329">
        <f t="shared" si="51"/>
        <v>6.6899999999999995</v>
      </c>
      <c r="AJ174" s="329">
        <f t="shared" si="52"/>
        <v>6.8999999999999995</v>
      </c>
      <c r="AK174" s="329">
        <f t="shared" si="53"/>
        <v>-0.20999999999999996</v>
      </c>
      <c r="AL174" s="382">
        <f t="shared" si="54"/>
        <v>1.0313901345291481</v>
      </c>
    </row>
    <row r="175" spans="2:38" s="303" customFormat="1" ht="28.5" x14ac:dyDescent="0.2">
      <c r="B175" s="341">
        <f t="shared" si="39"/>
        <v>165</v>
      </c>
      <c r="C175" s="344" t="s">
        <v>183</v>
      </c>
      <c r="D175" s="342" t="s">
        <v>196</v>
      </c>
      <c r="E175" s="341" t="s">
        <v>199</v>
      </c>
      <c r="F175" s="341">
        <v>1</v>
      </c>
      <c r="G175" s="341">
        <v>7840</v>
      </c>
      <c r="H175" s="341" t="s">
        <v>173</v>
      </c>
      <c r="I175" s="341">
        <v>2440</v>
      </c>
      <c r="J175" s="2"/>
      <c r="K175" s="319">
        <v>10</v>
      </c>
      <c r="L175" s="321" t="s">
        <v>40</v>
      </c>
      <c r="M175" s="322" t="s">
        <v>41</v>
      </c>
      <c r="N175" s="321" t="s">
        <v>39</v>
      </c>
      <c r="O175" s="323" t="s">
        <v>188</v>
      </c>
      <c r="P175" s="321" t="s">
        <v>3</v>
      </c>
      <c r="Q175" s="2"/>
      <c r="R175" s="324">
        <f t="shared" ref="R175:R176" si="56">ROUNDUP(((G175-1150)/6),0)</f>
        <v>1115</v>
      </c>
      <c r="S175" s="325">
        <v>6</v>
      </c>
      <c r="T175" s="325">
        <f t="shared" si="48"/>
        <v>6</v>
      </c>
      <c r="V175" s="324">
        <v>5500</v>
      </c>
      <c r="W175" s="326">
        <f t="shared" si="49"/>
        <v>4</v>
      </c>
      <c r="X175" s="326">
        <f t="shared" si="50"/>
        <v>4575</v>
      </c>
      <c r="Y175" s="327">
        <v>4600</v>
      </c>
      <c r="Z175" s="328">
        <f t="shared" si="47"/>
        <v>1.5</v>
      </c>
      <c r="AA175" s="304"/>
      <c r="AB175" s="329">
        <v>0.27700000000000002</v>
      </c>
      <c r="AC175" s="329">
        <v>0.114</v>
      </c>
      <c r="AE175" s="332">
        <f t="shared" si="40"/>
        <v>1.8531299999999999</v>
      </c>
      <c r="AF175" s="332">
        <f t="shared" si="41"/>
        <v>1.9113000000000002</v>
      </c>
      <c r="AG175" s="332">
        <f t="shared" si="42"/>
        <v>-5.8170000000000277E-2</v>
      </c>
      <c r="AH175" s="333">
        <f t="shared" si="43"/>
        <v>1.0313901345291481</v>
      </c>
      <c r="AI175" s="329">
        <f t="shared" si="51"/>
        <v>6.6899999999999995</v>
      </c>
      <c r="AJ175" s="329">
        <f t="shared" si="52"/>
        <v>6.8999999999999995</v>
      </c>
      <c r="AK175" s="329">
        <f t="shared" si="53"/>
        <v>-0.20999999999999996</v>
      </c>
      <c r="AL175" s="382">
        <f t="shared" si="54"/>
        <v>1.0313901345291481</v>
      </c>
    </row>
    <row r="176" spans="2:38" s="303" customFormat="1" ht="28.5" x14ac:dyDescent="0.2">
      <c r="B176" s="341">
        <f t="shared" si="39"/>
        <v>166</v>
      </c>
      <c r="C176" s="344" t="s">
        <v>183</v>
      </c>
      <c r="D176" s="342" t="s">
        <v>196</v>
      </c>
      <c r="E176" s="341" t="s">
        <v>199</v>
      </c>
      <c r="F176" s="341">
        <v>1</v>
      </c>
      <c r="G176" s="341">
        <v>7840</v>
      </c>
      <c r="H176" s="341" t="s">
        <v>173</v>
      </c>
      <c r="I176" s="341">
        <v>2440</v>
      </c>
      <c r="J176" s="2"/>
      <c r="K176" s="319">
        <v>10</v>
      </c>
      <c r="L176" s="321" t="s">
        <v>37</v>
      </c>
      <c r="M176" s="322" t="s">
        <v>38</v>
      </c>
      <c r="N176" s="321" t="s">
        <v>39</v>
      </c>
      <c r="O176" s="323" t="s">
        <v>188</v>
      </c>
      <c r="P176" s="321" t="s">
        <v>3</v>
      </c>
      <c r="Q176" s="2"/>
      <c r="R176" s="324">
        <f t="shared" si="56"/>
        <v>1115</v>
      </c>
      <c r="S176" s="325">
        <v>6</v>
      </c>
      <c r="T176" s="325">
        <f t="shared" si="48"/>
        <v>6</v>
      </c>
      <c r="V176" s="324">
        <v>5500</v>
      </c>
      <c r="W176" s="326">
        <f t="shared" si="49"/>
        <v>4</v>
      </c>
      <c r="X176" s="326">
        <f t="shared" si="50"/>
        <v>4575</v>
      </c>
      <c r="Y176" s="327">
        <v>4600</v>
      </c>
      <c r="Z176" s="328">
        <f t="shared" si="47"/>
        <v>1.5</v>
      </c>
      <c r="AA176" s="392"/>
      <c r="AB176" s="329">
        <v>0.29899999999999999</v>
      </c>
      <c r="AC176" s="329">
        <v>0.13900000000000001</v>
      </c>
      <c r="AE176" s="332">
        <f t="shared" si="40"/>
        <v>2.0003099999999998</v>
      </c>
      <c r="AF176" s="332">
        <f t="shared" si="41"/>
        <v>2.0630999999999999</v>
      </c>
      <c r="AG176" s="332">
        <f t="shared" si="42"/>
        <v>-6.2790000000000123E-2</v>
      </c>
      <c r="AH176" s="333">
        <f t="shared" si="43"/>
        <v>1.0313901345291481</v>
      </c>
      <c r="AI176" s="329">
        <f t="shared" si="51"/>
        <v>6.6899999999999995</v>
      </c>
      <c r="AJ176" s="329">
        <f t="shared" si="52"/>
        <v>6.8999999999999995</v>
      </c>
      <c r="AK176" s="329">
        <f t="shared" si="53"/>
        <v>-0.20999999999999996</v>
      </c>
      <c r="AL176" s="382">
        <f t="shared" si="54"/>
        <v>1.0313901345291481</v>
      </c>
    </row>
    <row r="177" spans="2:39" s="303" customFormat="1" ht="28.5" x14ac:dyDescent="0.2">
      <c r="B177" s="341">
        <f t="shared" si="39"/>
        <v>167</v>
      </c>
      <c r="C177" s="344" t="s">
        <v>183</v>
      </c>
      <c r="D177" s="342" t="s">
        <v>196</v>
      </c>
      <c r="E177" s="341" t="s">
        <v>199</v>
      </c>
      <c r="F177" s="341">
        <v>1</v>
      </c>
      <c r="G177" s="341">
        <v>7840</v>
      </c>
      <c r="H177" s="341" t="s">
        <v>173</v>
      </c>
      <c r="I177" s="341">
        <v>2440</v>
      </c>
      <c r="J177" s="2"/>
      <c r="K177" s="334">
        <v>10</v>
      </c>
      <c r="L177" s="335" t="s">
        <v>28</v>
      </c>
      <c r="M177" s="336" t="s">
        <v>118</v>
      </c>
      <c r="N177" s="337" t="s">
        <v>6</v>
      </c>
      <c r="O177" s="323" t="s">
        <v>188</v>
      </c>
      <c r="P177" s="337" t="s">
        <v>187</v>
      </c>
      <c r="Q177" s="2"/>
      <c r="R177" s="324">
        <f t="shared" ref="R177:R181" si="57">ROUNDUP((G177/2),0)</f>
        <v>3920</v>
      </c>
      <c r="S177" s="325">
        <v>2</v>
      </c>
      <c r="T177" s="325">
        <f t="shared" si="48"/>
        <v>2</v>
      </c>
      <c r="V177" s="338">
        <v>3660</v>
      </c>
      <c r="W177" s="339">
        <f t="shared" si="49"/>
        <v>0</v>
      </c>
      <c r="X177" s="339">
        <f t="shared" si="50"/>
        <v>95</v>
      </c>
      <c r="Y177" s="327">
        <v>3660</v>
      </c>
      <c r="Z177" s="340">
        <f>($R177*$T177)/$V177</f>
        <v>2.1420765027322406</v>
      </c>
      <c r="AA177" s="392"/>
      <c r="AB177" s="332">
        <v>1.641</v>
      </c>
      <c r="AC177" s="332">
        <v>0.20319999999999999</v>
      </c>
      <c r="AE177" s="332">
        <f t="shared" si="40"/>
        <v>12.86544</v>
      </c>
      <c r="AF177" s="332">
        <f t="shared" si="41"/>
        <v>12.865440000000001</v>
      </c>
      <c r="AG177" s="332">
        <f t="shared" si="42"/>
        <v>0</v>
      </c>
      <c r="AH177" s="333">
        <f t="shared" si="43"/>
        <v>1.0000000000000002</v>
      </c>
      <c r="AI177" s="329">
        <f t="shared" si="51"/>
        <v>7.84</v>
      </c>
      <c r="AJ177" s="329">
        <f t="shared" si="52"/>
        <v>7.8400000000000007</v>
      </c>
      <c r="AK177" s="329">
        <f t="shared" si="53"/>
        <v>0</v>
      </c>
      <c r="AL177" s="382">
        <f t="shared" si="54"/>
        <v>1.0000000000000002</v>
      </c>
    </row>
    <row r="178" spans="2:39" s="303" customFormat="1" ht="28.5" x14ac:dyDescent="0.2">
      <c r="B178" s="319">
        <f t="shared" si="39"/>
        <v>168</v>
      </c>
      <c r="C178" s="344" t="s">
        <v>183</v>
      </c>
      <c r="D178" s="342" t="s">
        <v>196</v>
      </c>
      <c r="E178" s="341" t="s">
        <v>199</v>
      </c>
      <c r="F178" s="341">
        <v>1</v>
      </c>
      <c r="G178" s="341">
        <v>7840</v>
      </c>
      <c r="H178" s="341" t="s">
        <v>173</v>
      </c>
      <c r="I178" s="341">
        <v>2440</v>
      </c>
      <c r="J178" s="2"/>
      <c r="K178" s="319">
        <v>11</v>
      </c>
      <c r="L178" s="321" t="s">
        <v>42</v>
      </c>
      <c r="M178" s="322" t="s">
        <v>43</v>
      </c>
      <c r="N178" s="321" t="s">
        <v>39</v>
      </c>
      <c r="O178" s="323" t="s">
        <v>188</v>
      </c>
      <c r="P178" s="321" t="s">
        <v>3</v>
      </c>
      <c r="Q178" s="2"/>
      <c r="R178" s="324">
        <f t="shared" ref="R178:R180" si="58">ROUNDUP(((G178-1150)/6),0)</f>
        <v>1115</v>
      </c>
      <c r="S178" s="325">
        <v>6</v>
      </c>
      <c r="T178" s="325">
        <f t="shared" si="48"/>
        <v>6</v>
      </c>
      <c r="V178" s="324">
        <v>5500</v>
      </c>
      <c r="W178" s="326">
        <f t="shared" si="49"/>
        <v>4</v>
      </c>
      <c r="X178" s="326">
        <f t="shared" si="50"/>
        <v>4575</v>
      </c>
      <c r="Y178" s="327">
        <v>4600</v>
      </c>
      <c r="Z178" s="328">
        <f t="shared" si="47"/>
        <v>1.5</v>
      </c>
      <c r="AA178" s="392"/>
      <c r="AB178" s="329">
        <v>1.72</v>
      </c>
      <c r="AC178" s="329">
        <v>0.32400000000000001</v>
      </c>
      <c r="AE178" s="332">
        <f t="shared" si="40"/>
        <v>11.506799999999998</v>
      </c>
      <c r="AF178" s="332">
        <f t="shared" si="41"/>
        <v>11.868</v>
      </c>
      <c r="AG178" s="332">
        <f t="shared" si="42"/>
        <v>-0.36120000000000196</v>
      </c>
      <c r="AH178" s="333">
        <f t="shared" si="43"/>
        <v>1.0313901345291481</v>
      </c>
      <c r="AI178" s="329">
        <f t="shared" si="51"/>
        <v>6.6899999999999995</v>
      </c>
      <c r="AJ178" s="329">
        <f t="shared" si="52"/>
        <v>6.8999999999999995</v>
      </c>
      <c r="AK178" s="329">
        <f t="shared" si="53"/>
        <v>-0.20999999999999996</v>
      </c>
      <c r="AL178" s="382">
        <f t="shared" si="54"/>
        <v>1.0313901345291481</v>
      </c>
    </row>
    <row r="179" spans="2:39" s="303" customFormat="1" ht="28.5" x14ac:dyDescent="0.2">
      <c r="B179" s="319">
        <f t="shared" si="39"/>
        <v>169</v>
      </c>
      <c r="C179" s="344" t="s">
        <v>183</v>
      </c>
      <c r="D179" s="342" t="s">
        <v>196</v>
      </c>
      <c r="E179" s="341" t="s">
        <v>199</v>
      </c>
      <c r="F179" s="341">
        <v>1</v>
      </c>
      <c r="G179" s="341">
        <v>7840</v>
      </c>
      <c r="H179" s="341" t="s">
        <v>173</v>
      </c>
      <c r="I179" s="341">
        <v>2440</v>
      </c>
      <c r="J179" s="2"/>
      <c r="K179" s="319">
        <v>11</v>
      </c>
      <c r="L179" s="321" t="s">
        <v>40</v>
      </c>
      <c r="M179" s="322" t="s">
        <v>41</v>
      </c>
      <c r="N179" s="321" t="s">
        <v>39</v>
      </c>
      <c r="O179" s="323" t="s">
        <v>188</v>
      </c>
      <c r="P179" s="321" t="s">
        <v>3</v>
      </c>
      <c r="Q179" s="2"/>
      <c r="R179" s="324">
        <f t="shared" si="58"/>
        <v>1115</v>
      </c>
      <c r="S179" s="325">
        <v>6</v>
      </c>
      <c r="T179" s="325">
        <f t="shared" si="48"/>
        <v>6</v>
      </c>
      <c r="V179" s="324">
        <v>5500</v>
      </c>
      <c r="W179" s="326">
        <f t="shared" si="49"/>
        <v>4</v>
      </c>
      <c r="X179" s="326">
        <f t="shared" si="50"/>
        <v>4575</v>
      </c>
      <c r="Y179" s="327">
        <v>4600</v>
      </c>
      <c r="Z179" s="328">
        <f t="shared" si="47"/>
        <v>1.5</v>
      </c>
      <c r="AA179" s="392"/>
      <c r="AB179" s="329">
        <v>0.27700000000000002</v>
      </c>
      <c r="AC179" s="329">
        <v>0.114</v>
      </c>
      <c r="AE179" s="332">
        <f t="shared" si="40"/>
        <v>1.8531299999999999</v>
      </c>
      <c r="AF179" s="332">
        <f t="shared" si="41"/>
        <v>1.9113000000000002</v>
      </c>
      <c r="AG179" s="332">
        <f t="shared" si="42"/>
        <v>-5.8170000000000277E-2</v>
      </c>
      <c r="AH179" s="333">
        <f t="shared" si="43"/>
        <v>1.0313901345291481</v>
      </c>
      <c r="AI179" s="329">
        <f t="shared" si="51"/>
        <v>6.6899999999999995</v>
      </c>
      <c r="AJ179" s="329">
        <f t="shared" si="52"/>
        <v>6.8999999999999995</v>
      </c>
      <c r="AK179" s="329">
        <f t="shared" si="53"/>
        <v>-0.20999999999999996</v>
      </c>
      <c r="AL179" s="382">
        <f t="shared" si="54"/>
        <v>1.0313901345291481</v>
      </c>
    </row>
    <row r="180" spans="2:39" s="303" customFormat="1" ht="28.5" x14ac:dyDescent="0.2">
      <c r="B180" s="319">
        <f t="shared" si="39"/>
        <v>170</v>
      </c>
      <c r="C180" s="344" t="s">
        <v>183</v>
      </c>
      <c r="D180" s="342" t="s">
        <v>196</v>
      </c>
      <c r="E180" s="341" t="s">
        <v>199</v>
      </c>
      <c r="F180" s="341">
        <v>1</v>
      </c>
      <c r="G180" s="341">
        <v>7840</v>
      </c>
      <c r="H180" s="341" t="s">
        <v>173</v>
      </c>
      <c r="I180" s="341">
        <v>2440</v>
      </c>
      <c r="J180" s="2"/>
      <c r="K180" s="341">
        <v>11</v>
      </c>
      <c r="L180" s="342" t="s">
        <v>37</v>
      </c>
      <c r="M180" s="343" t="s">
        <v>38</v>
      </c>
      <c r="N180" s="342" t="s">
        <v>39</v>
      </c>
      <c r="O180" s="323" t="s">
        <v>188</v>
      </c>
      <c r="P180" s="342" t="s">
        <v>3</v>
      </c>
      <c r="Q180" s="2"/>
      <c r="R180" s="324">
        <f t="shared" si="58"/>
        <v>1115</v>
      </c>
      <c r="S180" s="325">
        <v>6</v>
      </c>
      <c r="T180" s="325">
        <f t="shared" si="48"/>
        <v>6</v>
      </c>
      <c r="V180" s="324">
        <v>5500</v>
      </c>
      <c r="W180" s="326">
        <f t="shared" si="49"/>
        <v>4</v>
      </c>
      <c r="X180" s="326">
        <f t="shared" si="50"/>
        <v>4575</v>
      </c>
      <c r="Y180" s="327">
        <v>4600</v>
      </c>
      <c r="Z180" s="328">
        <f t="shared" si="47"/>
        <v>1.5</v>
      </c>
      <c r="AA180" s="426">
        <v>6</v>
      </c>
      <c r="AB180" s="332">
        <v>0.29899999999999999</v>
      </c>
      <c r="AC180" s="332">
        <v>0.13900000000000001</v>
      </c>
      <c r="AE180" s="332">
        <f t="shared" si="40"/>
        <v>2.0003099999999998</v>
      </c>
      <c r="AF180" s="332">
        <f t="shared" si="41"/>
        <v>2.0630999999999999</v>
      </c>
      <c r="AG180" s="332">
        <f t="shared" si="42"/>
        <v>-6.2790000000000123E-2</v>
      </c>
      <c r="AH180" s="333">
        <f t="shared" si="43"/>
        <v>1.0313901345291481</v>
      </c>
      <c r="AI180" s="329">
        <f t="shared" si="51"/>
        <v>6.6899999999999995</v>
      </c>
      <c r="AJ180" s="329">
        <f t="shared" si="52"/>
        <v>6.8999999999999995</v>
      </c>
      <c r="AK180" s="329">
        <f t="shared" si="53"/>
        <v>-0.20999999999999996</v>
      </c>
      <c r="AL180" s="382">
        <f t="shared" si="54"/>
        <v>1.0313901345291481</v>
      </c>
    </row>
    <row r="181" spans="2:39" s="303" customFormat="1" ht="28.5" x14ac:dyDescent="0.2">
      <c r="B181" s="341">
        <f t="shared" si="39"/>
        <v>171</v>
      </c>
      <c r="C181" s="344" t="s">
        <v>183</v>
      </c>
      <c r="D181" s="342" t="s">
        <v>196</v>
      </c>
      <c r="E181" s="341" t="s">
        <v>199</v>
      </c>
      <c r="F181" s="341">
        <v>1</v>
      </c>
      <c r="G181" s="341">
        <v>7840</v>
      </c>
      <c r="H181" s="341" t="s">
        <v>173</v>
      </c>
      <c r="I181" s="341">
        <v>2440</v>
      </c>
      <c r="J181" s="2"/>
      <c r="K181" s="345">
        <v>11</v>
      </c>
      <c r="L181" s="335" t="s">
        <v>28</v>
      </c>
      <c r="M181" s="346" t="s">
        <v>118</v>
      </c>
      <c r="N181" s="347" t="s">
        <v>6</v>
      </c>
      <c r="O181" s="323" t="s">
        <v>188</v>
      </c>
      <c r="P181" s="347" t="s">
        <v>187</v>
      </c>
      <c r="Q181" s="2"/>
      <c r="R181" s="324">
        <f t="shared" si="57"/>
        <v>3920</v>
      </c>
      <c r="S181" s="349">
        <v>2</v>
      </c>
      <c r="T181" s="349">
        <f t="shared" si="48"/>
        <v>2</v>
      </c>
      <c r="V181" s="338">
        <v>3660</v>
      </c>
      <c r="W181" s="350">
        <f t="shared" si="49"/>
        <v>0</v>
      </c>
      <c r="X181" s="350">
        <f t="shared" si="50"/>
        <v>95</v>
      </c>
      <c r="Y181" s="327">
        <v>3660</v>
      </c>
      <c r="Z181" s="340">
        <f>($R181*$T181)/$V181</f>
        <v>2.1420765027322406</v>
      </c>
      <c r="AA181" s="392"/>
      <c r="AB181" s="332">
        <v>1.641</v>
      </c>
      <c r="AC181" s="332">
        <v>0.20319999999999999</v>
      </c>
      <c r="AE181" s="332">
        <f t="shared" si="40"/>
        <v>12.86544</v>
      </c>
      <c r="AF181" s="332">
        <f t="shared" si="41"/>
        <v>12.865440000000001</v>
      </c>
      <c r="AG181" s="332">
        <f t="shared" si="42"/>
        <v>0</v>
      </c>
      <c r="AH181" s="333">
        <f t="shared" si="43"/>
        <v>1.0000000000000002</v>
      </c>
      <c r="AI181" s="329">
        <f t="shared" si="51"/>
        <v>7.84</v>
      </c>
      <c r="AJ181" s="329">
        <f t="shared" si="52"/>
        <v>7.8400000000000007</v>
      </c>
      <c r="AK181" s="329">
        <f t="shared" si="53"/>
        <v>0</v>
      </c>
      <c r="AL181" s="382">
        <f t="shared" si="54"/>
        <v>1.0000000000000002</v>
      </c>
    </row>
    <row r="182" spans="2:39" s="353" customFormat="1" ht="30" customHeight="1" x14ac:dyDescent="0.25">
      <c r="B182" s="341">
        <f t="shared" si="39"/>
        <v>172</v>
      </c>
      <c r="C182" s="344" t="s">
        <v>183</v>
      </c>
      <c r="D182" s="342" t="s">
        <v>196</v>
      </c>
      <c r="E182" s="341" t="s">
        <v>199</v>
      </c>
      <c r="F182" s="341">
        <v>1</v>
      </c>
      <c r="G182" s="341">
        <v>7840</v>
      </c>
      <c r="H182" s="341" t="s">
        <v>173</v>
      </c>
      <c r="I182" s="341">
        <v>2440</v>
      </c>
      <c r="J182" s="2"/>
      <c r="K182" s="354"/>
      <c r="L182" s="355" t="s">
        <v>28</v>
      </c>
      <c r="M182" s="356" t="s">
        <v>29</v>
      </c>
      <c r="N182" s="469" t="s">
        <v>6</v>
      </c>
      <c r="O182" s="323" t="s">
        <v>189</v>
      </c>
      <c r="P182" s="347" t="s">
        <v>187</v>
      </c>
      <c r="Q182" s="2"/>
      <c r="R182" s="338">
        <v>51</v>
      </c>
      <c r="S182" s="357">
        <f>4*7</f>
        <v>28</v>
      </c>
      <c r="T182" s="357">
        <f t="shared" si="48"/>
        <v>28</v>
      </c>
      <c r="U182" s="303"/>
      <c r="V182" s="338">
        <v>3250</v>
      </c>
      <c r="W182" s="358">
        <f t="shared" si="49"/>
        <v>63</v>
      </c>
      <c r="X182" s="358">
        <f t="shared" si="50"/>
        <v>3623</v>
      </c>
      <c r="Y182" s="351">
        <v>3660</v>
      </c>
      <c r="Z182" s="359">
        <f t="shared" si="47"/>
        <v>0.44444444444444442</v>
      </c>
      <c r="AA182" s="392"/>
      <c r="AB182" s="332">
        <v>1.641</v>
      </c>
      <c r="AC182" s="332">
        <v>0.20319999999999999</v>
      </c>
      <c r="AD182" s="303"/>
      <c r="AE182" s="332">
        <f t="shared" si="40"/>
        <v>2.3433479999999998</v>
      </c>
      <c r="AF182" s="332">
        <f t="shared" si="41"/>
        <v>2.6693599999999997</v>
      </c>
      <c r="AG182" s="332">
        <f t="shared" si="42"/>
        <v>-0.32601199999999997</v>
      </c>
      <c r="AH182" s="333">
        <f t="shared" si="43"/>
        <v>1.1391223155929038</v>
      </c>
      <c r="AI182" s="329">
        <f t="shared" si="51"/>
        <v>1.4279999999999999</v>
      </c>
      <c r="AJ182" s="329">
        <f t="shared" si="52"/>
        <v>1.6266666666666667</v>
      </c>
      <c r="AK182" s="329">
        <f t="shared" si="53"/>
        <v>-0.19866666666666677</v>
      </c>
      <c r="AL182" s="382">
        <f t="shared" si="54"/>
        <v>1.139122315592904</v>
      </c>
      <c r="AM182" s="303"/>
    </row>
    <row r="183" spans="2:39" s="353" customFormat="1" ht="30" customHeight="1" x14ac:dyDescent="0.25">
      <c r="B183" s="341">
        <f t="shared" si="39"/>
        <v>173</v>
      </c>
      <c r="C183" s="344" t="s">
        <v>183</v>
      </c>
      <c r="D183" s="342" t="s">
        <v>196</v>
      </c>
      <c r="E183" s="341" t="s">
        <v>199</v>
      </c>
      <c r="F183" s="341">
        <v>1</v>
      </c>
      <c r="G183" s="341">
        <v>7840</v>
      </c>
      <c r="H183" s="341" t="s">
        <v>173</v>
      </c>
      <c r="I183" s="341">
        <v>2440</v>
      </c>
      <c r="J183" s="2"/>
      <c r="K183" s="354"/>
      <c r="L183" s="355" t="s">
        <v>28</v>
      </c>
      <c r="M183" s="356" t="s">
        <v>29</v>
      </c>
      <c r="N183" s="469" t="s">
        <v>6</v>
      </c>
      <c r="O183" s="323" t="s">
        <v>190</v>
      </c>
      <c r="P183" s="347" t="s">
        <v>187</v>
      </c>
      <c r="Q183" s="2"/>
      <c r="R183" s="338">
        <v>51</v>
      </c>
      <c r="S183" s="357">
        <f>2*8</f>
        <v>16</v>
      </c>
      <c r="T183" s="357">
        <f t="shared" si="48"/>
        <v>16</v>
      </c>
      <c r="U183" s="303"/>
      <c r="V183" s="338">
        <v>3250</v>
      </c>
      <c r="W183" s="358">
        <f t="shared" si="49"/>
        <v>63</v>
      </c>
      <c r="X183" s="358">
        <f t="shared" si="50"/>
        <v>3623</v>
      </c>
      <c r="Y183" s="351">
        <v>3660</v>
      </c>
      <c r="Z183" s="359">
        <f t="shared" si="47"/>
        <v>0.25396825396825395</v>
      </c>
      <c r="AA183" s="392"/>
      <c r="AB183" s="332">
        <v>1.641</v>
      </c>
      <c r="AC183" s="332">
        <v>0.20319999999999999</v>
      </c>
      <c r="AD183" s="303"/>
      <c r="AE183" s="332">
        <f t="shared" si="40"/>
        <v>1.339056</v>
      </c>
      <c r="AF183" s="332">
        <f t="shared" si="41"/>
        <v>1.5253485714285715</v>
      </c>
      <c r="AG183" s="332">
        <f t="shared" si="42"/>
        <v>-0.18629257142857147</v>
      </c>
      <c r="AH183" s="333">
        <f t="shared" si="43"/>
        <v>1.1391223155929038</v>
      </c>
      <c r="AI183" s="329">
        <f t="shared" si="51"/>
        <v>0.81599999999999995</v>
      </c>
      <c r="AJ183" s="329">
        <f t="shared" si="52"/>
        <v>0.92952380952380953</v>
      </c>
      <c r="AK183" s="329">
        <f t="shared" si="53"/>
        <v>-0.11352380952380958</v>
      </c>
      <c r="AL183" s="382">
        <f t="shared" si="54"/>
        <v>1.139122315592904</v>
      </c>
      <c r="AM183" s="303"/>
    </row>
    <row r="184" spans="2:39" s="353" customFormat="1" ht="30" customHeight="1" x14ac:dyDescent="0.25">
      <c r="B184" s="341">
        <f t="shared" si="39"/>
        <v>174</v>
      </c>
      <c r="C184" s="344" t="s">
        <v>183</v>
      </c>
      <c r="D184" s="342" t="s">
        <v>196</v>
      </c>
      <c r="E184" s="341" t="s">
        <v>199</v>
      </c>
      <c r="F184" s="341">
        <v>1</v>
      </c>
      <c r="G184" s="341">
        <v>7840</v>
      </c>
      <c r="H184" s="341" t="s">
        <v>173</v>
      </c>
      <c r="I184" s="341">
        <v>2440</v>
      </c>
      <c r="J184" s="390"/>
      <c r="K184" s="354"/>
      <c r="L184" s="471" t="s">
        <v>28</v>
      </c>
      <c r="M184" s="472" t="s">
        <v>29</v>
      </c>
      <c r="N184" s="471" t="s">
        <v>6</v>
      </c>
      <c r="O184" s="323" t="s">
        <v>195</v>
      </c>
      <c r="P184" s="347" t="s">
        <v>187</v>
      </c>
      <c r="Q184" s="390"/>
      <c r="R184" s="338">
        <v>51</v>
      </c>
      <c r="S184" s="357">
        <f>4*1</f>
        <v>4</v>
      </c>
      <c r="T184" s="357">
        <f t="shared" si="48"/>
        <v>4</v>
      </c>
      <c r="V184" s="338">
        <v>3250</v>
      </c>
      <c r="W184" s="358">
        <f t="shared" si="49"/>
        <v>63</v>
      </c>
      <c r="X184" s="358">
        <f t="shared" si="50"/>
        <v>3623</v>
      </c>
      <c r="Y184" s="351">
        <v>3660</v>
      </c>
      <c r="Z184" s="359">
        <f t="shared" si="47"/>
        <v>6.3492063492063489E-2</v>
      </c>
      <c r="AA184" s="475"/>
      <c r="AB184" s="473">
        <v>1.641</v>
      </c>
      <c r="AC184" s="473">
        <v>0.20319999999999999</v>
      </c>
      <c r="AE184" s="332">
        <f t="shared" si="40"/>
        <v>0.33476400000000001</v>
      </c>
      <c r="AF184" s="332">
        <f t="shared" si="41"/>
        <v>0.38133714285714287</v>
      </c>
      <c r="AG184" s="332">
        <f t="shared" si="42"/>
        <v>-4.6573142857142869E-2</v>
      </c>
      <c r="AH184" s="333">
        <f t="shared" si="43"/>
        <v>1.1391223155929038</v>
      </c>
      <c r="AI184" s="332">
        <f t="shared" si="51"/>
        <v>0.20399999999999999</v>
      </c>
      <c r="AJ184" s="332">
        <f t="shared" si="52"/>
        <v>0.23238095238095238</v>
      </c>
      <c r="AK184" s="332">
        <f t="shared" si="53"/>
        <v>-2.8380952380952396E-2</v>
      </c>
      <c r="AL184" s="333">
        <f t="shared" si="54"/>
        <v>1.139122315592904</v>
      </c>
      <c r="AM184" s="303"/>
    </row>
    <row r="185" spans="2:39" s="353" customFormat="1" ht="30" customHeight="1" thickBot="1" x14ac:dyDescent="0.3">
      <c r="B185" s="360">
        <f t="shared" si="39"/>
        <v>175</v>
      </c>
      <c r="C185" s="361" t="s">
        <v>183</v>
      </c>
      <c r="D185" s="362" t="s">
        <v>196</v>
      </c>
      <c r="E185" s="360" t="s">
        <v>199</v>
      </c>
      <c r="F185" s="360">
        <v>1</v>
      </c>
      <c r="G185" s="360">
        <v>7840</v>
      </c>
      <c r="H185" s="360" t="s">
        <v>173</v>
      </c>
      <c r="I185" s="360">
        <v>2440</v>
      </c>
      <c r="J185" s="390"/>
      <c r="K185" s="363"/>
      <c r="L185" s="364" t="s">
        <v>31</v>
      </c>
      <c r="M185" s="365" t="s">
        <v>32</v>
      </c>
      <c r="N185" s="470" t="s">
        <v>6</v>
      </c>
      <c r="O185" s="366" t="s">
        <v>195</v>
      </c>
      <c r="P185" s="367" t="s">
        <v>187</v>
      </c>
      <c r="Q185" s="390"/>
      <c r="R185" s="368">
        <v>51</v>
      </c>
      <c r="S185" s="369">
        <f>4*1</f>
        <v>4</v>
      </c>
      <c r="T185" s="369">
        <f t="shared" si="48"/>
        <v>4</v>
      </c>
      <c r="V185" s="368">
        <v>3250</v>
      </c>
      <c r="W185" s="370">
        <f t="shared" si="49"/>
        <v>63</v>
      </c>
      <c r="X185" s="370">
        <f t="shared" si="50"/>
        <v>3623</v>
      </c>
      <c r="Y185" s="391">
        <v>3660</v>
      </c>
      <c r="Z185" s="372">
        <f t="shared" si="47"/>
        <v>6.3492063492063489E-2</v>
      </c>
      <c r="AA185" s="475"/>
      <c r="AB185" s="474">
        <v>3.3929999999999998</v>
      </c>
      <c r="AC185" s="474">
        <v>0.40600000000000003</v>
      </c>
      <c r="AE185" s="373">
        <f t="shared" si="40"/>
        <v>0.6921719999999999</v>
      </c>
      <c r="AF185" s="373">
        <f t="shared" si="41"/>
        <v>0.78846857142857141</v>
      </c>
      <c r="AG185" s="373">
        <f t="shared" si="42"/>
        <v>-9.6296571428571509E-2</v>
      </c>
      <c r="AH185" s="374">
        <f t="shared" si="43"/>
        <v>1.139122315592904</v>
      </c>
      <c r="AI185" s="373">
        <f t="shared" si="51"/>
        <v>0.20399999999999999</v>
      </c>
      <c r="AJ185" s="373">
        <f t="shared" si="52"/>
        <v>0.23238095238095238</v>
      </c>
      <c r="AK185" s="373">
        <f t="shared" si="53"/>
        <v>-2.8380952380952396E-2</v>
      </c>
      <c r="AL185" s="374">
        <f t="shared" si="54"/>
        <v>1.139122315592904</v>
      </c>
      <c r="AM185" s="303"/>
    </row>
    <row r="186" spans="2:39" s="303" customFormat="1" ht="28.5" x14ac:dyDescent="0.2">
      <c r="B186" s="375">
        <f t="shared" si="39"/>
        <v>176</v>
      </c>
      <c r="C186" s="457" t="s">
        <v>200</v>
      </c>
      <c r="D186" s="377" t="s">
        <v>201</v>
      </c>
      <c r="E186" s="375" t="s">
        <v>202</v>
      </c>
      <c r="F186" s="375">
        <v>15</v>
      </c>
      <c r="G186" s="375">
        <v>1400</v>
      </c>
      <c r="H186" s="375" t="s">
        <v>173</v>
      </c>
      <c r="I186" s="375">
        <v>3030</v>
      </c>
      <c r="J186" s="2"/>
      <c r="K186" s="319">
        <v>130</v>
      </c>
      <c r="L186" s="321">
        <v>20626</v>
      </c>
      <c r="M186" s="322" t="s">
        <v>44</v>
      </c>
      <c r="N186" s="321" t="s">
        <v>39</v>
      </c>
      <c r="O186" s="384" t="s">
        <v>186</v>
      </c>
      <c r="P186" s="377" t="s">
        <v>3</v>
      </c>
      <c r="Q186" s="2"/>
      <c r="R186" s="385">
        <f>ROUNDUP(I186,0)</f>
        <v>3030</v>
      </c>
      <c r="S186" s="386">
        <v>2</v>
      </c>
      <c r="T186" s="386">
        <f t="shared" si="48"/>
        <v>30</v>
      </c>
      <c r="V186" s="385">
        <v>7000</v>
      </c>
      <c r="W186" s="379">
        <f t="shared" si="49"/>
        <v>2</v>
      </c>
      <c r="X186" s="379">
        <f t="shared" si="50"/>
        <v>6165</v>
      </c>
      <c r="Y186" s="327">
        <v>6400</v>
      </c>
      <c r="Z186" s="381">
        <f t="shared" si="47"/>
        <v>15</v>
      </c>
      <c r="AA186" s="406">
        <v>15</v>
      </c>
      <c r="AB186" s="329">
        <v>2.7930000000000001</v>
      </c>
      <c r="AC186" s="329">
        <v>0.45068000000000003</v>
      </c>
      <c r="AE186" s="330">
        <f t="shared" si="40"/>
        <v>253.88369999999998</v>
      </c>
      <c r="AF186" s="330">
        <f t="shared" si="41"/>
        <v>268.12800000000004</v>
      </c>
      <c r="AG186" s="330">
        <f t="shared" si="42"/>
        <v>-14.244300000000067</v>
      </c>
      <c r="AH186" s="331">
        <f t="shared" si="43"/>
        <v>1.0561056105610565</v>
      </c>
      <c r="AI186" s="330">
        <f t="shared" si="51"/>
        <v>90.899999999999991</v>
      </c>
      <c r="AJ186" s="330">
        <f t="shared" si="52"/>
        <v>96</v>
      </c>
      <c r="AK186" s="330">
        <f t="shared" si="53"/>
        <v>-5.1000000000000085</v>
      </c>
      <c r="AL186" s="331">
        <f t="shared" si="54"/>
        <v>1.0561056105610562</v>
      </c>
    </row>
    <row r="187" spans="2:39" s="303" customFormat="1" ht="28.5" x14ac:dyDescent="0.2">
      <c r="B187" s="341">
        <f t="shared" si="39"/>
        <v>177</v>
      </c>
      <c r="C187" s="458" t="s">
        <v>200</v>
      </c>
      <c r="D187" s="321" t="s">
        <v>201</v>
      </c>
      <c r="E187" s="319" t="s">
        <v>202</v>
      </c>
      <c r="F187" s="319">
        <v>15</v>
      </c>
      <c r="G187" s="319">
        <v>1400</v>
      </c>
      <c r="H187" s="319" t="s">
        <v>173</v>
      </c>
      <c r="I187" s="319">
        <v>3030</v>
      </c>
      <c r="J187" s="2"/>
      <c r="K187" s="319">
        <v>130</v>
      </c>
      <c r="L187" s="321">
        <v>21825</v>
      </c>
      <c r="M187" s="322" t="s">
        <v>45</v>
      </c>
      <c r="N187" s="321" t="s">
        <v>39</v>
      </c>
      <c r="O187" s="323" t="s">
        <v>186</v>
      </c>
      <c r="P187" s="321" t="s">
        <v>3</v>
      </c>
      <c r="Q187" s="2"/>
      <c r="R187" s="324">
        <f>ROUNDUP(I187,0)</f>
        <v>3030</v>
      </c>
      <c r="S187" s="325">
        <v>2</v>
      </c>
      <c r="T187" s="325">
        <f t="shared" si="48"/>
        <v>30</v>
      </c>
      <c r="V187" s="324">
        <v>7000</v>
      </c>
      <c r="W187" s="326">
        <f t="shared" si="49"/>
        <v>2</v>
      </c>
      <c r="X187" s="326">
        <f t="shared" si="50"/>
        <v>6165</v>
      </c>
      <c r="Y187" s="327">
        <v>6400</v>
      </c>
      <c r="Z187" s="328">
        <f t="shared" si="47"/>
        <v>15</v>
      </c>
      <c r="AA187" s="406">
        <v>15</v>
      </c>
      <c r="AB187" s="329">
        <v>0.999</v>
      </c>
      <c r="AC187" s="329">
        <v>0.2382</v>
      </c>
      <c r="AE187" s="332">
        <f t="shared" si="40"/>
        <v>90.809099999999987</v>
      </c>
      <c r="AF187" s="332">
        <f t="shared" si="41"/>
        <v>95.903999999999996</v>
      </c>
      <c r="AG187" s="332">
        <f t="shared" si="42"/>
        <v>-5.0949000000000098</v>
      </c>
      <c r="AH187" s="333">
        <f t="shared" si="43"/>
        <v>1.0561056105610562</v>
      </c>
      <c r="AI187" s="329">
        <f t="shared" si="51"/>
        <v>90.899999999999991</v>
      </c>
      <c r="AJ187" s="329">
        <f t="shared" si="52"/>
        <v>96</v>
      </c>
      <c r="AK187" s="329">
        <f t="shared" si="53"/>
        <v>-5.1000000000000085</v>
      </c>
      <c r="AL187" s="382">
        <f t="shared" si="54"/>
        <v>1.0561056105610562</v>
      </c>
    </row>
    <row r="188" spans="2:39" s="303" customFormat="1" ht="28.5" x14ac:dyDescent="0.2">
      <c r="B188" s="319">
        <f t="shared" si="39"/>
        <v>178</v>
      </c>
      <c r="C188" s="458" t="s">
        <v>200</v>
      </c>
      <c r="D188" s="321" t="s">
        <v>201</v>
      </c>
      <c r="E188" s="319" t="s">
        <v>202</v>
      </c>
      <c r="F188" s="319">
        <v>15</v>
      </c>
      <c r="G188" s="319">
        <v>1400</v>
      </c>
      <c r="H188" s="319" t="s">
        <v>173</v>
      </c>
      <c r="I188" s="319">
        <v>3030</v>
      </c>
      <c r="J188" s="2"/>
      <c r="K188" s="319">
        <v>130</v>
      </c>
      <c r="L188" s="321" t="s">
        <v>48</v>
      </c>
      <c r="M188" s="322" t="s">
        <v>49</v>
      </c>
      <c r="N188" s="321" t="s">
        <v>39</v>
      </c>
      <c r="O188" s="323" t="s">
        <v>186</v>
      </c>
      <c r="P188" s="321" t="s">
        <v>3</v>
      </c>
      <c r="Q188" s="2"/>
      <c r="R188" s="324">
        <f>ROUNDUP(I188,0)</f>
        <v>3030</v>
      </c>
      <c r="S188" s="325">
        <v>2</v>
      </c>
      <c r="T188" s="325">
        <f t="shared" si="48"/>
        <v>30</v>
      </c>
      <c r="V188" s="324">
        <v>7000</v>
      </c>
      <c r="W188" s="326">
        <f t="shared" si="49"/>
        <v>2</v>
      </c>
      <c r="X188" s="326">
        <f t="shared" si="50"/>
        <v>6165</v>
      </c>
      <c r="Y188" s="327">
        <v>6400</v>
      </c>
      <c r="Z188" s="328">
        <f t="shared" si="47"/>
        <v>15</v>
      </c>
      <c r="AA188" s="392"/>
      <c r="AB188" s="329">
        <v>0.81</v>
      </c>
      <c r="AC188" s="329">
        <v>0.28999999999999998</v>
      </c>
      <c r="AE188" s="332">
        <f t="shared" si="40"/>
        <v>73.629000000000005</v>
      </c>
      <c r="AF188" s="332">
        <f t="shared" si="41"/>
        <v>77.760000000000005</v>
      </c>
      <c r="AG188" s="332">
        <f t="shared" si="42"/>
        <v>-4.1310000000000002</v>
      </c>
      <c r="AH188" s="333">
        <f t="shared" si="43"/>
        <v>1.056105610561056</v>
      </c>
      <c r="AI188" s="329">
        <f t="shared" si="51"/>
        <v>90.899999999999991</v>
      </c>
      <c r="AJ188" s="329">
        <f t="shared" si="52"/>
        <v>96</v>
      </c>
      <c r="AK188" s="329">
        <f t="shared" si="53"/>
        <v>-5.1000000000000085</v>
      </c>
      <c r="AL188" s="382">
        <f t="shared" si="54"/>
        <v>1.0561056105610562</v>
      </c>
    </row>
    <row r="189" spans="2:39" s="303" customFormat="1" ht="28.5" x14ac:dyDescent="0.2">
      <c r="B189" s="319">
        <f t="shared" si="39"/>
        <v>179</v>
      </c>
      <c r="C189" s="458" t="s">
        <v>200</v>
      </c>
      <c r="D189" s="321" t="s">
        <v>201</v>
      </c>
      <c r="E189" s="319" t="s">
        <v>202</v>
      </c>
      <c r="F189" s="319">
        <v>15</v>
      </c>
      <c r="G189" s="319">
        <v>1400</v>
      </c>
      <c r="H189" s="319" t="s">
        <v>173</v>
      </c>
      <c r="I189" s="319">
        <v>3030</v>
      </c>
      <c r="J189" s="2"/>
      <c r="K189" s="319">
        <v>130</v>
      </c>
      <c r="L189" s="321" t="s">
        <v>46</v>
      </c>
      <c r="M189" s="322" t="s">
        <v>47</v>
      </c>
      <c r="N189" s="321" t="s">
        <v>39</v>
      </c>
      <c r="O189" s="323" t="s">
        <v>186</v>
      </c>
      <c r="P189" s="321" t="s">
        <v>3</v>
      </c>
      <c r="Q189" s="2"/>
      <c r="R189" s="324">
        <f>ROUNDUP(I189,0)</f>
        <v>3030</v>
      </c>
      <c r="S189" s="325">
        <v>2</v>
      </c>
      <c r="T189" s="325">
        <f t="shared" si="48"/>
        <v>30</v>
      </c>
      <c r="V189" s="324">
        <v>7000</v>
      </c>
      <c r="W189" s="326">
        <f t="shared" si="49"/>
        <v>2</v>
      </c>
      <c r="X189" s="326">
        <f t="shared" si="50"/>
        <v>6165</v>
      </c>
      <c r="Y189" s="327">
        <v>6400</v>
      </c>
      <c r="Z189" s="328">
        <f t="shared" si="47"/>
        <v>15</v>
      </c>
      <c r="AA189" s="406">
        <v>15</v>
      </c>
      <c r="AB189" s="329">
        <v>0.91600000000000004</v>
      </c>
      <c r="AC189" s="329">
        <v>0.33900000000000002</v>
      </c>
      <c r="AE189" s="332">
        <f t="shared" si="40"/>
        <v>83.264399999999995</v>
      </c>
      <c r="AF189" s="332">
        <f t="shared" si="41"/>
        <v>87.936000000000007</v>
      </c>
      <c r="AG189" s="332">
        <f t="shared" si="42"/>
        <v>-4.6716000000000122</v>
      </c>
      <c r="AH189" s="333">
        <f t="shared" si="43"/>
        <v>1.0561056105610562</v>
      </c>
      <c r="AI189" s="332">
        <f t="shared" si="51"/>
        <v>90.899999999999991</v>
      </c>
      <c r="AJ189" s="332">
        <f t="shared" si="52"/>
        <v>96</v>
      </c>
      <c r="AK189" s="332">
        <f t="shared" si="53"/>
        <v>-5.1000000000000085</v>
      </c>
      <c r="AL189" s="333">
        <f t="shared" si="54"/>
        <v>1.0561056105610562</v>
      </c>
    </row>
    <row r="190" spans="2:39" s="303" customFormat="1" ht="28.5" x14ac:dyDescent="0.2">
      <c r="B190" s="319">
        <f t="shared" si="39"/>
        <v>180</v>
      </c>
      <c r="C190" s="458" t="s">
        <v>200</v>
      </c>
      <c r="D190" s="321" t="s">
        <v>201</v>
      </c>
      <c r="E190" s="319" t="s">
        <v>202</v>
      </c>
      <c r="F190" s="319">
        <v>15</v>
      </c>
      <c r="G190" s="319">
        <v>1400</v>
      </c>
      <c r="H190" s="319" t="s">
        <v>173</v>
      </c>
      <c r="I190" s="319">
        <v>3030</v>
      </c>
      <c r="J190" s="2"/>
      <c r="K190" s="334">
        <v>130</v>
      </c>
      <c r="L190" s="335" t="s">
        <v>121</v>
      </c>
      <c r="M190" s="336" t="s">
        <v>203</v>
      </c>
      <c r="N190" s="337" t="s">
        <v>6</v>
      </c>
      <c r="O190" s="378" t="s">
        <v>186</v>
      </c>
      <c r="P190" s="337" t="s">
        <v>187</v>
      </c>
      <c r="Q190" s="2"/>
      <c r="R190" s="324">
        <f>ROUNDUP(I190,0)</f>
        <v>3030</v>
      </c>
      <c r="S190" s="325">
        <v>2</v>
      </c>
      <c r="T190" s="325">
        <f t="shared" si="48"/>
        <v>30</v>
      </c>
      <c r="V190" s="338">
        <v>3660</v>
      </c>
      <c r="W190" s="339">
        <f t="shared" si="49"/>
        <v>1</v>
      </c>
      <c r="X190" s="339">
        <f t="shared" si="50"/>
        <v>3130</v>
      </c>
      <c r="Y190" s="327">
        <v>3660</v>
      </c>
      <c r="Z190" s="340">
        <f>($R190*$T190)/$V190</f>
        <v>24.83606557377049</v>
      </c>
      <c r="AA190" s="392"/>
      <c r="AB190" s="329">
        <v>0.84899999999999998</v>
      </c>
      <c r="AC190" s="329">
        <v>0</v>
      </c>
      <c r="AE190" s="332">
        <f t="shared" si="40"/>
        <v>77.174099999999996</v>
      </c>
      <c r="AF190" s="332">
        <f t="shared" si="41"/>
        <v>77.174099999999996</v>
      </c>
      <c r="AG190" s="332">
        <f t="shared" si="42"/>
        <v>0</v>
      </c>
      <c r="AH190" s="333">
        <f t="shared" si="43"/>
        <v>1</v>
      </c>
      <c r="AI190" s="332">
        <f t="shared" si="51"/>
        <v>90.899999999999991</v>
      </c>
      <c r="AJ190" s="332">
        <f t="shared" si="52"/>
        <v>90.899999999999991</v>
      </c>
      <c r="AK190" s="332">
        <f t="shared" si="53"/>
        <v>0</v>
      </c>
      <c r="AL190" s="333">
        <f t="shared" si="54"/>
        <v>1</v>
      </c>
    </row>
    <row r="191" spans="2:39" s="303" customFormat="1" ht="28.5" x14ac:dyDescent="0.2">
      <c r="B191" s="319">
        <f t="shared" si="39"/>
        <v>181</v>
      </c>
      <c r="C191" s="458" t="s">
        <v>200</v>
      </c>
      <c r="D191" s="321" t="s">
        <v>201</v>
      </c>
      <c r="E191" s="319" t="s">
        <v>202</v>
      </c>
      <c r="F191" s="319">
        <v>15</v>
      </c>
      <c r="G191" s="319">
        <v>1400</v>
      </c>
      <c r="H191" s="319" t="s">
        <v>173</v>
      </c>
      <c r="I191" s="319">
        <v>3030</v>
      </c>
      <c r="J191" s="2"/>
      <c r="K191" s="319">
        <v>123</v>
      </c>
      <c r="L191" s="321" t="s">
        <v>124</v>
      </c>
      <c r="M191" s="322" t="s">
        <v>125</v>
      </c>
      <c r="N191" s="321" t="s">
        <v>39</v>
      </c>
      <c r="O191" s="323" t="s">
        <v>188</v>
      </c>
      <c r="P191" s="321" t="s">
        <v>3</v>
      </c>
      <c r="Q191" s="2"/>
      <c r="R191" s="324">
        <f t="shared" ref="R191:R202" si="59">ROUNDUP((G191),0)</f>
        <v>1400</v>
      </c>
      <c r="S191" s="325">
        <v>1</v>
      </c>
      <c r="T191" s="325">
        <f t="shared" si="48"/>
        <v>15</v>
      </c>
      <c r="V191" s="324">
        <v>6500</v>
      </c>
      <c r="W191" s="326">
        <f t="shared" si="49"/>
        <v>4</v>
      </c>
      <c r="X191" s="326">
        <f t="shared" si="50"/>
        <v>5715</v>
      </c>
      <c r="Y191" s="327">
        <v>5800</v>
      </c>
      <c r="Z191" s="328">
        <f t="shared" si="47"/>
        <v>3.75</v>
      </c>
      <c r="AA191" s="304"/>
      <c r="AB191" s="329">
        <v>2.109</v>
      </c>
      <c r="AC191" s="329">
        <v>0.70199999999999996</v>
      </c>
      <c r="AE191" s="332">
        <f t="shared" si="40"/>
        <v>44.289000000000001</v>
      </c>
      <c r="AF191" s="332">
        <f t="shared" si="41"/>
        <v>45.870750000000001</v>
      </c>
      <c r="AG191" s="332">
        <f t="shared" si="42"/>
        <v>-1.5817499999999995</v>
      </c>
      <c r="AH191" s="333">
        <f t="shared" si="43"/>
        <v>1.0357142857142858</v>
      </c>
      <c r="AI191" s="332">
        <f t="shared" si="51"/>
        <v>21</v>
      </c>
      <c r="AJ191" s="332">
        <f t="shared" si="52"/>
        <v>21.75</v>
      </c>
      <c r="AK191" s="332">
        <f t="shared" si="53"/>
        <v>-0.75</v>
      </c>
      <c r="AL191" s="333">
        <f t="shared" si="54"/>
        <v>1.0357142857142858</v>
      </c>
    </row>
    <row r="192" spans="2:39" s="303" customFormat="1" ht="28.5" x14ac:dyDescent="0.2">
      <c r="B192" s="319">
        <f t="shared" si="39"/>
        <v>182</v>
      </c>
      <c r="C192" s="458" t="s">
        <v>200</v>
      </c>
      <c r="D192" s="321" t="s">
        <v>201</v>
      </c>
      <c r="E192" s="319" t="s">
        <v>202</v>
      </c>
      <c r="F192" s="319">
        <v>15</v>
      </c>
      <c r="G192" s="319">
        <v>1400</v>
      </c>
      <c r="H192" s="319" t="s">
        <v>173</v>
      </c>
      <c r="I192" s="319">
        <v>3030</v>
      </c>
      <c r="J192" s="2"/>
      <c r="K192" s="319">
        <v>123</v>
      </c>
      <c r="L192" s="321" t="s">
        <v>126</v>
      </c>
      <c r="M192" s="322" t="s">
        <v>127</v>
      </c>
      <c r="N192" s="321" t="s">
        <v>39</v>
      </c>
      <c r="O192" s="323" t="s">
        <v>188</v>
      </c>
      <c r="P192" s="321" t="s">
        <v>3</v>
      </c>
      <c r="Q192" s="2"/>
      <c r="R192" s="324">
        <f t="shared" si="59"/>
        <v>1400</v>
      </c>
      <c r="S192" s="325">
        <v>1</v>
      </c>
      <c r="T192" s="325">
        <f t="shared" si="48"/>
        <v>15</v>
      </c>
      <c r="V192" s="324">
        <v>6500</v>
      </c>
      <c r="W192" s="326">
        <f t="shared" si="49"/>
        <v>4</v>
      </c>
      <c r="X192" s="326">
        <f t="shared" si="50"/>
        <v>5715</v>
      </c>
      <c r="Y192" s="327">
        <v>5800</v>
      </c>
      <c r="Z192" s="328">
        <f t="shared" si="47"/>
        <v>3.75</v>
      </c>
      <c r="AA192" s="392"/>
      <c r="AB192" s="329">
        <v>0.88800000000000001</v>
      </c>
      <c r="AC192" s="329">
        <v>0.34</v>
      </c>
      <c r="AE192" s="332">
        <f t="shared" si="40"/>
        <v>18.648</v>
      </c>
      <c r="AF192" s="332">
        <f t="shared" si="41"/>
        <v>19.314</v>
      </c>
      <c r="AG192" s="332">
        <f t="shared" si="42"/>
        <v>-0.66600000000000037</v>
      </c>
      <c r="AH192" s="333">
        <f t="shared" si="43"/>
        <v>1.0357142857142858</v>
      </c>
      <c r="AI192" s="332">
        <f t="shared" si="51"/>
        <v>21</v>
      </c>
      <c r="AJ192" s="332">
        <f t="shared" si="52"/>
        <v>21.75</v>
      </c>
      <c r="AK192" s="332">
        <f t="shared" si="53"/>
        <v>-0.75</v>
      </c>
      <c r="AL192" s="333">
        <f t="shared" si="54"/>
        <v>1.0357142857142858</v>
      </c>
    </row>
    <row r="193" spans="2:39" s="303" customFormat="1" ht="28.5" customHeight="1" x14ac:dyDescent="0.2">
      <c r="B193" s="319">
        <f t="shared" si="39"/>
        <v>183</v>
      </c>
      <c r="C193" s="458" t="s">
        <v>200</v>
      </c>
      <c r="D193" s="321" t="s">
        <v>201</v>
      </c>
      <c r="E193" s="319" t="s">
        <v>202</v>
      </c>
      <c r="F193" s="319">
        <v>15</v>
      </c>
      <c r="G193" s="319">
        <v>1400</v>
      </c>
      <c r="H193" s="319" t="s">
        <v>173</v>
      </c>
      <c r="I193" s="319">
        <v>3030</v>
      </c>
      <c r="J193" s="2"/>
      <c r="K193" s="319">
        <v>123</v>
      </c>
      <c r="L193" s="321" t="s">
        <v>48</v>
      </c>
      <c r="M193" s="322" t="s">
        <v>49</v>
      </c>
      <c r="N193" s="321" t="s">
        <v>39</v>
      </c>
      <c r="O193" s="323" t="s">
        <v>188</v>
      </c>
      <c r="P193" s="321" t="s">
        <v>3</v>
      </c>
      <c r="Q193" s="2"/>
      <c r="R193" s="324">
        <f t="shared" si="59"/>
        <v>1400</v>
      </c>
      <c r="S193" s="325">
        <v>1</v>
      </c>
      <c r="T193" s="325">
        <f t="shared" si="48"/>
        <v>15</v>
      </c>
      <c r="V193" s="324">
        <v>6500</v>
      </c>
      <c r="W193" s="326">
        <f t="shared" si="49"/>
        <v>4</v>
      </c>
      <c r="X193" s="326">
        <f t="shared" si="50"/>
        <v>5715</v>
      </c>
      <c r="Y193" s="327">
        <v>5800</v>
      </c>
      <c r="Z193" s="328">
        <f t="shared" si="47"/>
        <v>3.75</v>
      </c>
      <c r="AA193" s="392"/>
      <c r="AB193" s="329">
        <v>0.81</v>
      </c>
      <c r="AC193" s="329">
        <v>0.28999999999999998</v>
      </c>
      <c r="AE193" s="332">
        <f t="shared" si="40"/>
        <v>17.010000000000002</v>
      </c>
      <c r="AF193" s="332">
        <f t="shared" si="41"/>
        <v>17.6175</v>
      </c>
      <c r="AG193" s="332">
        <f t="shared" si="42"/>
        <v>-0.60749999999999815</v>
      </c>
      <c r="AH193" s="333">
        <f t="shared" si="43"/>
        <v>1.0357142857142856</v>
      </c>
      <c r="AI193" s="332">
        <f t="shared" si="51"/>
        <v>21</v>
      </c>
      <c r="AJ193" s="332">
        <f t="shared" si="52"/>
        <v>21.75</v>
      </c>
      <c r="AK193" s="332">
        <f t="shared" si="53"/>
        <v>-0.75</v>
      </c>
      <c r="AL193" s="333">
        <f t="shared" si="54"/>
        <v>1.0357142857142858</v>
      </c>
    </row>
    <row r="194" spans="2:39" s="303" customFormat="1" ht="28.5" customHeight="1" x14ac:dyDescent="0.2">
      <c r="B194" s="319">
        <f t="shared" si="39"/>
        <v>184</v>
      </c>
      <c r="C194" s="458" t="s">
        <v>200</v>
      </c>
      <c r="D194" s="321" t="s">
        <v>201</v>
      </c>
      <c r="E194" s="319" t="s">
        <v>202</v>
      </c>
      <c r="F194" s="319">
        <v>15</v>
      </c>
      <c r="G194" s="319">
        <v>1400</v>
      </c>
      <c r="H194" s="319" t="s">
        <v>173</v>
      </c>
      <c r="I194" s="319">
        <v>3030</v>
      </c>
      <c r="J194" s="2"/>
      <c r="K194" s="319">
        <v>123</v>
      </c>
      <c r="L194" s="321" t="s">
        <v>46</v>
      </c>
      <c r="M194" s="322" t="s">
        <v>47</v>
      </c>
      <c r="N194" s="321" t="s">
        <v>39</v>
      </c>
      <c r="O194" s="323" t="s">
        <v>188</v>
      </c>
      <c r="P194" s="321" t="s">
        <v>3</v>
      </c>
      <c r="Q194" s="2"/>
      <c r="R194" s="324">
        <f t="shared" si="59"/>
        <v>1400</v>
      </c>
      <c r="S194" s="325">
        <v>1</v>
      </c>
      <c r="T194" s="325">
        <f t="shared" si="48"/>
        <v>15</v>
      </c>
      <c r="V194" s="324">
        <v>6500</v>
      </c>
      <c r="W194" s="326">
        <f t="shared" si="49"/>
        <v>4</v>
      </c>
      <c r="X194" s="326">
        <f t="shared" si="50"/>
        <v>5715</v>
      </c>
      <c r="Y194" s="327">
        <v>5800</v>
      </c>
      <c r="Z194" s="328">
        <f t="shared" si="47"/>
        <v>3.75</v>
      </c>
      <c r="AA194" s="392"/>
      <c r="AB194" s="329">
        <v>0.91600000000000004</v>
      </c>
      <c r="AC194" s="329">
        <v>0.33900000000000002</v>
      </c>
      <c r="AE194" s="332">
        <f t="shared" si="40"/>
        <v>19.236000000000001</v>
      </c>
      <c r="AF194" s="332">
        <f t="shared" si="41"/>
        <v>19.923000000000002</v>
      </c>
      <c r="AG194" s="332">
        <f t="shared" si="42"/>
        <v>-0.68700000000000117</v>
      </c>
      <c r="AH194" s="333">
        <f t="shared" si="43"/>
        <v>1.0357142857142858</v>
      </c>
      <c r="AI194" s="332">
        <f t="shared" si="51"/>
        <v>21</v>
      </c>
      <c r="AJ194" s="332">
        <f t="shared" si="52"/>
        <v>21.75</v>
      </c>
      <c r="AK194" s="332">
        <f t="shared" si="53"/>
        <v>-0.75</v>
      </c>
      <c r="AL194" s="333">
        <f t="shared" si="54"/>
        <v>1.0357142857142858</v>
      </c>
    </row>
    <row r="195" spans="2:39" s="303" customFormat="1" ht="28.5" x14ac:dyDescent="0.2">
      <c r="B195" s="341">
        <f t="shared" si="39"/>
        <v>185</v>
      </c>
      <c r="C195" s="458" t="s">
        <v>200</v>
      </c>
      <c r="D195" s="321" t="s">
        <v>201</v>
      </c>
      <c r="E195" s="319" t="s">
        <v>202</v>
      </c>
      <c r="F195" s="319">
        <v>15</v>
      </c>
      <c r="G195" s="319">
        <v>1400</v>
      </c>
      <c r="H195" s="319" t="s">
        <v>173</v>
      </c>
      <c r="I195" s="319">
        <v>3030</v>
      </c>
      <c r="J195" s="2"/>
      <c r="K195" s="468">
        <v>123</v>
      </c>
      <c r="L195" s="417">
        <v>21825</v>
      </c>
      <c r="M195" s="416" t="s">
        <v>45</v>
      </c>
      <c r="N195" s="417" t="s">
        <v>39</v>
      </c>
      <c r="O195" s="323" t="s">
        <v>188</v>
      </c>
      <c r="P195" s="321" t="s">
        <v>3</v>
      </c>
      <c r="Q195" s="2"/>
      <c r="R195" s="324">
        <f t="shared" si="59"/>
        <v>1400</v>
      </c>
      <c r="S195" s="325">
        <v>1</v>
      </c>
      <c r="T195" s="325">
        <f t="shared" si="48"/>
        <v>15</v>
      </c>
      <c r="V195" s="324">
        <v>6500</v>
      </c>
      <c r="W195" s="326">
        <f t="shared" si="49"/>
        <v>4</v>
      </c>
      <c r="X195" s="326">
        <f t="shared" si="50"/>
        <v>5715</v>
      </c>
      <c r="Y195" s="327">
        <v>5800</v>
      </c>
      <c r="Z195" s="328">
        <f t="shared" si="47"/>
        <v>3.75</v>
      </c>
      <c r="AA195" s="392"/>
      <c r="AB195" s="329">
        <v>0.999</v>
      </c>
      <c r="AC195" s="329">
        <v>0.2382</v>
      </c>
      <c r="AE195" s="332">
        <f t="shared" si="40"/>
        <v>20.978999999999999</v>
      </c>
      <c r="AF195" s="332">
        <f t="shared" si="41"/>
        <v>21.728249999999999</v>
      </c>
      <c r="AG195" s="332">
        <f t="shared" si="42"/>
        <v>-0.74924999999999997</v>
      </c>
      <c r="AH195" s="333">
        <f t="shared" si="43"/>
        <v>1.0357142857142858</v>
      </c>
      <c r="AI195" s="329">
        <f t="shared" si="51"/>
        <v>21</v>
      </c>
      <c r="AJ195" s="329">
        <f t="shared" si="52"/>
        <v>21.75</v>
      </c>
      <c r="AK195" s="329">
        <f t="shared" si="53"/>
        <v>-0.75</v>
      </c>
      <c r="AL195" s="382">
        <f t="shared" si="54"/>
        <v>1.0357142857142858</v>
      </c>
    </row>
    <row r="196" spans="2:39" s="303" customFormat="1" ht="28.5" x14ac:dyDescent="0.2">
      <c r="B196" s="341">
        <f t="shared" si="39"/>
        <v>186</v>
      </c>
      <c r="C196" s="458" t="s">
        <v>200</v>
      </c>
      <c r="D196" s="321" t="s">
        <v>201</v>
      </c>
      <c r="E196" s="319" t="s">
        <v>202</v>
      </c>
      <c r="F196" s="319">
        <v>15</v>
      </c>
      <c r="G196" s="319">
        <v>1400</v>
      </c>
      <c r="H196" s="319" t="s">
        <v>173</v>
      </c>
      <c r="I196" s="319">
        <v>3030</v>
      </c>
      <c r="J196" s="2"/>
      <c r="K196" s="334">
        <v>123</v>
      </c>
      <c r="L196" s="335" t="s">
        <v>121</v>
      </c>
      <c r="M196" s="336" t="s">
        <v>203</v>
      </c>
      <c r="N196" s="337" t="s">
        <v>6</v>
      </c>
      <c r="O196" s="323" t="s">
        <v>188</v>
      </c>
      <c r="P196" s="337" t="s">
        <v>187</v>
      </c>
      <c r="Q196" s="2"/>
      <c r="R196" s="324">
        <f t="shared" si="59"/>
        <v>1400</v>
      </c>
      <c r="S196" s="325">
        <v>1</v>
      </c>
      <c r="T196" s="325">
        <f t="shared" si="48"/>
        <v>15</v>
      </c>
      <c r="V196" s="338">
        <v>3660</v>
      </c>
      <c r="W196" s="339">
        <f t="shared" si="49"/>
        <v>2</v>
      </c>
      <c r="X196" s="339">
        <f t="shared" si="50"/>
        <v>2905</v>
      </c>
      <c r="Y196" s="327">
        <v>3660</v>
      </c>
      <c r="Z196" s="340">
        <f>($R196*$T196)/$V196</f>
        <v>5.7377049180327866</v>
      </c>
      <c r="AA196" s="392"/>
      <c r="AB196" s="329">
        <v>0.84899999999999998</v>
      </c>
      <c r="AC196" s="329">
        <v>0</v>
      </c>
      <c r="AE196" s="332">
        <f t="shared" si="40"/>
        <v>17.829000000000001</v>
      </c>
      <c r="AF196" s="332">
        <f t="shared" si="41"/>
        <v>17.829000000000001</v>
      </c>
      <c r="AG196" s="332">
        <f t="shared" si="42"/>
        <v>0</v>
      </c>
      <c r="AH196" s="333">
        <f t="shared" si="43"/>
        <v>1</v>
      </c>
      <c r="AI196" s="332">
        <f t="shared" si="51"/>
        <v>21</v>
      </c>
      <c r="AJ196" s="332">
        <f t="shared" si="52"/>
        <v>21</v>
      </c>
      <c r="AK196" s="332">
        <f t="shared" si="53"/>
        <v>0</v>
      </c>
      <c r="AL196" s="333">
        <f t="shared" si="54"/>
        <v>1</v>
      </c>
    </row>
    <row r="197" spans="2:39" s="303" customFormat="1" ht="28.5" x14ac:dyDescent="0.2">
      <c r="B197" s="319">
        <f t="shared" si="39"/>
        <v>187</v>
      </c>
      <c r="C197" s="458" t="s">
        <v>200</v>
      </c>
      <c r="D197" s="321" t="s">
        <v>201</v>
      </c>
      <c r="E197" s="319" t="s">
        <v>202</v>
      </c>
      <c r="F197" s="319">
        <v>15</v>
      </c>
      <c r="G197" s="319">
        <v>1400</v>
      </c>
      <c r="H197" s="319" t="s">
        <v>173</v>
      </c>
      <c r="I197" s="319">
        <v>3030</v>
      </c>
      <c r="J197" s="2"/>
      <c r="K197" s="341">
        <v>124</v>
      </c>
      <c r="L197" s="321" t="s">
        <v>124</v>
      </c>
      <c r="M197" s="322" t="s">
        <v>125</v>
      </c>
      <c r="N197" s="342" t="s">
        <v>39</v>
      </c>
      <c r="O197" s="323" t="s">
        <v>188</v>
      </c>
      <c r="P197" s="342" t="s">
        <v>3</v>
      </c>
      <c r="Q197" s="2"/>
      <c r="R197" s="324">
        <f t="shared" si="59"/>
        <v>1400</v>
      </c>
      <c r="S197" s="349">
        <v>1</v>
      </c>
      <c r="T197" s="349">
        <f t="shared" si="48"/>
        <v>15</v>
      </c>
      <c r="V197" s="324">
        <v>6500</v>
      </c>
      <c r="W197" s="388">
        <f t="shared" si="49"/>
        <v>4</v>
      </c>
      <c r="X197" s="388">
        <f t="shared" si="50"/>
        <v>5715</v>
      </c>
      <c r="Y197" s="327">
        <v>5800</v>
      </c>
      <c r="Z197" s="389">
        <f t="shared" si="47"/>
        <v>3.75</v>
      </c>
      <c r="AA197" s="435">
        <v>7.5</v>
      </c>
      <c r="AB197" s="329">
        <v>2.109</v>
      </c>
      <c r="AC197" s="329">
        <v>0.70199999999999996</v>
      </c>
      <c r="AE197" s="332">
        <f t="shared" si="40"/>
        <v>44.289000000000001</v>
      </c>
      <c r="AF197" s="332">
        <f t="shared" si="41"/>
        <v>45.870750000000001</v>
      </c>
      <c r="AG197" s="332">
        <f t="shared" si="42"/>
        <v>-1.5817499999999995</v>
      </c>
      <c r="AH197" s="333">
        <f t="shared" si="43"/>
        <v>1.0357142857142858</v>
      </c>
      <c r="AI197" s="332">
        <f t="shared" si="51"/>
        <v>21</v>
      </c>
      <c r="AJ197" s="332">
        <f t="shared" si="52"/>
        <v>21.75</v>
      </c>
      <c r="AK197" s="332">
        <f t="shared" si="53"/>
        <v>-0.75</v>
      </c>
      <c r="AL197" s="333">
        <f t="shared" si="54"/>
        <v>1.0357142857142858</v>
      </c>
    </row>
    <row r="198" spans="2:39" s="303" customFormat="1" ht="28.5" x14ac:dyDescent="0.2">
      <c r="B198" s="319">
        <f t="shared" si="39"/>
        <v>188</v>
      </c>
      <c r="C198" s="458" t="s">
        <v>200</v>
      </c>
      <c r="D198" s="321" t="s">
        <v>201</v>
      </c>
      <c r="E198" s="319" t="s">
        <v>202</v>
      </c>
      <c r="F198" s="319">
        <v>15</v>
      </c>
      <c r="G198" s="319">
        <v>1400</v>
      </c>
      <c r="H198" s="319" t="s">
        <v>173</v>
      </c>
      <c r="I198" s="319">
        <v>3030</v>
      </c>
      <c r="J198" s="2"/>
      <c r="K198" s="341">
        <v>124</v>
      </c>
      <c r="L198" s="321" t="s">
        <v>126</v>
      </c>
      <c r="M198" s="322" t="s">
        <v>127</v>
      </c>
      <c r="N198" s="342" t="s">
        <v>39</v>
      </c>
      <c r="O198" s="323" t="s">
        <v>188</v>
      </c>
      <c r="P198" s="342" t="s">
        <v>3</v>
      </c>
      <c r="Q198" s="2"/>
      <c r="R198" s="324">
        <f t="shared" si="59"/>
        <v>1400</v>
      </c>
      <c r="S198" s="349">
        <v>1</v>
      </c>
      <c r="T198" s="349">
        <f t="shared" si="48"/>
        <v>15</v>
      </c>
      <c r="V198" s="324">
        <v>6500</v>
      </c>
      <c r="W198" s="388">
        <f t="shared" si="49"/>
        <v>4</v>
      </c>
      <c r="X198" s="388">
        <f t="shared" si="50"/>
        <v>5715</v>
      </c>
      <c r="Y198" s="327">
        <v>5800</v>
      </c>
      <c r="Z198" s="389">
        <f t="shared" si="47"/>
        <v>3.75</v>
      </c>
      <c r="AA198" s="392"/>
      <c r="AB198" s="329">
        <v>0.88800000000000001</v>
      </c>
      <c r="AC198" s="329">
        <v>0.34</v>
      </c>
      <c r="AE198" s="332">
        <f t="shared" si="40"/>
        <v>18.648</v>
      </c>
      <c r="AF198" s="332">
        <f t="shared" si="41"/>
        <v>19.314</v>
      </c>
      <c r="AG198" s="332">
        <f t="shared" si="42"/>
        <v>-0.66600000000000037</v>
      </c>
      <c r="AH198" s="333">
        <f t="shared" si="43"/>
        <v>1.0357142857142858</v>
      </c>
      <c r="AI198" s="332">
        <f t="shared" si="51"/>
        <v>21</v>
      </c>
      <c r="AJ198" s="332">
        <f t="shared" si="52"/>
        <v>21.75</v>
      </c>
      <c r="AK198" s="332">
        <f t="shared" si="53"/>
        <v>-0.75</v>
      </c>
      <c r="AL198" s="333">
        <f t="shared" si="54"/>
        <v>1.0357142857142858</v>
      </c>
    </row>
    <row r="199" spans="2:39" s="303" customFormat="1" ht="28.5" x14ac:dyDescent="0.2">
      <c r="B199" s="319">
        <f t="shared" si="39"/>
        <v>189</v>
      </c>
      <c r="C199" s="458" t="s">
        <v>200</v>
      </c>
      <c r="D199" s="321" t="s">
        <v>201</v>
      </c>
      <c r="E199" s="319" t="s">
        <v>202</v>
      </c>
      <c r="F199" s="319">
        <v>15</v>
      </c>
      <c r="G199" s="319">
        <v>1400</v>
      </c>
      <c r="H199" s="319" t="s">
        <v>173</v>
      </c>
      <c r="I199" s="319">
        <v>3030</v>
      </c>
      <c r="J199" s="2"/>
      <c r="K199" s="341">
        <v>124</v>
      </c>
      <c r="L199" s="342" t="s">
        <v>48</v>
      </c>
      <c r="M199" s="343" t="s">
        <v>49</v>
      </c>
      <c r="N199" s="342" t="s">
        <v>39</v>
      </c>
      <c r="O199" s="323" t="s">
        <v>188</v>
      </c>
      <c r="P199" s="342" t="s">
        <v>3</v>
      </c>
      <c r="Q199" s="2"/>
      <c r="R199" s="324">
        <f t="shared" si="59"/>
        <v>1400</v>
      </c>
      <c r="S199" s="349">
        <v>1</v>
      </c>
      <c r="T199" s="349">
        <f t="shared" si="48"/>
        <v>15</v>
      </c>
      <c r="V199" s="324">
        <v>6500</v>
      </c>
      <c r="W199" s="388">
        <f t="shared" si="49"/>
        <v>4</v>
      </c>
      <c r="X199" s="388">
        <f t="shared" si="50"/>
        <v>5715</v>
      </c>
      <c r="Y199" s="327">
        <v>5800</v>
      </c>
      <c r="Z199" s="389">
        <f t="shared" si="47"/>
        <v>3.75</v>
      </c>
      <c r="AA199" s="392"/>
      <c r="AB199" s="329">
        <v>0.81</v>
      </c>
      <c r="AC199" s="329">
        <v>0.28999999999999998</v>
      </c>
      <c r="AE199" s="332">
        <f t="shared" si="40"/>
        <v>17.010000000000002</v>
      </c>
      <c r="AF199" s="332">
        <f t="shared" si="41"/>
        <v>17.6175</v>
      </c>
      <c r="AG199" s="332">
        <f t="shared" si="42"/>
        <v>-0.60749999999999815</v>
      </c>
      <c r="AH199" s="333">
        <f t="shared" si="43"/>
        <v>1.0357142857142856</v>
      </c>
      <c r="AI199" s="332">
        <f t="shared" si="51"/>
        <v>21</v>
      </c>
      <c r="AJ199" s="332">
        <f t="shared" si="52"/>
        <v>21.75</v>
      </c>
      <c r="AK199" s="332">
        <f t="shared" si="53"/>
        <v>-0.75</v>
      </c>
      <c r="AL199" s="333">
        <f t="shared" si="54"/>
        <v>1.0357142857142858</v>
      </c>
    </row>
    <row r="200" spans="2:39" s="303" customFormat="1" ht="28.5" x14ac:dyDescent="0.2">
      <c r="B200" s="319">
        <f t="shared" si="39"/>
        <v>190</v>
      </c>
      <c r="C200" s="458" t="s">
        <v>200</v>
      </c>
      <c r="D200" s="321" t="s">
        <v>201</v>
      </c>
      <c r="E200" s="319" t="s">
        <v>202</v>
      </c>
      <c r="F200" s="319">
        <v>15</v>
      </c>
      <c r="G200" s="319">
        <v>1400</v>
      </c>
      <c r="H200" s="319" t="s">
        <v>173</v>
      </c>
      <c r="I200" s="319">
        <v>3030</v>
      </c>
      <c r="J200" s="2"/>
      <c r="K200" s="341">
        <v>124</v>
      </c>
      <c r="L200" s="342" t="s">
        <v>46</v>
      </c>
      <c r="M200" s="343" t="s">
        <v>47</v>
      </c>
      <c r="N200" s="342" t="s">
        <v>39</v>
      </c>
      <c r="O200" s="323" t="s">
        <v>188</v>
      </c>
      <c r="P200" s="342" t="s">
        <v>3</v>
      </c>
      <c r="Q200" s="2"/>
      <c r="R200" s="324">
        <f t="shared" si="59"/>
        <v>1400</v>
      </c>
      <c r="S200" s="349">
        <v>1</v>
      </c>
      <c r="T200" s="349">
        <f t="shared" si="48"/>
        <v>15</v>
      </c>
      <c r="V200" s="324">
        <v>6500</v>
      </c>
      <c r="W200" s="388">
        <f t="shared" si="49"/>
        <v>4</v>
      </c>
      <c r="X200" s="388">
        <f t="shared" si="50"/>
        <v>5715</v>
      </c>
      <c r="Y200" s="327">
        <v>5800</v>
      </c>
      <c r="Z200" s="389">
        <f t="shared" si="47"/>
        <v>3.75</v>
      </c>
      <c r="AA200" s="435">
        <v>7.5</v>
      </c>
      <c r="AB200" s="329">
        <v>0.91600000000000004</v>
      </c>
      <c r="AC200" s="329">
        <v>0.33900000000000002</v>
      </c>
      <c r="AE200" s="332">
        <f t="shared" si="40"/>
        <v>19.236000000000001</v>
      </c>
      <c r="AF200" s="332">
        <f t="shared" si="41"/>
        <v>19.923000000000002</v>
      </c>
      <c r="AG200" s="332">
        <f t="shared" si="42"/>
        <v>-0.68700000000000117</v>
      </c>
      <c r="AH200" s="333">
        <f t="shared" si="43"/>
        <v>1.0357142857142858</v>
      </c>
      <c r="AI200" s="332">
        <f t="shared" si="51"/>
        <v>21</v>
      </c>
      <c r="AJ200" s="332">
        <f t="shared" si="52"/>
        <v>21.75</v>
      </c>
      <c r="AK200" s="332">
        <f t="shared" si="53"/>
        <v>-0.75</v>
      </c>
      <c r="AL200" s="333">
        <f t="shared" si="54"/>
        <v>1.0357142857142858</v>
      </c>
    </row>
    <row r="201" spans="2:39" s="303" customFormat="1" ht="28.5" x14ac:dyDescent="0.2">
      <c r="B201" s="319">
        <f t="shared" si="39"/>
        <v>191</v>
      </c>
      <c r="C201" s="458" t="s">
        <v>200</v>
      </c>
      <c r="D201" s="321" t="s">
        <v>201</v>
      </c>
      <c r="E201" s="319" t="s">
        <v>202</v>
      </c>
      <c r="F201" s="319">
        <v>15</v>
      </c>
      <c r="G201" s="319">
        <v>1400</v>
      </c>
      <c r="H201" s="319" t="s">
        <v>173</v>
      </c>
      <c r="I201" s="319">
        <v>3030</v>
      </c>
      <c r="J201" s="2"/>
      <c r="K201" s="468">
        <v>124</v>
      </c>
      <c r="L201" s="417">
        <v>21825</v>
      </c>
      <c r="M201" s="416" t="s">
        <v>45</v>
      </c>
      <c r="N201" s="417" t="s">
        <v>39</v>
      </c>
      <c r="O201" s="323" t="s">
        <v>188</v>
      </c>
      <c r="P201" s="321" t="s">
        <v>3</v>
      </c>
      <c r="Q201" s="2"/>
      <c r="R201" s="324">
        <f t="shared" si="59"/>
        <v>1400</v>
      </c>
      <c r="S201" s="325">
        <v>1</v>
      </c>
      <c r="T201" s="325">
        <f t="shared" si="48"/>
        <v>15</v>
      </c>
      <c r="V201" s="324">
        <v>6500</v>
      </c>
      <c r="W201" s="326">
        <f t="shared" si="49"/>
        <v>4</v>
      </c>
      <c r="X201" s="326">
        <f t="shared" si="50"/>
        <v>5715</v>
      </c>
      <c r="Y201" s="327">
        <v>5800</v>
      </c>
      <c r="Z201" s="328">
        <f t="shared" si="47"/>
        <v>3.75</v>
      </c>
      <c r="AA201" s="435">
        <v>7.5</v>
      </c>
      <c r="AB201" s="329">
        <v>0.999</v>
      </c>
      <c r="AC201" s="329">
        <v>0.2382</v>
      </c>
      <c r="AE201" s="332">
        <f t="shared" si="40"/>
        <v>20.978999999999999</v>
      </c>
      <c r="AF201" s="332">
        <f t="shared" si="41"/>
        <v>21.728249999999999</v>
      </c>
      <c r="AG201" s="332">
        <f t="shared" si="42"/>
        <v>-0.74924999999999997</v>
      </c>
      <c r="AH201" s="333">
        <f t="shared" si="43"/>
        <v>1.0357142857142858</v>
      </c>
      <c r="AI201" s="329">
        <f t="shared" si="51"/>
        <v>21</v>
      </c>
      <c r="AJ201" s="329">
        <f t="shared" si="52"/>
        <v>21.75</v>
      </c>
      <c r="AK201" s="329">
        <f t="shared" si="53"/>
        <v>-0.75</v>
      </c>
      <c r="AL201" s="382">
        <f t="shared" si="54"/>
        <v>1.0357142857142858</v>
      </c>
    </row>
    <row r="202" spans="2:39" s="303" customFormat="1" ht="28.5" x14ac:dyDescent="0.2">
      <c r="B202" s="319">
        <f t="shared" si="39"/>
        <v>192</v>
      </c>
      <c r="C202" s="459" t="s">
        <v>200</v>
      </c>
      <c r="D202" s="342" t="s">
        <v>201</v>
      </c>
      <c r="E202" s="341" t="s">
        <v>202</v>
      </c>
      <c r="F202" s="341">
        <v>15</v>
      </c>
      <c r="G202" s="341">
        <v>1400</v>
      </c>
      <c r="H202" s="341" t="s">
        <v>173</v>
      </c>
      <c r="I202" s="341">
        <v>3030</v>
      </c>
      <c r="J202" s="2"/>
      <c r="K202" s="345">
        <v>124</v>
      </c>
      <c r="L202" s="393" t="s">
        <v>121</v>
      </c>
      <c r="M202" s="346" t="s">
        <v>203</v>
      </c>
      <c r="N202" s="347" t="s">
        <v>6</v>
      </c>
      <c r="O202" s="323" t="s">
        <v>188</v>
      </c>
      <c r="P202" s="347" t="s">
        <v>187</v>
      </c>
      <c r="Q202" s="2"/>
      <c r="R202" s="348">
        <f t="shared" si="59"/>
        <v>1400</v>
      </c>
      <c r="S202" s="349">
        <v>1</v>
      </c>
      <c r="T202" s="349">
        <f t="shared" si="48"/>
        <v>15</v>
      </c>
      <c r="V202" s="338">
        <v>3660</v>
      </c>
      <c r="W202" s="350">
        <f t="shared" si="49"/>
        <v>2</v>
      </c>
      <c r="X202" s="350">
        <f t="shared" si="50"/>
        <v>2905</v>
      </c>
      <c r="Y202" s="327">
        <v>3660</v>
      </c>
      <c r="Z202" s="340">
        <f>($R202*$T202)/$V202</f>
        <v>5.7377049180327866</v>
      </c>
      <c r="AA202" s="392"/>
      <c r="AB202" s="329">
        <v>0.84899999999999998</v>
      </c>
      <c r="AC202" s="329">
        <v>0</v>
      </c>
      <c r="AE202" s="332">
        <f t="shared" si="40"/>
        <v>17.829000000000001</v>
      </c>
      <c r="AF202" s="332">
        <f t="shared" si="41"/>
        <v>17.829000000000001</v>
      </c>
      <c r="AG202" s="332">
        <f t="shared" si="42"/>
        <v>0</v>
      </c>
      <c r="AH202" s="333">
        <f t="shared" si="43"/>
        <v>1</v>
      </c>
      <c r="AI202" s="332">
        <f t="shared" si="51"/>
        <v>21</v>
      </c>
      <c r="AJ202" s="332">
        <f t="shared" si="52"/>
        <v>21</v>
      </c>
      <c r="AK202" s="332">
        <f t="shared" si="53"/>
        <v>0</v>
      </c>
      <c r="AL202" s="333">
        <f t="shared" si="54"/>
        <v>1</v>
      </c>
    </row>
    <row r="203" spans="2:39" s="353" customFormat="1" ht="30" customHeight="1" thickBot="1" x14ac:dyDescent="0.3">
      <c r="B203" s="319">
        <f t="shared" si="39"/>
        <v>193</v>
      </c>
      <c r="C203" s="459" t="s">
        <v>200</v>
      </c>
      <c r="D203" s="342" t="s">
        <v>201</v>
      </c>
      <c r="E203" s="341" t="s">
        <v>202</v>
      </c>
      <c r="F203" s="341">
        <v>15</v>
      </c>
      <c r="G203" s="341">
        <v>1400</v>
      </c>
      <c r="H203" s="341" t="s">
        <v>173</v>
      </c>
      <c r="I203" s="341">
        <v>3030</v>
      </c>
      <c r="J203" s="2"/>
      <c r="K203" s="363"/>
      <c r="L203" s="364" t="s">
        <v>28</v>
      </c>
      <c r="M203" s="365" t="s">
        <v>29</v>
      </c>
      <c r="N203" s="470" t="s">
        <v>6</v>
      </c>
      <c r="O203" s="366" t="s">
        <v>189</v>
      </c>
      <c r="P203" s="367" t="s">
        <v>187</v>
      </c>
      <c r="Q203" s="2"/>
      <c r="R203" s="368">
        <v>51</v>
      </c>
      <c r="S203" s="369">
        <f>4*1</f>
        <v>4</v>
      </c>
      <c r="T203" s="369">
        <f t="shared" si="48"/>
        <v>60</v>
      </c>
      <c r="U203" s="303"/>
      <c r="V203" s="368">
        <v>3250</v>
      </c>
      <c r="W203" s="370">
        <f t="shared" si="49"/>
        <v>63</v>
      </c>
      <c r="X203" s="370">
        <f t="shared" si="50"/>
        <v>3623</v>
      </c>
      <c r="Y203" s="371">
        <v>3660</v>
      </c>
      <c r="Z203" s="372">
        <f t="shared" si="47"/>
        <v>0.95238095238095233</v>
      </c>
      <c r="AA203" s="392"/>
      <c r="AB203" s="373">
        <v>1.641</v>
      </c>
      <c r="AC203" s="373">
        <v>0.20319999999999999</v>
      </c>
      <c r="AD203" s="303"/>
      <c r="AE203" s="373">
        <f t="shared" si="40"/>
        <v>5.0214599999999994</v>
      </c>
      <c r="AF203" s="373">
        <f t="shared" si="41"/>
        <v>5.7200571428571418</v>
      </c>
      <c r="AG203" s="373">
        <f t="shared" si="42"/>
        <v>-0.69859714285714247</v>
      </c>
      <c r="AH203" s="374">
        <f t="shared" si="43"/>
        <v>1.1391223155929038</v>
      </c>
      <c r="AI203" s="373">
        <f t="shared" si="51"/>
        <v>3.0599999999999996</v>
      </c>
      <c r="AJ203" s="373">
        <f t="shared" si="52"/>
        <v>3.4857142857142858</v>
      </c>
      <c r="AK203" s="373">
        <f t="shared" si="53"/>
        <v>-0.42571428571428616</v>
      </c>
      <c r="AL203" s="374">
        <f t="shared" si="54"/>
        <v>1.139122315592904</v>
      </c>
      <c r="AM203" s="303"/>
    </row>
    <row r="204" spans="2:39" s="303" customFormat="1" ht="28.5" x14ac:dyDescent="0.2">
      <c r="B204" s="375">
        <f>B203+1</f>
        <v>194</v>
      </c>
      <c r="C204" s="457" t="s">
        <v>200</v>
      </c>
      <c r="D204" s="394" t="s">
        <v>204</v>
      </c>
      <c r="E204" s="375" t="s">
        <v>205</v>
      </c>
      <c r="F204" s="375">
        <v>6</v>
      </c>
      <c r="G204" s="375">
        <v>8170</v>
      </c>
      <c r="H204" s="375" t="s">
        <v>173</v>
      </c>
      <c r="I204" s="375">
        <v>2400</v>
      </c>
      <c r="J204" s="2"/>
      <c r="K204" s="319">
        <v>127</v>
      </c>
      <c r="L204" s="321">
        <v>20626</v>
      </c>
      <c r="M204" s="322" t="s">
        <v>44</v>
      </c>
      <c r="N204" s="321" t="s">
        <v>39</v>
      </c>
      <c r="O204" s="378" t="s">
        <v>186</v>
      </c>
      <c r="P204" s="321" t="s">
        <v>3</v>
      </c>
      <c r="Q204" s="2"/>
      <c r="R204" s="324">
        <f t="shared" ref="R204:R227" si="60">ROUNDUP(I204,0)</f>
        <v>2400</v>
      </c>
      <c r="S204" s="325">
        <v>1</v>
      </c>
      <c r="T204" s="325">
        <f t="shared" si="48"/>
        <v>6</v>
      </c>
      <c r="V204" s="324">
        <v>7000</v>
      </c>
      <c r="W204" s="326">
        <f t="shared" si="49"/>
        <v>2</v>
      </c>
      <c r="X204" s="326">
        <f t="shared" si="50"/>
        <v>4905</v>
      </c>
      <c r="Y204" s="327">
        <v>4900</v>
      </c>
      <c r="Z204" s="328">
        <f t="shared" si="47"/>
        <v>3</v>
      </c>
      <c r="AA204" s="304"/>
      <c r="AB204" s="329">
        <v>2.7930000000000001</v>
      </c>
      <c r="AC204" s="329">
        <v>0.45068000000000003</v>
      </c>
      <c r="AE204" s="330">
        <f t="shared" si="40"/>
        <v>40.219200000000001</v>
      </c>
      <c r="AF204" s="330">
        <f t="shared" si="41"/>
        <v>41.057099999999998</v>
      </c>
      <c r="AG204" s="330">
        <f t="shared" si="42"/>
        <v>-0.83789999999999765</v>
      </c>
      <c r="AH204" s="331">
        <f t="shared" si="43"/>
        <v>1.0208333333333333</v>
      </c>
      <c r="AI204" s="329">
        <f t="shared" si="51"/>
        <v>14.399999999999999</v>
      </c>
      <c r="AJ204" s="329">
        <f t="shared" si="52"/>
        <v>14.700000000000001</v>
      </c>
      <c r="AK204" s="329">
        <f t="shared" si="53"/>
        <v>-0.30000000000000249</v>
      </c>
      <c r="AL204" s="382">
        <f t="shared" si="54"/>
        <v>1.0208333333333335</v>
      </c>
    </row>
    <row r="205" spans="2:39" s="303" customFormat="1" ht="28.5" x14ac:dyDescent="0.2">
      <c r="B205" s="341">
        <f t="shared" ref="B205:B268" si="61">B204+1</f>
        <v>195</v>
      </c>
      <c r="C205" s="458" t="s">
        <v>200</v>
      </c>
      <c r="D205" s="342" t="s">
        <v>204</v>
      </c>
      <c r="E205" s="341" t="s">
        <v>205</v>
      </c>
      <c r="F205" s="341">
        <v>6</v>
      </c>
      <c r="G205" s="341">
        <v>8170</v>
      </c>
      <c r="H205" s="341" t="s">
        <v>173</v>
      </c>
      <c r="I205" s="341">
        <v>2400</v>
      </c>
      <c r="J205" s="2"/>
      <c r="K205" s="319">
        <v>127</v>
      </c>
      <c r="L205" s="321">
        <v>21825</v>
      </c>
      <c r="M205" s="322" t="s">
        <v>45</v>
      </c>
      <c r="N205" s="321" t="s">
        <v>39</v>
      </c>
      <c r="O205" s="323" t="s">
        <v>186</v>
      </c>
      <c r="P205" s="321" t="s">
        <v>3</v>
      </c>
      <c r="Q205" s="2"/>
      <c r="R205" s="324">
        <f t="shared" si="60"/>
        <v>2400</v>
      </c>
      <c r="S205" s="325">
        <v>1</v>
      </c>
      <c r="T205" s="325">
        <f t="shared" si="48"/>
        <v>6</v>
      </c>
      <c r="V205" s="324">
        <v>7000</v>
      </c>
      <c r="W205" s="326">
        <f t="shared" si="49"/>
        <v>2</v>
      </c>
      <c r="X205" s="326">
        <f t="shared" si="50"/>
        <v>4905</v>
      </c>
      <c r="Y205" s="327">
        <v>4900</v>
      </c>
      <c r="Z205" s="328">
        <f t="shared" si="47"/>
        <v>3</v>
      </c>
      <c r="AA205" s="392"/>
      <c r="AB205" s="329">
        <v>0.999</v>
      </c>
      <c r="AC205" s="329">
        <v>0.2382</v>
      </c>
      <c r="AE205" s="332">
        <f t="shared" si="40"/>
        <v>14.385599999999998</v>
      </c>
      <c r="AF205" s="332">
        <f t="shared" si="41"/>
        <v>14.6853</v>
      </c>
      <c r="AG205" s="332">
        <f t="shared" si="42"/>
        <v>-0.29970000000000141</v>
      </c>
      <c r="AH205" s="333">
        <f t="shared" si="43"/>
        <v>1.0208333333333335</v>
      </c>
      <c r="AI205" s="329">
        <f t="shared" si="51"/>
        <v>14.399999999999999</v>
      </c>
      <c r="AJ205" s="329">
        <f t="shared" si="52"/>
        <v>14.700000000000001</v>
      </c>
      <c r="AK205" s="329">
        <f t="shared" si="53"/>
        <v>-0.30000000000000249</v>
      </c>
      <c r="AL205" s="382">
        <f t="shared" si="54"/>
        <v>1.0208333333333335</v>
      </c>
    </row>
    <row r="206" spans="2:39" s="303" customFormat="1" ht="28.5" x14ac:dyDescent="0.2">
      <c r="B206" s="319">
        <f t="shared" si="61"/>
        <v>196</v>
      </c>
      <c r="C206" s="458" t="s">
        <v>200</v>
      </c>
      <c r="D206" s="342" t="s">
        <v>204</v>
      </c>
      <c r="E206" s="341" t="s">
        <v>205</v>
      </c>
      <c r="F206" s="341">
        <v>6</v>
      </c>
      <c r="G206" s="341">
        <v>8170</v>
      </c>
      <c r="H206" s="341" t="s">
        <v>173</v>
      </c>
      <c r="I206" s="341">
        <v>2400</v>
      </c>
      <c r="J206" s="2"/>
      <c r="K206" s="319">
        <v>127</v>
      </c>
      <c r="L206" s="321" t="s">
        <v>48</v>
      </c>
      <c r="M206" s="322" t="s">
        <v>49</v>
      </c>
      <c r="N206" s="321" t="s">
        <v>39</v>
      </c>
      <c r="O206" s="323" t="s">
        <v>186</v>
      </c>
      <c r="P206" s="321" t="s">
        <v>3</v>
      </c>
      <c r="Q206" s="2"/>
      <c r="R206" s="324">
        <f t="shared" si="60"/>
        <v>2400</v>
      </c>
      <c r="S206" s="325">
        <v>1</v>
      </c>
      <c r="T206" s="325">
        <f t="shared" si="48"/>
        <v>6</v>
      </c>
      <c r="V206" s="324">
        <v>7000</v>
      </c>
      <c r="W206" s="326">
        <f t="shared" si="49"/>
        <v>2</v>
      </c>
      <c r="X206" s="326">
        <f t="shared" si="50"/>
        <v>4905</v>
      </c>
      <c r="Y206" s="327">
        <v>4900</v>
      </c>
      <c r="Z206" s="328">
        <f t="shared" si="47"/>
        <v>3</v>
      </c>
      <c r="AA206" s="392"/>
      <c r="AB206" s="329">
        <v>0.81</v>
      </c>
      <c r="AC206" s="329">
        <v>0.28999999999999998</v>
      </c>
      <c r="AE206" s="332">
        <f t="shared" si="40"/>
        <v>11.664</v>
      </c>
      <c r="AF206" s="332">
        <f t="shared" si="41"/>
        <v>11.907</v>
      </c>
      <c r="AG206" s="332">
        <f t="shared" si="42"/>
        <v>-0.24300000000000033</v>
      </c>
      <c r="AH206" s="333">
        <f t="shared" si="43"/>
        <v>1.0208333333333333</v>
      </c>
      <c r="AI206" s="329">
        <f t="shared" si="51"/>
        <v>14.399999999999999</v>
      </c>
      <c r="AJ206" s="329">
        <f t="shared" si="52"/>
        <v>14.700000000000001</v>
      </c>
      <c r="AK206" s="329">
        <f t="shared" si="53"/>
        <v>-0.30000000000000249</v>
      </c>
      <c r="AL206" s="382">
        <f t="shared" si="54"/>
        <v>1.0208333333333335</v>
      </c>
    </row>
    <row r="207" spans="2:39" s="303" customFormat="1" ht="28.5" x14ac:dyDescent="0.2">
      <c r="B207" s="319">
        <f t="shared" si="61"/>
        <v>197</v>
      </c>
      <c r="C207" s="458" t="s">
        <v>200</v>
      </c>
      <c r="D207" s="342" t="s">
        <v>204</v>
      </c>
      <c r="E207" s="341" t="s">
        <v>205</v>
      </c>
      <c r="F207" s="341">
        <v>6</v>
      </c>
      <c r="G207" s="341">
        <v>8170</v>
      </c>
      <c r="H207" s="341" t="s">
        <v>173</v>
      </c>
      <c r="I207" s="341">
        <v>2400</v>
      </c>
      <c r="J207" s="2"/>
      <c r="K207" s="319">
        <v>127</v>
      </c>
      <c r="L207" s="321" t="s">
        <v>46</v>
      </c>
      <c r="M207" s="322" t="s">
        <v>47</v>
      </c>
      <c r="N207" s="321" t="s">
        <v>39</v>
      </c>
      <c r="O207" s="323" t="s">
        <v>186</v>
      </c>
      <c r="P207" s="321" t="s">
        <v>3</v>
      </c>
      <c r="Q207" s="2"/>
      <c r="R207" s="324">
        <f t="shared" si="60"/>
        <v>2400</v>
      </c>
      <c r="S207" s="325">
        <v>1</v>
      </c>
      <c r="T207" s="325">
        <f t="shared" si="48"/>
        <v>6</v>
      </c>
      <c r="V207" s="324">
        <v>7000</v>
      </c>
      <c r="W207" s="326">
        <f t="shared" si="49"/>
        <v>2</v>
      </c>
      <c r="X207" s="326">
        <f t="shared" si="50"/>
        <v>4905</v>
      </c>
      <c r="Y207" s="327">
        <v>4900</v>
      </c>
      <c r="Z207" s="328">
        <f t="shared" si="47"/>
        <v>3</v>
      </c>
      <c r="AA207" s="392"/>
      <c r="AB207" s="329">
        <v>0.91600000000000004</v>
      </c>
      <c r="AC207" s="329">
        <v>0.33900000000000002</v>
      </c>
      <c r="AE207" s="332">
        <f t="shared" si="40"/>
        <v>13.190399999999999</v>
      </c>
      <c r="AF207" s="332">
        <f t="shared" si="41"/>
        <v>13.465199999999999</v>
      </c>
      <c r="AG207" s="332">
        <f t="shared" si="42"/>
        <v>-0.27480000000000082</v>
      </c>
      <c r="AH207" s="333">
        <f t="shared" si="43"/>
        <v>1.0208333333333335</v>
      </c>
      <c r="AI207" s="329">
        <f t="shared" si="51"/>
        <v>14.399999999999999</v>
      </c>
      <c r="AJ207" s="329">
        <f t="shared" si="52"/>
        <v>14.700000000000001</v>
      </c>
      <c r="AK207" s="329">
        <f t="shared" si="53"/>
        <v>-0.30000000000000249</v>
      </c>
      <c r="AL207" s="382">
        <f t="shared" si="54"/>
        <v>1.0208333333333335</v>
      </c>
    </row>
    <row r="208" spans="2:39" s="303" customFormat="1" ht="28.5" x14ac:dyDescent="0.2">
      <c r="B208" s="319">
        <f t="shared" si="61"/>
        <v>198</v>
      </c>
      <c r="C208" s="458" t="s">
        <v>200</v>
      </c>
      <c r="D208" s="342" t="s">
        <v>204</v>
      </c>
      <c r="E208" s="341" t="s">
        <v>205</v>
      </c>
      <c r="F208" s="341">
        <v>6</v>
      </c>
      <c r="G208" s="341">
        <v>8170</v>
      </c>
      <c r="H208" s="341" t="s">
        <v>173</v>
      </c>
      <c r="I208" s="341">
        <v>2400</v>
      </c>
      <c r="J208" s="2"/>
      <c r="K208" s="334">
        <v>127</v>
      </c>
      <c r="L208" s="335" t="s">
        <v>121</v>
      </c>
      <c r="M208" s="336" t="s">
        <v>203</v>
      </c>
      <c r="N208" s="337" t="s">
        <v>6</v>
      </c>
      <c r="O208" s="323" t="s">
        <v>186</v>
      </c>
      <c r="P208" s="337" t="s">
        <v>187</v>
      </c>
      <c r="Q208" s="2"/>
      <c r="R208" s="324">
        <f t="shared" si="60"/>
        <v>2400</v>
      </c>
      <c r="S208" s="325">
        <v>1</v>
      </c>
      <c r="T208" s="325">
        <f t="shared" si="48"/>
        <v>6</v>
      </c>
      <c r="V208" s="338">
        <v>3660</v>
      </c>
      <c r="W208" s="339">
        <f t="shared" si="49"/>
        <v>1</v>
      </c>
      <c r="X208" s="339">
        <f t="shared" si="50"/>
        <v>2500</v>
      </c>
      <c r="Y208" s="327">
        <v>3660</v>
      </c>
      <c r="Z208" s="340">
        <f>($R208*$T208)/$V208</f>
        <v>3.9344262295081966</v>
      </c>
      <c r="AA208" s="392"/>
      <c r="AB208" s="329">
        <v>0.84899999999999998</v>
      </c>
      <c r="AC208" s="329">
        <v>0</v>
      </c>
      <c r="AE208" s="332">
        <f t="shared" si="40"/>
        <v>12.225599999999998</v>
      </c>
      <c r="AF208" s="332">
        <f t="shared" si="41"/>
        <v>12.2256</v>
      </c>
      <c r="AG208" s="332">
        <f t="shared" si="42"/>
        <v>0</v>
      </c>
      <c r="AH208" s="333">
        <f t="shared" si="43"/>
        <v>1.0000000000000002</v>
      </c>
      <c r="AI208" s="329">
        <f t="shared" si="51"/>
        <v>14.399999999999999</v>
      </c>
      <c r="AJ208" s="329">
        <f t="shared" si="52"/>
        <v>14.4</v>
      </c>
      <c r="AK208" s="329">
        <f t="shared" si="53"/>
        <v>0</v>
      </c>
      <c r="AL208" s="382">
        <f t="shared" si="54"/>
        <v>1.0000000000000002</v>
      </c>
    </row>
    <row r="209" spans="2:38" s="303" customFormat="1" ht="28.5" x14ac:dyDescent="0.2">
      <c r="B209" s="319">
        <f t="shared" si="61"/>
        <v>199</v>
      </c>
      <c r="C209" s="458" t="s">
        <v>200</v>
      </c>
      <c r="D209" s="342" t="s">
        <v>204</v>
      </c>
      <c r="E209" s="341" t="s">
        <v>205</v>
      </c>
      <c r="F209" s="341">
        <v>6</v>
      </c>
      <c r="G209" s="341">
        <v>8170</v>
      </c>
      <c r="H209" s="341" t="s">
        <v>173</v>
      </c>
      <c r="I209" s="341">
        <v>2400</v>
      </c>
      <c r="J209" s="2"/>
      <c r="K209" s="334">
        <v>127</v>
      </c>
      <c r="L209" s="337">
        <v>10926</v>
      </c>
      <c r="M209" s="336" t="s">
        <v>36</v>
      </c>
      <c r="N209" s="337" t="s">
        <v>6</v>
      </c>
      <c r="O209" s="323" t="s">
        <v>186</v>
      </c>
      <c r="P209" s="337" t="s">
        <v>187</v>
      </c>
      <c r="Q209" s="2"/>
      <c r="R209" s="324">
        <f t="shared" si="60"/>
        <v>2400</v>
      </c>
      <c r="S209" s="325">
        <v>1</v>
      </c>
      <c r="T209" s="325">
        <f t="shared" si="48"/>
        <v>6</v>
      </c>
      <c r="V209" s="324">
        <v>6100</v>
      </c>
      <c r="W209" s="339">
        <f t="shared" si="49"/>
        <v>2</v>
      </c>
      <c r="X209" s="339">
        <f t="shared" si="50"/>
        <v>4905</v>
      </c>
      <c r="Y209" s="327">
        <v>6100</v>
      </c>
      <c r="Z209" s="328">
        <f t="shared" si="47"/>
        <v>3</v>
      </c>
      <c r="AA209" s="392"/>
      <c r="AB209" s="329">
        <v>0.76700000000000002</v>
      </c>
      <c r="AC209" s="329"/>
      <c r="AE209" s="332">
        <f t="shared" ref="AE209:AE276" si="62">(($R209/1000)*$T209)*$AB209</f>
        <v>11.044799999999999</v>
      </c>
      <c r="AF209" s="332">
        <f t="shared" ref="AF209:AF276" si="63">(($Y209*$Z209)/1000)*$AB209</f>
        <v>14.036100000000001</v>
      </c>
      <c r="AG209" s="332">
        <f t="shared" ref="AG209:AG276" si="64">+AE209-AF209</f>
        <v>-2.9913000000000025</v>
      </c>
      <c r="AH209" s="333">
        <f t="shared" ref="AH209:AH276" si="65">+AF209/AE209</f>
        <v>1.2708333333333337</v>
      </c>
      <c r="AI209" s="329">
        <f t="shared" si="51"/>
        <v>14.399999999999999</v>
      </c>
      <c r="AJ209" s="329">
        <f t="shared" si="52"/>
        <v>18.299999999999997</v>
      </c>
      <c r="AK209" s="329">
        <f t="shared" si="53"/>
        <v>-3.8999999999999986</v>
      </c>
      <c r="AL209" s="382">
        <f t="shared" si="54"/>
        <v>1.2708333333333333</v>
      </c>
    </row>
    <row r="210" spans="2:38" s="303" customFormat="1" ht="28.5" x14ac:dyDescent="0.2">
      <c r="B210" s="319">
        <f t="shared" si="61"/>
        <v>200</v>
      </c>
      <c r="C210" s="458" t="s">
        <v>200</v>
      </c>
      <c r="D210" s="342" t="s">
        <v>204</v>
      </c>
      <c r="E210" s="341" t="s">
        <v>205</v>
      </c>
      <c r="F210" s="341">
        <v>6</v>
      </c>
      <c r="G210" s="341">
        <v>8170</v>
      </c>
      <c r="H210" s="341" t="s">
        <v>173</v>
      </c>
      <c r="I210" s="341">
        <v>2400</v>
      </c>
      <c r="J210" s="2"/>
      <c r="K210" s="319">
        <v>127</v>
      </c>
      <c r="L210" s="321" t="s">
        <v>114</v>
      </c>
      <c r="M210" s="322" t="s">
        <v>115</v>
      </c>
      <c r="N210" s="321" t="s">
        <v>39</v>
      </c>
      <c r="O210" s="323" t="s">
        <v>186</v>
      </c>
      <c r="P210" s="321" t="s">
        <v>3</v>
      </c>
      <c r="Q210" s="2"/>
      <c r="R210" s="324">
        <f t="shared" si="60"/>
        <v>2400</v>
      </c>
      <c r="S210" s="325">
        <v>1</v>
      </c>
      <c r="T210" s="325">
        <f t="shared" si="48"/>
        <v>6</v>
      </c>
      <c r="V210" s="324">
        <v>7000</v>
      </c>
      <c r="W210" s="326">
        <f t="shared" si="49"/>
        <v>2</v>
      </c>
      <c r="X210" s="326">
        <f t="shared" si="50"/>
        <v>4905</v>
      </c>
      <c r="Y210" s="327">
        <v>4900</v>
      </c>
      <c r="Z210" s="328">
        <f t="shared" si="47"/>
        <v>3</v>
      </c>
      <c r="AA210" s="304"/>
      <c r="AB210" s="329">
        <v>0.83499999999999996</v>
      </c>
      <c r="AC210" s="329">
        <v>0.21299999999999999</v>
      </c>
      <c r="AE210" s="332">
        <f t="shared" si="62"/>
        <v>12.023999999999999</v>
      </c>
      <c r="AF210" s="332">
        <f t="shared" si="63"/>
        <v>12.2745</v>
      </c>
      <c r="AG210" s="332">
        <f t="shared" si="64"/>
        <v>-0.25050000000000061</v>
      </c>
      <c r="AH210" s="333">
        <f t="shared" si="65"/>
        <v>1.0208333333333335</v>
      </c>
      <c r="AI210" s="329">
        <f t="shared" si="51"/>
        <v>14.399999999999999</v>
      </c>
      <c r="AJ210" s="329">
        <f t="shared" si="52"/>
        <v>14.700000000000001</v>
      </c>
      <c r="AK210" s="329">
        <f t="shared" si="53"/>
        <v>-0.30000000000000249</v>
      </c>
      <c r="AL210" s="382">
        <f t="shared" si="54"/>
        <v>1.0208333333333335</v>
      </c>
    </row>
    <row r="211" spans="2:38" s="303" customFormat="1" ht="28.5" x14ac:dyDescent="0.2">
      <c r="B211" s="341">
        <f t="shared" si="61"/>
        <v>201</v>
      </c>
      <c r="C211" s="459" t="s">
        <v>200</v>
      </c>
      <c r="D211" s="342" t="s">
        <v>204</v>
      </c>
      <c r="E211" s="341" t="s">
        <v>205</v>
      </c>
      <c r="F211" s="341">
        <v>6</v>
      </c>
      <c r="G211" s="341">
        <v>8170</v>
      </c>
      <c r="H211" s="341" t="s">
        <v>173</v>
      </c>
      <c r="I211" s="341">
        <v>2400</v>
      </c>
      <c r="J211" s="2"/>
      <c r="K211" s="319">
        <v>127</v>
      </c>
      <c r="L211" s="321" t="s">
        <v>50</v>
      </c>
      <c r="M211" s="322" t="s">
        <v>51</v>
      </c>
      <c r="N211" s="321" t="s">
        <v>39</v>
      </c>
      <c r="O211" s="323" t="s">
        <v>186</v>
      </c>
      <c r="P211" s="321" t="s">
        <v>3</v>
      </c>
      <c r="Q211" s="2"/>
      <c r="R211" s="324">
        <f t="shared" si="60"/>
        <v>2400</v>
      </c>
      <c r="S211" s="325">
        <v>1</v>
      </c>
      <c r="T211" s="325">
        <f t="shared" si="48"/>
        <v>6</v>
      </c>
      <c r="V211" s="324">
        <v>6000</v>
      </c>
      <c r="W211" s="326">
        <f t="shared" si="49"/>
        <v>2</v>
      </c>
      <c r="X211" s="326">
        <f t="shared" si="50"/>
        <v>4905</v>
      </c>
      <c r="Y211" s="327">
        <v>4900</v>
      </c>
      <c r="Z211" s="328">
        <f t="shared" si="47"/>
        <v>3</v>
      </c>
      <c r="AA211" s="392"/>
      <c r="AB211" s="395">
        <v>1.7110000000000001</v>
      </c>
      <c r="AC211" s="395">
        <v>0.34200000000000003</v>
      </c>
      <c r="AE211" s="332">
        <f t="shared" si="62"/>
        <v>24.638399999999997</v>
      </c>
      <c r="AF211" s="332">
        <f t="shared" si="63"/>
        <v>25.151699999999998</v>
      </c>
      <c r="AG211" s="332">
        <f t="shared" si="64"/>
        <v>-0.51330000000000098</v>
      </c>
      <c r="AH211" s="333">
        <f t="shared" si="65"/>
        <v>1.0208333333333335</v>
      </c>
      <c r="AI211" s="329">
        <f t="shared" si="51"/>
        <v>14.399999999999999</v>
      </c>
      <c r="AJ211" s="329">
        <f t="shared" si="52"/>
        <v>14.700000000000001</v>
      </c>
      <c r="AK211" s="329">
        <f t="shared" si="53"/>
        <v>-0.30000000000000249</v>
      </c>
      <c r="AL211" s="382">
        <f t="shared" si="54"/>
        <v>1.0208333333333335</v>
      </c>
    </row>
    <row r="212" spans="2:38" s="303" customFormat="1" ht="28.5" x14ac:dyDescent="0.2">
      <c r="B212" s="341">
        <f t="shared" si="61"/>
        <v>202</v>
      </c>
      <c r="C212" s="459" t="s">
        <v>200</v>
      </c>
      <c r="D212" s="342" t="s">
        <v>204</v>
      </c>
      <c r="E212" s="341" t="s">
        <v>205</v>
      </c>
      <c r="F212" s="341">
        <v>6</v>
      </c>
      <c r="G212" s="341">
        <v>8170</v>
      </c>
      <c r="H212" s="341" t="s">
        <v>173</v>
      </c>
      <c r="I212" s="341">
        <v>2400</v>
      </c>
      <c r="J212" s="2"/>
      <c r="K212" s="319">
        <v>128</v>
      </c>
      <c r="L212" s="321">
        <v>20626</v>
      </c>
      <c r="M212" s="322" t="s">
        <v>44</v>
      </c>
      <c r="N212" s="321" t="s">
        <v>39</v>
      </c>
      <c r="O212" s="323" t="s">
        <v>186</v>
      </c>
      <c r="P212" s="321" t="s">
        <v>3</v>
      </c>
      <c r="Q212" s="2"/>
      <c r="R212" s="324">
        <f t="shared" si="60"/>
        <v>2400</v>
      </c>
      <c r="S212" s="325">
        <v>1</v>
      </c>
      <c r="T212" s="325">
        <f t="shared" si="48"/>
        <v>6</v>
      </c>
      <c r="V212" s="324">
        <v>7000</v>
      </c>
      <c r="W212" s="326">
        <f t="shared" si="49"/>
        <v>2</v>
      </c>
      <c r="X212" s="326">
        <f t="shared" si="50"/>
        <v>4905</v>
      </c>
      <c r="Y212" s="327">
        <v>4900</v>
      </c>
      <c r="Z212" s="328">
        <f t="shared" si="47"/>
        <v>3</v>
      </c>
      <c r="AA212" s="304"/>
      <c r="AB212" s="329">
        <v>2.7930000000000001</v>
      </c>
      <c r="AC212" s="329">
        <v>0.45068000000000003</v>
      </c>
      <c r="AE212" s="332">
        <f t="shared" si="62"/>
        <v>40.219200000000001</v>
      </c>
      <c r="AF212" s="332">
        <f t="shared" si="63"/>
        <v>41.057099999999998</v>
      </c>
      <c r="AG212" s="332">
        <f t="shared" si="64"/>
        <v>-0.83789999999999765</v>
      </c>
      <c r="AH212" s="333">
        <f t="shared" si="65"/>
        <v>1.0208333333333333</v>
      </c>
      <c r="AI212" s="329">
        <f t="shared" si="51"/>
        <v>14.399999999999999</v>
      </c>
      <c r="AJ212" s="329">
        <f t="shared" si="52"/>
        <v>14.700000000000001</v>
      </c>
      <c r="AK212" s="329">
        <f t="shared" si="53"/>
        <v>-0.30000000000000249</v>
      </c>
      <c r="AL212" s="382">
        <f t="shared" si="54"/>
        <v>1.0208333333333335</v>
      </c>
    </row>
    <row r="213" spans="2:38" s="303" customFormat="1" ht="28.5" x14ac:dyDescent="0.2">
      <c r="B213" s="319">
        <f t="shared" si="61"/>
        <v>203</v>
      </c>
      <c r="C213" s="458" t="s">
        <v>200</v>
      </c>
      <c r="D213" s="342" t="s">
        <v>204</v>
      </c>
      <c r="E213" s="341" t="s">
        <v>205</v>
      </c>
      <c r="F213" s="341">
        <v>6</v>
      </c>
      <c r="G213" s="341">
        <v>8170</v>
      </c>
      <c r="H213" s="341" t="s">
        <v>173</v>
      </c>
      <c r="I213" s="341">
        <v>2400</v>
      </c>
      <c r="J213" s="2"/>
      <c r="K213" s="319">
        <v>128</v>
      </c>
      <c r="L213" s="321">
        <v>21825</v>
      </c>
      <c r="M213" s="322" t="s">
        <v>45</v>
      </c>
      <c r="N213" s="321" t="s">
        <v>39</v>
      </c>
      <c r="O213" s="323" t="s">
        <v>186</v>
      </c>
      <c r="P213" s="321" t="s">
        <v>3</v>
      </c>
      <c r="Q213" s="2"/>
      <c r="R213" s="324">
        <f t="shared" si="60"/>
        <v>2400</v>
      </c>
      <c r="S213" s="325">
        <v>1</v>
      </c>
      <c r="T213" s="325">
        <f t="shared" si="48"/>
        <v>6</v>
      </c>
      <c r="V213" s="324">
        <v>7000</v>
      </c>
      <c r="W213" s="326">
        <f t="shared" si="49"/>
        <v>2</v>
      </c>
      <c r="X213" s="326">
        <f t="shared" si="50"/>
        <v>4905</v>
      </c>
      <c r="Y213" s="327">
        <v>4900</v>
      </c>
      <c r="Z213" s="328">
        <f t="shared" si="47"/>
        <v>3</v>
      </c>
      <c r="AA213" s="392"/>
      <c r="AB213" s="329">
        <v>0.999</v>
      </c>
      <c r="AC213" s="329">
        <v>0.2382</v>
      </c>
      <c r="AE213" s="332">
        <f t="shared" si="62"/>
        <v>14.385599999999998</v>
      </c>
      <c r="AF213" s="332">
        <f t="shared" si="63"/>
        <v>14.6853</v>
      </c>
      <c r="AG213" s="332">
        <f t="shared" si="64"/>
        <v>-0.29970000000000141</v>
      </c>
      <c r="AH213" s="333">
        <f t="shared" si="65"/>
        <v>1.0208333333333335</v>
      </c>
      <c r="AI213" s="329">
        <f t="shared" si="51"/>
        <v>14.399999999999999</v>
      </c>
      <c r="AJ213" s="329">
        <f t="shared" si="52"/>
        <v>14.700000000000001</v>
      </c>
      <c r="AK213" s="329">
        <f t="shared" si="53"/>
        <v>-0.30000000000000249</v>
      </c>
      <c r="AL213" s="382">
        <f t="shared" si="54"/>
        <v>1.0208333333333335</v>
      </c>
    </row>
    <row r="214" spans="2:38" s="303" customFormat="1" ht="28.5" x14ac:dyDescent="0.2">
      <c r="B214" s="319">
        <f t="shared" si="61"/>
        <v>204</v>
      </c>
      <c r="C214" s="458" t="s">
        <v>200</v>
      </c>
      <c r="D214" s="342" t="s">
        <v>204</v>
      </c>
      <c r="E214" s="341" t="s">
        <v>205</v>
      </c>
      <c r="F214" s="341">
        <v>6</v>
      </c>
      <c r="G214" s="341">
        <v>8170</v>
      </c>
      <c r="H214" s="341" t="s">
        <v>173</v>
      </c>
      <c r="I214" s="341">
        <v>2400</v>
      </c>
      <c r="J214" s="2"/>
      <c r="K214" s="319">
        <v>128</v>
      </c>
      <c r="L214" s="321" t="s">
        <v>48</v>
      </c>
      <c r="M214" s="322" t="s">
        <v>49</v>
      </c>
      <c r="N214" s="321" t="s">
        <v>39</v>
      </c>
      <c r="O214" s="323" t="s">
        <v>186</v>
      </c>
      <c r="P214" s="321" t="s">
        <v>3</v>
      </c>
      <c r="Q214" s="2"/>
      <c r="R214" s="324">
        <f t="shared" si="60"/>
        <v>2400</v>
      </c>
      <c r="S214" s="325">
        <v>1</v>
      </c>
      <c r="T214" s="325">
        <f t="shared" si="48"/>
        <v>6</v>
      </c>
      <c r="V214" s="324">
        <v>7000</v>
      </c>
      <c r="W214" s="326">
        <f t="shared" si="49"/>
        <v>2</v>
      </c>
      <c r="X214" s="326">
        <f t="shared" si="50"/>
        <v>4905</v>
      </c>
      <c r="Y214" s="327">
        <v>4900</v>
      </c>
      <c r="Z214" s="328">
        <f t="shared" si="47"/>
        <v>3</v>
      </c>
      <c r="AA214" s="392"/>
      <c r="AB214" s="329">
        <v>0.81</v>
      </c>
      <c r="AC214" s="329">
        <v>0.28999999999999998</v>
      </c>
      <c r="AE214" s="332">
        <f t="shared" si="62"/>
        <v>11.664</v>
      </c>
      <c r="AF214" s="332">
        <f t="shared" si="63"/>
        <v>11.907</v>
      </c>
      <c r="AG214" s="332">
        <f t="shared" si="64"/>
        <v>-0.24300000000000033</v>
      </c>
      <c r="AH214" s="333">
        <f t="shared" si="65"/>
        <v>1.0208333333333333</v>
      </c>
      <c r="AI214" s="329">
        <f t="shared" si="51"/>
        <v>14.399999999999999</v>
      </c>
      <c r="AJ214" s="329">
        <f t="shared" si="52"/>
        <v>14.700000000000001</v>
      </c>
      <c r="AK214" s="329">
        <f t="shared" si="53"/>
        <v>-0.30000000000000249</v>
      </c>
      <c r="AL214" s="382">
        <f t="shared" si="54"/>
        <v>1.0208333333333335</v>
      </c>
    </row>
    <row r="215" spans="2:38" s="303" customFormat="1" ht="28.5" x14ac:dyDescent="0.2">
      <c r="B215" s="319">
        <f t="shared" si="61"/>
        <v>205</v>
      </c>
      <c r="C215" s="458" t="s">
        <v>200</v>
      </c>
      <c r="D215" s="342" t="s">
        <v>204</v>
      </c>
      <c r="E215" s="341" t="s">
        <v>205</v>
      </c>
      <c r="F215" s="341">
        <v>6</v>
      </c>
      <c r="G215" s="341">
        <v>8170</v>
      </c>
      <c r="H215" s="341" t="s">
        <v>173</v>
      </c>
      <c r="I215" s="341">
        <v>2400</v>
      </c>
      <c r="J215" s="2"/>
      <c r="K215" s="319">
        <v>128</v>
      </c>
      <c r="L215" s="321" t="s">
        <v>46</v>
      </c>
      <c r="M215" s="322" t="s">
        <v>47</v>
      </c>
      <c r="N215" s="321" t="s">
        <v>39</v>
      </c>
      <c r="O215" s="323" t="s">
        <v>186</v>
      </c>
      <c r="P215" s="321" t="s">
        <v>3</v>
      </c>
      <c r="Q215" s="2"/>
      <c r="R215" s="324">
        <f t="shared" si="60"/>
        <v>2400</v>
      </c>
      <c r="S215" s="325">
        <v>1</v>
      </c>
      <c r="T215" s="325">
        <f t="shared" si="48"/>
        <v>6</v>
      </c>
      <c r="V215" s="324">
        <v>7000</v>
      </c>
      <c r="W215" s="326">
        <f t="shared" si="49"/>
        <v>2</v>
      </c>
      <c r="X215" s="326">
        <f t="shared" si="50"/>
        <v>4905</v>
      </c>
      <c r="Y215" s="327">
        <v>4900</v>
      </c>
      <c r="Z215" s="328">
        <f t="shared" si="47"/>
        <v>3</v>
      </c>
      <c r="AA215" s="392"/>
      <c r="AB215" s="329">
        <v>0.91600000000000004</v>
      </c>
      <c r="AC215" s="329">
        <v>0.33900000000000002</v>
      </c>
      <c r="AE215" s="332">
        <f t="shared" si="62"/>
        <v>13.190399999999999</v>
      </c>
      <c r="AF215" s="332">
        <f t="shared" si="63"/>
        <v>13.465199999999999</v>
      </c>
      <c r="AG215" s="332">
        <f t="shared" si="64"/>
        <v>-0.27480000000000082</v>
      </c>
      <c r="AH215" s="333">
        <f t="shared" si="65"/>
        <v>1.0208333333333335</v>
      </c>
      <c r="AI215" s="329">
        <f t="shared" si="51"/>
        <v>14.399999999999999</v>
      </c>
      <c r="AJ215" s="329">
        <f t="shared" si="52"/>
        <v>14.700000000000001</v>
      </c>
      <c r="AK215" s="329">
        <f t="shared" si="53"/>
        <v>-0.30000000000000249</v>
      </c>
      <c r="AL215" s="382">
        <f t="shared" si="54"/>
        <v>1.0208333333333335</v>
      </c>
    </row>
    <row r="216" spans="2:38" s="303" customFormat="1" ht="28.5" x14ac:dyDescent="0.2">
      <c r="B216" s="319">
        <f t="shared" si="61"/>
        <v>206</v>
      </c>
      <c r="C216" s="458" t="s">
        <v>200</v>
      </c>
      <c r="D216" s="342" t="s">
        <v>204</v>
      </c>
      <c r="E216" s="341" t="s">
        <v>205</v>
      </c>
      <c r="F216" s="341">
        <v>6</v>
      </c>
      <c r="G216" s="341">
        <v>8170</v>
      </c>
      <c r="H216" s="341" t="s">
        <v>173</v>
      </c>
      <c r="I216" s="341">
        <v>2400</v>
      </c>
      <c r="J216" s="2"/>
      <c r="K216" s="334">
        <v>128</v>
      </c>
      <c r="L216" s="337">
        <v>10926</v>
      </c>
      <c r="M216" s="336" t="s">
        <v>36</v>
      </c>
      <c r="N216" s="337" t="s">
        <v>6</v>
      </c>
      <c r="O216" s="323" t="s">
        <v>186</v>
      </c>
      <c r="P216" s="337" t="s">
        <v>187</v>
      </c>
      <c r="Q216" s="2"/>
      <c r="R216" s="324">
        <f t="shared" si="60"/>
        <v>2400</v>
      </c>
      <c r="S216" s="325">
        <v>1</v>
      </c>
      <c r="T216" s="325">
        <f t="shared" si="48"/>
        <v>6</v>
      </c>
      <c r="V216" s="324">
        <v>6100</v>
      </c>
      <c r="W216" s="339">
        <f t="shared" si="49"/>
        <v>2</v>
      </c>
      <c r="X216" s="339">
        <f t="shared" si="50"/>
        <v>4905</v>
      </c>
      <c r="Y216" s="327">
        <v>6100</v>
      </c>
      <c r="Z216" s="328">
        <f t="shared" ref="Z216:Z296" si="66">$T216/$W216</f>
        <v>3</v>
      </c>
      <c r="AA216" s="392"/>
      <c r="AB216" s="329">
        <v>0.76700000000000002</v>
      </c>
      <c r="AC216" s="329"/>
      <c r="AE216" s="332">
        <f t="shared" si="62"/>
        <v>11.044799999999999</v>
      </c>
      <c r="AF216" s="332">
        <f t="shared" si="63"/>
        <v>14.036100000000001</v>
      </c>
      <c r="AG216" s="332">
        <f t="shared" si="64"/>
        <v>-2.9913000000000025</v>
      </c>
      <c r="AH216" s="333">
        <f t="shared" si="65"/>
        <v>1.2708333333333337</v>
      </c>
      <c r="AI216" s="329">
        <f t="shared" si="51"/>
        <v>14.399999999999999</v>
      </c>
      <c r="AJ216" s="329">
        <f t="shared" si="52"/>
        <v>18.299999999999997</v>
      </c>
      <c r="AK216" s="329">
        <f t="shared" si="53"/>
        <v>-3.8999999999999986</v>
      </c>
      <c r="AL216" s="382">
        <f t="shared" si="54"/>
        <v>1.2708333333333333</v>
      </c>
    </row>
    <row r="217" spans="2:38" s="303" customFormat="1" ht="28.5" x14ac:dyDescent="0.2">
      <c r="B217" s="319">
        <f t="shared" si="61"/>
        <v>207</v>
      </c>
      <c r="C217" s="458" t="s">
        <v>200</v>
      </c>
      <c r="D217" s="342" t="s">
        <v>204</v>
      </c>
      <c r="E217" s="341" t="s">
        <v>205</v>
      </c>
      <c r="F217" s="341">
        <v>6</v>
      </c>
      <c r="G217" s="341">
        <v>8170</v>
      </c>
      <c r="H217" s="341" t="s">
        <v>173</v>
      </c>
      <c r="I217" s="341">
        <v>2400</v>
      </c>
      <c r="J217" s="2"/>
      <c r="K217" s="319">
        <v>128</v>
      </c>
      <c r="L217" s="321" t="s">
        <v>114</v>
      </c>
      <c r="M217" s="322" t="s">
        <v>115</v>
      </c>
      <c r="N217" s="321" t="s">
        <v>39</v>
      </c>
      <c r="O217" s="323" t="s">
        <v>186</v>
      </c>
      <c r="P217" s="321" t="s">
        <v>3</v>
      </c>
      <c r="Q217" s="2"/>
      <c r="R217" s="324">
        <f t="shared" si="60"/>
        <v>2400</v>
      </c>
      <c r="S217" s="325">
        <v>1</v>
      </c>
      <c r="T217" s="325">
        <f t="shared" si="48"/>
        <v>6</v>
      </c>
      <c r="V217" s="324">
        <v>7000</v>
      </c>
      <c r="W217" s="326">
        <f t="shared" si="49"/>
        <v>2</v>
      </c>
      <c r="X217" s="326">
        <f t="shared" si="50"/>
        <v>4905</v>
      </c>
      <c r="Y217" s="327">
        <v>4900</v>
      </c>
      <c r="Z217" s="328">
        <f t="shared" si="66"/>
        <v>3</v>
      </c>
      <c r="AA217" s="392"/>
      <c r="AB217" s="329">
        <v>0.83499999999999996</v>
      </c>
      <c r="AC217" s="329">
        <v>0.21299999999999999</v>
      </c>
      <c r="AE217" s="332">
        <f t="shared" si="62"/>
        <v>12.023999999999999</v>
      </c>
      <c r="AF217" s="332">
        <f t="shared" si="63"/>
        <v>12.2745</v>
      </c>
      <c r="AG217" s="332">
        <f t="shared" si="64"/>
        <v>-0.25050000000000061</v>
      </c>
      <c r="AH217" s="333">
        <f t="shared" si="65"/>
        <v>1.0208333333333335</v>
      </c>
      <c r="AI217" s="329">
        <f t="shared" si="51"/>
        <v>14.399999999999999</v>
      </c>
      <c r="AJ217" s="329">
        <f t="shared" si="52"/>
        <v>14.700000000000001</v>
      </c>
      <c r="AK217" s="329">
        <f t="shared" si="53"/>
        <v>-0.30000000000000249</v>
      </c>
      <c r="AL217" s="382">
        <f t="shared" si="54"/>
        <v>1.0208333333333335</v>
      </c>
    </row>
    <row r="218" spans="2:38" s="303" customFormat="1" ht="28.5" x14ac:dyDescent="0.2">
      <c r="B218" s="319">
        <f t="shared" si="61"/>
        <v>208</v>
      </c>
      <c r="C218" s="458" t="s">
        <v>200</v>
      </c>
      <c r="D218" s="342" t="s">
        <v>204</v>
      </c>
      <c r="E218" s="341" t="s">
        <v>205</v>
      </c>
      <c r="F218" s="341">
        <v>6</v>
      </c>
      <c r="G218" s="341">
        <v>8170</v>
      </c>
      <c r="H218" s="341" t="s">
        <v>173</v>
      </c>
      <c r="I218" s="341">
        <v>2400</v>
      </c>
      <c r="J218" s="2"/>
      <c r="K218" s="319">
        <v>128</v>
      </c>
      <c r="L218" s="321" t="s">
        <v>50</v>
      </c>
      <c r="M218" s="322" t="s">
        <v>51</v>
      </c>
      <c r="N218" s="321" t="s">
        <v>39</v>
      </c>
      <c r="O218" s="323" t="s">
        <v>186</v>
      </c>
      <c r="P218" s="321" t="s">
        <v>3</v>
      </c>
      <c r="Q218" s="2"/>
      <c r="R218" s="324">
        <f t="shared" si="60"/>
        <v>2400</v>
      </c>
      <c r="S218" s="325">
        <v>1</v>
      </c>
      <c r="T218" s="325">
        <f t="shared" si="48"/>
        <v>6</v>
      </c>
      <c r="V218" s="324">
        <v>7000</v>
      </c>
      <c r="W218" s="326">
        <f t="shared" si="49"/>
        <v>2</v>
      </c>
      <c r="X218" s="326">
        <f t="shared" si="50"/>
        <v>4905</v>
      </c>
      <c r="Y218" s="327">
        <v>4900</v>
      </c>
      <c r="Z218" s="328">
        <f t="shared" si="66"/>
        <v>3</v>
      </c>
      <c r="AA218" s="387">
        <v>6</v>
      </c>
      <c r="AB218" s="395">
        <v>1.7110000000000001</v>
      </c>
      <c r="AC218" s="395">
        <v>0.34200000000000003</v>
      </c>
      <c r="AE218" s="332">
        <f t="shared" si="62"/>
        <v>24.638399999999997</v>
      </c>
      <c r="AF218" s="332">
        <f t="shared" si="63"/>
        <v>25.151699999999998</v>
      </c>
      <c r="AG218" s="332">
        <f t="shared" si="64"/>
        <v>-0.51330000000000098</v>
      </c>
      <c r="AH218" s="333">
        <f t="shared" si="65"/>
        <v>1.0208333333333335</v>
      </c>
      <c r="AI218" s="329">
        <f t="shared" si="51"/>
        <v>14.399999999999999</v>
      </c>
      <c r="AJ218" s="329">
        <f t="shared" si="52"/>
        <v>14.700000000000001</v>
      </c>
      <c r="AK218" s="329">
        <f t="shared" si="53"/>
        <v>-0.30000000000000249</v>
      </c>
      <c r="AL218" s="382">
        <f t="shared" si="54"/>
        <v>1.0208333333333335</v>
      </c>
    </row>
    <row r="219" spans="2:38" s="303" customFormat="1" ht="28.5" x14ac:dyDescent="0.2">
      <c r="B219" s="341">
        <f t="shared" si="61"/>
        <v>209</v>
      </c>
      <c r="C219" s="459" t="s">
        <v>200</v>
      </c>
      <c r="D219" s="342" t="s">
        <v>204</v>
      </c>
      <c r="E219" s="341" t="s">
        <v>205</v>
      </c>
      <c r="F219" s="341">
        <v>6</v>
      </c>
      <c r="G219" s="341">
        <v>8170</v>
      </c>
      <c r="H219" s="341" t="s">
        <v>173</v>
      </c>
      <c r="I219" s="341">
        <v>2400</v>
      </c>
      <c r="J219" s="2"/>
      <c r="K219" s="319">
        <v>129</v>
      </c>
      <c r="L219" s="321">
        <v>20626</v>
      </c>
      <c r="M219" s="322" t="s">
        <v>44</v>
      </c>
      <c r="N219" s="321" t="s">
        <v>39</v>
      </c>
      <c r="O219" s="323" t="s">
        <v>186</v>
      </c>
      <c r="P219" s="321" t="s">
        <v>3</v>
      </c>
      <c r="Q219" s="2"/>
      <c r="R219" s="324">
        <f t="shared" si="60"/>
        <v>2400</v>
      </c>
      <c r="S219" s="325">
        <v>6</v>
      </c>
      <c r="T219" s="325">
        <f t="shared" ref="T219:T299" si="67">$F219*$S219</f>
        <v>36</v>
      </c>
      <c r="V219" s="324">
        <v>7000</v>
      </c>
      <c r="W219" s="326">
        <f t="shared" ref="W219:W299" si="68">ROUNDDOWN($V219/$R219,0)</f>
        <v>2</v>
      </c>
      <c r="X219" s="326">
        <f t="shared" ref="X219:X299" si="69">($R219*$W219)+(50*2)+(5*($W219-1))</f>
        <v>4905</v>
      </c>
      <c r="Y219" s="327">
        <v>4900</v>
      </c>
      <c r="Z219" s="328">
        <f t="shared" si="66"/>
        <v>18</v>
      </c>
      <c r="AA219" s="304"/>
      <c r="AB219" s="329">
        <v>2.7930000000000001</v>
      </c>
      <c r="AC219" s="329">
        <v>0.45068000000000003</v>
      </c>
      <c r="AE219" s="332">
        <f t="shared" si="62"/>
        <v>241.31519999999998</v>
      </c>
      <c r="AF219" s="332">
        <f t="shared" si="63"/>
        <v>246.34260000000003</v>
      </c>
      <c r="AG219" s="332">
        <f t="shared" si="64"/>
        <v>-5.0274000000000569</v>
      </c>
      <c r="AH219" s="333">
        <f t="shared" si="65"/>
        <v>1.0208333333333335</v>
      </c>
      <c r="AI219" s="329">
        <f t="shared" ref="AI219:AI255" si="70">($R219/1000)*$T219</f>
        <v>86.399999999999991</v>
      </c>
      <c r="AJ219" s="329">
        <f t="shared" ref="AJ219:AJ299" si="71">($Y219/1000)*$Z219</f>
        <v>88.2</v>
      </c>
      <c r="AK219" s="329">
        <f t="shared" ref="AK219:AK255" si="72">+AI219-AJ219</f>
        <v>-1.8000000000000114</v>
      </c>
      <c r="AL219" s="382">
        <f t="shared" ref="AL219:AL255" si="73">+AJ219/AI219</f>
        <v>1.0208333333333335</v>
      </c>
    </row>
    <row r="220" spans="2:38" s="303" customFormat="1" ht="28.5" x14ac:dyDescent="0.2">
      <c r="B220" s="319">
        <f t="shared" si="61"/>
        <v>210</v>
      </c>
      <c r="C220" s="458" t="s">
        <v>200</v>
      </c>
      <c r="D220" s="342" t="s">
        <v>204</v>
      </c>
      <c r="E220" s="341" t="s">
        <v>205</v>
      </c>
      <c r="F220" s="341">
        <v>6</v>
      </c>
      <c r="G220" s="341">
        <v>8170</v>
      </c>
      <c r="H220" s="341" t="s">
        <v>173</v>
      </c>
      <c r="I220" s="341">
        <v>2400</v>
      </c>
      <c r="J220" s="2"/>
      <c r="K220" s="319">
        <v>129</v>
      </c>
      <c r="L220" s="321">
        <v>21825</v>
      </c>
      <c r="M220" s="322" t="s">
        <v>45</v>
      </c>
      <c r="N220" s="321" t="s">
        <v>39</v>
      </c>
      <c r="O220" s="323" t="s">
        <v>186</v>
      </c>
      <c r="P220" s="321" t="s">
        <v>3</v>
      </c>
      <c r="Q220" s="2"/>
      <c r="R220" s="324">
        <f t="shared" si="60"/>
        <v>2400</v>
      </c>
      <c r="S220" s="325">
        <v>6</v>
      </c>
      <c r="T220" s="325">
        <f t="shared" si="67"/>
        <v>36</v>
      </c>
      <c r="V220" s="324">
        <v>7000</v>
      </c>
      <c r="W220" s="326">
        <f t="shared" si="68"/>
        <v>2</v>
      </c>
      <c r="X220" s="326">
        <f t="shared" si="69"/>
        <v>4905</v>
      </c>
      <c r="Y220" s="327">
        <v>4900</v>
      </c>
      <c r="Z220" s="328">
        <f t="shared" si="66"/>
        <v>18</v>
      </c>
      <c r="AA220" s="392"/>
      <c r="AB220" s="329">
        <v>0.999</v>
      </c>
      <c r="AC220" s="329">
        <v>0.2382</v>
      </c>
      <c r="AE220" s="332">
        <f t="shared" si="62"/>
        <v>86.313599999999994</v>
      </c>
      <c r="AF220" s="332">
        <f t="shared" si="63"/>
        <v>88.111800000000002</v>
      </c>
      <c r="AG220" s="332">
        <f t="shared" si="64"/>
        <v>-1.7982000000000085</v>
      </c>
      <c r="AH220" s="333">
        <f t="shared" si="65"/>
        <v>1.0208333333333335</v>
      </c>
      <c r="AI220" s="329">
        <f t="shared" si="70"/>
        <v>86.399999999999991</v>
      </c>
      <c r="AJ220" s="329">
        <f t="shared" si="71"/>
        <v>88.2</v>
      </c>
      <c r="AK220" s="329">
        <f t="shared" si="72"/>
        <v>-1.8000000000000114</v>
      </c>
      <c r="AL220" s="382">
        <f t="shared" si="73"/>
        <v>1.0208333333333335</v>
      </c>
    </row>
    <row r="221" spans="2:38" s="303" customFormat="1" ht="28.5" x14ac:dyDescent="0.2">
      <c r="B221" s="319">
        <f t="shared" si="61"/>
        <v>211</v>
      </c>
      <c r="C221" s="458" t="s">
        <v>200</v>
      </c>
      <c r="D221" s="342" t="s">
        <v>204</v>
      </c>
      <c r="E221" s="341" t="s">
        <v>205</v>
      </c>
      <c r="F221" s="341">
        <v>6</v>
      </c>
      <c r="G221" s="341">
        <v>8170</v>
      </c>
      <c r="H221" s="341" t="s">
        <v>173</v>
      </c>
      <c r="I221" s="341">
        <v>2400</v>
      </c>
      <c r="J221" s="2"/>
      <c r="K221" s="319">
        <v>129</v>
      </c>
      <c r="L221" s="321" t="s">
        <v>48</v>
      </c>
      <c r="M221" s="322" t="s">
        <v>49</v>
      </c>
      <c r="N221" s="321" t="s">
        <v>39</v>
      </c>
      <c r="O221" s="323" t="s">
        <v>186</v>
      </c>
      <c r="P221" s="321" t="s">
        <v>3</v>
      </c>
      <c r="Q221" s="2"/>
      <c r="R221" s="324">
        <f t="shared" si="60"/>
        <v>2400</v>
      </c>
      <c r="S221" s="325">
        <v>6</v>
      </c>
      <c r="T221" s="325">
        <f t="shared" si="67"/>
        <v>36</v>
      </c>
      <c r="V221" s="324">
        <v>7000</v>
      </c>
      <c r="W221" s="326">
        <f t="shared" si="68"/>
        <v>2</v>
      </c>
      <c r="X221" s="326">
        <f t="shared" si="69"/>
        <v>4905</v>
      </c>
      <c r="Y221" s="327">
        <v>4900</v>
      </c>
      <c r="Z221" s="328">
        <f t="shared" si="66"/>
        <v>18</v>
      </c>
      <c r="AA221" s="392"/>
      <c r="AB221" s="329">
        <v>0.81</v>
      </c>
      <c r="AC221" s="329">
        <v>0.28999999999999998</v>
      </c>
      <c r="AE221" s="332">
        <f t="shared" si="62"/>
        <v>69.983999999999995</v>
      </c>
      <c r="AF221" s="332">
        <f t="shared" si="63"/>
        <v>71.442000000000007</v>
      </c>
      <c r="AG221" s="332">
        <f t="shared" si="64"/>
        <v>-1.4580000000000126</v>
      </c>
      <c r="AH221" s="333">
        <f t="shared" si="65"/>
        <v>1.0208333333333335</v>
      </c>
      <c r="AI221" s="329">
        <f t="shared" si="70"/>
        <v>86.399999999999991</v>
      </c>
      <c r="AJ221" s="329">
        <f t="shared" si="71"/>
        <v>88.2</v>
      </c>
      <c r="AK221" s="329">
        <f t="shared" si="72"/>
        <v>-1.8000000000000114</v>
      </c>
      <c r="AL221" s="382">
        <f t="shared" si="73"/>
        <v>1.0208333333333335</v>
      </c>
    </row>
    <row r="222" spans="2:38" s="303" customFormat="1" ht="28.5" x14ac:dyDescent="0.2">
      <c r="B222" s="319">
        <f t="shared" si="61"/>
        <v>212</v>
      </c>
      <c r="C222" s="458" t="s">
        <v>200</v>
      </c>
      <c r="D222" s="342" t="s">
        <v>204</v>
      </c>
      <c r="E222" s="341" t="s">
        <v>205</v>
      </c>
      <c r="F222" s="341">
        <v>6</v>
      </c>
      <c r="G222" s="341">
        <v>8170</v>
      </c>
      <c r="H222" s="341" t="s">
        <v>173</v>
      </c>
      <c r="I222" s="341">
        <v>2400</v>
      </c>
      <c r="J222" s="2"/>
      <c r="K222" s="319">
        <v>129</v>
      </c>
      <c r="L222" s="321" t="s">
        <v>46</v>
      </c>
      <c r="M222" s="322" t="s">
        <v>47</v>
      </c>
      <c r="N222" s="321" t="s">
        <v>39</v>
      </c>
      <c r="O222" s="323" t="s">
        <v>186</v>
      </c>
      <c r="P222" s="321" t="s">
        <v>3</v>
      </c>
      <c r="Q222" s="2"/>
      <c r="R222" s="324">
        <f t="shared" si="60"/>
        <v>2400</v>
      </c>
      <c r="S222" s="325">
        <v>6</v>
      </c>
      <c r="T222" s="325">
        <f t="shared" si="67"/>
        <v>36</v>
      </c>
      <c r="V222" s="324">
        <v>7000</v>
      </c>
      <c r="W222" s="326">
        <f t="shared" si="68"/>
        <v>2</v>
      </c>
      <c r="X222" s="326">
        <f t="shared" si="69"/>
        <v>4905</v>
      </c>
      <c r="Y222" s="327">
        <v>4900</v>
      </c>
      <c r="Z222" s="328">
        <f t="shared" si="66"/>
        <v>18</v>
      </c>
      <c r="AA222" s="392"/>
      <c r="AB222" s="329">
        <v>0.91600000000000004</v>
      </c>
      <c r="AC222" s="329">
        <v>0.33900000000000002</v>
      </c>
      <c r="AE222" s="332">
        <f t="shared" si="62"/>
        <v>79.142399999999995</v>
      </c>
      <c r="AF222" s="332">
        <f t="shared" si="63"/>
        <v>80.791200000000003</v>
      </c>
      <c r="AG222" s="332">
        <f t="shared" si="64"/>
        <v>-1.6488000000000085</v>
      </c>
      <c r="AH222" s="333">
        <f t="shared" si="65"/>
        <v>1.0208333333333335</v>
      </c>
      <c r="AI222" s="329">
        <f t="shared" si="70"/>
        <v>86.399999999999991</v>
      </c>
      <c r="AJ222" s="329">
        <f t="shared" si="71"/>
        <v>88.2</v>
      </c>
      <c r="AK222" s="329">
        <f t="shared" si="72"/>
        <v>-1.8000000000000114</v>
      </c>
      <c r="AL222" s="382">
        <f t="shared" si="73"/>
        <v>1.0208333333333335</v>
      </c>
    </row>
    <row r="223" spans="2:38" s="303" customFormat="1" ht="28.5" x14ac:dyDescent="0.2">
      <c r="B223" s="341">
        <f t="shared" si="61"/>
        <v>213</v>
      </c>
      <c r="C223" s="459" t="s">
        <v>200</v>
      </c>
      <c r="D223" s="342" t="s">
        <v>204</v>
      </c>
      <c r="E223" s="341" t="s">
        <v>205</v>
      </c>
      <c r="F223" s="341">
        <v>6</v>
      </c>
      <c r="G223" s="341">
        <v>8170</v>
      </c>
      <c r="H223" s="341" t="s">
        <v>173</v>
      </c>
      <c r="I223" s="341">
        <v>2400</v>
      </c>
      <c r="J223" s="2"/>
      <c r="K223" s="319">
        <v>130</v>
      </c>
      <c r="L223" s="321">
        <v>20626</v>
      </c>
      <c r="M223" s="322" t="s">
        <v>44</v>
      </c>
      <c r="N223" s="321" t="s">
        <v>39</v>
      </c>
      <c r="O223" s="323" t="s">
        <v>186</v>
      </c>
      <c r="P223" s="321" t="s">
        <v>3</v>
      </c>
      <c r="Q223" s="2"/>
      <c r="R223" s="324">
        <f t="shared" si="60"/>
        <v>2400</v>
      </c>
      <c r="S223" s="325">
        <v>1</v>
      </c>
      <c r="T223" s="325">
        <f t="shared" si="67"/>
        <v>6</v>
      </c>
      <c r="V223" s="324">
        <v>7000</v>
      </c>
      <c r="W223" s="326">
        <f t="shared" si="68"/>
        <v>2</v>
      </c>
      <c r="X223" s="326">
        <f t="shared" si="69"/>
        <v>4905</v>
      </c>
      <c r="Y223" s="327">
        <v>4900</v>
      </c>
      <c r="Z223" s="328">
        <f t="shared" si="66"/>
        <v>3</v>
      </c>
      <c r="AA223" s="387">
        <v>27</v>
      </c>
      <c r="AB223" s="329">
        <v>2.7930000000000001</v>
      </c>
      <c r="AC223" s="329">
        <v>0.45068000000000003</v>
      </c>
      <c r="AE223" s="332">
        <f t="shared" si="62"/>
        <v>40.219200000000001</v>
      </c>
      <c r="AF223" s="332">
        <f t="shared" si="63"/>
        <v>41.057099999999998</v>
      </c>
      <c r="AG223" s="332">
        <f t="shared" si="64"/>
        <v>-0.83789999999999765</v>
      </c>
      <c r="AH223" s="333">
        <f t="shared" si="65"/>
        <v>1.0208333333333333</v>
      </c>
      <c r="AI223" s="329">
        <f t="shared" si="70"/>
        <v>14.399999999999999</v>
      </c>
      <c r="AJ223" s="329">
        <f t="shared" si="71"/>
        <v>14.700000000000001</v>
      </c>
      <c r="AK223" s="329">
        <f t="shared" si="72"/>
        <v>-0.30000000000000249</v>
      </c>
      <c r="AL223" s="382">
        <f t="shared" si="73"/>
        <v>1.0208333333333335</v>
      </c>
    </row>
    <row r="224" spans="2:38" s="303" customFormat="1" ht="28.5" x14ac:dyDescent="0.2">
      <c r="B224" s="319">
        <f t="shared" si="61"/>
        <v>214</v>
      </c>
      <c r="C224" s="458" t="s">
        <v>200</v>
      </c>
      <c r="D224" s="342" t="s">
        <v>204</v>
      </c>
      <c r="E224" s="341" t="s">
        <v>205</v>
      </c>
      <c r="F224" s="341">
        <v>6</v>
      </c>
      <c r="G224" s="341">
        <v>8170</v>
      </c>
      <c r="H224" s="341" t="s">
        <v>173</v>
      </c>
      <c r="I224" s="341">
        <v>2400</v>
      </c>
      <c r="J224" s="2"/>
      <c r="K224" s="319">
        <v>130</v>
      </c>
      <c r="L224" s="321">
        <v>21825</v>
      </c>
      <c r="M224" s="322" t="s">
        <v>45</v>
      </c>
      <c r="N224" s="321" t="s">
        <v>39</v>
      </c>
      <c r="O224" s="323" t="s">
        <v>186</v>
      </c>
      <c r="P224" s="321" t="s">
        <v>3</v>
      </c>
      <c r="Q224" s="2"/>
      <c r="R224" s="324">
        <f t="shared" si="60"/>
        <v>2400</v>
      </c>
      <c r="S224" s="325">
        <v>1</v>
      </c>
      <c r="T224" s="325">
        <f t="shared" si="67"/>
        <v>6</v>
      </c>
      <c r="V224" s="324">
        <v>7000</v>
      </c>
      <c r="W224" s="326">
        <f t="shared" si="68"/>
        <v>2</v>
      </c>
      <c r="X224" s="326">
        <f t="shared" si="69"/>
        <v>4905</v>
      </c>
      <c r="Y224" s="327">
        <v>4900</v>
      </c>
      <c r="Z224" s="328">
        <f t="shared" si="66"/>
        <v>3</v>
      </c>
      <c r="AA224" s="392"/>
      <c r="AB224" s="329">
        <v>0.999</v>
      </c>
      <c r="AC224" s="329">
        <v>0.2382</v>
      </c>
      <c r="AE224" s="332">
        <f t="shared" si="62"/>
        <v>14.385599999999998</v>
      </c>
      <c r="AF224" s="332">
        <f t="shared" si="63"/>
        <v>14.6853</v>
      </c>
      <c r="AG224" s="332">
        <f t="shared" si="64"/>
        <v>-0.29970000000000141</v>
      </c>
      <c r="AH224" s="333">
        <f t="shared" si="65"/>
        <v>1.0208333333333335</v>
      </c>
      <c r="AI224" s="329">
        <f t="shared" si="70"/>
        <v>14.399999999999999</v>
      </c>
      <c r="AJ224" s="329">
        <f t="shared" si="71"/>
        <v>14.700000000000001</v>
      </c>
      <c r="AK224" s="329">
        <f t="shared" si="72"/>
        <v>-0.30000000000000249</v>
      </c>
      <c r="AL224" s="382">
        <f t="shared" si="73"/>
        <v>1.0208333333333335</v>
      </c>
    </row>
    <row r="225" spans="2:38" s="303" customFormat="1" ht="28.5" x14ac:dyDescent="0.2">
      <c r="B225" s="319">
        <f t="shared" si="61"/>
        <v>215</v>
      </c>
      <c r="C225" s="458" t="s">
        <v>200</v>
      </c>
      <c r="D225" s="342" t="s">
        <v>204</v>
      </c>
      <c r="E225" s="341" t="s">
        <v>205</v>
      </c>
      <c r="F225" s="341">
        <v>6</v>
      </c>
      <c r="G225" s="341">
        <v>8170</v>
      </c>
      <c r="H225" s="341" t="s">
        <v>173</v>
      </c>
      <c r="I225" s="341">
        <v>2400</v>
      </c>
      <c r="J225" s="2"/>
      <c r="K225" s="319">
        <v>130</v>
      </c>
      <c r="L225" s="321" t="s">
        <v>48</v>
      </c>
      <c r="M225" s="322" t="s">
        <v>49</v>
      </c>
      <c r="N225" s="321" t="s">
        <v>39</v>
      </c>
      <c r="O225" s="323" t="s">
        <v>186</v>
      </c>
      <c r="P225" s="321" t="s">
        <v>3</v>
      </c>
      <c r="Q225" s="2"/>
      <c r="R225" s="324">
        <f t="shared" si="60"/>
        <v>2400</v>
      </c>
      <c r="S225" s="325">
        <v>1</v>
      </c>
      <c r="T225" s="325">
        <f t="shared" si="67"/>
        <v>6</v>
      </c>
      <c r="V225" s="324">
        <v>7000</v>
      </c>
      <c r="W225" s="326">
        <f t="shared" si="68"/>
        <v>2</v>
      </c>
      <c r="X225" s="326">
        <f t="shared" si="69"/>
        <v>4905</v>
      </c>
      <c r="Y225" s="327">
        <v>4900</v>
      </c>
      <c r="Z225" s="328">
        <f t="shared" si="66"/>
        <v>3</v>
      </c>
      <c r="AA225" s="392"/>
      <c r="AB225" s="329">
        <v>0.81</v>
      </c>
      <c r="AC225" s="329">
        <v>0.28999999999999998</v>
      </c>
      <c r="AE225" s="332">
        <f t="shared" si="62"/>
        <v>11.664</v>
      </c>
      <c r="AF225" s="332">
        <f t="shared" si="63"/>
        <v>11.907</v>
      </c>
      <c r="AG225" s="332">
        <f t="shared" si="64"/>
        <v>-0.24300000000000033</v>
      </c>
      <c r="AH225" s="333">
        <f t="shared" si="65"/>
        <v>1.0208333333333333</v>
      </c>
      <c r="AI225" s="329">
        <f t="shared" si="70"/>
        <v>14.399999999999999</v>
      </c>
      <c r="AJ225" s="329">
        <f t="shared" si="71"/>
        <v>14.700000000000001</v>
      </c>
      <c r="AK225" s="329">
        <f t="shared" si="72"/>
        <v>-0.30000000000000249</v>
      </c>
      <c r="AL225" s="382">
        <f t="shared" si="73"/>
        <v>1.0208333333333335</v>
      </c>
    </row>
    <row r="226" spans="2:38" s="303" customFormat="1" ht="28.5" x14ac:dyDescent="0.2">
      <c r="B226" s="319">
        <f t="shared" si="61"/>
        <v>216</v>
      </c>
      <c r="C226" s="458" t="s">
        <v>200</v>
      </c>
      <c r="D226" s="342" t="s">
        <v>204</v>
      </c>
      <c r="E226" s="341" t="s">
        <v>205</v>
      </c>
      <c r="F226" s="341">
        <v>6</v>
      </c>
      <c r="G226" s="341">
        <v>8170</v>
      </c>
      <c r="H226" s="341" t="s">
        <v>173</v>
      </c>
      <c r="I226" s="341">
        <v>2400</v>
      </c>
      <c r="J226" s="2"/>
      <c r="K226" s="319">
        <v>130</v>
      </c>
      <c r="L226" s="321" t="s">
        <v>46</v>
      </c>
      <c r="M226" s="322" t="s">
        <v>47</v>
      </c>
      <c r="N226" s="321" t="s">
        <v>39</v>
      </c>
      <c r="O226" s="323" t="s">
        <v>186</v>
      </c>
      <c r="P226" s="321" t="s">
        <v>3</v>
      </c>
      <c r="Q226" s="2"/>
      <c r="R226" s="324">
        <f t="shared" si="60"/>
        <v>2400</v>
      </c>
      <c r="S226" s="325">
        <v>1</v>
      </c>
      <c r="T226" s="325">
        <f t="shared" si="67"/>
        <v>6</v>
      </c>
      <c r="V226" s="324">
        <v>7000</v>
      </c>
      <c r="W226" s="326">
        <f t="shared" si="68"/>
        <v>2</v>
      </c>
      <c r="X226" s="326">
        <f t="shared" si="69"/>
        <v>4905</v>
      </c>
      <c r="Y226" s="327">
        <v>4900</v>
      </c>
      <c r="Z226" s="328">
        <f t="shared" si="66"/>
        <v>3</v>
      </c>
      <c r="AA226" s="392"/>
      <c r="AB226" s="329">
        <v>0.91600000000000004</v>
      </c>
      <c r="AC226" s="329">
        <v>0.33900000000000002</v>
      </c>
      <c r="AE226" s="332">
        <f t="shared" si="62"/>
        <v>13.190399999999999</v>
      </c>
      <c r="AF226" s="332">
        <f t="shared" si="63"/>
        <v>13.465199999999999</v>
      </c>
      <c r="AG226" s="332">
        <f t="shared" si="64"/>
        <v>-0.27480000000000082</v>
      </c>
      <c r="AH226" s="333">
        <f t="shared" si="65"/>
        <v>1.0208333333333335</v>
      </c>
      <c r="AI226" s="329">
        <f t="shared" si="70"/>
        <v>14.399999999999999</v>
      </c>
      <c r="AJ226" s="329">
        <f t="shared" si="71"/>
        <v>14.700000000000001</v>
      </c>
      <c r="AK226" s="329">
        <f t="shared" si="72"/>
        <v>-0.30000000000000249</v>
      </c>
      <c r="AL226" s="382">
        <f t="shared" si="73"/>
        <v>1.0208333333333335</v>
      </c>
    </row>
    <row r="227" spans="2:38" s="303" customFormat="1" ht="28.5" x14ac:dyDescent="0.2">
      <c r="B227" s="319">
        <f t="shared" si="61"/>
        <v>217</v>
      </c>
      <c r="C227" s="458" t="s">
        <v>200</v>
      </c>
      <c r="D227" s="342" t="s">
        <v>204</v>
      </c>
      <c r="E227" s="341" t="s">
        <v>205</v>
      </c>
      <c r="F227" s="341">
        <v>6</v>
      </c>
      <c r="G227" s="341">
        <v>8170</v>
      </c>
      <c r="H227" s="341" t="s">
        <v>173</v>
      </c>
      <c r="I227" s="341">
        <v>2400</v>
      </c>
      <c r="J227" s="2"/>
      <c r="K227" s="334">
        <v>130</v>
      </c>
      <c r="L227" s="335" t="s">
        <v>121</v>
      </c>
      <c r="M227" s="336" t="s">
        <v>203</v>
      </c>
      <c r="N227" s="337" t="s">
        <v>6</v>
      </c>
      <c r="O227" s="323" t="s">
        <v>186</v>
      </c>
      <c r="P227" s="337" t="s">
        <v>187</v>
      </c>
      <c r="Q227" s="2"/>
      <c r="R227" s="324">
        <f t="shared" si="60"/>
        <v>2400</v>
      </c>
      <c r="S227" s="325">
        <v>1</v>
      </c>
      <c r="T227" s="325">
        <f t="shared" si="67"/>
        <v>6</v>
      </c>
      <c r="V227" s="338">
        <v>3660</v>
      </c>
      <c r="W227" s="339">
        <f t="shared" si="68"/>
        <v>1</v>
      </c>
      <c r="X227" s="339">
        <f t="shared" si="69"/>
        <v>2500</v>
      </c>
      <c r="Y227" s="327">
        <v>3660</v>
      </c>
      <c r="Z227" s="340">
        <f>($R227*$T227)/$V227</f>
        <v>3.9344262295081966</v>
      </c>
      <c r="AA227" s="392"/>
      <c r="AB227" s="329">
        <v>0.84899999999999998</v>
      </c>
      <c r="AC227" s="329">
        <v>0</v>
      </c>
      <c r="AE227" s="332">
        <f t="shared" si="62"/>
        <v>12.225599999999998</v>
      </c>
      <c r="AF227" s="332">
        <f t="shared" si="63"/>
        <v>12.2256</v>
      </c>
      <c r="AG227" s="332">
        <f t="shared" si="64"/>
        <v>0</v>
      </c>
      <c r="AH227" s="333">
        <f t="shared" si="65"/>
        <v>1.0000000000000002</v>
      </c>
      <c r="AI227" s="329">
        <f t="shared" si="70"/>
        <v>14.399999999999999</v>
      </c>
      <c r="AJ227" s="329">
        <f t="shared" si="71"/>
        <v>14.4</v>
      </c>
      <c r="AK227" s="329">
        <f t="shared" si="72"/>
        <v>0</v>
      </c>
      <c r="AL227" s="382">
        <f t="shared" si="73"/>
        <v>1.0000000000000002</v>
      </c>
    </row>
    <row r="228" spans="2:38" s="303" customFormat="1" ht="28.5" x14ac:dyDescent="0.2">
      <c r="B228" s="341">
        <f t="shared" si="61"/>
        <v>218</v>
      </c>
      <c r="C228" s="459" t="s">
        <v>200</v>
      </c>
      <c r="D228" s="342" t="s">
        <v>204</v>
      </c>
      <c r="E228" s="341" t="s">
        <v>205</v>
      </c>
      <c r="F228" s="341">
        <v>6</v>
      </c>
      <c r="G228" s="341">
        <v>8170</v>
      </c>
      <c r="H228" s="341" t="s">
        <v>173</v>
      </c>
      <c r="I228" s="341">
        <v>2400</v>
      </c>
      <c r="J228" s="2"/>
      <c r="K228" s="319">
        <v>123</v>
      </c>
      <c r="L228" s="321" t="s">
        <v>124</v>
      </c>
      <c r="M228" s="322" t="s">
        <v>125</v>
      </c>
      <c r="N228" s="321" t="s">
        <v>39</v>
      </c>
      <c r="O228" s="323" t="s">
        <v>188</v>
      </c>
      <c r="P228" s="321" t="s">
        <v>3</v>
      </c>
      <c r="Q228" s="2"/>
      <c r="R228" s="324">
        <f>ROUNDUP(((G228-(600*2))/6),0)</f>
        <v>1162</v>
      </c>
      <c r="S228" s="325">
        <v>6</v>
      </c>
      <c r="T228" s="325">
        <f t="shared" si="67"/>
        <v>36</v>
      </c>
      <c r="V228" s="324">
        <v>5500</v>
      </c>
      <c r="W228" s="326">
        <f t="shared" si="68"/>
        <v>4</v>
      </c>
      <c r="X228" s="326">
        <f t="shared" si="69"/>
        <v>4763</v>
      </c>
      <c r="Y228" s="327">
        <v>4900</v>
      </c>
      <c r="Z228" s="328">
        <f t="shared" si="66"/>
        <v>9</v>
      </c>
      <c r="AA228" s="304"/>
      <c r="AB228" s="329">
        <v>2.109</v>
      </c>
      <c r="AC228" s="329">
        <v>0.70199999999999996</v>
      </c>
      <c r="AE228" s="332">
        <f t="shared" si="62"/>
        <v>88.223687999999981</v>
      </c>
      <c r="AF228" s="332">
        <f t="shared" si="63"/>
        <v>93.006900000000002</v>
      </c>
      <c r="AG228" s="332">
        <f t="shared" si="64"/>
        <v>-4.7832120000000202</v>
      </c>
      <c r="AH228" s="333">
        <f t="shared" si="65"/>
        <v>1.0542168674698797</v>
      </c>
      <c r="AI228" s="329">
        <f t="shared" si="70"/>
        <v>41.831999999999994</v>
      </c>
      <c r="AJ228" s="329">
        <f t="shared" si="71"/>
        <v>44.1</v>
      </c>
      <c r="AK228" s="329">
        <f t="shared" si="72"/>
        <v>-2.2680000000000078</v>
      </c>
      <c r="AL228" s="382">
        <f t="shared" si="73"/>
        <v>1.0542168674698797</v>
      </c>
    </row>
    <row r="229" spans="2:38" s="303" customFormat="1" ht="28.5" x14ac:dyDescent="0.2">
      <c r="B229" s="341">
        <f t="shared" si="61"/>
        <v>219</v>
      </c>
      <c r="C229" s="459" t="s">
        <v>200</v>
      </c>
      <c r="D229" s="342" t="s">
        <v>204</v>
      </c>
      <c r="E229" s="341" t="s">
        <v>205</v>
      </c>
      <c r="F229" s="341">
        <v>6</v>
      </c>
      <c r="G229" s="341">
        <v>8170</v>
      </c>
      <c r="H229" s="341" t="s">
        <v>173</v>
      </c>
      <c r="I229" s="341">
        <v>2400</v>
      </c>
      <c r="J229" s="2"/>
      <c r="K229" s="319">
        <v>123</v>
      </c>
      <c r="L229" s="321" t="s">
        <v>126</v>
      </c>
      <c r="M229" s="322" t="s">
        <v>127</v>
      </c>
      <c r="N229" s="321" t="s">
        <v>39</v>
      </c>
      <c r="O229" s="323" t="s">
        <v>188</v>
      </c>
      <c r="P229" s="321" t="s">
        <v>3</v>
      </c>
      <c r="Q229" s="2"/>
      <c r="R229" s="324">
        <f t="shared" ref="R229:R232" si="74">ROUNDUP(((G229-(600*2))/6),0)</f>
        <v>1162</v>
      </c>
      <c r="S229" s="325">
        <v>6</v>
      </c>
      <c r="T229" s="325">
        <f t="shared" si="67"/>
        <v>36</v>
      </c>
      <c r="V229" s="324">
        <v>5500</v>
      </c>
      <c r="W229" s="326">
        <f t="shared" si="68"/>
        <v>4</v>
      </c>
      <c r="X229" s="326">
        <f t="shared" si="69"/>
        <v>4763</v>
      </c>
      <c r="Y229" s="327">
        <v>4900</v>
      </c>
      <c r="Z229" s="328">
        <f t="shared" si="66"/>
        <v>9</v>
      </c>
      <c r="AA229" s="392"/>
      <c r="AB229" s="329">
        <v>0.88800000000000001</v>
      </c>
      <c r="AC229" s="329">
        <v>0.34</v>
      </c>
      <c r="AE229" s="332">
        <f t="shared" si="62"/>
        <v>37.146815999999994</v>
      </c>
      <c r="AF229" s="332">
        <f t="shared" si="63"/>
        <v>39.160800000000002</v>
      </c>
      <c r="AG229" s="332">
        <f t="shared" si="64"/>
        <v>-2.0139840000000078</v>
      </c>
      <c r="AH229" s="333">
        <f t="shared" si="65"/>
        <v>1.0542168674698797</v>
      </c>
      <c r="AI229" s="329">
        <f t="shared" si="70"/>
        <v>41.831999999999994</v>
      </c>
      <c r="AJ229" s="329">
        <f t="shared" si="71"/>
        <v>44.1</v>
      </c>
      <c r="AK229" s="329">
        <f t="shared" si="72"/>
        <v>-2.2680000000000078</v>
      </c>
      <c r="AL229" s="382">
        <f t="shared" si="73"/>
        <v>1.0542168674698797</v>
      </c>
    </row>
    <row r="230" spans="2:38" s="303" customFormat="1" ht="28.5" x14ac:dyDescent="0.2">
      <c r="B230" s="341">
        <f t="shared" si="61"/>
        <v>220</v>
      </c>
      <c r="C230" s="459" t="s">
        <v>200</v>
      </c>
      <c r="D230" s="342" t="s">
        <v>204</v>
      </c>
      <c r="E230" s="341" t="s">
        <v>205</v>
      </c>
      <c r="F230" s="341">
        <v>6</v>
      </c>
      <c r="G230" s="341">
        <v>8170</v>
      </c>
      <c r="H230" s="341" t="s">
        <v>173</v>
      </c>
      <c r="I230" s="341">
        <v>2400</v>
      </c>
      <c r="J230" s="2"/>
      <c r="K230" s="319">
        <v>123</v>
      </c>
      <c r="L230" s="321" t="s">
        <v>48</v>
      </c>
      <c r="M230" s="322" t="s">
        <v>49</v>
      </c>
      <c r="N230" s="321" t="s">
        <v>39</v>
      </c>
      <c r="O230" s="323" t="s">
        <v>188</v>
      </c>
      <c r="P230" s="321" t="s">
        <v>3</v>
      </c>
      <c r="Q230" s="2"/>
      <c r="R230" s="324">
        <f t="shared" si="74"/>
        <v>1162</v>
      </c>
      <c r="S230" s="325">
        <v>6</v>
      </c>
      <c r="T230" s="325">
        <f t="shared" si="67"/>
        <v>36</v>
      </c>
      <c r="V230" s="324">
        <v>5500</v>
      </c>
      <c r="W230" s="326">
        <f t="shared" si="68"/>
        <v>4</v>
      </c>
      <c r="X230" s="326">
        <f t="shared" si="69"/>
        <v>4763</v>
      </c>
      <c r="Y230" s="327">
        <v>4900</v>
      </c>
      <c r="Z230" s="328">
        <f t="shared" si="66"/>
        <v>9</v>
      </c>
      <c r="AA230" s="392"/>
      <c r="AB230" s="329">
        <v>0.81</v>
      </c>
      <c r="AC230" s="329">
        <v>0.28999999999999998</v>
      </c>
      <c r="AE230" s="332">
        <f t="shared" si="62"/>
        <v>33.883919999999996</v>
      </c>
      <c r="AF230" s="332">
        <f t="shared" si="63"/>
        <v>35.721000000000004</v>
      </c>
      <c r="AG230" s="332">
        <f t="shared" si="64"/>
        <v>-1.8370800000000074</v>
      </c>
      <c r="AH230" s="333">
        <f t="shared" si="65"/>
        <v>1.0542168674698797</v>
      </c>
      <c r="AI230" s="329">
        <f t="shared" si="70"/>
        <v>41.831999999999994</v>
      </c>
      <c r="AJ230" s="329">
        <f t="shared" si="71"/>
        <v>44.1</v>
      </c>
      <c r="AK230" s="329">
        <f t="shared" si="72"/>
        <v>-2.2680000000000078</v>
      </c>
      <c r="AL230" s="382">
        <f t="shared" si="73"/>
        <v>1.0542168674698797</v>
      </c>
    </row>
    <row r="231" spans="2:38" s="303" customFormat="1" ht="28.5" x14ac:dyDescent="0.2">
      <c r="B231" s="341">
        <f t="shared" si="61"/>
        <v>221</v>
      </c>
      <c r="C231" s="459" t="s">
        <v>200</v>
      </c>
      <c r="D231" s="342" t="s">
        <v>204</v>
      </c>
      <c r="E231" s="341" t="s">
        <v>205</v>
      </c>
      <c r="F231" s="341">
        <v>6</v>
      </c>
      <c r="G231" s="341">
        <v>8170</v>
      </c>
      <c r="H231" s="341" t="s">
        <v>173</v>
      </c>
      <c r="I231" s="341">
        <v>2400</v>
      </c>
      <c r="J231" s="2"/>
      <c r="K231" s="319">
        <v>123</v>
      </c>
      <c r="L231" s="321" t="s">
        <v>46</v>
      </c>
      <c r="M231" s="322" t="s">
        <v>47</v>
      </c>
      <c r="N231" s="321" t="s">
        <v>39</v>
      </c>
      <c r="O231" s="323" t="s">
        <v>188</v>
      </c>
      <c r="P231" s="321" t="s">
        <v>3</v>
      </c>
      <c r="Q231" s="2"/>
      <c r="R231" s="324">
        <f t="shared" si="74"/>
        <v>1162</v>
      </c>
      <c r="S231" s="325">
        <v>6</v>
      </c>
      <c r="T231" s="325">
        <f t="shared" si="67"/>
        <v>36</v>
      </c>
      <c r="V231" s="324">
        <v>5500</v>
      </c>
      <c r="W231" s="326">
        <f t="shared" si="68"/>
        <v>4</v>
      </c>
      <c r="X231" s="326">
        <f t="shared" si="69"/>
        <v>4763</v>
      </c>
      <c r="Y231" s="327">
        <v>4900</v>
      </c>
      <c r="Z231" s="328">
        <f t="shared" si="66"/>
        <v>9</v>
      </c>
      <c r="AA231" s="392"/>
      <c r="AB231" s="329">
        <v>0.91600000000000004</v>
      </c>
      <c r="AC231" s="329">
        <v>0.33900000000000002</v>
      </c>
      <c r="AE231" s="332">
        <f t="shared" si="62"/>
        <v>38.318111999999992</v>
      </c>
      <c r="AF231" s="332">
        <f t="shared" si="63"/>
        <v>40.395600000000002</v>
      </c>
      <c r="AG231" s="332">
        <f t="shared" si="64"/>
        <v>-2.0774880000000095</v>
      </c>
      <c r="AH231" s="333">
        <f t="shared" si="65"/>
        <v>1.0542168674698797</v>
      </c>
      <c r="AI231" s="329">
        <f t="shared" si="70"/>
        <v>41.831999999999994</v>
      </c>
      <c r="AJ231" s="329">
        <f t="shared" si="71"/>
        <v>44.1</v>
      </c>
      <c r="AK231" s="329">
        <f t="shared" si="72"/>
        <v>-2.2680000000000078</v>
      </c>
      <c r="AL231" s="382">
        <f t="shared" si="73"/>
        <v>1.0542168674698797</v>
      </c>
    </row>
    <row r="232" spans="2:38" s="303" customFormat="1" ht="28.5" x14ac:dyDescent="0.2">
      <c r="B232" s="341">
        <f t="shared" si="61"/>
        <v>222</v>
      </c>
      <c r="C232" s="458" t="s">
        <v>200</v>
      </c>
      <c r="D232" s="342" t="s">
        <v>204</v>
      </c>
      <c r="E232" s="341" t="s">
        <v>205</v>
      </c>
      <c r="F232" s="341">
        <v>6</v>
      </c>
      <c r="G232" s="341">
        <v>8170</v>
      </c>
      <c r="H232" s="341" t="s">
        <v>173</v>
      </c>
      <c r="I232" s="341">
        <v>2400</v>
      </c>
      <c r="J232" s="2"/>
      <c r="K232" s="468">
        <v>123</v>
      </c>
      <c r="L232" s="417">
        <v>21825</v>
      </c>
      <c r="M232" s="416" t="s">
        <v>45</v>
      </c>
      <c r="N232" s="417" t="s">
        <v>39</v>
      </c>
      <c r="O232" s="323" t="s">
        <v>188</v>
      </c>
      <c r="P232" s="321" t="s">
        <v>3</v>
      </c>
      <c r="Q232" s="2"/>
      <c r="R232" s="324">
        <f t="shared" si="74"/>
        <v>1162</v>
      </c>
      <c r="S232" s="325">
        <v>6</v>
      </c>
      <c r="T232" s="325">
        <f t="shared" si="67"/>
        <v>36</v>
      </c>
      <c r="V232" s="324">
        <v>5000</v>
      </c>
      <c r="W232" s="326">
        <f t="shared" si="68"/>
        <v>4</v>
      </c>
      <c r="X232" s="326">
        <f t="shared" si="69"/>
        <v>4763</v>
      </c>
      <c r="Y232" s="327">
        <v>4900</v>
      </c>
      <c r="Z232" s="328">
        <f t="shared" si="66"/>
        <v>9</v>
      </c>
      <c r="AA232" s="392"/>
      <c r="AB232" s="329">
        <v>0.999</v>
      </c>
      <c r="AC232" s="329">
        <v>0.2382</v>
      </c>
      <c r="AE232" s="332">
        <f t="shared" si="62"/>
        <v>41.790167999999994</v>
      </c>
      <c r="AF232" s="332">
        <f t="shared" si="63"/>
        <v>44.055900000000001</v>
      </c>
      <c r="AG232" s="332">
        <f t="shared" si="64"/>
        <v>-2.265732000000007</v>
      </c>
      <c r="AH232" s="333">
        <f t="shared" si="65"/>
        <v>1.0542168674698797</v>
      </c>
      <c r="AI232" s="329">
        <f t="shared" si="70"/>
        <v>41.831999999999994</v>
      </c>
      <c r="AJ232" s="329">
        <f t="shared" si="71"/>
        <v>44.1</v>
      </c>
      <c r="AK232" s="329">
        <f t="shared" si="72"/>
        <v>-2.2680000000000078</v>
      </c>
      <c r="AL232" s="382">
        <f t="shared" si="73"/>
        <v>1.0542168674698797</v>
      </c>
    </row>
    <row r="233" spans="2:38" s="303" customFormat="1" ht="28.5" x14ac:dyDescent="0.2">
      <c r="B233" s="341">
        <f t="shared" si="61"/>
        <v>223</v>
      </c>
      <c r="C233" s="459" t="s">
        <v>200</v>
      </c>
      <c r="D233" s="342" t="s">
        <v>204</v>
      </c>
      <c r="E233" s="341" t="s">
        <v>205</v>
      </c>
      <c r="F233" s="341">
        <v>6</v>
      </c>
      <c r="G233" s="341">
        <v>8170</v>
      </c>
      <c r="H233" s="341" t="s">
        <v>173</v>
      </c>
      <c r="I233" s="341">
        <v>2400</v>
      </c>
      <c r="J233" s="2"/>
      <c r="K233" s="334">
        <v>123</v>
      </c>
      <c r="L233" s="335" t="s">
        <v>121</v>
      </c>
      <c r="M233" s="336" t="s">
        <v>203</v>
      </c>
      <c r="N233" s="337" t="s">
        <v>6</v>
      </c>
      <c r="O233" s="323" t="s">
        <v>188</v>
      </c>
      <c r="P233" s="337" t="s">
        <v>187</v>
      </c>
      <c r="Q233" s="2"/>
      <c r="R233" s="324">
        <f>ROUNDUP((G233/2),0)</f>
        <v>4085</v>
      </c>
      <c r="S233" s="325">
        <v>2</v>
      </c>
      <c r="T233" s="325">
        <f t="shared" si="67"/>
        <v>12</v>
      </c>
      <c r="V233" s="338">
        <v>3660</v>
      </c>
      <c r="W233" s="339">
        <f t="shared" si="68"/>
        <v>0</v>
      </c>
      <c r="X233" s="339">
        <f t="shared" si="69"/>
        <v>95</v>
      </c>
      <c r="Y233" s="327">
        <v>3660</v>
      </c>
      <c r="Z233" s="340">
        <f>($R233*$T233)/$V233</f>
        <v>13.39344262295082</v>
      </c>
      <c r="AA233" s="392"/>
      <c r="AB233" s="329">
        <v>0.84899999999999998</v>
      </c>
      <c r="AC233" s="329">
        <v>0</v>
      </c>
      <c r="AE233" s="332">
        <f t="shared" si="62"/>
        <v>41.617979999999996</v>
      </c>
      <c r="AF233" s="332">
        <f t="shared" si="63"/>
        <v>41.617980000000003</v>
      </c>
      <c r="AG233" s="332">
        <f t="shared" si="64"/>
        <v>0</v>
      </c>
      <c r="AH233" s="333">
        <f t="shared" si="65"/>
        <v>1.0000000000000002</v>
      </c>
      <c r="AI233" s="329">
        <f t="shared" si="70"/>
        <v>49.019999999999996</v>
      </c>
      <c r="AJ233" s="329">
        <f t="shared" si="71"/>
        <v>49.02</v>
      </c>
      <c r="AK233" s="329">
        <f t="shared" si="72"/>
        <v>0</v>
      </c>
      <c r="AL233" s="382">
        <f t="shared" si="73"/>
        <v>1.0000000000000002</v>
      </c>
    </row>
    <row r="234" spans="2:38" s="303" customFormat="1" ht="28.5" x14ac:dyDescent="0.2">
      <c r="B234" s="341">
        <f t="shared" si="61"/>
        <v>224</v>
      </c>
      <c r="C234" s="459" t="s">
        <v>200</v>
      </c>
      <c r="D234" s="342" t="s">
        <v>204</v>
      </c>
      <c r="E234" s="341" t="s">
        <v>205</v>
      </c>
      <c r="F234" s="341">
        <v>6</v>
      </c>
      <c r="G234" s="341">
        <v>8170</v>
      </c>
      <c r="H234" s="341" t="s">
        <v>173</v>
      </c>
      <c r="I234" s="341">
        <v>2400</v>
      </c>
      <c r="J234" s="2"/>
      <c r="K234" s="319">
        <v>125</v>
      </c>
      <c r="L234" s="321" t="s">
        <v>124</v>
      </c>
      <c r="M234" s="322" t="s">
        <v>125</v>
      </c>
      <c r="N234" s="321" t="s">
        <v>39</v>
      </c>
      <c r="O234" s="323" t="s">
        <v>188</v>
      </c>
      <c r="P234" s="321" t="s">
        <v>3</v>
      </c>
      <c r="Q234" s="2"/>
      <c r="R234" s="324">
        <f>ROUNDUP(600,0)</f>
        <v>600</v>
      </c>
      <c r="S234" s="325">
        <v>2</v>
      </c>
      <c r="T234" s="325">
        <f t="shared" si="67"/>
        <v>12</v>
      </c>
      <c r="V234" s="324">
        <v>5000</v>
      </c>
      <c r="W234" s="326">
        <f>ROUNDDOWN($V234/$R234,0)</f>
        <v>8</v>
      </c>
      <c r="X234" s="326">
        <f t="shared" si="69"/>
        <v>4935</v>
      </c>
      <c r="Y234" s="327">
        <v>4900</v>
      </c>
      <c r="Z234" s="328">
        <f t="shared" si="66"/>
        <v>1.5</v>
      </c>
      <c r="AA234" s="304"/>
      <c r="AB234" s="329">
        <v>2.109</v>
      </c>
      <c r="AC234" s="329">
        <v>0.70199999999999996</v>
      </c>
      <c r="AE234" s="332">
        <f t="shared" si="62"/>
        <v>15.184799999999999</v>
      </c>
      <c r="AF234" s="332">
        <f t="shared" si="63"/>
        <v>15.501149999999999</v>
      </c>
      <c r="AG234" s="332">
        <f t="shared" si="64"/>
        <v>-0.31634999999999991</v>
      </c>
      <c r="AH234" s="333">
        <f t="shared" si="65"/>
        <v>1.0208333333333333</v>
      </c>
      <c r="AI234" s="332">
        <f t="shared" si="70"/>
        <v>7.1999999999999993</v>
      </c>
      <c r="AJ234" s="332">
        <f t="shared" si="71"/>
        <v>7.3500000000000005</v>
      </c>
      <c r="AK234" s="332">
        <f t="shared" si="72"/>
        <v>-0.15000000000000124</v>
      </c>
      <c r="AL234" s="333">
        <f t="shared" si="73"/>
        <v>1.0208333333333335</v>
      </c>
    </row>
    <row r="235" spans="2:38" s="303" customFormat="1" ht="28.5" x14ac:dyDescent="0.2">
      <c r="B235" s="341">
        <f t="shared" si="61"/>
        <v>225</v>
      </c>
      <c r="C235" s="458" t="s">
        <v>200</v>
      </c>
      <c r="D235" s="342" t="s">
        <v>204</v>
      </c>
      <c r="E235" s="341" t="s">
        <v>205</v>
      </c>
      <c r="F235" s="341">
        <v>6</v>
      </c>
      <c r="G235" s="341">
        <v>8170</v>
      </c>
      <c r="H235" s="341" t="s">
        <v>173</v>
      </c>
      <c r="I235" s="341">
        <v>2400</v>
      </c>
      <c r="J235" s="2"/>
      <c r="K235" s="319">
        <v>125</v>
      </c>
      <c r="L235" s="321" t="s">
        <v>126</v>
      </c>
      <c r="M235" s="322" t="s">
        <v>127</v>
      </c>
      <c r="N235" s="321" t="s">
        <v>39</v>
      </c>
      <c r="O235" s="323" t="s">
        <v>188</v>
      </c>
      <c r="P235" s="321" t="s">
        <v>3</v>
      </c>
      <c r="Q235" s="2"/>
      <c r="R235" s="324">
        <f t="shared" ref="R235:R238" si="75">ROUNDUP(600,0)</f>
        <v>600</v>
      </c>
      <c r="S235" s="325">
        <v>2</v>
      </c>
      <c r="T235" s="325">
        <f t="shared" si="67"/>
        <v>12</v>
      </c>
      <c r="V235" s="324">
        <v>5000</v>
      </c>
      <c r="W235" s="326">
        <f>ROUNDDOWN($V235/$R235,0)</f>
        <v>8</v>
      </c>
      <c r="X235" s="326">
        <f t="shared" si="69"/>
        <v>4935</v>
      </c>
      <c r="Y235" s="327">
        <v>4900</v>
      </c>
      <c r="Z235" s="328">
        <f t="shared" si="66"/>
        <v>1.5</v>
      </c>
      <c r="AA235" s="392"/>
      <c r="AB235" s="329">
        <v>0.88800000000000001</v>
      </c>
      <c r="AC235" s="329">
        <v>0.34</v>
      </c>
      <c r="AE235" s="332">
        <f t="shared" si="62"/>
        <v>6.3935999999999993</v>
      </c>
      <c r="AF235" s="332">
        <f t="shared" si="63"/>
        <v>6.5267999999999997</v>
      </c>
      <c r="AG235" s="332">
        <f t="shared" si="64"/>
        <v>-0.13320000000000043</v>
      </c>
      <c r="AH235" s="333">
        <f t="shared" si="65"/>
        <v>1.0208333333333335</v>
      </c>
      <c r="AI235" s="329">
        <f t="shared" si="70"/>
        <v>7.1999999999999993</v>
      </c>
      <c r="AJ235" s="329">
        <f t="shared" si="71"/>
        <v>7.3500000000000005</v>
      </c>
      <c r="AK235" s="329">
        <f t="shared" si="72"/>
        <v>-0.15000000000000124</v>
      </c>
      <c r="AL235" s="382">
        <f t="shared" si="73"/>
        <v>1.0208333333333335</v>
      </c>
    </row>
    <row r="236" spans="2:38" s="303" customFormat="1" ht="28.5" x14ac:dyDescent="0.2">
      <c r="B236" s="341">
        <f t="shared" si="61"/>
        <v>226</v>
      </c>
      <c r="C236" s="458" t="s">
        <v>200</v>
      </c>
      <c r="D236" s="342" t="s">
        <v>204</v>
      </c>
      <c r="E236" s="341" t="s">
        <v>205</v>
      </c>
      <c r="F236" s="341">
        <v>6</v>
      </c>
      <c r="G236" s="341">
        <v>8170</v>
      </c>
      <c r="H236" s="341" t="s">
        <v>173</v>
      </c>
      <c r="I236" s="341">
        <v>2400</v>
      </c>
      <c r="J236" s="2"/>
      <c r="K236" s="319">
        <v>125</v>
      </c>
      <c r="L236" s="321" t="s">
        <v>48</v>
      </c>
      <c r="M236" s="322" t="s">
        <v>49</v>
      </c>
      <c r="N236" s="321" t="s">
        <v>39</v>
      </c>
      <c r="O236" s="323" t="s">
        <v>188</v>
      </c>
      <c r="P236" s="321" t="s">
        <v>3</v>
      </c>
      <c r="Q236" s="2"/>
      <c r="R236" s="324">
        <f t="shared" si="75"/>
        <v>600</v>
      </c>
      <c r="S236" s="325">
        <v>2</v>
      </c>
      <c r="T236" s="325">
        <f t="shared" si="67"/>
        <v>12</v>
      </c>
      <c r="V236" s="324">
        <v>5000</v>
      </c>
      <c r="W236" s="326">
        <f t="shared" si="68"/>
        <v>8</v>
      </c>
      <c r="X236" s="326">
        <f t="shared" si="69"/>
        <v>4935</v>
      </c>
      <c r="Y236" s="327">
        <v>4900</v>
      </c>
      <c r="Z236" s="328">
        <f t="shared" si="66"/>
        <v>1.5</v>
      </c>
      <c r="AA236" s="392"/>
      <c r="AB236" s="329">
        <v>0.81</v>
      </c>
      <c r="AC236" s="329">
        <v>0.28999999999999998</v>
      </c>
      <c r="AE236" s="332">
        <f t="shared" si="62"/>
        <v>5.8319999999999999</v>
      </c>
      <c r="AF236" s="332">
        <f t="shared" si="63"/>
        <v>5.9535</v>
      </c>
      <c r="AG236" s="332">
        <f t="shared" si="64"/>
        <v>-0.12150000000000016</v>
      </c>
      <c r="AH236" s="333">
        <f t="shared" si="65"/>
        <v>1.0208333333333333</v>
      </c>
      <c r="AI236" s="329">
        <f t="shared" si="70"/>
        <v>7.1999999999999993</v>
      </c>
      <c r="AJ236" s="329">
        <f t="shared" si="71"/>
        <v>7.3500000000000005</v>
      </c>
      <c r="AK236" s="329">
        <f t="shared" si="72"/>
        <v>-0.15000000000000124</v>
      </c>
      <c r="AL236" s="382">
        <f t="shared" si="73"/>
        <v>1.0208333333333335</v>
      </c>
    </row>
    <row r="237" spans="2:38" s="303" customFormat="1" ht="28.5" x14ac:dyDescent="0.2">
      <c r="B237" s="341">
        <f t="shared" si="61"/>
        <v>227</v>
      </c>
      <c r="C237" s="458" t="s">
        <v>200</v>
      </c>
      <c r="D237" s="342" t="s">
        <v>204</v>
      </c>
      <c r="E237" s="341" t="s">
        <v>205</v>
      </c>
      <c r="F237" s="341">
        <v>6</v>
      </c>
      <c r="G237" s="341">
        <v>8170</v>
      </c>
      <c r="H237" s="341" t="s">
        <v>173</v>
      </c>
      <c r="I237" s="341">
        <v>2400</v>
      </c>
      <c r="J237" s="2"/>
      <c r="K237" s="319">
        <v>125</v>
      </c>
      <c r="L237" s="321" t="s">
        <v>46</v>
      </c>
      <c r="M237" s="322" t="s">
        <v>47</v>
      </c>
      <c r="N237" s="321" t="s">
        <v>39</v>
      </c>
      <c r="O237" s="323" t="s">
        <v>188</v>
      </c>
      <c r="P237" s="321" t="s">
        <v>3</v>
      </c>
      <c r="Q237" s="2"/>
      <c r="R237" s="324">
        <f t="shared" si="75"/>
        <v>600</v>
      </c>
      <c r="S237" s="325">
        <v>2</v>
      </c>
      <c r="T237" s="325">
        <f t="shared" si="67"/>
        <v>12</v>
      </c>
      <c r="V237" s="324">
        <v>5000</v>
      </c>
      <c r="W237" s="326">
        <f t="shared" si="68"/>
        <v>8</v>
      </c>
      <c r="X237" s="326">
        <f t="shared" si="69"/>
        <v>4935</v>
      </c>
      <c r="Y237" s="327">
        <v>4900</v>
      </c>
      <c r="Z237" s="328">
        <f t="shared" si="66"/>
        <v>1.5</v>
      </c>
      <c r="AA237" s="392"/>
      <c r="AB237" s="329">
        <v>0.91600000000000004</v>
      </c>
      <c r="AC237" s="329">
        <v>0.33900000000000002</v>
      </c>
      <c r="AE237" s="332">
        <f t="shared" si="62"/>
        <v>6.5951999999999993</v>
      </c>
      <c r="AF237" s="332">
        <f t="shared" si="63"/>
        <v>6.7325999999999997</v>
      </c>
      <c r="AG237" s="332">
        <f t="shared" si="64"/>
        <v>-0.13740000000000041</v>
      </c>
      <c r="AH237" s="333">
        <f t="shared" si="65"/>
        <v>1.0208333333333335</v>
      </c>
      <c r="AI237" s="329">
        <f t="shared" si="70"/>
        <v>7.1999999999999993</v>
      </c>
      <c r="AJ237" s="329">
        <f t="shared" si="71"/>
        <v>7.3500000000000005</v>
      </c>
      <c r="AK237" s="329">
        <f t="shared" si="72"/>
        <v>-0.15000000000000124</v>
      </c>
      <c r="AL237" s="382">
        <f t="shared" si="73"/>
        <v>1.0208333333333335</v>
      </c>
    </row>
    <row r="238" spans="2:38" s="303" customFormat="1" ht="28.5" x14ac:dyDescent="0.2">
      <c r="B238" s="341">
        <f t="shared" si="61"/>
        <v>228</v>
      </c>
      <c r="C238" s="458" t="s">
        <v>200</v>
      </c>
      <c r="D238" s="342" t="s">
        <v>204</v>
      </c>
      <c r="E238" s="341" t="s">
        <v>205</v>
      </c>
      <c r="F238" s="341">
        <v>6</v>
      </c>
      <c r="G238" s="341">
        <v>8170</v>
      </c>
      <c r="H238" s="341" t="s">
        <v>173</v>
      </c>
      <c r="I238" s="341">
        <v>2400</v>
      </c>
      <c r="J238" s="2"/>
      <c r="K238" s="468">
        <v>125</v>
      </c>
      <c r="L238" s="417">
        <v>21825</v>
      </c>
      <c r="M238" s="416" t="s">
        <v>45</v>
      </c>
      <c r="N238" s="417" t="s">
        <v>39</v>
      </c>
      <c r="O238" s="323" t="s">
        <v>188</v>
      </c>
      <c r="P238" s="321" t="s">
        <v>3</v>
      </c>
      <c r="Q238" s="2"/>
      <c r="R238" s="324">
        <f t="shared" si="75"/>
        <v>600</v>
      </c>
      <c r="S238" s="325">
        <v>2</v>
      </c>
      <c r="T238" s="325">
        <f t="shared" si="67"/>
        <v>12</v>
      </c>
      <c r="V238" s="324">
        <v>5000</v>
      </c>
      <c r="W238" s="326">
        <f t="shared" si="68"/>
        <v>8</v>
      </c>
      <c r="X238" s="326">
        <f t="shared" si="69"/>
        <v>4935</v>
      </c>
      <c r="Y238" s="327">
        <v>4900</v>
      </c>
      <c r="Z238" s="328">
        <f t="shared" si="66"/>
        <v>1.5</v>
      </c>
      <c r="AA238" s="392"/>
      <c r="AB238" s="329">
        <v>0.999</v>
      </c>
      <c r="AC238" s="329">
        <v>0.2382</v>
      </c>
      <c r="AE238" s="332">
        <f t="shared" si="62"/>
        <v>7.1927999999999992</v>
      </c>
      <c r="AF238" s="332">
        <f t="shared" si="63"/>
        <v>7.3426499999999999</v>
      </c>
      <c r="AG238" s="332">
        <f t="shared" si="64"/>
        <v>-0.1498500000000007</v>
      </c>
      <c r="AH238" s="333">
        <f t="shared" si="65"/>
        <v>1.0208333333333335</v>
      </c>
      <c r="AI238" s="329">
        <f t="shared" si="70"/>
        <v>7.1999999999999993</v>
      </c>
      <c r="AJ238" s="329">
        <f t="shared" si="71"/>
        <v>7.3500000000000005</v>
      </c>
      <c r="AK238" s="329">
        <f t="shared" si="72"/>
        <v>-0.15000000000000124</v>
      </c>
      <c r="AL238" s="382">
        <f t="shared" si="73"/>
        <v>1.0208333333333335</v>
      </c>
    </row>
    <row r="239" spans="2:38" s="303" customFormat="1" ht="28.5" x14ac:dyDescent="0.2">
      <c r="B239" s="341">
        <f t="shared" si="61"/>
        <v>229</v>
      </c>
      <c r="C239" s="459" t="s">
        <v>200</v>
      </c>
      <c r="D239" s="342" t="s">
        <v>204</v>
      </c>
      <c r="E239" s="341" t="s">
        <v>205</v>
      </c>
      <c r="F239" s="341">
        <v>6</v>
      </c>
      <c r="G239" s="341">
        <v>8170</v>
      </c>
      <c r="H239" s="341" t="s">
        <v>173</v>
      </c>
      <c r="I239" s="341">
        <v>2400</v>
      </c>
      <c r="J239" s="2"/>
      <c r="K239" s="319">
        <v>125</v>
      </c>
      <c r="L239" s="321" t="s">
        <v>114</v>
      </c>
      <c r="M239" s="322" t="s">
        <v>115</v>
      </c>
      <c r="N239" s="321" t="s">
        <v>39</v>
      </c>
      <c r="O239" s="323" t="s">
        <v>188</v>
      </c>
      <c r="P239" s="321" t="s">
        <v>3</v>
      </c>
      <c r="Q239" s="2"/>
      <c r="R239" s="324">
        <f>ROUNDUP(600,0)</f>
        <v>600</v>
      </c>
      <c r="S239" s="325">
        <v>1</v>
      </c>
      <c r="T239" s="325">
        <f t="shared" si="67"/>
        <v>6</v>
      </c>
      <c r="V239" s="348">
        <v>6500</v>
      </c>
      <c r="W239" s="326">
        <f t="shared" si="68"/>
        <v>10</v>
      </c>
      <c r="X239" s="326">
        <f t="shared" si="69"/>
        <v>6145</v>
      </c>
      <c r="Y239" s="327">
        <v>6200</v>
      </c>
      <c r="Z239" s="328">
        <f t="shared" si="66"/>
        <v>0.6</v>
      </c>
      <c r="AA239" s="304"/>
      <c r="AB239" s="329">
        <v>0.83499999999999996</v>
      </c>
      <c r="AC239" s="329">
        <v>0.21299999999999999</v>
      </c>
      <c r="AE239" s="332">
        <f t="shared" si="62"/>
        <v>3.0059999999999998</v>
      </c>
      <c r="AF239" s="332">
        <f t="shared" si="63"/>
        <v>3.1061999999999999</v>
      </c>
      <c r="AG239" s="332">
        <f t="shared" si="64"/>
        <v>-0.10020000000000007</v>
      </c>
      <c r="AH239" s="333">
        <f t="shared" si="65"/>
        <v>1.0333333333333334</v>
      </c>
      <c r="AI239" s="329">
        <f t="shared" si="70"/>
        <v>3.5999999999999996</v>
      </c>
      <c r="AJ239" s="329">
        <f t="shared" si="71"/>
        <v>3.7199999999999998</v>
      </c>
      <c r="AK239" s="329">
        <f t="shared" si="72"/>
        <v>-0.12000000000000011</v>
      </c>
      <c r="AL239" s="382">
        <f t="shared" si="73"/>
        <v>1.0333333333333334</v>
      </c>
    </row>
    <row r="240" spans="2:38" s="303" customFormat="1" ht="28.5" x14ac:dyDescent="0.2">
      <c r="B240" s="341">
        <f t="shared" si="61"/>
        <v>230</v>
      </c>
      <c r="C240" s="460" t="s">
        <v>200</v>
      </c>
      <c r="D240" s="342" t="s">
        <v>204</v>
      </c>
      <c r="E240" s="396" t="s">
        <v>205</v>
      </c>
      <c r="F240" s="396">
        <v>6</v>
      </c>
      <c r="G240" s="396">
        <v>8170</v>
      </c>
      <c r="H240" s="396" t="s">
        <v>173</v>
      </c>
      <c r="I240" s="396">
        <v>2400</v>
      </c>
      <c r="J240" s="2"/>
      <c r="K240" s="397">
        <v>125</v>
      </c>
      <c r="L240" s="321" t="s">
        <v>50</v>
      </c>
      <c r="M240" s="322" t="s">
        <v>51</v>
      </c>
      <c r="N240" s="398" t="s">
        <v>39</v>
      </c>
      <c r="O240" s="323" t="s">
        <v>188</v>
      </c>
      <c r="P240" s="398" t="s">
        <v>3</v>
      </c>
      <c r="Q240" s="2"/>
      <c r="R240" s="399">
        <f>ROUNDUP(600,0)</f>
        <v>600</v>
      </c>
      <c r="S240" s="400">
        <v>1</v>
      </c>
      <c r="T240" s="400">
        <f t="shared" si="67"/>
        <v>6</v>
      </c>
      <c r="V240" s="399">
        <v>6500</v>
      </c>
      <c r="W240" s="401">
        <f t="shared" si="68"/>
        <v>10</v>
      </c>
      <c r="X240" s="401">
        <f t="shared" si="69"/>
        <v>6145</v>
      </c>
      <c r="Y240" s="402">
        <v>6200</v>
      </c>
      <c r="Z240" s="403">
        <f t="shared" si="66"/>
        <v>0.6</v>
      </c>
      <c r="AA240" s="392"/>
      <c r="AB240" s="395">
        <v>1.7110000000000001</v>
      </c>
      <c r="AC240" s="395">
        <v>0.34200000000000003</v>
      </c>
      <c r="AE240" s="332">
        <f t="shared" si="62"/>
        <v>6.1595999999999993</v>
      </c>
      <c r="AF240" s="332">
        <f t="shared" si="63"/>
        <v>6.3649200000000006</v>
      </c>
      <c r="AG240" s="332">
        <f t="shared" si="64"/>
        <v>-0.20532000000000128</v>
      </c>
      <c r="AH240" s="333">
        <f t="shared" si="65"/>
        <v>1.0333333333333334</v>
      </c>
      <c r="AI240" s="404">
        <f t="shared" si="70"/>
        <v>3.5999999999999996</v>
      </c>
      <c r="AJ240" s="404">
        <f t="shared" si="71"/>
        <v>3.7199999999999998</v>
      </c>
      <c r="AK240" s="404">
        <f t="shared" si="72"/>
        <v>-0.12000000000000011</v>
      </c>
      <c r="AL240" s="405">
        <f t="shared" si="73"/>
        <v>1.0333333333333334</v>
      </c>
    </row>
    <row r="241" spans="2:39" s="303" customFormat="1" ht="28.5" x14ac:dyDescent="0.2">
      <c r="B241" s="341">
        <f t="shared" si="61"/>
        <v>231</v>
      </c>
      <c r="C241" s="459" t="s">
        <v>200</v>
      </c>
      <c r="D241" s="342" t="s">
        <v>204</v>
      </c>
      <c r="E241" s="341" t="s">
        <v>205</v>
      </c>
      <c r="F241" s="341">
        <v>6</v>
      </c>
      <c r="G241" s="341">
        <v>8170</v>
      </c>
      <c r="H241" s="341" t="s">
        <v>173</v>
      </c>
      <c r="I241" s="341">
        <v>2400</v>
      </c>
      <c r="J241" s="2"/>
      <c r="K241" s="345">
        <v>125</v>
      </c>
      <c r="L241" s="347">
        <v>10926</v>
      </c>
      <c r="M241" s="346" t="s">
        <v>36</v>
      </c>
      <c r="N241" s="347" t="s">
        <v>6</v>
      </c>
      <c r="O241" s="323" t="s">
        <v>188</v>
      </c>
      <c r="P241" s="347" t="s">
        <v>187</v>
      </c>
      <c r="Q241" s="2"/>
      <c r="R241" s="348">
        <f>ROUNDUP(600,0)</f>
        <v>600</v>
      </c>
      <c r="S241" s="349">
        <v>1</v>
      </c>
      <c r="T241" s="349">
        <f t="shared" si="67"/>
        <v>6</v>
      </c>
      <c r="V241" s="348">
        <v>6100</v>
      </c>
      <c r="W241" s="350">
        <f t="shared" si="68"/>
        <v>10</v>
      </c>
      <c r="X241" s="350">
        <f t="shared" si="69"/>
        <v>6145</v>
      </c>
      <c r="Y241" s="351">
        <v>6100</v>
      </c>
      <c r="Z241" s="389">
        <f t="shared" si="66"/>
        <v>0.6</v>
      </c>
      <c r="AA241" s="392"/>
      <c r="AB241" s="329">
        <v>0.76700000000000002</v>
      </c>
      <c r="AC241" s="329"/>
      <c r="AE241" s="332">
        <f t="shared" si="62"/>
        <v>2.7611999999999997</v>
      </c>
      <c r="AF241" s="332">
        <f t="shared" si="63"/>
        <v>2.80722</v>
      </c>
      <c r="AG241" s="332">
        <f t="shared" si="64"/>
        <v>-4.6020000000000394E-2</v>
      </c>
      <c r="AH241" s="333">
        <f t="shared" si="65"/>
        <v>1.0166666666666668</v>
      </c>
      <c r="AI241" s="332">
        <f t="shared" si="70"/>
        <v>3.5999999999999996</v>
      </c>
      <c r="AJ241" s="332">
        <f t="shared" si="71"/>
        <v>3.6599999999999997</v>
      </c>
      <c r="AK241" s="332">
        <f t="shared" si="72"/>
        <v>-6.0000000000000053E-2</v>
      </c>
      <c r="AL241" s="333">
        <f t="shared" si="73"/>
        <v>1.0166666666666666</v>
      </c>
    </row>
    <row r="242" spans="2:39" s="303" customFormat="1" ht="28.5" x14ac:dyDescent="0.2">
      <c r="B242" s="341">
        <f t="shared" si="61"/>
        <v>232</v>
      </c>
      <c r="C242" s="459" t="s">
        <v>200</v>
      </c>
      <c r="D242" s="342" t="s">
        <v>204</v>
      </c>
      <c r="E242" s="341" t="s">
        <v>205</v>
      </c>
      <c r="F242" s="341">
        <v>6</v>
      </c>
      <c r="G242" s="341">
        <v>8170</v>
      </c>
      <c r="H242" s="341" t="s">
        <v>173</v>
      </c>
      <c r="I242" s="341">
        <v>2400</v>
      </c>
      <c r="J242" s="2"/>
      <c r="K242" s="341">
        <v>124</v>
      </c>
      <c r="L242" s="321" t="s">
        <v>124</v>
      </c>
      <c r="M242" s="322" t="s">
        <v>125</v>
      </c>
      <c r="N242" s="342" t="s">
        <v>39</v>
      </c>
      <c r="O242" s="323" t="s">
        <v>188</v>
      </c>
      <c r="P242" s="342" t="s">
        <v>3</v>
      </c>
      <c r="Q242" s="2"/>
      <c r="R242" s="324">
        <f>ROUNDUP(((G242-(600*2))/6),0)</f>
        <v>1162</v>
      </c>
      <c r="S242" s="325">
        <v>6</v>
      </c>
      <c r="T242" s="349">
        <f t="shared" si="67"/>
        <v>36</v>
      </c>
      <c r="V242" s="324">
        <v>5500</v>
      </c>
      <c r="W242" s="388">
        <f t="shared" si="68"/>
        <v>4</v>
      </c>
      <c r="X242" s="388">
        <f t="shared" si="69"/>
        <v>4763</v>
      </c>
      <c r="Y242" s="327">
        <v>4900</v>
      </c>
      <c r="Z242" s="389">
        <f t="shared" si="66"/>
        <v>9</v>
      </c>
      <c r="AA242" s="392"/>
      <c r="AB242" s="329">
        <v>2.109</v>
      </c>
      <c r="AC242" s="329">
        <v>0.70199999999999996</v>
      </c>
      <c r="AE242" s="332">
        <f t="shared" si="62"/>
        <v>88.223687999999981</v>
      </c>
      <c r="AF242" s="332">
        <f t="shared" si="63"/>
        <v>93.006900000000002</v>
      </c>
      <c r="AG242" s="332">
        <f t="shared" si="64"/>
        <v>-4.7832120000000202</v>
      </c>
      <c r="AH242" s="333">
        <f t="shared" si="65"/>
        <v>1.0542168674698797</v>
      </c>
      <c r="AI242" s="332">
        <f t="shared" si="70"/>
        <v>41.831999999999994</v>
      </c>
      <c r="AJ242" s="332">
        <f t="shared" si="71"/>
        <v>44.1</v>
      </c>
      <c r="AK242" s="332">
        <f t="shared" si="72"/>
        <v>-2.2680000000000078</v>
      </c>
      <c r="AL242" s="333">
        <f t="shared" si="73"/>
        <v>1.0542168674698797</v>
      </c>
    </row>
    <row r="243" spans="2:39" s="303" customFormat="1" ht="28.5" x14ac:dyDescent="0.2">
      <c r="B243" s="341">
        <f t="shared" si="61"/>
        <v>233</v>
      </c>
      <c r="C243" s="459" t="s">
        <v>200</v>
      </c>
      <c r="D243" s="342" t="s">
        <v>204</v>
      </c>
      <c r="E243" s="341" t="s">
        <v>205</v>
      </c>
      <c r="F243" s="341">
        <v>6</v>
      </c>
      <c r="G243" s="341">
        <v>8170</v>
      </c>
      <c r="H243" s="341" t="s">
        <v>173</v>
      </c>
      <c r="I243" s="341">
        <v>2400</v>
      </c>
      <c r="J243" s="2"/>
      <c r="K243" s="341">
        <v>124</v>
      </c>
      <c r="L243" s="321" t="s">
        <v>126</v>
      </c>
      <c r="M243" s="322" t="s">
        <v>127</v>
      </c>
      <c r="N243" s="342" t="s">
        <v>39</v>
      </c>
      <c r="O243" s="323" t="s">
        <v>188</v>
      </c>
      <c r="P243" s="342" t="s">
        <v>3</v>
      </c>
      <c r="Q243" s="2"/>
      <c r="R243" s="324">
        <f t="shared" ref="R243:R246" si="76">ROUNDUP(((G243-(600*2))/6),0)</f>
        <v>1162</v>
      </c>
      <c r="S243" s="325">
        <v>6</v>
      </c>
      <c r="T243" s="349">
        <f t="shared" si="67"/>
        <v>36</v>
      </c>
      <c r="V243" s="324">
        <v>5500</v>
      </c>
      <c r="W243" s="388">
        <f t="shared" si="68"/>
        <v>4</v>
      </c>
      <c r="X243" s="388">
        <f t="shared" si="69"/>
        <v>4763</v>
      </c>
      <c r="Y243" s="327">
        <v>4900</v>
      </c>
      <c r="Z243" s="389">
        <f t="shared" si="66"/>
        <v>9</v>
      </c>
      <c r="AA243" s="392"/>
      <c r="AB243" s="329">
        <v>0.88800000000000001</v>
      </c>
      <c r="AC243" s="329">
        <v>0.34</v>
      </c>
      <c r="AE243" s="332">
        <f t="shared" si="62"/>
        <v>37.146815999999994</v>
      </c>
      <c r="AF243" s="332">
        <f t="shared" si="63"/>
        <v>39.160800000000002</v>
      </c>
      <c r="AG243" s="332">
        <f t="shared" si="64"/>
        <v>-2.0139840000000078</v>
      </c>
      <c r="AH243" s="333">
        <f t="shared" si="65"/>
        <v>1.0542168674698797</v>
      </c>
      <c r="AI243" s="332">
        <f t="shared" si="70"/>
        <v>41.831999999999994</v>
      </c>
      <c r="AJ243" s="332">
        <f t="shared" si="71"/>
        <v>44.1</v>
      </c>
      <c r="AK243" s="332">
        <f t="shared" si="72"/>
        <v>-2.2680000000000078</v>
      </c>
      <c r="AL243" s="333">
        <f t="shared" si="73"/>
        <v>1.0542168674698797</v>
      </c>
    </row>
    <row r="244" spans="2:39" s="303" customFormat="1" ht="28.5" x14ac:dyDescent="0.2">
      <c r="B244" s="341">
        <f t="shared" si="61"/>
        <v>234</v>
      </c>
      <c r="C244" s="459" t="s">
        <v>200</v>
      </c>
      <c r="D244" s="342" t="s">
        <v>204</v>
      </c>
      <c r="E244" s="341" t="s">
        <v>205</v>
      </c>
      <c r="F244" s="341">
        <v>6</v>
      </c>
      <c r="G244" s="341">
        <v>8170</v>
      </c>
      <c r="H244" s="341" t="s">
        <v>173</v>
      </c>
      <c r="I244" s="341">
        <v>2400</v>
      </c>
      <c r="J244" s="2"/>
      <c r="K244" s="341">
        <v>124</v>
      </c>
      <c r="L244" s="342" t="s">
        <v>48</v>
      </c>
      <c r="M244" s="343" t="s">
        <v>49</v>
      </c>
      <c r="N244" s="342" t="s">
        <v>39</v>
      </c>
      <c r="O244" s="323" t="s">
        <v>188</v>
      </c>
      <c r="P244" s="342" t="s">
        <v>3</v>
      </c>
      <c r="Q244" s="2"/>
      <c r="R244" s="324">
        <f t="shared" si="76"/>
        <v>1162</v>
      </c>
      <c r="S244" s="325">
        <v>6</v>
      </c>
      <c r="T244" s="349">
        <f t="shared" si="67"/>
        <v>36</v>
      </c>
      <c r="V244" s="324">
        <v>5500</v>
      </c>
      <c r="W244" s="388">
        <f t="shared" si="68"/>
        <v>4</v>
      </c>
      <c r="X244" s="388">
        <f t="shared" si="69"/>
        <v>4763</v>
      </c>
      <c r="Y244" s="327">
        <v>4900</v>
      </c>
      <c r="Z244" s="389">
        <f t="shared" si="66"/>
        <v>9</v>
      </c>
      <c r="AA244" s="392"/>
      <c r="AB244" s="329">
        <v>0.81</v>
      </c>
      <c r="AC244" s="329">
        <v>0.28999999999999998</v>
      </c>
      <c r="AE244" s="332">
        <f t="shared" si="62"/>
        <v>33.883919999999996</v>
      </c>
      <c r="AF244" s="332">
        <f t="shared" si="63"/>
        <v>35.721000000000004</v>
      </c>
      <c r="AG244" s="332">
        <f t="shared" si="64"/>
        <v>-1.8370800000000074</v>
      </c>
      <c r="AH244" s="333">
        <f t="shared" si="65"/>
        <v>1.0542168674698797</v>
      </c>
      <c r="AI244" s="332">
        <f t="shared" si="70"/>
        <v>41.831999999999994</v>
      </c>
      <c r="AJ244" s="332">
        <f t="shared" si="71"/>
        <v>44.1</v>
      </c>
      <c r="AK244" s="332">
        <f t="shared" si="72"/>
        <v>-2.2680000000000078</v>
      </c>
      <c r="AL244" s="333">
        <f t="shared" si="73"/>
        <v>1.0542168674698797</v>
      </c>
    </row>
    <row r="245" spans="2:39" s="303" customFormat="1" ht="28.5" x14ac:dyDescent="0.2">
      <c r="B245" s="341">
        <f t="shared" si="61"/>
        <v>235</v>
      </c>
      <c r="C245" s="459" t="s">
        <v>200</v>
      </c>
      <c r="D245" s="342" t="s">
        <v>204</v>
      </c>
      <c r="E245" s="341" t="s">
        <v>205</v>
      </c>
      <c r="F245" s="341">
        <v>6</v>
      </c>
      <c r="G245" s="341">
        <v>8170</v>
      </c>
      <c r="H245" s="341" t="s">
        <v>173</v>
      </c>
      <c r="I245" s="341">
        <v>2400</v>
      </c>
      <c r="J245" s="2"/>
      <c r="K245" s="341">
        <v>124</v>
      </c>
      <c r="L245" s="342" t="s">
        <v>46</v>
      </c>
      <c r="M245" s="343" t="s">
        <v>47</v>
      </c>
      <c r="N245" s="342" t="s">
        <v>39</v>
      </c>
      <c r="O245" s="323" t="s">
        <v>188</v>
      </c>
      <c r="P245" s="342" t="s">
        <v>3</v>
      </c>
      <c r="Q245" s="2"/>
      <c r="R245" s="324">
        <f t="shared" si="76"/>
        <v>1162</v>
      </c>
      <c r="S245" s="325">
        <v>6</v>
      </c>
      <c r="T245" s="349">
        <f t="shared" si="67"/>
        <v>36</v>
      </c>
      <c r="V245" s="324">
        <v>5500</v>
      </c>
      <c r="W245" s="388">
        <f t="shared" si="68"/>
        <v>4</v>
      </c>
      <c r="X245" s="388">
        <f t="shared" si="69"/>
        <v>4763</v>
      </c>
      <c r="Y245" s="327">
        <v>4900</v>
      </c>
      <c r="Z245" s="389">
        <f t="shared" si="66"/>
        <v>9</v>
      </c>
      <c r="AA245" s="392"/>
      <c r="AB245" s="329">
        <v>0.91600000000000004</v>
      </c>
      <c r="AC245" s="329">
        <v>0.33900000000000002</v>
      </c>
      <c r="AE245" s="332">
        <f t="shared" si="62"/>
        <v>38.318111999999992</v>
      </c>
      <c r="AF245" s="332">
        <f t="shared" si="63"/>
        <v>40.395600000000002</v>
      </c>
      <c r="AG245" s="332">
        <f t="shared" si="64"/>
        <v>-2.0774880000000095</v>
      </c>
      <c r="AH245" s="333">
        <f t="shared" si="65"/>
        <v>1.0542168674698797</v>
      </c>
      <c r="AI245" s="332">
        <f t="shared" si="70"/>
        <v>41.831999999999994</v>
      </c>
      <c r="AJ245" s="332">
        <f t="shared" si="71"/>
        <v>44.1</v>
      </c>
      <c r="AK245" s="332">
        <f t="shared" si="72"/>
        <v>-2.2680000000000078</v>
      </c>
      <c r="AL245" s="333">
        <f t="shared" si="73"/>
        <v>1.0542168674698797</v>
      </c>
    </row>
    <row r="246" spans="2:39" s="303" customFormat="1" ht="28.5" x14ac:dyDescent="0.2">
      <c r="B246" s="341">
        <f t="shared" si="61"/>
        <v>236</v>
      </c>
      <c r="C246" s="458" t="s">
        <v>200</v>
      </c>
      <c r="D246" s="342" t="s">
        <v>204</v>
      </c>
      <c r="E246" s="341" t="s">
        <v>205</v>
      </c>
      <c r="F246" s="341">
        <v>6</v>
      </c>
      <c r="G246" s="341">
        <v>8170</v>
      </c>
      <c r="H246" s="341" t="s">
        <v>173</v>
      </c>
      <c r="I246" s="341">
        <v>2400</v>
      </c>
      <c r="J246" s="2"/>
      <c r="K246" s="468">
        <v>124</v>
      </c>
      <c r="L246" s="417">
        <v>21825</v>
      </c>
      <c r="M246" s="416" t="s">
        <v>45</v>
      </c>
      <c r="N246" s="417" t="s">
        <v>39</v>
      </c>
      <c r="O246" s="323" t="s">
        <v>188</v>
      </c>
      <c r="P246" s="321" t="s">
        <v>3</v>
      </c>
      <c r="Q246" s="2"/>
      <c r="R246" s="324">
        <f t="shared" si="76"/>
        <v>1162</v>
      </c>
      <c r="S246" s="325">
        <v>6</v>
      </c>
      <c r="T246" s="325">
        <f t="shared" si="67"/>
        <v>36</v>
      </c>
      <c r="V246" s="324">
        <v>5000</v>
      </c>
      <c r="W246" s="326">
        <f t="shared" si="68"/>
        <v>4</v>
      </c>
      <c r="X246" s="326">
        <f t="shared" si="69"/>
        <v>4763</v>
      </c>
      <c r="Y246" s="327">
        <v>4900</v>
      </c>
      <c r="Z246" s="328">
        <f t="shared" si="66"/>
        <v>9</v>
      </c>
      <c r="AA246" s="392"/>
      <c r="AB246" s="329">
        <v>0.999</v>
      </c>
      <c r="AC246" s="329">
        <v>0.2382</v>
      </c>
      <c r="AE246" s="332">
        <f t="shared" si="62"/>
        <v>41.790167999999994</v>
      </c>
      <c r="AF246" s="332">
        <f t="shared" si="63"/>
        <v>44.055900000000001</v>
      </c>
      <c r="AG246" s="332">
        <f t="shared" si="64"/>
        <v>-2.265732000000007</v>
      </c>
      <c r="AH246" s="333">
        <f t="shared" si="65"/>
        <v>1.0542168674698797</v>
      </c>
      <c r="AI246" s="329">
        <f t="shared" si="70"/>
        <v>41.831999999999994</v>
      </c>
      <c r="AJ246" s="329">
        <f t="shared" si="71"/>
        <v>44.1</v>
      </c>
      <c r="AK246" s="329">
        <f t="shared" si="72"/>
        <v>-2.2680000000000078</v>
      </c>
      <c r="AL246" s="382">
        <f t="shared" si="73"/>
        <v>1.0542168674698797</v>
      </c>
    </row>
    <row r="247" spans="2:39" s="303" customFormat="1" ht="28.5" x14ac:dyDescent="0.2">
      <c r="B247" s="341">
        <f t="shared" si="61"/>
        <v>237</v>
      </c>
      <c r="C247" s="459" t="s">
        <v>200</v>
      </c>
      <c r="D247" s="342" t="s">
        <v>204</v>
      </c>
      <c r="E247" s="341" t="s">
        <v>205</v>
      </c>
      <c r="F247" s="341">
        <v>6</v>
      </c>
      <c r="G247" s="341">
        <v>8170</v>
      </c>
      <c r="H247" s="341" t="s">
        <v>173</v>
      </c>
      <c r="I247" s="341">
        <v>2400</v>
      </c>
      <c r="J247" s="2"/>
      <c r="K247" s="345">
        <v>124</v>
      </c>
      <c r="L247" s="335" t="s">
        <v>121</v>
      </c>
      <c r="M247" s="336" t="s">
        <v>203</v>
      </c>
      <c r="N247" s="347" t="s">
        <v>6</v>
      </c>
      <c r="O247" s="323" t="s">
        <v>188</v>
      </c>
      <c r="P247" s="347" t="s">
        <v>187</v>
      </c>
      <c r="Q247" s="2"/>
      <c r="R247" s="348">
        <f>ROUNDUP((G247/2),0)</f>
        <v>4085</v>
      </c>
      <c r="S247" s="349">
        <v>2</v>
      </c>
      <c r="T247" s="349">
        <f t="shared" si="67"/>
        <v>12</v>
      </c>
      <c r="V247" s="338">
        <v>3660</v>
      </c>
      <c r="W247" s="350">
        <f t="shared" si="68"/>
        <v>0</v>
      </c>
      <c r="X247" s="350">
        <f t="shared" si="69"/>
        <v>95</v>
      </c>
      <c r="Y247" s="327">
        <v>3660</v>
      </c>
      <c r="Z247" s="340">
        <f>($R247*$T247)/$V247</f>
        <v>13.39344262295082</v>
      </c>
      <c r="AA247" s="392"/>
      <c r="AB247" s="329">
        <v>0.84899999999999998</v>
      </c>
      <c r="AC247" s="329">
        <v>0</v>
      </c>
      <c r="AE247" s="332">
        <f t="shared" si="62"/>
        <v>41.617979999999996</v>
      </c>
      <c r="AF247" s="332">
        <f t="shared" si="63"/>
        <v>41.617980000000003</v>
      </c>
      <c r="AG247" s="332">
        <f t="shared" si="64"/>
        <v>0</v>
      </c>
      <c r="AH247" s="333">
        <f t="shared" si="65"/>
        <v>1.0000000000000002</v>
      </c>
      <c r="AI247" s="332">
        <f t="shared" si="70"/>
        <v>49.019999999999996</v>
      </c>
      <c r="AJ247" s="332">
        <f t="shared" si="71"/>
        <v>49.02</v>
      </c>
      <c r="AK247" s="332">
        <f t="shared" si="72"/>
        <v>0</v>
      </c>
      <c r="AL247" s="333">
        <f t="shared" si="73"/>
        <v>1.0000000000000002</v>
      </c>
    </row>
    <row r="248" spans="2:39" s="303" customFormat="1" ht="28.5" x14ac:dyDescent="0.2">
      <c r="B248" s="341">
        <f t="shared" si="61"/>
        <v>238</v>
      </c>
      <c r="C248" s="459" t="s">
        <v>200</v>
      </c>
      <c r="D248" s="342" t="s">
        <v>204</v>
      </c>
      <c r="E248" s="341" t="s">
        <v>205</v>
      </c>
      <c r="F248" s="341">
        <v>6</v>
      </c>
      <c r="G248" s="341">
        <v>8170</v>
      </c>
      <c r="H248" s="341" t="s">
        <v>173</v>
      </c>
      <c r="I248" s="341">
        <v>2400</v>
      </c>
      <c r="J248" s="2"/>
      <c r="K248" s="319">
        <v>126</v>
      </c>
      <c r="L248" s="321" t="s">
        <v>124</v>
      </c>
      <c r="M248" s="322" t="s">
        <v>125</v>
      </c>
      <c r="N248" s="321" t="s">
        <v>39</v>
      </c>
      <c r="O248" s="323" t="s">
        <v>188</v>
      </c>
      <c r="P248" s="321" t="s">
        <v>3</v>
      </c>
      <c r="Q248" s="2"/>
      <c r="R248" s="324">
        <f>ROUNDUP(600,0)</f>
        <v>600</v>
      </c>
      <c r="S248" s="325">
        <v>2</v>
      </c>
      <c r="T248" s="325">
        <f t="shared" si="67"/>
        <v>12</v>
      </c>
      <c r="V248" s="324">
        <v>5000</v>
      </c>
      <c r="W248" s="326">
        <f t="shared" si="68"/>
        <v>8</v>
      </c>
      <c r="X248" s="326">
        <f t="shared" si="69"/>
        <v>4935</v>
      </c>
      <c r="Y248" s="327">
        <v>4900</v>
      </c>
      <c r="Z248" s="328">
        <f t="shared" si="66"/>
        <v>1.5</v>
      </c>
      <c r="AA248" s="387">
        <v>21</v>
      </c>
      <c r="AB248" s="329">
        <v>2.109</v>
      </c>
      <c r="AC248" s="329">
        <v>0.70199999999999996</v>
      </c>
      <c r="AE248" s="332">
        <f t="shared" si="62"/>
        <v>15.184799999999999</v>
      </c>
      <c r="AF248" s="332">
        <f t="shared" si="63"/>
        <v>15.501149999999999</v>
      </c>
      <c r="AG248" s="332">
        <f t="shared" si="64"/>
        <v>-0.31634999999999991</v>
      </c>
      <c r="AH248" s="333">
        <f t="shared" si="65"/>
        <v>1.0208333333333333</v>
      </c>
      <c r="AI248" s="332">
        <f t="shared" si="70"/>
        <v>7.1999999999999993</v>
      </c>
      <c r="AJ248" s="332">
        <f t="shared" si="71"/>
        <v>7.3500000000000005</v>
      </c>
      <c r="AK248" s="332">
        <f t="shared" si="72"/>
        <v>-0.15000000000000124</v>
      </c>
      <c r="AL248" s="333">
        <f t="shared" si="73"/>
        <v>1.0208333333333335</v>
      </c>
    </row>
    <row r="249" spans="2:39" s="303" customFormat="1" ht="28.5" x14ac:dyDescent="0.2">
      <c r="B249" s="341">
        <f t="shared" si="61"/>
        <v>239</v>
      </c>
      <c r="C249" s="458" t="s">
        <v>200</v>
      </c>
      <c r="D249" s="342" t="s">
        <v>204</v>
      </c>
      <c r="E249" s="341" t="s">
        <v>205</v>
      </c>
      <c r="F249" s="341">
        <v>6</v>
      </c>
      <c r="G249" s="341">
        <v>8170</v>
      </c>
      <c r="H249" s="341" t="s">
        <v>173</v>
      </c>
      <c r="I249" s="341">
        <v>2400</v>
      </c>
      <c r="J249" s="2"/>
      <c r="K249" s="319">
        <v>126</v>
      </c>
      <c r="L249" s="321" t="s">
        <v>126</v>
      </c>
      <c r="M249" s="322" t="s">
        <v>127</v>
      </c>
      <c r="N249" s="321" t="s">
        <v>39</v>
      </c>
      <c r="O249" s="323" t="s">
        <v>188</v>
      </c>
      <c r="P249" s="321" t="s">
        <v>3</v>
      </c>
      <c r="Q249" s="2"/>
      <c r="R249" s="324">
        <f t="shared" ref="R249:R252" si="77">ROUNDUP(600,0)</f>
        <v>600</v>
      </c>
      <c r="S249" s="325">
        <v>2</v>
      </c>
      <c r="T249" s="325">
        <f t="shared" si="67"/>
        <v>12</v>
      </c>
      <c r="V249" s="324">
        <v>5000</v>
      </c>
      <c r="W249" s="326">
        <f t="shared" si="68"/>
        <v>8</v>
      </c>
      <c r="X249" s="326">
        <f t="shared" si="69"/>
        <v>4935</v>
      </c>
      <c r="Y249" s="327">
        <v>4900</v>
      </c>
      <c r="Z249" s="328">
        <f t="shared" si="66"/>
        <v>1.5</v>
      </c>
      <c r="AA249" s="392"/>
      <c r="AB249" s="329">
        <v>0.88800000000000001</v>
      </c>
      <c r="AC249" s="329">
        <v>0.34</v>
      </c>
      <c r="AE249" s="332">
        <f t="shared" si="62"/>
        <v>6.3935999999999993</v>
      </c>
      <c r="AF249" s="332">
        <f t="shared" si="63"/>
        <v>6.5267999999999997</v>
      </c>
      <c r="AG249" s="332">
        <f t="shared" si="64"/>
        <v>-0.13320000000000043</v>
      </c>
      <c r="AH249" s="333">
        <f t="shared" si="65"/>
        <v>1.0208333333333335</v>
      </c>
      <c r="AI249" s="329">
        <f t="shared" si="70"/>
        <v>7.1999999999999993</v>
      </c>
      <c r="AJ249" s="329">
        <f t="shared" si="71"/>
        <v>7.3500000000000005</v>
      </c>
      <c r="AK249" s="329">
        <f t="shared" si="72"/>
        <v>-0.15000000000000124</v>
      </c>
      <c r="AL249" s="382">
        <f t="shared" si="73"/>
        <v>1.0208333333333335</v>
      </c>
    </row>
    <row r="250" spans="2:39" s="303" customFormat="1" ht="28.5" x14ac:dyDescent="0.2">
      <c r="B250" s="341">
        <f t="shared" si="61"/>
        <v>240</v>
      </c>
      <c r="C250" s="458" t="s">
        <v>200</v>
      </c>
      <c r="D250" s="342" t="s">
        <v>204</v>
      </c>
      <c r="E250" s="341" t="s">
        <v>205</v>
      </c>
      <c r="F250" s="341">
        <v>6</v>
      </c>
      <c r="G250" s="341">
        <v>8170</v>
      </c>
      <c r="H250" s="341" t="s">
        <v>173</v>
      </c>
      <c r="I250" s="341">
        <v>2400</v>
      </c>
      <c r="J250" s="2"/>
      <c r="K250" s="319">
        <v>126</v>
      </c>
      <c r="L250" s="321" t="s">
        <v>48</v>
      </c>
      <c r="M250" s="322" t="s">
        <v>49</v>
      </c>
      <c r="N250" s="321" t="s">
        <v>39</v>
      </c>
      <c r="O250" s="323" t="s">
        <v>188</v>
      </c>
      <c r="P250" s="321" t="s">
        <v>3</v>
      </c>
      <c r="Q250" s="2"/>
      <c r="R250" s="324">
        <f t="shared" si="77"/>
        <v>600</v>
      </c>
      <c r="S250" s="325">
        <v>2</v>
      </c>
      <c r="T250" s="325">
        <f t="shared" si="67"/>
        <v>12</v>
      </c>
      <c r="V250" s="324">
        <v>5000</v>
      </c>
      <c r="W250" s="326">
        <f t="shared" si="68"/>
        <v>8</v>
      </c>
      <c r="X250" s="326">
        <f t="shared" si="69"/>
        <v>4935</v>
      </c>
      <c r="Y250" s="327">
        <v>4900</v>
      </c>
      <c r="Z250" s="328">
        <f t="shared" si="66"/>
        <v>1.5</v>
      </c>
      <c r="AA250" s="392"/>
      <c r="AB250" s="329">
        <v>0.81</v>
      </c>
      <c r="AC250" s="329">
        <v>0.28999999999999998</v>
      </c>
      <c r="AE250" s="332">
        <f t="shared" si="62"/>
        <v>5.8319999999999999</v>
      </c>
      <c r="AF250" s="332">
        <f t="shared" si="63"/>
        <v>5.9535</v>
      </c>
      <c r="AG250" s="332">
        <f t="shared" si="64"/>
        <v>-0.12150000000000016</v>
      </c>
      <c r="AH250" s="333">
        <f t="shared" si="65"/>
        <v>1.0208333333333333</v>
      </c>
      <c r="AI250" s="329">
        <f t="shared" si="70"/>
        <v>7.1999999999999993</v>
      </c>
      <c r="AJ250" s="329">
        <f t="shared" si="71"/>
        <v>7.3500000000000005</v>
      </c>
      <c r="AK250" s="329">
        <f t="shared" si="72"/>
        <v>-0.15000000000000124</v>
      </c>
      <c r="AL250" s="382">
        <f t="shared" si="73"/>
        <v>1.0208333333333335</v>
      </c>
    </row>
    <row r="251" spans="2:39" s="303" customFormat="1" ht="28.5" x14ac:dyDescent="0.2">
      <c r="B251" s="341">
        <f t="shared" si="61"/>
        <v>241</v>
      </c>
      <c r="C251" s="458" t="s">
        <v>200</v>
      </c>
      <c r="D251" s="342" t="s">
        <v>204</v>
      </c>
      <c r="E251" s="341" t="s">
        <v>205</v>
      </c>
      <c r="F251" s="341">
        <v>6</v>
      </c>
      <c r="G251" s="341">
        <v>8170</v>
      </c>
      <c r="H251" s="341" t="s">
        <v>173</v>
      </c>
      <c r="I251" s="341">
        <v>2400</v>
      </c>
      <c r="J251" s="2"/>
      <c r="K251" s="319">
        <v>126</v>
      </c>
      <c r="L251" s="321" t="s">
        <v>46</v>
      </c>
      <c r="M251" s="322" t="s">
        <v>47</v>
      </c>
      <c r="N251" s="321" t="s">
        <v>39</v>
      </c>
      <c r="O251" s="323" t="s">
        <v>188</v>
      </c>
      <c r="P251" s="321" t="s">
        <v>3</v>
      </c>
      <c r="Q251" s="2"/>
      <c r="R251" s="324">
        <f t="shared" si="77"/>
        <v>600</v>
      </c>
      <c r="S251" s="325">
        <v>2</v>
      </c>
      <c r="T251" s="325">
        <f t="shared" si="67"/>
        <v>12</v>
      </c>
      <c r="V251" s="324">
        <v>5000</v>
      </c>
      <c r="W251" s="326">
        <f t="shared" si="68"/>
        <v>8</v>
      </c>
      <c r="X251" s="326">
        <f t="shared" si="69"/>
        <v>4935</v>
      </c>
      <c r="Y251" s="327">
        <v>4900</v>
      </c>
      <c r="Z251" s="328">
        <f t="shared" si="66"/>
        <v>1.5</v>
      </c>
      <c r="AA251" s="387">
        <v>48</v>
      </c>
      <c r="AB251" s="329">
        <v>0.91600000000000004</v>
      </c>
      <c r="AC251" s="329">
        <v>0.33900000000000002</v>
      </c>
      <c r="AE251" s="332">
        <f t="shared" si="62"/>
        <v>6.5951999999999993</v>
      </c>
      <c r="AF251" s="332">
        <f t="shared" si="63"/>
        <v>6.7325999999999997</v>
      </c>
      <c r="AG251" s="332">
        <f t="shared" si="64"/>
        <v>-0.13740000000000041</v>
      </c>
      <c r="AH251" s="333">
        <f t="shared" si="65"/>
        <v>1.0208333333333335</v>
      </c>
      <c r="AI251" s="329">
        <f t="shared" si="70"/>
        <v>7.1999999999999993</v>
      </c>
      <c r="AJ251" s="329">
        <f t="shared" si="71"/>
        <v>7.3500000000000005</v>
      </c>
      <c r="AK251" s="329">
        <f t="shared" si="72"/>
        <v>-0.15000000000000124</v>
      </c>
      <c r="AL251" s="382">
        <f t="shared" si="73"/>
        <v>1.0208333333333335</v>
      </c>
    </row>
    <row r="252" spans="2:39" s="303" customFormat="1" ht="28.5" x14ac:dyDescent="0.2">
      <c r="B252" s="341">
        <f t="shared" si="61"/>
        <v>242</v>
      </c>
      <c r="C252" s="458" t="s">
        <v>200</v>
      </c>
      <c r="D252" s="342" t="s">
        <v>204</v>
      </c>
      <c r="E252" s="341" t="s">
        <v>205</v>
      </c>
      <c r="F252" s="341">
        <v>6</v>
      </c>
      <c r="G252" s="341">
        <v>8170</v>
      </c>
      <c r="H252" s="341" t="s">
        <v>173</v>
      </c>
      <c r="I252" s="341">
        <v>2400</v>
      </c>
      <c r="J252" s="2"/>
      <c r="K252" s="468">
        <v>126</v>
      </c>
      <c r="L252" s="417">
        <v>21825</v>
      </c>
      <c r="M252" s="416" t="s">
        <v>45</v>
      </c>
      <c r="N252" s="417" t="s">
        <v>39</v>
      </c>
      <c r="O252" s="323" t="s">
        <v>188</v>
      </c>
      <c r="P252" s="321" t="s">
        <v>3</v>
      </c>
      <c r="Q252" s="2"/>
      <c r="R252" s="324">
        <f t="shared" si="77"/>
        <v>600</v>
      </c>
      <c r="S252" s="325">
        <v>2</v>
      </c>
      <c r="T252" s="325">
        <f t="shared" si="67"/>
        <v>12</v>
      </c>
      <c r="V252" s="324">
        <v>5000</v>
      </c>
      <c r="W252" s="326">
        <f t="shared" si="68"/>
        <v>8</v>
      </c>
      <c r="X252" s="326">
        <f t="shared" si="69"/>
        <v>4935</v>
      </c>
      <c r="Y252" s="327">
        <v>4900</v>
      </c>
      <c r="Z252" s="328">
        <f t="shared" si="66"/>
        <v>1.5</v>
      </c>
      <c r="AA252" s="387">
        <v>48</v>
      </c>
      <c r="AB252" s="329">
        <v>0.999</v>
      </c>
      <c r="AC252" s="329">
        <v>0.2382</v>
      </c>
      <c r="AE252" s="332">
        <f t="shared" si="62"/>
        <v>7.1927999999999992</v>
      </c>
      <c r="AF252" s="332">
        <f t="shared" si="63"/>
        <v>7.3426499999999999</v>
      </c>
      <c r="AG252" s="332">
        <f t="shared" si="64"/>
        <v>-0.1498500000000007</v>
      </c>
      <c r="AH252" s="333">
        <f t="shared" si="65"/>
        <v>1.0208333333333335</v>
      </c>
      <c r="AI252" s="329">
        <f t="shared" si="70"/>
        <v>7.1999999999999993</v>
      </c>
      <c r="AJ252" s="329">
        <f t="shared" si="71"/>
        <v>7.3500000000000005</v>
      </c>
      <c r="AK252" s="329">
        <f t="shared" si="72"/>
        <v>-0.15000000000000124</v>
      </c>
      <c r="AL252" s="382">
        <f t="shared" si="73"/>
        <v>1.0208333333333335</v>
      </c>
    </row>
    <row r="253" spans="2:39" s="303" customFormat="1" ht="28.5" x14ac:dyDescent="0.2">
      <c r="B253" s="341">
        <f t="shared" si="61"/>
        <v>243</v>
      </c>
      <c r="C253" s="459" t="s">
        <v>200</v>
      </c>
      <c r="D253" s="342" t="s">
        <v>204</v>
      </c>
      <c r="E253" s="341" t="s">
        <v>205</v>
      </c>
      <c r="F253" s="341">
        <v>6</v>
      </c>
      <c r="G253" s="341">
        <v>8170</v>
      </c>
      <c r="H253" s="341" t="s">
        <v>173</v>
      </c>
      <c r="I253" s="341">
        <v>2400</v>
      </c>
      <c r="J253" s="2"/>
      <c r="K253" s="341">
        <v>126</v>
      </c>
      <c r="L253" s="342" t="s">
        <v>114</v>
      </c>
      <c r="M253" s="343" t="s">
        <v>115</v>
      </c>
      <c r="N253" s="342" t="s">
        <v>39</v>
      </c>
      <c r="O253" s="323" t="s">
        <v>188</v>
      </c>
      <c r="P253" s="342" t="s">
        <v>3</v>
      </c>
      <c r="Q253" s="2"/>
      <c r="R253" s="348">
        <f>ROUNDUP(600,0)</f>
        <v>600</v>
      </c>
      <c r="S253" s="349">
        <v>1</v>
      </c>
      <c r="T253" s="349">
        <f t="shared" si="67"/>
        <v>6</v>
      </c>
      <c r="V253" s="348">
        <v>6500</v>
      </c>
      <c r="W253" s="388">
        <f t="shared" si="68"/>
        <v>10</v>
      </c>
      <c r="X253" s="388">
        <f t="shared" si="69"/>
        <v>6145</v>
      </c>
      <c r="Y253" s="351">
        <v>6200</v>
      </c>
      <c r="Z253" s="389">
        <f t="shared" si="66"/>
        <v>0.6</v>
      </c>
      <c r="AA253" s="392"/>
      <c r="AB253" s="329">
        <v>0.83499999999999996</v>
      </c>
      <c r="AC253" s="329">
        <v>0.21299999999999999</v>
      </c>
      <c r="AE253" s="332">
        <f t="shared" si="62"/>
        <v>3.0059999999999998</v>
      </c>
      <c r="AF253" s="332">
        <f t="shared" si="63"/>
        <v>3.1061999999999999</v>
      </c>
      <c r="AG253" s="332">
        <f t="shared" si="64"/>
        <v>-0.10020000000000007</v>
      </c>
      <c r="AH253" s="333">
        <f t="shared" si="65"/>
        <v>1.0333333333333334</v>
      </c>
      <c r="AI253" s="332">
        <f t="shared" si="70"/>
        <v>3.5999999999999996</v>
      </c>
      <c r="AJ253" s="332">
        <f t="shared" si="71"/>
        <v>3.7199999999999998</v>
      </c>
      <c r="AK253" s="332">
        <f t="shared" si="72"/>
        <v>-0.12000000000000011</v>
      </c>
      <c r="AL253" s="333">
        <f t="shared" si="73"/>
        <v>1.0333333333333334</v>
      </c>
    </row>
    <row r="254" spans="2:39" s="303" customFormat="1" ht="28.5" x14ac:dyDescent="0.2">
      <c r="B254" s="341">
        <f t="shared" si="61"/>
        <v>244</v>
      </c>
      <c r="C254" s="459" t="s">
        <v>200</v>
      </c>
      <c r="D254" s="342" t="s">
        <v>204</v>
      </c>
      <c r="E254" s="341" t="s">
        <v>205</v>
      </c>
      <c r="F254" s="341">
        <v>6</v>
      </c>
      <c r="G254" s="341">
        <v>8170</v>
      </c>
      <c r="H254" s="341" t="s">
        <v>173</v>
      </c>
      <c r="I254" s="341">
        <v>2400</v>
      </c>
      <c r="J254" s="2"/>
      <c r="K254" s="341">
        <v>126</v>
      </c>
      <c r="L254" s="321" t="s">
        <v>50</v>
      </c>
      <c r="M254" s="322" t="s">
        <v>51</v>
      </c>
      <c r="N254" s="342" t="s">
        <v>39</v>
      </c>
      <c r="O254" s="323" t="s">
        <v>188</v>
      </c>
      <c r="P254" s="342" t="s">
        <v>3</v>
      </c>
      <c r="Q254" s="2"/>
      <c r="R254" s="348">
        <f>ROUNDUP(600,0)</f>
        <v>600</v>
      </c>
      <c r="S254" s="349">
        <v>1</v>
      </c>
      <c r="T254" s="349">
        <f t="shared" si="67"/>
        <v>6</v>
      </c>
      <c r="V254" s="348">
        <v>6500</v>
      </c>
      <c r="W254" s="388">
        <f t="shared" si="68"/>
        <v>10</v>
      </c>
      <c r="X254" s="388">
        <f t="shared" si="69"/>
        <v>6145</v>
      </c>
      <c r="Y254" s="351">
        <v>6200</v>
      </c>
      <c r="Z254" s="389">
        <f t="shared" si="66"/>
        <v>0.6</v>
      </c>
      <c r="AA254" s="406">
        <v>1.5</v>
      </c>
      <c r="AB254" s="395">
        <v>1.7110000000000001</v>
      </c>
      <c r="AC254" s="395">
        <v>0.34200000000000003</v>
      </c>
      <c r="AE254" s="332">
        <f t="shared" si="62"/>
        <v>6.1595999999999993</v>
      </c>
      <c r="AF254" s="332">
        <f t="shared" si="63"/>
        <v>6.3649200000000006</v>
      </c>
      <c r="AG254" s="332">
        <f t="shared" si="64"/>
        <v>-0.20532000000000128</v>
      </c>
      <c r="AH254" s="333">
        <f t="shared" si="65"/>
        <v>1.0333333333333334</v>
      </c>
      <c r="AI254" s="332">
        <f t="shared" si="70"/>
        <v>3.5999999999999996</v>
      </c>
      <c r="AJ254" s="332">
        <f t="shared" si="71"/>
        <v>3.7199999999999998</v>
      </c>
      <c r="AK254" s="332">
        <f t="shared" si="72"/>
        <v>-0.12000000000000011</v>
      </c>
      <c r="AL254" s="333">
        <f t="shared" si="73"/>
        <v>1.0333333333333334</v>
      </c>
    </row>
    <row r="255" spans="2:39" s="303" customFormat="1" ht="28.5" x14ac:dyDescent="0.2">
      <c r="B255" s="341">
        <f t="shared" si="61"/>
        <v>245</v>
      </c>
      <c r="C255" s="459" t="s">
        <v>200</v>
      </c>
      <c r="D255" s="342" t="s">
        <v>204</v>
      </c>
      <c r="E255" s="341" t="s">
        <v>205</v>
      </c>
      <c r="F255" s="341">
        <v>6</v>
      </c>
      <c r="G255" s="341">
        <v>8170</v>
      </c>
      <c r="H255" s="341" t="s">
        <v>173</v>
      </c>
      <c r="I255" s="341">
        <v>2400</v>
      </c>
      <c r="J255" s="2"/>
      <c r="K255" s="345">
        <v>126</v>
      </c>
      <c r="L255" s="347">
        <v>10926</v>
      </c>
      <c r="M255" s="346" t="s">
        <v>36</v>
      </c>
      <c r="N255" s="347" t="s">
        <v>6</v>
      </c>
      <c r="O255" s="323" t="s">
        <v>188</v>
      </c>
      <c r="P255" s="347" t="s">
        <v>187</v>
      </c>
      <c r="Q255" s="2"/>
      <c r="R255" s="348">
        <f>ROUNDUP(600,0)</f>
        <v>600</v>
      </c>
      <c r="S255" s="349">
        <v>1</v>
      </c>
      <c r="T255" s="349">
        <f t="shared" si="67"/>
        <v>6</v>
      </c>
      <c r="V255" s="348">
        <v>6100</v>
      </c>
      <c r="W255" s="350">
        <f t="shared" si="68"/>
        <v>10</v>
      </c>
      <c r="X255" s="350">
        <f t="shared" si="69"/>
        <v>6145</v>
      </c>
      <c r="Y255" s="351">
        <v>6100</v>
      </c>
      <c r="Z255" s="389">
        <f t="shared" si="66"/>
        <v>0.6</v>
      </c>
      <c r="AA255" s="392"/>
      <c r="AB255" s="332">
        <v>0.76700000000000002</v>
      </c>
      <c r="AC255" s="332"/>
      <c r="AE255" s="332">
        <f t="shared" si="62"/>
        <v>2.7611999999999997</v>
      </c>
      <c r="AF255" s="332">
        <f t="shared" si="63"/>
        <v>2.80722</v>
      </c>
      <c r="AG255" s="332">
        <f t="shared" si="64"/>
        <v>-4.6020000000000394E-2</v>
      </c>
      <c r="AH255" s="333">
        <f t="shared" si="65"/>
        <v>1.0166666666666668</v>
      </c>
      <c r="AI255" s="332">
        <f t="shared" si="70"/>
        <v>3.5999999999999996</v>
      </c>
      <c r="AJ255" s="332">
        <f t="shared" si="71"/>
        <v>3.6599999999999997</v>
      </c>
      <c r="AK255" s="332">
        <f t="shared" si="72"/>
        <v>-6.0000000000000053E-2</v>
      </c>
      <c r="AL255" s="333">
        <f t="shared" si="73"/>
        <v>1.0166666666666666</v>
      </c>
    </row>
    <row r="256" spans="2:39" s="353" customFormat="1" ht="30" customHeight="1" thickBot="1" x14ac:dyDescent="0.3">
      <c r="B256" s="341">
        <f t="shared" si="61"/>
        <v>246</v>
      </c>
      <c r="C256" s="459" t="s">
        <v>200</v>
      </c>
      <c r="D256" s="342" t="s">
        <v>204</v>
      </c>
      <c r="E256" s="341" t="s">
        <v>205</v>
      </c>
      <c r="F256" s="341">
        <v>6</v>
      </c>
      <c r="G256" s="341">
        <v>8170</v>
      </c>
      <c r="H256" s="341" t="s">
        <v>173</v>
      </c>
      <c r="I256" s="341">
        <v>2400</v>
      </c>
      <c r="J256" s="2"/>
      <c r="K256" s="363"/>
      <c r="L256" s="364" t="s">
        <v>28</v>
      </c>
      <c r="M256" s="365" t="s">
        <v>29</v>
      </c>
      <c r="N256" s="470" t="s">
        <v>6</v>
      </c>
      <c r="O256" s="366" t="s">
        <v>189</v>
      </c>
      <c r="P256" s="367" t="s">
        <v>187</v>
      </c>
      <c r="Q256" s="2"/>
      <c r="R256" s="368">
        <v>51</v>
      </c>
      <c r="S256" s="369">
        <f>4*8</f>
        <v>32</v>
      </c>
      <c r="T256" s="369">
        <f t="shared" si="67"/>
        <v>192</v>
      </c>
      <c r="U256" s="303"/>
      <c r="V256" s="368">
        <v>3250</v>
      </c>
      <c r="W256" s="370">
        <f t="shared" si="68"/>
        <v>63</v>
      </c>
      <c r="X256" s="370">
        <f t="shared" si="69"/>
        <v>3623</v>
      </c>
      <c r="Y256" s="371">
        <v>3660</v>
      </c>
      <c r="Z256" s="372">
        <f t="shared" si="66"/>
        <v>3.0476190476190474</v>
      </c>
      <c r="AA256" s="392"/>
      <c r="AB256" s="373">
        <v>1.641</v>
      </c>
      <c r="AC256" s="373">
        <v>0.20319999999999999</v>
      </c>
      <c r="AD256" s="303"/>
      <c r="AE256" s="373">
        <f t="shared" si="62"/>
        <v>16.068671999999999</v>
      </c>
      <c r="AF256" s="373">
        <f t="shared" si="63"/>
        <v>18.304182857142855</v>
      </c>
      <c r="AG256" s="373">
        <f t="shared" si="64"/>
        <v>-2.2355108571428559</v>
      </c>
      <c r="AH256" s="374">
        <f t="shared" si="65"/>
        <v>1.1391223155929038</v>
      </c>
      <c r="AI256" s="476">
        <f>+AG256/AF256</f>
        <v>-0.12213114754098355</v>
      </c>
      <c r="AJ256" s="373">
        <f t="shared" si="71"/>
        <v>11.154285714285715</v>
      </c>
      <c r="AK256" s="474">
        <f>($R256/1000)*$T256</f>
        <v>9.7919999999999998</v>
      </c>
      <c r="AL256" s="474">
        <f>($Y256/1000)*$Z256</f>
        <v>11.154285714285715</v>
      </c>
      <c r="AM256" s="303"/>
    </row>
    <row r="257" spans="2:38" s="303" customFormat="1" ht="28.5" x14ac:dyDescent="0.2">
      <c r="B257" s="375">
        <f>B256+1</f>
        <v>247</v>
      </c>
      <c r="C257" s="457" t="s">
        <v>200</v>
      </c>
      <c r="D257" s="377" t="s">
        <v>206</v>
      </c>
      <c r="E257" s="375" t="s">
        <v>207</v>
      </c>
      <c r="F257" s="375">
        <v>10</v>
      </c>
      <c r="G257" s="375">
        <v>8170</v>
      </c>
      <c r="H257" s="375" t="s">
        <v>173</v>
      </c>
      <c r="I257" s="375">
        <v>2400</v>
      </c>
      <c r="J257" s="2"/>
      <c r="K257" s="319">
        <v>127</v>
      </c>
      <c r="L257" s="321">
        <v>20626</v>
      </c>
      <c r="M257" s="322" t="s">
        <v>44</v>
      </c>
      <c r="N257" s="321" t="s">
        <v>39</v>
      </c>
      <c r="O257" s="378" t="s">
        <v>186</v>
      </c>
      <c r="P257" s="321" t="s">
        <v>3</v>
      </c>
      <c r="Q257" s="2"/>
      <c r="R257" s="324">
        <f t="shared" ref="R257:R280" si="78">ROUNDUP(I257,0)</f>
        <v>2400</v>
      </c>
      <c r="S257" s="325">
        <v>1</v>
      </c>
      <c r="T257" s="325">
        <f t="shared" si="67"/>
        <v>10</v>
      </c>
      <c r="V257" s="324">
        <v>7000</v>
      </c>
      <c r="W257" s="326">
        <f t="shared" si="68"/>
        <v>2</v>
      </c>
      <c r="X257" s="326">
        <f t="shared" si="69"/>
        <v>4905</v>
      </c>
      <c r="Y257" s="327">
        <v>4900</v>
      </c>
      <c r="Z257" s="328">
        <f t="shared" si="66"/>
        <v>5</v>
      </c>
      <c r="AA257" s="304"/>
      <c r="AB257" s="329">
        <v>2.7930000000000001</v>
      </c>
      <c r="AC257" s="329">
        <v>0.45068000000000003</v>
      </c>
      <c r="AE257" s="330">
        <f t="shared" si="62"/>
        <v>67.032000000000011</v>
      </c>
      <c r="AF257" s="330">
        <f t="shared" si="63"/>
        <v>68.4285</v>
      </c>
      <c r="AG257" s="330">
        <f t="shared" si="64"/>
        <v>-1.396499999999989</v>
      </c>
      <c r="AH257" s="331">
        <f t="shared" si="65"/>
        <v>1.0208333333333333</v>
      </c>
      <c r="AI257" s="330">
        <f t="shared" ref="AI257:AI308" si="79">($R257/1000)*$T257</f>
        <v>24</v>
      </c>
      <c r="AJ257" s="329">
        <f t="shared" si="71"/>
        <v>24.5</v>
      </c>
      <c r="AK257" s="329">
        <f t="shared" ref="AK257:AK308" si="80">+AI257-AJ257</f>
        <v>-0.5</v>
      </c>
      <c r="AL257" s="382">
        <f t="shared" ref="AL257:AL308" si="81">+AJ257/AI257</f>
        <v>1.0208333333333333</v>
      </c>
    </row>
    <row r="258" spans="2:38" s="303" customFormat="1" ht="28.5" x14ac:dyDescent="0.2">
      <c r="B258" s="341">
        <f t="shared" si="61"/>
        <v>248</v>
      </c>
      <c r="C258" s="459" t="s">
        <v>200</v>
      </c>
      <c r="D258" s="342" t="s">
        <v>206</v>
      </c>
      <c r="E258" s="341" t="s">
        <v>207</v>
      </c>
      <c r="F258" s="341">
        <v>10</v>
      </c>
      <c r="G258" s="341">
        <v>8170</v>
      </c>
      <c r="H258" s="341" t="s">
        <v>173</v>
      </c>
      <c r="I258" s="341">
        <v>2400</v>
      </c>
      <c r="J258" s="2"/>
      <c r="K258" s="319">
        <v>127</v>
      </c>
      <c r="L258" s="321">
        <v>21825</v>
      </c>
      <c r="M258" s="322" t="s">
        <v>45</v>
      </c>
      <c r="N258" s="321" t="s">
        <v>39</v>
      </c>
      <c r="O258" s="323" t="s">
        <v>186</v>
      </c>
      <c r="P258" s="321" t="s">
        <v>3</v>
      </c>
      <c r="Q258" s="2"/>
      <c r="R258" s="324">
        <f t="shared" si="78"/>
        <v>2400</v>
      </c>
      <c r="S258" s="325">
        <v>1</v>
      </c>
      <c r="T258" s="325">
        <f t="shared" si="67"/>
        <v>10</v>
      </c>
      <c r="V258" s="324">
        <v>7000</v>
      </c>
      <c r="W258" s="326">
        <f t="shared" si="68"/>
        <v>2</v>
      </c>
      <c r="X258" s="326">
        <f t="shared" si="69"/>
        <v>4905</v>
      </c>
      <c r="Y258" s="327">
        <v>4900</v>
      </c>
      <c r="Z258" s="328">
        <f t="shared" si="66"/>
        <v>5</v>
      </c>
      <c r="AA258" s="392"/>
      <c r="AB258" s="329">
        <v>0.999</v>
      </c>
      <c r="AC258" s="329">
        <v>0.2382</v>
      </c>
      <c r="AE258" s="332">
        <f t="shared" si="62"/>
        <v>23.975999999999999</v>
      </c>
      <c r="AF258" s="332">
        <f t="shared" si="63"/>
        <v>24.4755</v>
      </c>
      <c r="AG258" s="332">
        <f t="shared" si="64"/>
        <v>-0.49950000000000117</v>
      </c>
      <c r="AH258" s="333">
        <f t="shared" si="65"/>
        <v>1.0208333333333335</v>
      </c>
      <c r="AI258" s="332">
        <f t="shared" si="79"/>
        <v>24</v>
      </c>
      <c r="AJ258" s="329">
        <f t="shared" si="71"/>
        <v>24.5</v>
      </c>
      <c r="AK258" s="329">
        <f t="shared" si="80"/>
        <v>-0.5</v>
      </c>
      <c r="AL258" s="382">
        <f t="shared" si="81"/>
        <v>1.0208333333333333</v>
      </c>
    </row>
    <row r="259" spans="2:38" s="303" customFormat="1" ht="28.5" x14ac:dyDescent="0.2">
      <c r="B259" s="341">
        <f t="shared" si="61"/>
        <v>249</v>
      </c>
      <c r="C259" s="459" t="s">
        <v>200</v>
      </c>
      <c r="D259" s="342" t="s">
        <v>206</v>
      </c>
      <c r="E259" s="341" t="s">
        <v>207</v>
      </c>
      <c r="F259" s="341">
        <v>10</v>
      </c>
      <c r="G259" s="341">
        <v>8170</v>
      </c>
      <c r="H259" s="341" t="s">
        <v>173</v>
      </c>
      <c r="I259" s="341">
        <v>2400</v>
      </c>
      <c r="J259" s="2"/>
      <c r="K259" s="319">
        <v>127</v>
      </c>
      <c r="L259" s="321" t="s">
        <v>48</v>
      </c>
      <c r="M259" s="322" t="s">
        <v>49</v>
      </c>
      <c r="N259" s="321" t="s">
        <v>39</v>
      </c>
      <c r="O259" s="323" t="s">
        <v>186</v>
      </c>
      <c r="P259" s="321" t="s">
        <v>3</v>
      </c>
      <c r="Q259" s="2"/>
      <c r="R259" s="324">
        <f t="shared" si="78"/>
        <v>2400</v>
      </c>
      <c r="S259" s="325">
        <v>1</v>
      </c>
      <c r="T259" s="325">
        <f t="shared" si="67"/>
        <v>10</v>
      </c>
      <c r="V259" s="324">
        <v>7000</v>
      </c>
      <c r="W259" s="326">
        <f t="shared" si="68"/>
        <v>2</v>
      </c>
      <c r="X259" s="326">
        <f t="shared" si="69"/>
        <v>4905</v>
      </c>
      <c r="Y259" s="327">
        <v>4900</v>
      </c>
      <c r="Z259" s="328">
        <f t="shared" si="66"/>
        <v>5</v>
      </c>
      <c r="AA259" s="392"/>
      <c r="AB259" s="329">
        <v>0.81</v>
      </c>
      <c r="AC259" s="329">
        <v>0.28999999999999998</v>
      </c>
      <c r="AE259" s="332">
        <f t="shared" si="62"/>
        <v>19.440000000000001</v>
      </c>
      <c r="AF259" s="332">
        <f t="shared" si="63"/>
        <v>19.845000000000002</v>
      </c>
      <c r="AG259" s="332">
        <f t="shared" si="64"/>
        <v>-0.40500000000000114</v>
      </c>
      <c r="AH259" s="333">
        <f t="shared" si="65"/>
        <v>1.0208333333333335</v>
      </c>
      <c r="AI259" s="332">
        <f t="shared" si="79"/>
        <v>24</v>
      </c>
      <c r="AJ259" s="329">
        <f t="shared" si="71"/>
        <v>24.5</v>
      </c>
      <c r="AK259" s="329">
        <f t="shared" si="80"/>
        <v>-0.5</v>
      </c>
      <c r="AL259" s="382">
        <f t="shared" si="81"/>
        <v>1.0208333333333333</v>
      </c>
    </row>
    <row r="260" spans="2:38" s="303" customFormat="1" ht="28.5" x14ac:dyDescent="0.2">
      <c r="B260" s="341">
        <f t="shared" si="61"/>
        <v>250</v>
      </c>
      <c r="C260" s="459" t="s">
        <v>200</v>
      </c>
      <c r="D260" s="342" t="s">
        <v>206</v>
      </c>
      <c r="E260" s="341" t="s">
        <v>207</v>
      </c>
      <c r="F260" s="341">
        <v>10</v>
      </c>
      <c r="G260" s="341">
        <v>8170</v>
      </c>
      <c r="H260" s="341" t="s">
        <v>173</v>
      </c>
      <c r="I260" s="341">
        <v>2400</v>
      </c>
      <c r="J260" s="2"/>
      <c r="K260" s="319">
        <v>127</v>
      </c>
      <c r="L260" s="321" t="s">
        <v>46</v>
      </c>
      <c r="M260" s="322" t="s">
        <v>47</v>
      </c>
      <c r="N260" s="321" t="s">
        <v>39</v>
      </c>
      <c r="O260" s="323" t="s">
        <v>186</v>
      </c>
      <c r="P260" s="321" t="s">
        <v>3</v>
      </c>
      <c r="Q260" s="2"/>
      <c r="R260" s="324">
        <f t="shared" si="78"/>
        <v>2400</v>
      </c>
      <c r="S260" s="325">
        <v>1</v>
      </c>
      <c r="T260" s="325">
        <f t="shared" si="67"/>
        <v>10</v>
      </c>
      <c r="V260" s="324">
        <v>7000</v>
      </c>
      <c r="W260" s="326">
        <f t="shared" si="68"/>
        <v>2</v>
      </c>
      <c r="X260" s="326">
        <f t="shared" si="69"/>
        <v>4905</v>
      </c>
      <c r="Y260" s="327">
        <v>4900</v>
      </c>
      <c r="Z260" s="328">
        <f t="shared" si="66"/>
        <v>5</v>
      </c>
      <c r="AA260" s="392"/>
      <c r="AB260" s="329">
        <v>0.91600000000000004</v>
      </c>
      <c r="AC260" s="329">
        <v>0.33900000000000002</v>
      </c>
      <c r="AE260" s="332">
        <f t="shared" si="62"/>
        <v>21.984000000000002</v>
      </c>
      <c r="AF260" s="332">
        <f t="shared" si="63"/>
        <v>22.442</v>
      </c>
      <c r="AG260" s="332">
        <f t="shared" si="64"/>
        <v>-0.45799999999999841</v>
      </c>
      <c r="AH260" s="333">
        <f t="shared" si="65"/>
        <v>1.0208333333333333</v>
      </c>
      <c r="AI260" s="332">
        <f t="shared" si="79"/>
        <v>24</v>
      </c>
      <c r="AJ260" s="329">
        <f t="shared" si="71"/>
        <v>24.5</v>
      </c>
      <c r="AK260" s="329">
        <f t="shared" si="80"/>
        <v>-0.5</v>
      </c>
      <c r="AL260" s="382">
        <f t="shared" si="81"/>
        <v>1.0208333333333333</v>
      </c>
    </row>
    <row r="261" spans="2:38" s="303" customFormat="1" ht="28.5" x14ac:dyDescent="0.2">
      <c r="B261" s="341">
        <f t="shared" si="61"/>
        <v>251</v>
      </c>
      <c r="C261" s="459" t="s">
        <v>200</v>
      </c>
      <c r="D261" s="342" t="s">
        <v>206</v>
      </c>
      <c r="E261" s="341" t="s">
        <v>207</v>
      </c>
      <c r="F261" s="341">
        <v>10</v>
      </c>
      <c r="G261" s="341">
        <v>8170</v>
      </c>
      <c r="H261" s="341" t="s">
        <v>173</v>
      </c>
      <c r="I261" s="341">
        <v>2400</v>
      </c>
      <c r="J261" s="2"/>
      <c r="K261" s="334">
        <v>127</v>
      </c>
      <c r="L261" s="335" t="s">
        <v>121</v>
      </c>
      <c r="M261" s="336" t="s">
        <v>203</v>
      </c>
      <c r="N261" s="337" t="s">
        <v>6</v>
      </c>
      <c r="O261" s="323" t="s">
        <v>186</v>
      </c>
      <c r="P261" s="337" t="s">
        <v>187</v>
      </c>
      <c r="Q261" s="2"/>
      <c r="R261" s="324">
        <f t="shared" si="78"/>
        <v>2400</v>
      </c>
      <c r="S261" s="325">
        <v>1</v>
      </c>
      <c r="T261" s="325">
        <f t="shared" si="67"/>
        <v>10</v>
      </c>
      <c r="V261" s="338">
        <v>3660</v>
      </c>
      <c r="W261" s="339">
        <f t="shared" si="68"/>
        <v>1</v>
      </c>
      <c r="X261" s="339">
        <f t="shared" si="69"/>
        <v>2500</v>
      </c>
      <c r="Y261" s="327">
        <v>3660</v>
      </c>
      <c r="Z261" s="340">
        <f>($R261*$T261)/$V261</f>
        <v>6.557377049180328</v>
      </c>
      <c r="AA261" s="392"/>
      <c r="AB261" s="329">
        <v>0.84899999999999998</v>
      </c>
      <c r="AC261" s="329">
        <v>0</v>
      </c>
      <c r="AE261" s="332">
        <f t="shared" si="62"/>
        <v>20.375999999999998</v>
      </c>
      <c r="AF261" s="332">
        <f t="shared" si="63"/>
        <v>20.375999999999998</v>
      </c>
      <c r="AG261" s="332">
        <f t="shared" si="64"/>
        <v>0</v>
      </c>
      <c r="AH261" s="333">
        <f t="shared" si="65"/>
        <v>1</v>
      </c>
      <c r="AI261" s="332">
        <f t="shared" si="79"/>
        <v>24</v>
      </c>
      <c r="AJ261" s="329">
        <f t="shared" si="71"/>
        <v>24</v>
      </c>
      <c r="AK261" s="329">
        <f t="shared" si="80"/>
        <v>0</v>
      </c>
      <c r="AL261" s="382">
        <f t="shared" si="81"/>
        <v>1</v>
      </c>
    </row>
    <row r="262" spans="2:38" s="303" customFormat="1" ht="28.5" x14ac:dyDescent="0.2">
      <c r="B262" s="319">
        <f t="shared" si="61"/>
        <v>252</v>
      </c>
      <c r="C262" s="458" t="s">
        <v>200</v>
      </c>
      <c r="D262" s="342" t="s">
        <v>206</v>
      </c>
      <c r="E262" s="341" t="s">
        <v>207</v>
      </c>
      <c r="F262" s="341">
        <v>10</v>
      </c>
      <c r="G262" s="341">
        <v>8170</v>
      </c>
      <c r="H262" s="341" t="s">
        <v>173</v>
      </c>
      <c r="I262" s="341">
        <v>2400</v>
      </c>
      <c r="J262" s="2"/>
      <c r="K262" s="334">
        <v>127</v>
      </c>
      <c r="L262" s="337">
        <v>10926</v>
      </c>
      <c r="M262" s="336" t="s">
        <v>36</v>
      </c>
      <c r="N262" s="337" t="s">
        <v>6</v>
      </c>
      <c r="O262" s="323" t="s">
        <v>186</v>
      </c>
      <c r="P262" s="337" t="s">
        <v>187</v>
      </c>
      <c r="Q262" s="2"/>
      <c r="R262" s="324">
        <f t="shared" si="78"/>
        <v>2400</v>
      </c>
      <c r="S262" s="325">
        <v>1</v>
      </c>
      <c r="T262" s="325">
        <f t="shared" si="67"/>
        <v>10</v>
      </c>
      <c r="V262" s="324">
        <v>6100</v>
      </c>
      <c r="W262" s="339">
        <f t="shared" si="68"/>
        <v>2</v>
      </c>
      <c r="X262" s="339">
        <f t="shared" si="69"/>
        <v>4905</v>
      </c>
      <c r="Y262" s="327">
        <v>6100</v>
      </c>
      <c r="Z262" s="328">
        <f t="shared" si="66"/>
        <v>5</v>
      </c>
      <c r="AA262" s="392"/>
      <c r="AB262" s="329">
        <v>0.76700000000000002</v>
      </c>
      <c r="AC262" s="329"/>
      <c r="AE262" s="332">
        <f t="shared" si="62"/>
        <v>18.408000000000001</v>
      </c>
      <c r="AF262" s="332">
        <f t="shared" si="63"/>
        <v>23.3935</v>
      </c>
      <c r="AG262" s="332">
        <f t="shared" si="64"/>
        <v>-4.9854999999999983</v>
      </c>
      <c r="AH262" s="333">
        <f t="shared" si="65"/>
        <v>1.2708333333333333</v>
      </c>
      <c r="AI262" s="332">
        <f t="shared" si="79"/>
        <v>24</v>
      </c>
      <c r="AJ262" s="329">
        <f t="shared" si="71"/>
        <v>30.5</v>
      </c>
      <c r="AK262" s="329">
        <f t="shared" si="80"/>
        <v>-6.5</v>
      </c>
      <c r="AL262" s="382">
        <f t="shared" si="81"/>
        <v>1.2708333333333333</v>
      </c>
    </row>
    <row r="263" spans="2:38" s="303" customFormat="1" ht="28.5" x14ac:dyDescent="0.2">
      <c r="B263" s="319">
        <f t="shared" si="61"/>
        <v>253</v>
      </c>
      <c r="C263" s="458" t="s">
        <v>200</v>
      </c>
      <c r="D263" s="342" t="s">
        <v>206</v>
      </c>
      <c r="E263" s="341" t="s">
        <v>207</v>
      </c>
      <c r="F263" s="341">
        <v>10</v>
      </c>
      <c r="G263" s="341">
        <v>8170</v>
      </c>
      <c r="H263" s="341" t="s">
        <v>173</v>
      </c>
      <c r="I263" s="341">
        <v>2400</v>
      </c>
      <c r="J263" s="2"/>
      <c r="K263" s="319">
        <v>127</v>
      </c>
      <c r="L263" s="321" t="s">
        <v>114</v>
      </c>
      <c r="M263" s="322" t="s">
        <v>115</v>
      </c>
      <c r="N263" s="321" t="s">
        <v>39</v>
      </c>
      <c r="O263" s="323" t="s">
        <v>186</v>
      </c>
      <c r="P263" s="321" t="s">
        <v>3</v>
      </c>
      <c r="Q263" s="2"/>
      <c r="R263" s="324">
        <f t="shared" si="78"/>
        <v>2400</v>
      </c>
      <c r="S263" s="325">
        <v>1</v>
      </c>
      <c r="T263" s="325">
        <f t="shared" si="67"/>
        <v>10</v>
      </c>
      <c r="V263" s="324">
        <v>7000</v>
      </c>
      <c r="W263" s="326">
        <f t="shared" si="68"/>
        <v>2</v>
      </c>
      <c r="X263" s="326">
        <f t="shared" si="69"/>
        <v>4905</v>
      </c>
      <c r="Y263" s="327">
        <v>4900</v>
      </c>
      <c r="Z263" s="328">
        <f t="shared" si="66"/>
        <v>5</v>
      </c>
      <c r="AA263" s="304"/>
      <c r="AB263" s="329">
        <v>0.83499999999999996</v>
      </c>
      <c r="AC263" s="329">
        <v>0.21299999999999999</v>
      </c>
      <c r="AE263" s="332">
        <f t="shared" si="62"/>
        <v>20.04</v>
      </c>
      <c r="AF263" s="332">
        <f t="shared" si="63"/>
        <v>20.4575</v>
      </c>
      <c r="AG263" s="332">
        <f t="shared" si="64"/>
        <v>-0.41750000000000043</v>
      </c>
      <c r="AH263" s="333">
        <f t="shared" si="65"/>
        <v>1.0208333333333333</v>
      </c>
      <c r="AI263" s="332">
        <f t="shared" si="79"/>
        <v>24</v>
      </c>
      <c r="AJ263" s="329">
        <f t="shared" si="71"/>
        <v>24.5</v>
      </c>
      <c r="AK263" s="329">
        <f t="shared" si="80"/>
        <v>-0.5</v>
      </c>
      <c r="AL263" s="382">
        <f t="shared" si="81"/>
        <v>1.0208333333333333</v>
      </c>
    </row>
    <row r="264" spans="2:38" s="303" customFormat="1" ht="28.5" x14ac:dyDescent="0.2">
      <c r="B264" s="341">
        <f t="shared" si="61"/>
        <v>254</v>
      </c>
      <c r="C264" s="459" t="s">
        <v>200</v>
      </c>
      <c r="D264" s="342" t="s">
        <v>206</v>
      </c>
      <c r="E264" s="341" t="s">
        <v>207</v>
      </c>
      <c r="F264" s="341">
        <v>10</v>
      </c>
      <c r="G264" s="341">
        <v>8170</v>
      </c>
      <c r="H264" s="341" t="s">
        <v>173</v>
      </c>
      <c r="I264" s="341">
        <v>2400</v>
      </c>
      <c r="J264" s="2"/>
      <c r="K264" s="319">
        <v>127</v>
      </c>
      <c r="L264" s="321" t="s">
        <v>50</v>
      </c>
      <c r="M264" s="322" t="s">
        <v>51</v>
      </c>
      <c r="N264" s="321" t="s">
        <v>39</v>
      </c>
      <c r="O264" s="323" t="s">
        <v>186</v>
      </c>
      <c r="P264" s="321" t="s">
        <v>3</v>
      </c>
      <c r="Q264" s="2"/>
      <c r="R264" s="324">
        <f t="shared" si="78"/>
        <v>2400</v>
      </c>
      <c r="S264" s="325">
        <v>1</v>
      </c>
      <c r="T264" s="325">
        <f t="shared" si="67"/>
        <v>10</v>
      </c>
      <c r="V264" s="324">
        <v>6000</v>
      </c>
      <c r="W264" s="326">
        <f t="shared" si="68"/>
        <v>2</v>
      </c>
      <c r="X264" s="326">
        <f t="shared" si="69"/>
        <v>4905</v>
      </c>
      <c r="Y264" s="327">
        <v>4900</v>
      </c>
      <c r="Z264" s="328">
        <f t="shared" si="66"/>
        <v>5</v>
      </c>
      <c r="AA264" s="392"/>
      <c r="AB264" s="395">
        <v>1.7110000000000001</v>
      </c>
      <c r="AC264" s="395">
        <v>0.34200000000000003</v>
      </c>
      <c r="AE264" s="332">
        <f t="shared" si="62"/>
        <v>41.064</v>
      </c>
      <c r="AF264" s="332">
        <f t="shared" si="63"/>
        <v>41.919499999999999</v>
      </c>
      <c r="AG264" s="332">
        <f t="shared" si="64"/>
        <v>-0.85549999999999926</v>
      </c>
      <c r="AH264" s="333">
        <f t="shared" si="65"/>
        <v>1.0208333333333333</v>
      </c>
      <c r="AI264" s="332">
        <f t="shared" si="79"/>
        <v>24</v>
      </c>
      <c r="AJ264" s="329">
        <f t="shared" si="71"/>
        <v>24.5</v>
      </c>
      <c r="AK264" s="329">
        <f t="shared" si="80"/>
        <v>-0.5</v>
      </c>
      <c r="AL264" s="382">
        <f t="shared" si="81"/>
        <v>1.0208333333333333</v>
      </c>
    </row>
    <row r="265" spans="2:38" s="303" customFormat="1" ht="28.5" x14ac:dyDescent="0.2">
      <c r="B265" s="341">
        <f t="shared" si="61"/>
        <v>255</v>
      </c>
      <c r="C265" s="459" t="s">
        <v>200</v>
      </c>
      <c r="D265" s="342" t="s">
        <v>206</v>
      </c>
      <c r="E265" s="341" t="s">
        <v>207</v>
      </c>
      <c r="F265" s="341">
        <v>10</v>
      </c>
      <c r="G265" s="341">
        <v>8170</v>
      </c>
      <c r="H265" s="341" t="s">
        <v>173</v>
      </c>
      <c r="I265" s="341">
        <v>2400</v>
      </c>
      <c r="J265" s="2"/>
      <c r="K265" s="319">
        <v>128</v>
      </c>
      <c r="L265" s="321">
        <v>20626</v>
      </c>
      <c r="M265" s="322" t="s">
        <v>44</v>
      </c>
      <c r="N265" s="321" t="s">
        <v>39</v>
      </c>
      <c r="O265" s="323" t="s">
        <v>186</v>
      </c>
      <c r="P265" s="321" t="s">
        <v>3</v>
      </c>
      <c r="Q265" s="2"/>
      <c r="R265" s="324">
        <f t="shared" si="78"/>
        <v>2400</v>
      </c>
      <c r="S265" s="325">
        <v>1</v>
      </c>
      <c r="T265" s="325">
        <f t="shared" si="67"/>
        <v>10</v>
      </c>
      <c r="V265" s="324">
        <v>7000</v>
      </c>
      <c r="W265" s="326">
        <f t="shared" si="68"/>
        <v>2</v>
      </c>
      <c r="X265" s="326">
        <f t="shared" si="69"/>
        <v>4905</v>
      </c>
      <c r="Y265" s="327">
        <v>4900</v>
      </c>
      <c r="Z265" s="328">
        <f t="shared" si="66"/>
        <v>5</v>
      </c>
      <c r="AA265" s="304"/>
      <c r="AB265" s="329">
        <v>2.7930000000000001</v>
      </c>
      <c r="AC265" s="329">
        <v>0.45068000000000003</v>
      </c>
      <c r="AE265" s="332">
        <f t="shared" si="62"/>
        <v>67.032000000000011</v>
      </c>
      <c r="AF265" s="332">
        <f t="shared" si="63"/>
        <v>68.4285</v>
      </c>
      <c r="AG265" s="332">
        <f t="shared" si="64"/>
        <v>-1.396499999999989</v>
      </c>
      <c r="AH265" s="333">
        <f t="shared" si="65"/>
        <v>1.0208333333333333</v>
      </c>
      <c r="AI265" s="332">
        <f t="shared" si="79"/>
        <v>24</v>
      </c>
      <c r="AJ265" s="329">
        <f t="shared" si="71"/>
        <v>24.5</v>
      </c>
      <c r="AK265" s="329">
        <f t="shared" si="80"/>
        <v>-0.5</v>
      </c>
      <c r="AL265" s="382">
        <f t="shared" si="81"/>
        <v>1.0208333333333333</v>
      </c>
    </row>
    <row r="266" spans="2:38" s="303" customFormat="1" ht="28.5" x14ac:dyDescent="0.2">
      <c r="B266" s="319">
        <f t="shared" si="61"/>
        <v>256</v>
      </c>
      <c r="C266" s="458" t="s">
        <v>200</v>
      </c>
      <c r="D266" s="342" t="s">
        <v>206</v>
      </c>
      <c r="E266" s="341" t="s">
        <v>207</v>
      </c>
      <c r="F266" s="341">
        <v>10</v>
      </c>
      <c r="G266" s="341">
        <v>8170</v>
      </c>
      <c r="H266" s="341" t="s">
        <v>173</v>
      </c>
      <c r="I266" s="341">
        <v>2400</v>
      </c>
      <c r="J266" s="2"/>
      <c r="K266" s="319">
        <v>128</v>
      </c>
      <c r="L266" s="321">
        <v>21825</v>
      </c>
      <c r="M266" s="322" t="s">
        <v>45</v>
      </c>
      <c r="N266" s="321" t="s">
        <v>39</v>
      </c>
      <c r="O266" s="323" t="s">
        <v>186</v>
      </c>
      <c r="P266" s="321" t="s">
        <v>3</v>
      </c>
      <c r="Q266" s="2"/>
      <c r="R266" s="324">
        <f t="shared" si="78"/>
        <v>2400</v>
      </c>
      <c r="S266" s="325">
        <v>1</v>
      </c>
      <c r="T266" s="325">
        <f t="shared" si="67"/>
        <v>10</v>
      </c>
      <c r="V266" s="324">
        <v>7000</v>
      </c>
      <c r="W266" s="326">
        <f t="shared" si="68"/>
        <v>2</v>
      </c>
      <c r="X266" s="326">
        <f t="shared" si="69"/>
        <v>4905</v>
      </c>
      <c r="Y266" s="327">
        <v>4900</v>
      </c>
      <c r="Z266" s="328">
        <f t="shared" si="66"/>
        <v>5</v>
      </c>
      <c r="AA266" s="392"/>
      <c r="AB266" s="329">
        <v>0.999</v>
      </c>
      <c r="AC266" s="329">
        <v>0.2382</v>
      </c>
      <c r="AE266" s="332">
        <f t="shared" si="62"/>
        <v>23.975999999999999</v>
      </c>
      <c r="AF266" s="332">
        <f t="shared" si="63"/>
        <v>24.4755</v>
      </c>
      <c r="AG266" s="332">
        <f t="shared" si="64"/>
        <v>-0.49950000000000117</v>
      </c>
      <c r="AH266" s="333">
        <f t="shared" si="65"/>
        <v>1.0208333333333335</v>
      </c>
      <c r="AI266" s="332">
        <f t="shared" si="79"/>
        <v>24</v>
      </c>
      <c r="AJ266" s="329">
        <f t="shared" si="71"/>
        <v>24.5</v>
      </c>
      <c r="AK266" s="329">
        <f t="shared" si="80"/>
        <v>-0.5</v>
      </c>
      <c r="AL266" s="382">
        <f t="shared" si="81"/>
        <v>1.0208333333333333</v>
      </c>
    </row>
    <row r="267" spans="2:38" s="303" customFormat="1" ht="28.5" x14ac:dyDescent="0.2">
      <c r="B267" s="319">
        <f t="shared" si="61"/>
        <v>257</v>
      </c>
      <c r="C267" s="458" t="s">
        <v>200</v>
      </c>
      <c r="D267" s="342" t="s">
        <v>206</v>
      </c>
      <c r="E267" s="341" t="s">
        <v>207</v>
      </c>
      <c r="F267" s="341">
        <v>10</v>
      </c>
      <c r="G267" s="341">
        <v>8170</v>
      </c>
      <c r="H267" s="341" t="s">
        <v>173</v>
      </c>
      <c r="I267" s="341">
        <v>2400</v>
      </c>
      <c r="J267" s="2"/>
      <c r="K267" s="319">
        <v>128</v>
      </c>
      <c r="L267" s="321" t="s">
        <v>48</v>
      </c>
      <c r="M267" s="322" t="s">
        <v>49</v>
      </c>
      <c r="N267" s="321" t="s">
        <v>39</v>
      </c>
      <c r="O267" s="323" t="s">
        <v>186</v>
      </c>
      <c r="P267" s="321" t="s">
        <v>3</v>
      </c>
      <c r="Q267" s="2"/>
      <c r="R267" s="324">
        <f t="shared" si="78"/>
        <v>2400</v>
      </c>
      <c r="S267" s="325">
        <v>1</v>
      </c>
      <c r="T267" s="325">
        <f t="shared" si="67"/>
        <v>10</v>
      </c>
      <c r="V267" s="324">
        <v>7000</v>
      </c>
      <c r="W267" s="326">
        <f t="shared" si="68"/>
        <v>2</v>
      </c>
      <c r="X267" s="326">
        <f t="shared" si="69"/>
        <v>4905</v>
      </c>
      <c r="Y267" s="327">
        <v>4900</v>
      </c>
      <c r="Z267" s="328">
        <f t="shared" si="66"/>
        <v>5</v>
      </c>
      <c r="AA267" s="392"/>
      <c r="AB267" s="329">
        <v>0.81</v>
      </c>
      <c r="AC267" s="329">
        <v>0.28999999999999998</v>
      </c>
      <c r="AE267" s="332">
        <f t="shared" si="62"/>
        <v>19.440000000000001</v>
      </c>
      <c r="AF267" s="332">
        <f t="shared" si="63"/>
        <v>19.845000000000002</v>
      </c>
      <c r="AG267" s="332">
        <f t="shared" si="64"/>
        <v>-0.40500000000000114</v>
      </c>
      <c r="AH267" s="333">
        <f t="shared" si="65"/>
        <v>1.0208333333333335</v>
      </c>
      <c r="AI267" s="332">
        <f t="shared" si="79"/>
        <v>24</v>
      </c>
      <c r="AJ267" s="329">
        <f t="shared" si="71"/>
        <v>24.5</v>
      </c>
      <c r="AK267" s="329">
        <f t="shared" si="80"/>
        <v>-0.5</v>
      </c>
      <c r="AL267" s="382">
        <f t="shared" si="81"/>
        <v>1.0208333333333333</v>
      </c>
    </row>
    <row r="268" spans="2:38" s="303" customFormat="1" ht="28.5" x14ac:dyDescent="0.2">
      <c r="B268" s="319">
        <f t="shared" si="61"/>
        <v>258</v>
      </c>
      <c r="C268" s="458" t="s">
        <v>200</v>
      </c>
      <c r="D268" s="342" t="s">
        <v>206</v>
      </c>
      <c r="E268" s="341" t="s">
        <v>207</v>
      </c>
      <c r="F268" s="341">
        <v>10</v>
      </c>
      <c r="G268" s="341">
        <v>8170</v>
      </c>
      <c r="H268" s="341" t="s">
        <v>173</v>
      </c>
      <c r="I268" s="341">
        <v>2400</v>
      </c>
      <c r="J268" s="2"/>
      <c r="K268" s="319">
        <v>128</v>
      </c>
      <c r="L268" s="321" t="s">
        <v>46</v>
      </c>
      <c r="M268" s="322" t="s">
        <v>47</v>
      </c>
      <c r="N268" s="321" t="s">
        <v>39</v>
      </c>
      <c r="O268" s="323" t="s">
        <v>186</v>
      </c>
      <c r="P268" s="321" t="s">
        <v>3</v>
      </c>
      <c r="Q268" s="2"/>
      <c r="R268" s="324">
        <f t="shared" si="78"/>
        <v>2400</v>
      </c>
      <c r="S268" s="325">
        <v>1</v>
      </c>
      <c r="T268" s="325">
        <f t="shared" si="67"/>
        <v>10</v>
      </c>
      <c r="V268" s="324">
        <v>7000</v>
      </c>
      <c r="W268" s="326">
        <f t="shared" si="68"/>
        <v>2</v>
      </c>
      <c r="X268" s="326">
        <f t="shared" si="69"/>
        <v>4905</v>
      </c>
      <c r="Y268" s="327">
        <v>4900</v>
      </c>
      <c r="Z268" s="328">
        <f t="shared" si="66"/>
        <v>5</v>
      </c>
      <c r="AA268" s="392"/>
      <c r="AB268" s="329">
        <v>0.91600000000000004</v>
      </c>
      <c r="AC268" s="329">
        <v>0.33900000000000002</v>
      </c>
      <c r="AE268" s="332">
        <f t="shared" si="62"/>
        <v>21.984000000000002</v>
      </c>
      <c r="AF268" s="332">
        <f t="shared" si="63"/>
        <v>22.442</v>
      </c>
      <c r="AG268" s="332">
        <f t="shared" si="64"/>
        <v>-0.45799999999999841</v>
      </c>
      <c r="AH268" s="333">
        <f t="shared" si="65"/>
        <v>1.0208333333333333</v>
      </c>
      <c r="AI268" s="332">
        <f t="shared" si="79"/>
        <v>24</v>
      </c>
      <c r="AJ268" s="329">
        <f t="shared" si="71"/>
        <v>24.5</v>
      </c>
      <c r="AK268" s="329">
        <f t="shared" si="80"/>
        <v>-0.5</v>
      </c>
      <c r="AL268" s="382">
        <f t="shared" si="81"/>
        <v>1.0208333333333333</v>
      </c>
    </row>
    <row r="269" spans="2:38" s="303" customFormat="1" ht="28.5" x14ac:dyDescent="0.2">
      <c r="B269" s="319">
        <f t="shared" ref="B269:B332" si="82">B268+1</f>
        <v>259</v>
      </c>
      <c r="C269" s="458" t="s">
        <v>200</v>
      </c>
      <c r="D269" s="342" t="s">
        <v>206</v>
      </c>
      <c r="E269" s="341" t="s">
        <v>207</v>
      </c>
      <c r="F269" s="341">
        <v>10</v>
      </c>
      <c r="G269" s="341">
        <v>8170</v>
      </c>
      <c r="H269" s="341" t="s">
        <v>173</v>
      </c>
      <c r="I269" s="341">
        <v>2400</v>
      </c>
      <c r="J269" s="2"/>
      <c r="K269" s="334">
        <v>128</v>
      </c>
      <c r="L269" s="337">
        <v>10926</v>
      </c>
      <c r="M269" s="336" t="s">
        <v>36</v>
      </c>
      <c r="N269" s="337" t="s">
        <v>6</v>
      </c>
      <c r="O269" s="323" t="s">
        <v>186</v>
      </c>
      <c r="P269" s="337" t="s">
        <v>187</v>
      </c>
      <c r="Q269" s="2"/>
      <c r="R269" s="324">
        <f t="shared" si="78"/>
        <v>2400</v>
      </c>
      <c r="S269" s="325">
        <v>1</v>
      </c>
      <c r="T269" s="325">
        <f t="shared" si="67"/>
        <v>10</v>
      </c>
      <c r="V269" s="324">
        <v>6100</v>
      </c>
      <c r="W269" s="339">
        <f t="shared" si="68"/>
        <v>2</v>
      </c>
      <c r="X269" s="339">
        <f t="shared" si="69"/>
        <v>4905</v>
      </c>
      <c r="Y269" s="327">
        <v>6100</v>
      </c>
      <c r="Z269" s="328">
        <f t="shared" si="66"/>
        <v>5</v>
      </c>
      <c r="AA269" s="392"/>
      <c r="AB269" s="329">
        <v>0.76700000000000002</v>
      </c>
      <c r="AC269" s="329"/>
      <c r="AE269" s="332">
        <f t="shared" si="62"/>
        <v>18.408000000000001</v>
      </c>
      <c r="AF269" s="332">
        <f t="shared" si="63"/>
        <v>23.3935</v>
      </c>
      <c r="AG269" s="332">
        <f t="shared" si="64"/>
        <v>-4.9854999999999983</v>
      </c>
      <c r="AH269" s="333">
        <f t="shared" si="65"/>
        <v>1.2708333333333333</v>
      </c>
      <c r="AI269" s="332">
        <f t="shared" si="79"/>
        <v>24</v>
      </c>
      <c r="AJ269" s="329">
        <f t="shared" si="71"/>
        <v>30.5</v>
      </c>
      <c r="AK269" s="329">
        <f t="shared" si="80"/>
        <v>-6.5</v>
      </c>
      <c r="AL269" s="382">
        <f t="shared" si="81"/>
        <v>1.2708333333333333</v>
      </c>
    </row>
    <row r="270" spans="2:38" s="303" customFormat="1" ht="28.5" x14ac:dyDescent="0.2">
      <c r="B270" s="319">
        <f t="shared" si="82"/>
        <v>260</v>
      </c>
      <c r="C270" s="458" t="s">
        <v>200</v>
      </c>
      <c r="D270" s="342" t="s">
        <v>206</v>
      </c>
      <c r="E270" s="341" t="s">
        <v>207</v>
      </c>
      <c r="F270" s="341">
        <v>10</v>
      </c>
      <c r="G270" s="341">
        <v>8170</v>
      </c>
      <c r="H270" s="341" t="s">
        <v>173</v>
      </c>
      <c r="I270" s="341">
        <v>2400</v>
      </c>
      <c r="J270" s="2"/>
      <c r="K270" s="319">
        <v>128</v>
      </c>
      <c r="L270" s="321" t="s">
        <v>114</v>
      </c>
      <c r="M270" s="322" t="s">
        <v>115</v>
      </c>
      <c r="N270" s="321" t="s">
        <v>39</v>
      </c>
      <c r="O270" s="323" t="s">
        <v>186</v>
      </c>
      <c r="P270" s="321" t="s">
        <v>3</v>
      </c>
      <c r="Q270" s="2"/>
      <c r="R270" s="324">
        <f t="shared" si="78"/>
        <v>2400</v>
      </c>
      <c r="S270" s="325">
        <v>1</v>
      </c>
      <c r="T270" s="325">
        <f t="shared" si="67"/>
        <v>10</v>
      </c>
      <c r="V270" s="324">
        <v>7000</v>
      </c>
      <c r="W270" s="326">
        <f t="shared" si="68"/>
        <v>2</v>
      </c>
      <c r="X270" s="326">
        <f t="shared" si="69"/>
        <v>4905</v>
      </c>
      <c r="Y270" s="327">
        <v>4900</v>
      </c>
      <c r="Z270" s="328">
        <f t="shared" si="66"/>
        <v>5</v>
      </c>
      <c r="AA270" s="392"/>
      <c r="AB270" s="329">
        <v>0.83499999999999996</v>
      </c>
      <c r="AC270" s="329">
        <v>0.21299999999999999</v>
      </c>
      <c r="AE270" s="332">
        <f t="shared" si="62"/>
        <v>20.04</v>
      </c>
      <c r="AF270" s="332">
        <f t="shared" si="63"/>
        <v>20.4575</v>
      </c>
      <c r="AG270" s="332">
        <f t="shared" si="64"/>
        <v>-0.41750000000000043</v>
      </c>
      <c r="AH270" s="333">
        <f t="shared" si="65"/>
        <v>1.0208333333333333</v>
      </c>
      <c r="AI270" s="332">
        <f t="shared" si="79"/>
        <v>24</v>
      </c>
      <c r="AJ270" s="329">
        <f t="shared" si="71"/>
        <v>24.5</v>
      </c>
      <c r="AK270" s="329">
        <f t="shared" si="80"/>
        <v>-0.5</v>
      </c>
      <c r="AL270" s="382">
        <f t="shared" si="81"/>
        <v>1.0208333333333333</v>
      </c>
    </row>
    <row r="271" spans="2:38" s="303" customFormat="1" ht="28.5" x14ac:dyDescent="0.2">
      <c r="B271" s="319">
        <f t="shared" si="82"/>
        <v>261</v>
      </c>
      <c r="C271" s="458" t="s">
        <v>200</v>
      </c>
      <c r="D271" s="342" t="s">
        <v>206</v>
      </c>
      <c r="E271" s="341" t="s">
        <v>207</v>
      </c>
      <c r="F271" s="341">
        <v>10</v>
      </c>
      <c r="G271" s="341">
        <v>8170</v>
      </c>
      <c r="H271" s="341" t="s">
        <v>173</v>
      </c>
      <c r="I271" s="341">
        <v>2400</v>
      </c>
      <c r="J271" s="2"/>
      <c r="K271" s="319">
        <v>128</v>
      </c>
      <c r="L271" s="321" t="s">
        <v>50</v>
      </c>
      <c r="M271" s="322" t="s">
        <v>51</v>
      </c>
      <c r="N271" s="321" t="s">
        <v>39</v>
      </c>
      <c r="O271" s="323" t="s">
        <v>186</v>
      </c>
      <c r="P271" s="321" t="s">
        <v>3</v>
      </c>
      <c r="Q271" s="2"/>
      <c r="R271" s="324">
        <f t="shared" si="78"/>
        <v>2400</v>
      </c>
      <c r="S271" s="325">
        <v>1</v>
      </c>
      <c r="T271" s="325">
        <f t="shared" si="67"/>
        <v>10</v>
      </c>
      <c r="V271" s="324">
        <v>7000</v>
      </c>
      <c r="W271" s="326">
        <f t="shared" si="68"/>
        <v>2</v>
      </c>
      <c r="X271" s="326">
        <f t="shared" si="69"/>
        <v>4905</v>
      </c>
      <c r="Y271" s="327">
        <v>4900</v>
      </c>
      <c r="Z271" s="328">
        <f t="shared" si="66"/>
        <v>5</v>
      </c>
      <c r="AA271" s="387">
        <v>10</v>
      </c>
      <c r="AB271" s="395">
        <v>1.7110000000000001</v>
      </c>
      <c r="AC271" s="395">
        <v>0.34200000000000003</v>
      </c>
      <c r="AE271" s="332">
        <f t="shared" si="62"/>
        <v>41.064</v>
      </c>
      <c r="AF271" s="332">
        <f t="shared" si="63"/>
        <v>41.919499999999999</v>
      </c>
      <c r="AG271" s="332">
        <f t="shared" si="64"/>
        <v>-0.85549999999999926</v>
      </c>
      <c r="AH271" s="333">
        <f t="shared" si="65"/>
        <v>1.0208333333333333</v>
      </c>
      <c r="AI271" s="332">
        <f t="shared" si="79"/>
        <v>24</v>
      </c>
      <c r="AJ271" s="329">
        <f t="shared" si="71"/>
        <v>24.5</v>
      </c>
      <c r="AK271" s="329">
        <f t="shared" si="80"/>
        <v>-0.5</v>
      </c>
      <c r="AL271" s="382">
        <f t="shared" si="81"/>
        <v>1.0208333333333333</v>
      </c>
    </row>
    <row r="272" spans="2:38" s="303" customFormat="1" ht="28.5" x14ac:dyDescent="0.2">
      <c r="B272" s="341">
        <f t="shared" si="82"/>
        <v>262</v>
      </c>
      <c r="C272" s="459" t="s">
        <v>200</v>
      </c>
      <c r="D272" s="342" t="s">
        <v>206</v>
      </c>
      <c r="E272" s="341" t="s">
        <v>207</v>
      </c>
      <c r="F272" s="341">
        <v>10</v>
      </c>
      <c r="G272" s="341">
        <v>8170</v>
      </c>
      <c r="H272" s="341" t="s">
        <v>173</v>
      </c>
      <c r="I272" s="341">
        <v>2400</v>
      </c>
      <c r="J272" s="2"/>
      <c r="K272" s="319">
        <v>129</v>
      </c>
      <c r="L272" s="321">
        <v>20626</v>
      </c>
      <c r="M272" s="322" t="s">
        <v>44</v>
      </c>
      <c r="N272" s="321" t="s">
        <v>39</v>
      </c>
      <c r="O272" s="323" t="s">
        <v>186</v>
      </c>
      <c r="P272" s="321" t="s">
        <v>3</v>
      </c>
      <c r="Q272" s="2"/>
      <c r="R272" s="324">
        <f t="shared" si="78"/>
        <v>2400</v>
      </c>
      <c r="S272" s="325">
        <v>6</v>
      </c>
      <c r="T272" s="325">
        <f t="shared" si="67"/>
        <v>60</v>
      </c>
      <c r="V272" s="324">
        <v>7000</v>
      </c>
      <c r="W272" s="326">
        <f t="shared" si="68"/>
        <v>2</v>
      </c>
      <c r="X272" s="326">
        <f t="shared" si="69"/>
        <v>4905</v>
      </c>
      <c r="Y272" s="327">
        <v>4900</v>
      </c>
      <c r="Z272" s="328">
        <f t="shared" si="66"/>
        <v>30</v>
      </c>
      <c r="AA272" s="304"/>
      <c r="AB272" s="329">
        <v>2.7930000000000001</v>
      </c>
      <c r="AC272" s="329">
        <v>0.45068000000000003</v>
      </c>
      <c r="AE272" s="332">
        <f t="shared" si="62"/>
        <v>402.19200000000001</v>
      </c>
      <c r="AF272" s="332">
        <f t="shared" si="63"/>
        <v>410.57100000000003</v>
      </c>
      <c r="AG272" s="332">
        <f t="shared" si="64"/>
        <v>-8.3790000000000191</v>
      </c>
      <c r="AH272" s="333">
        <f t="shared" si="65"/>
        <v>1.0208333333333335</v>
      </c>
      <c r="AI272" s="332">
        <f t="shared" si="79"/>
        <v>144</v>
      </c>
      <c r="AJ272" s="329">
        <f t="shared" si="71"/>
        <v>147</v>
      </c>
      <c r="AK272" s="329">
        <f t="shared" si="80"/>
        <v>-3</v>
      </c>
      <c r="AL272" s="382">
        <f t="shared" si="81"/>
        <v>1.0208333333333333</v>
      </c>
    </row>
    <row r="273" spans="2:38" s="303" customFormat="1" ht="28.5" x14ac:dyDescent="0.2">
      <c r="B273" s="319">
        <f t="shared" si="82"/>
        <v>263</v>
      </c>
      <c r="C273" s="458" t="s">
        <v>200</v>
      </c>
      <c r="D273" s="342" t="s">
        <v>206</v>
      </c>
      <c r="E273" s="341" t="s">
        <v>207</v>
      </c>
      <c r="F273" s="341">
        <v>10</v>
      </c>
      <c r="G273" s="341">
        <v>8170</v>
      </c>
      <c r="H273" s="341" t="s">
        <v>173</v>
      </c>
      <c r="I273" s="341">
        <v>2400</v>
      </c>
      <c r="J273" s="2"/>
      <c r="K273" s="319">
        <v>129</v>
      </c>
      <c r="L273" s="321">
        <v>21825</v>
      </c>
      <c r="M273" s="322" t="s">
        <v>45</v>
      </c>
      <c r="N273" s="321" t="s">
        <v>39</v>
      </c>
      <c r="O273" s="323" t="s">
        <v>186</v>
      </c>
      <c r="P273" s="321" t="s">
        <v>3</v>
      </c>
      <c r="Q273" s="2"/>
      <c r="R273" s="324">
        <f t="shared" si="78"/>
        <v>2400</v>
      </c>
      <c r="S273" s="325">
        <v>6</v>
      </c>
      <c r="T273" s="325">
        <f t="shared" si="67"/>
        <v>60</v>
      </c>
      <c r="V273" s="324">
        <v>7000</v>
      </c>
      <c r="W273" s="326">
        <f t="shared" si="68"/>
        <v>2</v>
      </c>
      <c r="X273" s="326">
        <f t="shared" si="69"/>
        <v>4905</v>
      </c>
      <c r="Y273" s="327">
        <v>4900</v>
      </c>
      <c r="Z273" s="328">
        <f t="shared" si="66"/>
        <v>30</v>
      </c>
      <c r="AA273" s="392"/>
      <c r="AB273" s="329">
        <v>0.999</v>
      </c>
      <c r="AC273" s="329">
        <v>0.2382</v>
      </c>
      <c r="AE273" s="332">
        <f t="shared" si="62"/>
        <v>143.85599999999999</v>
      </c>
      <c r="AF273" s="332">
        <f t="shared" si="63"/>
        <v>146.85300000000001</v>
      </c>
      <c r="AG273" s="332">
        <f t="shared" si="64"/>
        <v>-2.9970000000000141</v>
      </c>
      <c r="AH273" s="333">
        <f t="shared" si="65"/>
        <v>1.0208333333333335</v>
      </c>
      <c r="AI273" s="332">
        <f t="shared" si="79"/>
        <v>144</v>
      </c>
      <c r="AJ273" s="329">
        <f t="shared" si="71"/>
        <v>147</v>
      </c>
      <c r="AK273" s="329">
        <f t="shared" si="80"/>
        <v>-3</v>
      </c>
      <c r="AL273" s="382">
        <f t="shared" si="81"/>
        <v>1.0208333333333333</v>
      </c>
    </row>
    <row r="274" spans="2:38" s="303" customFormat="1" ht="28.5" x14ac:dyDescent="0.2">
      <c r="B274" s="319">
        <f t="shared" si="82"/>
        <v>264</v>
      </c>
      <c r="C274" s="458" t="s">
        <v>200</v>
      </c>
      <c r="D274" s="342" t="s">
        <v>206</v>
      </c>
      <c r="E274" s="341" t="s">
        <v>207</v>
      </c>
      <c r="F274" s="341">
        <v>10</v>
      </c>
      <c r="G274" s="341">
        <v>8170</v>
      </c>
      <c r="H274" s="341" t="s">
        <v>173</v>
      </c>
      <c r="I274" s="341">
        <v>2400</v>
      </c>
      <c r="J274" s="2"/>
      <c r="K274" s="319">
        <v>129</v>
      </c>
      <c r="L274" s="321" t="s">
        <v>48</v>
      </c>
      <c r="M274" s="322" t="s">
        <v>49</v>
      </c>
      <c r="N274" s="321" t="s">
        <v>39</v>
      </c>
      <c r="O274" s="323" t="s">
        <v>186</v>
      </c>
      <c r="P274" s="321" t="s">
        <v>3</v>
      </c>
      <c r="Q274" s="2"/>
      <c r="R274" s="324">
        <f t="shared" si="78"/>
        <v>2400</v>
      </c>
      <c r="S274" s="325">
        <v>6</v>
      </c>
      <c r="T274" s="325">
        <f t="shared" si="67"/>
        <v>60</v>
      </c>
      <c r="V274" s="324">
        <v>7000</v>
      </c>
      <c r="W274" s="326">
        <f t="shared" si="68"/>
        <v>2</v>
      </c>
      <c r="X274" s="326">
        <f t="shared" si="69"/>
        <v>4905</v>
      </c>
      <c r="Y274" s="327">
        <v>4900</v>
      </c>
      <c r="Z274" s="328">
        <f t="shared" si="66"/>
        <v>30</v>
      </c>
      <c r="AA274" s="392"/>
      <c r="AB274" s="329">
        <v>0.81</v>
      </c>
      <c r="AC274" s="329">
        <v>0.28999999999999998</v>
      </c>
      <c r="AE274" s="332">
        <f t="shared" si="62"/>
        <v>116.64000000000001</v>
      </c>
      <c r="AF274" s="332">
        <f t="shared" si="63"/>
        <v>119.07000000000001</v>
      </c>
      <c r="AG274" s="332">
        <f t="shared" si="64"/>
        <v>-2.4299999999999926</v>
      </c>
      <c r="AH274" s="333">
        <f t="shared" si="65"/>
        <v>1.0208333333333333</v>
      </c>
      <c r="AI274" s="332">
        <f t="shared" si="79"/>
        <v>144</v>
      </c>
      <c r="AJ274" s="329">
        <f t="shared" si="71"/>
        <v>147</v>
      </c>
      <c r="AK274" s="329">
        <f t="shared" si="80"/>
        <v>-3</v>
      </c>
      <c r="AL274" s="382">
        <f t="shared" si="81"/>
        <v>1.0208333333333333</v>
      </c>
    </row>
    <row r="275" spans="2:38" s="303" customFormat="1" ht="28.5" x14ac:dyDescent="0.2">
      <c r="B275" s="319">
        <f t="shared" si="82"/>
        <v>265</v>
      </c>
      <c r="C275" s="458" t="s">
        <v>200</v>
      </c>
      <c r="D275" s="342" t="s">
        <v>206</v>
      </c>
      <c r="E275" s="341" t="s">
        <v>207</v>
      </c>
      <c r="F275" s="341">
        <v>10</v>
      </c>
      <c r="G275" s="341">
        <v>8170</v>
      </c>
      <c r="H275" s="341" t="s">
        <v>173</v>
      </c>
      <c r="I275" s="341">
        <v>2400</v>
      </c>
      <c r="J275" s="2"/>
      <c r="K275" s="319">
        <v>129</v>
      </c>
      <c r="L275" s="321" t="s">
        <v>46</v>
      </c>
      <c r="M275" s="322" t="s">
        <v>47</v>
      </c>
      <c r="N275" s="321" t="s">
        <v>39</v>
      </c>
      <c r="O275" s="323" t="s">
        <v>186</v>
      </c>
      <c r="P275" s="321" t="s">
        <v>3</v>
      </c>
      <c r="Q275" s="2"/>
      <c r="R275" s="324">
        <f t="shared" si="78"/>
        <v>2400</v>
      </c>
      <c r="S275" s="325">
        <v>6</v>
      </c>
      <c r="T275" s="325">
        <f t="shared" si="67"/>
        <v>60</v>
      </c>
      <c r="V275" s="324">
        <v>7000</v>
      </c>
      <c r="W275" s="326">
        <f t="shared" si="68"/>
        <v>2</v>
      </c>
      <c r="X275" s="326">
        <f t="shared" si="69"/>
        <v>4905</v>
      </c>
      <c r="Y275" s="327">
        <v>4900</v>
      </c>
      <c r="Z275" s="328">
        <f t="shared" si="66"/>
        <v>30</v>
      </c>
      <c r="AA275" s="392"/>
      <c r="AB275" s="329">
        <v>0.91600000000000004</v>
      </c>
      <c r="AC275" s="329">
        <v>0.33900000000000002</v>
      </c>
      <c r="AE275" s="332">
        <f t="shared" si="62"/>
        <v>131.904</v>
      </c>
      <c r="AF275" s="332">
        <f t="shared" si="63"/>
        <v>134.65200000000002</v>
      </c>
      <c r="AG275" s="332">
        <f t="shared" si="64"/>
        <v>-2.7480000000000189</v>
      </c>
      <c r="AH275" s="333">
        <f t="shared" si="65"/>
        <v>1.0208333333333335</v>
      </c>
      <c r="AI275" s="332">
        <f t="shared" si="79"/>
        <v>144</v>
      </c>
      <c r="AJ275" s="329">
        <f t="shared" si="71"/>
        <v>147</v>
      </c>
      <c r="AK275" s="329">
        <f t="shared" si="80"/>
        <v>-3</v>
      </c>
      <c r="AL275" s="382">
        <f t="shared" si="81"/>
        <v>1.0208333333333333</v>
      </c>
    </row>
    <row r="276" spans="2:38" s="303" customFormat="1" ht="28.5" x14ac:dyDescent="0.2">
      <c r="B276" s="341">
        <f t="shared" si="82"/>
        <v>266</v>
      </c>
      <c r="C276" s="459" t="s">
        <v>200</v>
      </c>
      <c r="D276" s="342" t="s">
        <v>206</v>
      </c>
      <c r="E276" s="341" t="s">
        <v>207</v>
      </c>
      <c r="F276" s="341">
        <v>10</v>
      </c>
      <c r="G276" s="341">
        <v>8170</v>
      </c>
      <c r="H276" s="341" t="s">
        <v>173</v>
      </c>
      <c r="I276" s="341">
        <v>2400</v>
      </c>
      <c r="J276" s="2"/>
      <c r="K276" s="319">
        <v>130</v>
      </c>
      <c r="L276" s="321">
        <v>20626</v>
      </c>
      <c r="M276" s="322" t="s">
        <v>44</v>
      </c>
      <c r="N276" s="321" t="s">
        <v>39</v>
      </c>
      <c r="O276" s="323" t="s">
        <v>186</v>
      </c>
      <c r="P276" s="321" t="s">
        <v>3</v>
      </c>
      <c r="Q276" s="2"/>
      <c r="R276" s="324">
        <f t="shared" si="78"/>
        <v>2400</v>
      </c>
      <c r="S276" s="325">
        <v>1</v>
      </c>
      <c r="T276" s="325">
        <f t="shared" si="67"/>
        <v>10</v>
      </c>
      <c r="V276" s="324">
        <v>7000</v>
      </c>
      <c r="W276" s="326">
        <f t="shared" si="68"/>
        <v>2</v>
      </c>
      <c r="X276" s="326">
        <f t="shared" si="69"/>
        <v>4905</v>
      </c>
      <c r="Y276" s="327">
        <v>4900</v>
      </c>
      <c r="Z276" s="328">
        <f t="shared" si="66"/>
        <v>5</v>
      </c>
      <c r="AA276" s="387">
        <v>45</v>
      </c>
      <c r="AB276" s="329">
        <v>2.7930000000000001</v>
      </c>
      <c r="AC276" s="329">
        <v>0.45068000000000003</v>
      </c>
      <c r="AE276" s="332">
        <f t="shared" si="62"/>
        <v>67.032000000000011</v>
      </c>
      <c r="AF276" s="332">
        <f t="shared" si="63"/>
        <v>68.4285</v>
      </c>
      <c r="AG276" s="332">
        <f t="shared" si="64"/>
        <v>-1.396499999999989</v>
      </c>
      <c r="AH276" s="333">
        <f t="shared" si="65"/>
        <v>1.0208333333333333</v>
      </c>
      <c r="AI276" s="332">
        <f t="shared" si="79"/>
        <v>24</v>
      </c>
      <c r="AJ276" s="329">
        <f t="shared" si="71"/>
        <v>24.5</v>
      </c>
      <c r="AK276" s="329">
        <f t="shared" si="80"/>
        <v>-0.5</v>
      </c>
      <c r="AL276" s="382">
        <f t="shared" si="81"/>
        <v>1.0208333333333333</v>
      </c>
    </row>
    <row r="277" spans="2:38" s="303" customFormat="1" ht="28.5" x14ac:dyDescent="0.2">
      <c r="B277" s="319">
        <f t="shared" si="82"/>
        <v>267</v>
      </c>
      <c r="C277" s="458" t="s">
        <v>200</v>
      </c>
      <c r="D277" s="342" t="s">
        <v>206</v>
      </c>
      <c r="E277" s="341" t="s">
        <v>207</v>
      </c>
      <c r="F277" s="341">
        <v>10</v>
      </c>
      <c r="G277" s="341">
        <v>8170</v>
      </c>
      <c r="H277" s="341" t="s">
        <v>173</v>
      </c>
      <c r="I277" s="341">
        <v>2400</v>
      </c>
      <c r="J277" s="2"/>
      <c r="K277" s="319">
        <v>130</v>
      </c>
      <c r="L277" s="321">
        <v>21825</v>
      </c>
      <c r="M277" s="322" t="s">
        <v>45</v>
      </c>
      <c r="N277" s="321" t="s">
        <v>39</v>
      </c>
      <c r="O277" s="323" t="s">
        <v>186</v>
      </c>
      <c r="P277" s="321" t="s">
        <v>3</v>
      </c>
      <c r="Q277" s="2"/>
      <c r="R277" s="324">
        <f t="shared" si="78"/>
        <v>2400</v>
      </c>
      <c r="S277" s="325">
        <v>1</v>
      </c>
      <c r="T277" s="325">
        <f t="shared" si="67"/>
        <v>10</v>
      </c>
      <c r="V277" s="324">
        <v>7000</v>
      </c>
      <c r="W277" s="326">
        <f t="shared" si="68"/>
        <v>2</v>
      </c>
      <c r="X277" s="326">
        <f t="shared" si="69"/>
        <v>4905</v>
      </c>
      <c r="Y277" s="327">
        <v>4900</v>
      </c>
      <c r="Z277" s="328">
        <f t="shared" si="66"/>
        <v>5</v>
      </c>
      <c r="AA277" s="392"/>
      <c r="AB277" s="329">
        <v>0.999</v>
      </c>
      <c r="AC277" s="329">
        <v>0.2382</v>
      </c>
      <c r="AE277" s="332">
        <f t="shared" ref="AE277:AE347" si="83">(($R277/1000)*$T277)*$AB277</f>
        <v>23.975999999999999</v>
      </c>
      <c r="AF277" s="332">
        <f t="shared" ref="AF277:AF347" si="84">(($Y277*$Z277)/1000)*$AB277</f>
        <v>24.4755</v>
      </c>
      <c r="AG277" s="332">
        <f t="shared" ref="AG277:AG345" si="85">+AE277-AF277</f>
        <v>-0.49950000000000117</v>
      </c>
      <c r="AH277" s="333">
        <f t="shared" ref="AH277:AH345" si="86">+AF277/AE277</f>
        <v>1.0208333333333335</v>
      </c>
      <c r="AI277" s="332">
        <f t="shared" si="79"/>
        <v>24</v>
      </c>
      <c r="AJ277" s="329">
        <f t="shared" si="71"/>
        <v>24.5</v>
      </c>
      <c r="AK277" s="329">
        <f t="shared" si="80"/>
        <v>-0.5</v>
      </c>
      <c r="AL277" s="382">
        <f t="shared" si="81"/>
        <v>1.0208333333333333</v>
      </c>
    </row>
    <row r="278" spans="2:38" s="303" customFormat="1" ht="28.5" x14ac:dyDescent="0.2">
      <c r="B278" s="319">
        <f t="shared" si="82"/>
        <v>268</v>
      </c>
      <c r="C278" s="458" t="s">
        <v>200</v>
      </c>
      <c r="D278" s="342" t="s">
        <v>206</v>
      </c>
      <c r="E278" s="341" t="s">
        <v>207</v>
      </c>
      <c r="F278" s="341">
        <v>10</v>
      </c>
      <c r="G278" s="341">
        <v>8170</v>
      </c>
      <c r="H278" s="341" t="s">
        <v>173</v>
      </c>
      <c r="I278" s="341">
        <v>2400</v>
      </c>
      <c r="J278" s="2"/>
      <c r="K278" s="319">
        <v>130</v>
      </c>
      <c r="L278" s="321" t="s">
        <v>48</v>
      </c>
      <c r="M278" s="322" t="s">
        <v>49</v>
      </c>
      <c r="N278" s="321" t="s">
        <v>39</v>
      </c>
      <c r="O278" s="323" t="s">
        <v>186</v>
      </c>
      <c r="P278" s="321" t="s">
        <v>3</v>
      </c>
      <c r="Q278" s="2"/>
      <c r="R278" s="324">
        <f t="shared" si="78"/>
        <v>2400</v>
      </c>
      <c r="S278" s="325">
        <v>1</v>
      </c>
      <c r="T278" s="325">
        <f t="shared" si="67"/>
        <v>10</v>
      </c>
      <c r="V278" s="324">
        <v>7000</v>
      </c>
      <c r="W278" s="326">
        <f t="shared" si="68"/>
        <v>2</v>
      </c>
      <c r="X278" s="326">
        <f t="shared" si="69"/>
        <v>4905</v>
      </c>
      <c r="Y278" s="327">
        <v>4900</v>
      </c>
      <c r="Z278" s="328">
        <f t="shared" si="66"/>
        <v>5</v>
      </c>
      <c r="AA278" s="392"/>
      <c r="AB278" s="329">
        <v>0.81</v>
      </c>
      <c r="AC278" s="329">
        <v>0.28999999999999998</v>
      </c>
      <c r="AE278" s="332">
        <f t="shared" si="83"/>
        <v>19.440000000000001</v>
      </c>
      <c r="AF278" s="332">
        <f t="shared" si="84"/>
        <v>19.845000000000002</v>
      </c>
      <c r="AG278" s="332">
        <f t="shared" si="85"/>
        <v>-0.40500000000000114</v>
      </c>
      <c r="AH278" s="333">
        <f t="shared" si="86"/>
        <v>1.0208333333333335</v>
      </c>
      <c r="AI278" s="332">
        <f t="shared" si="79"/>
        <v>24</v>
      </c>
      <c r="AJ278" s="329">
        <f t="shared" si="71"/>
        <v>24.5</v>
      </c>
      <c r="AK278" s="329">
        <f t="shared" si="80"/>
        <v>-0.5</v>
      </c>
      <c r="AL278" s="382">
        <f t="shared" si="81"/>
        <v>1.0208333333333333</v>
      </c>
    </row>
    <row r="279" spans="2:38" s="303" customFormat="1" ht="28.5" x14ac:dyDescent="0.2">
      <c r="B279" s="319">
        <f t="shared" si="82"/>
        <v>269</v>
      </c>
      <c r="C279" s="458" t="s">
        <v>200</v>
      </c>
      <c r="D279" s="342" t="s">
        <v>206</v>
      </c>
      <c r="E279" s="341" t="s">
        <v>207</v>
      </c>
      <c r="F279" s="341">
        <v>10</v>
      </c>
      <c r="G279" s="341">
        <v>8170</v>
      </c>
      <c r="H279" s="341" t="s">
        <v>173</v>
      </c>
      <c r="I279" s="341">
        <v>2400</v>
      </c>
      <c r="J279" s="2"/>
      <c r="K279" s="319">
        <v>130</v>
      </c>
      <c r="L279" s="321" t="s">
        <v>46</v>
      </c>
      <c r="M279" s="322" t="s">
        <v>47</v>
      </c>
      <c r="N279" s="321" t="s">
        <v>39</v>
      </c>
      <c r="O279" s="323" t="s">
        <v>186</v>
      </c>
      <c r="P279" s="321" t="s">
        <v>3</v>
      </c>
      <c r="Q279" s="2"/>
      <c r="R279" s="324">
        <f t="shared" si="78"/>
        <v>2400</v>
      </c>
      <c r="S279" s="325">
        <v>1</v>
      </c>
      <c r="T279" s="325">
        <f t="shared" si="67"/>
        <v>10</v>
      </c>
      <c r="V279" s="324">
        <v>7000</v>
      </c>
      <c r="W279" s="326">
        <f t="shared" si="68"/>
        <v>2</v>
      </c>
      <c r="X279" s="326">
        <f t="shared" si="69"/>
        <v>4905</v>
      </c>
      <c r="Y279" s="327">
        <v>4900</v>
      </c>
      <c r="Z279" s="328">
        <f t="shared" si="66"/>
        <v>5</v>
      </c>
      <c r="AA279" s="392"/>
      <c r="AB279" s="329">
        <v>0.91600000000000004</v>
      </c>
      <c r="AC279" s="329">
        <v>0.33900000000000002</v>
      </c>
      <c r="AE279" s="332">
        <f t="shared" si="83"/>
        <v>21.984000000000002</v>
      </c>
      <c r="AF279" s="332">
        <f t="shared" si="84"/>
        <v>22.442</v>
      </c>
      <c r="AG279" s="332">
        <f t="shared" si="85"/>
        <v>-0.45799999999999841</v>
      </c>
      <c r="AH279" s="333">
        <f t="shared" si="86"/>
        <v>1.0208333333333333</v>
      </c>
      <c r="AI279" s="332">
        <f t="shared" si="79"/>
        <v>24</v>
      </c>
      <c r="AJ279" s="329">
        <f t="shared" si="71"/>
        <v>24.5</v>
      </c>
      <c r="AK279" s="329">
        <f t="shared" si="80"/>
        <v>-0.5</v>
      </c>
      <c r="AL279" s="382">
        <f t="shared" si="81"/>
        <v>1.0208333333333333</v>
      </c>
    </row>
    <row r="280" spans="2:38" s="303" customFormat="1" ht="28.5" x14ac:dyDescent="0.2">
      <c r="B280" s="319">
        <f t="shared" si="82"/>
        <v>270</v>
      </c>
      <c r="C280" s="458" t="s">
        <v>200</v>
      </c>
      <c r="D280" s="342" t="s">
        <v>206</v>
      </c>
      <c r="E280" s="341" t="s">
        <v>207</v>
      </c>
      <c r="F280" s="341">
        <v>10</v>
      </c>
      <c r="G280" s="341">
        <v>8170</v>
      </c>
      <c r="H280" s="341" t="s">
        <v>173</v>
      </c>
      <c r="I280" s="341">
        <v>2400</v>
      </c>
      <c r="J280" s="2"/>
      <c r="K280" s="334">
        <v>130</v>
      </c>
      <c r="L280" s="335" t="s">
        <v>121</v>
      </c>
      <c r="M280" s="336" t="s">
        <v>203</v>
      </c>
      <c r="N280" s="337" t="s">
        <v>6</v>
      </c>
      <c r="O280" s="323" t="s">
        <v>186</v>
      </c>
      <c r="P280" s="337" t="s">
        <v>187</v>
      </c>
      <c r="Q280" s="2"/>
      <c r="R280" s="324">
        <f t="shared" si="78"/>
        <v>2400</v>
      </c>
      <c r="S280" s="325">
        <v>1</v>
      </c>
      <c r="T280" s="325">
        <f t="shared" si="67"/>
        <v>10</v>
      </c>
      <c r="V280" s="338">
        <v>3660</v>
      </c>
      <c r="W280" s="339">
        <f t="shared" si="68"/>
        <v>1</v>
      </c>
      <c r="X280" s="339">
        <f t="shared" si="69"/>
        <v>2500</v>
      </c>
      <c r="Y280" s="327">
        <v>3660</v>
      </c>
      <c r="Z280" s="340">
        <f>($R280*$T280)/$V280</f>
        <v>6.557377049180328</v>
      </c>
      <c r="AA280" s="392"/>
      <c r="AB280" s="329">
        <v>0.84899999999999998</v>
      </c>
      <c r="AC280" s="329">
        <v>0</v>
      </c>
      <c r="AE280" s="332">
        <f t="shared" si="83"/>
        <v>20.375999999999998</v>
      </c>
      <c r="AF280" s="332">
        <f t="shared" si="84"/>
        <v>20.375999999999998</v>
      </c>
      <c r="AG280" s="332">
        <f t="shared" si="85"/>
        <v>0</v>
      </c>
      <c r="AH280" s="333">
        <f t="shared" si="86"/>
        <v>1</v>
      </c>
      <c r="AI280" s="332">
        <f t="shared" si="79"/>
        <v>24</v>
      </c>
      <c r="AJ280" s="329">
        <f t="shared" si="71"/>
        <v>24</v>
      </c>
      <c r="AK280" s="329">
        <f t="shared" si="80"/>
        <v>0</v>
      </c>
      <c r="AL280" s="382">
        <f t="shared" si="81"/>
        <v>1</v>
      </c>
    </row>
    <row r="281" spans="2:38" s="303" customFormat="1" ht="28.5" x14ac:dyDescent="0.2">
      <c r="B281" s="341">
        <f t="shared" si="82"/>
        <v>271</v>
      </c>
      <c r="C281" s="459" t="s">
        <v>200</v>
      </c>
      <c r="D281" s="342" t="s">
        <v>206</v>
      </c>
      <c r="E281" s="341" t="s">
        <v>207</v>
      </c>
      <c r="F281" s="341">
        <v>10</v>
      </c>
      <c r="G281" s="341">
        <v>8170</v>
      </c>
      <c r="H281" s="341" t="s">
        <v>173</v>
      </c>
      <c r="I281" s="341">
        <v>2400</v>
      </c>
      <c r="J281" s="2"/>
      <c r="K281" s="319">
        <v>123</v>
      </c>
      <c r="L281" s="321" t="s">
        <v>124</v>
      </c>
      <c r="M281" s="322" t="s">
        <v>125</v>
      </c>
      <c r="N281" s="321" t="s">
        <v>39</v>
      </c>
      <c r="O281" s="323" t="s">
        <v>188</v>
      </c>
      <c r="P281" s="321" t="s">
        <v>3</v>
      </c>
      <c r="Q281" s="2"/>
      <c r="R281" s="324">
        <f>ROUNDUP(((G281-(600*2))/6),0)</f>
        <v>1162</v>
      </c>
      <c r="S281" s="325">
        <v>6</v>
      </c>
      <c r="T281" s="325">
        <f t="shared" si="67"/>
        <v>60</v>
      </c>
      <c r="V281" s="324">
        <v>5500</v>
      </c>
      <c r="W281" s="326">
        <f t="shared" si="68"/>
        <v>4</v>
      </c>
      <c r="X281" s="326">
        <f t="shared" si="69"/>
        <v>4763</v>
      </c>
      <c r="Y281" s="327">
        <v>4900</v>
      </c>
      <c r="Z281" s="328">
        <f t="shared" si="66"/>
        <v>15</v>
      </c>
      <c r="AA281" s="304"/>
      <c r="AB281" s="329">
        <v>2.109</v>
      </c>
      <c r="AC281" s="329">
        <v>0.70199999999999996</v>
      </c>
      <c r="AE281" s="332">
        <f t="shared" si="83"/>
        <v>147.03948</v>
      </c>
      <c r="AF281" s="332">
        <f t="shared" si="84"/>
        <v>155.01150000000001</v>
      </c>
      <c r="AG281" s="332">
        <f t="shared" si="85"/>
        <v>-7.9720200000000148</v>
      </c>
      <c r="AH281" s="333">
        <f t="shared" si="86"/>
        <v>1.0542168674698795</v>
      </c>
      <c r="AI281" s="332">
        <f t="shared" si="79"/>
        <v>69.72</v>
      </c>
      <c r="AJ281" s="329">
        <f t="shared" si="71"/>
        <v>73.5</v>
      </c>
      <c r="AK281" s="329">
        <f t="shared" si="80"/>
        <v>-3.7800000000000011</v>
      </c>
      <c r="AL281" s="382">
        <f t="shared" si="81"/>
        <v>1.0542168674698795</v>
      </c>
    </row>
    <row r="282" spans="2:38" s="303" customFormat="1" ht="28.5" x14ac:dyDescent="0.2">
      <c r="B282" s="341">
        <f t="shared" si="82"/>
        <v>272</v>
      </c>
      <c r="C282" s="459" t="s">
        <v>200</v>
      </c>
      <c r="D282" s="342" t="s">
        <v>206</v>
      </c>
      <c r="E282" s="341" t="s">
        <v>207</v>
      </c>
      <c r="F282" s="341">
        <v>10</v>
      </c>
      <c r="G282" s="341">
        <v>8170</v>
      </c>
      <c r="H282" s="341" t="s">
        <v>173</v>
      </c>
      <c r="I282" s="341">
        <v>2400</v>
      </c>
      <c r="J282" s="2"/>
      <c r="K282" s="319">
        <v>123</v>
      </c>
      <c r="L282" s="321" t="s">
        <v>126</v>
      </c>
      <c r="M282" s="322" t="s">
        <v>127</v>
      </c>
      <c r="N282" s="321" t="s">
        <v>39</v>
      </c>
      <c r="O282" s="323" t="s">
        <v>188</v>
      </c>
      <c r="P282" s="321" t="s">
        <v>3</v>
      </c>
      <c r="Q282" s="2"/>
      <c r="R282" s="324">
        <f>ROUNDUP(((G282-(600*2))/6),0)</f>
        <v>1162</v>
      </c>
      <c r="S282" s="325">
        <v>6</v>
      </c>
      <c r="T282" s="325">
        <f t="shared" si="67"/>
        <v>60</v>
      </c>
      <c r="V282" s="324">
        <v>5500</v>
      </c>
      <c r="W282" s="326">
        <f t="shared" si="68"/>
        <v>4</v>
      </c>
      <c r="X282" s="326">
        <f t="shared" si="69"/>
        <v>4763</v>
      </c>
      <c r="Y282" s="327">
        <v>4900</v>
      </c>
      <c r="Z282" s="328">
        <f t="shared" si="66"/>
        <v>15</v>
      </c>
      <c r="AA282" s="392"/>
      <c r="AB282" s="329">
        <v>0.88800000000000001</v>
      </c>
      <c r="AC282" s="329">
        <v>0.34</v>
      </c>
      <c r="AE282" s="332">
        <f t="shared" si="83"/>
        <v>61.911360000000002</v>
      </c>
      <c r="AF282" s="332">
        <f t="shared" si="84"/>
        <v>65.268000000000001</v>
      </c>
      <c r="AG282" s="332">
        <f t="shared" si="85"/>
        <v>-3.3566399999999987</v>
      </c>
      <c r="AH282" s="333">
        <f t="shared" si="86"/>
        <v>1.0542168674698795</v>
      </c>
      <c r="AI282" s="332">
        <f t="shared" si="79"/>
        <v>69.72</v>
      </c>
      <c r="AJ282" s="329">
        <f t="shared" si="71"/>
        <v>73.5</v>
      </c>
      <c r="AK282" s="329">
        <f t="shared" si="80"/>
        <v>-3.7800000000000011</v>
      </c>
      <c r="AL282" s="382">
        <f t="shared" si="81"/>
        <v>1.0542168674698795</v>
      </c>
    </row>
    <row r="283" spans="2:38" s="303" customFormat="1" ht="28.5" x14ac:dyDescent="0.2">
      <c r="B283" s="341">
        <f t="shared" si="82"/>
        <v>273</v>
      </c>
      <c r="C283" s="459" t="s">
        <v>200</v>
      </c>
      <c r="D283" s="342" t="s">
        <v>206</v>
      </c>
      <c r="E283" s="341" t="s">
        <v>207</v>
      </c>
      <c r="F283" s="341">
        <v>10</v>
      </c>
      <c r="G283" s="341">
        <v>8170</v>
      </c>
      <c r="H283" s="341" t="s">
        <v>173</v>
      </c>
      <c r="I283" s="341">
        <v>2400</v>
      </c>
      <c r="J283" s="2"/>
      <c r="K283" s="319">
        <v>123</v>
      </c>
      <c r="L283" s="321" t="s">
        <v>48</v>
      </c>
      <c r="M283" s="322" t="s">
        <v>49</v>
      </c>
      <c r="N283" s="321" t="s">
        <v>39</v>
      </c>
      <c r="O283" s="323" t="s">
        <v>188</v>
      </c>
      <c r="P283" s="321" t="s">
        <v>3</v>
      </c>
      <c r="Q283" s="2"/>
      <c r="R283" s="324">
        <f>ROUNDUP(((G283-(600*2))/6),0)</f>
        <v>1162</v>
      </c>
      <c r="S283" s="325">
        <v>6</v>
      </c>
      <c r="T283" s="325">
        <f t="shared" si="67"/>
        <v>60</v>
      </c>
      <c r="V283" s="324">
        <v>5500</v>
      </c>
      <c r="W283" s="326">
        <f t="shared" si="68"/>
        <v>4</v>
      </c>
      <c r="X283" s="326">
        <f t="shared" si="69"/>
        <v>4763</v>
      </c>
      <c r="Y283" s="327">
        <v>4900</v>
      </c>
      <c r="Z283" s="328">
        <f t="shared" si="66"/>
        <v>15</v>
      </c>
      <c r="AA283" s="392"/>
      <c r="AB283" s="329">
        <v>0.81</v>
      </c>
      <c r="AC283" s="329">
        <v>0.28999999999999998</v>
      </c>
      <c r="AE283" s="332">
        <f t="shared" si="83"/>
        <v>56.473200000000006</v>
      </c>
      <c r="AF283" s="332">
        <f t="shared" si="84"/>
        <v>59.535000000000004</v>
      </c>
      <c r="AG283" s="332">
        <f t="shared" si="85"/>
        <v>-3.0617999999999981</v>
      </c>
      <c r="AH283" s="333">
        <f t="shared" si="86"/>
        <v>1.0542168674698795</v>
      </c>
      <c r="AI283" s="332">
        <f t="shared" si="79"/>
        <v>69.72</v>
      </c>
      <c r="AJ283" s="329">
        <f t="shared" si="71"/>
        <v>73.5</v>
      </c>
      <c r="AK283" s="329">
        <f t="shared" si="80"/>
        <v>-3.7800000000000011</v>
      </c>
      <c r="AL283" s="382">
        <f t="shared" si="81"/>
        <v>1.0542168674698795</v>
      </c>
    </row>
    <row r="284" spans="2:38" s="303" customFormat="1" ht="28.5" x14ac:dyDescent="0.2">
      <c r="B284" s="341">
        <f t="shared" si="82"/>
        <v>274</v>
      </c>
      <c r="C284" s="459" t="s">
        <v>200</v>
      </c>
      <c r="D284" s="342" t="s">
        <v>206</v>
      </c>
      <c r="E284" s="341" t="s">
        <v>207</v>
      </c>
      <c r="F284" s="341">
        <v>10</v>
      </c>
      <c r="G284" s="341">
        <v>8170</v>
      </c>
      <c r="H284" s="341" t="s">
        <v>173</v>
      </c>
      <c r="I284" s="341">
        <v>2400</v>
      </c>
      <c r="J284" s="2"/>
      <c r="K284" s="319">
        <v>123</v>
      </c>
      <c r="L284" s="321" t="s">
        <v>46</v>
      </c>
      <c r="M284" s="322" t="s">
        <v>47</v>
      </c>
      <c r="N284" s="321" t="s">
        <v>39</v>
      </c>
      <c r="O284" s="323" t="s">
        <v>188</v>
      </c>
      <c r="P284" s="321" t="s">
        <v>3</v>
      </c>
      <c r="Q284" s="2"/>
      <c r="R284" s="324">
        <f>ROUNDUP(((G284-(600*2))/6),0)</f>
        <v>1162</v>
      </c>
      <c r="S284" s="325">
        <v>6</v>
      </c>
      <c r="T284" s="325">
        <f t="shared" si="67"/>
        <v>60</v>
      </c>
      <c r="V284" s="324">
        <v>5500</v>
      </c>
      <c r="W284" s="326">
        <f t="shared" si="68"/>
        <v>4</v>
      </c>
      <c r="X284" s="326">
        <f t="shared" si="69"/>
        <v>4763</v>
      </c>
      <c r="Y284" s="327">
        <v>4900</v>
      </c>
      <c r="Z284" s="328">
        <f t="shared" si="66"/>
        <v>15</v>
      </c>
      <c r="AA284" s="392"/>
      <c r="AB284" s="329">
        <v>0.91600000000000004</v>
      </c>
      <c r="AC284" s="329">
        <v>0.33900000000000002</v>
      </c>
      <c r="AE284" s="332">
        <f t="shared" si="83"/>
        <v>63.863520000000001</v>
      </c>
      <c r="AF284" s="332">
        <f t="shared" si="84"/>
        <v>67.326000000000008</v>
      </c>
      <c r="AG284" s="332">
        <f t="shared" si="85"/>
        <v>-3.4624800000000064</v>
      </c>
      <c r="AH284" s="333">
        <f t="shared" si="86"/>
        <v>1.0542168674698795</v>
      </c>
      <c r="AI284" s="332">
        <f t="shared" si="79"/>
        <v>69.72</v>
      </c>
      <c r="AJ284" s="329">
        <f t="shared" si="71"/>
        <v>73.5</v>
      </c>
      <c r="AK284" s="329">
        <f t="shared" si="80"/>
        <v>-3.7800000000000011</v>
      </c>
      <c r="AL284" s="382">
        <f t="shared" si="81"/>
        <v>1.0542168674698795</v>
      </c>
    </row>
    <row r="285" spans="2:38" s="303" customFormat="1" ht="28.5" x14ac:dyDescent="0.2">
      <c r="B285" s="341">
        <f t="shared" si="82"/>
        <v>275</v>
      </c>
      <c r="C285" s="459" t="s">
        <v>200</v>
      </c>
      <c r="D285" s="342" t="s">
        <v>206</v>
      </c>
      <c r="E285" s="341" t="s">
        <v>207</v>
      </c>
      <c r="F285" s="341">
        <v>10</v>
      </c>
      <c r="G285" s="341">
        <v>8170</v>
      </c>
      <c r="H285" s="341" t="s">
        <v>173</v>
      </c>
      <c r="I285" s="341">
        <v>2400</v>
      </c>
      <c r="J285" s="2"/>
      <c r="K285" s="468">
        <v>123</v>
      </c>
      <c r="L285" s="417">
        <v>21825</v>
      </c>
      <c r="M285" s="416" t="s">
        <v>45</v>
      </c>
      <c r="N285" s="417" t="s">
        <v>39</v>
      </c>
      <c r="O285" s="323" t="s">
        <v>188</v>
      </c>
      <c r="P285" s="321" t="s">
        <v>3</v>
      </c>
      <c r="Q285" s="2"/>
      <c r="R285" s="324">
        <f t="shared" ref="R285" si="87">ROUNDUP(((G285-(600*2))/6),0)</f>
        <v>1162</v>
      </c>
      <c r="S285" s="325">
        <v>6</v>
      </c>
      <c r="T285" s="325">
        <f t="shared" si="67"/>
        <v>60</v>
      </c>
      <c r="V285" s="324">
        <v>5500</v>
      </c>
      <c r="W285" s="326">
        <f t="shared" si="68"/>
        <v>4</v>
      </c>
      <c r="X285" s="326">
        <f t="shared" si="69"/>
        <v>4763</v>
      </c>
      <c r="Y285" s="327">
        <v>4900</v>
      </c>
      <c r="Z285" s="328">
        <f t="shared" si="66"/>
        <v>15</v>
      </c>
      <c r="AA285" s="392"/>
      <c r="AB285" s="329">
        <v>0.999</v>
      </c>
      <c r="AC285" s="329">
        <v>0.2382</v>
      </c>
      <c r="AE285" s="332">
        <f t="shared" si="83"/>
        <v>69.650279999999995</v>
      </c>
      <c r="AF285" s="332">
        <f t="shared" si="84"/>
        <v>73.426500000000004</v>
      </c>
      <c r="AG285" s="332">
        <f t="shared" si="85"/>
        <v>-3.7762200000000092</v>
      </c>
      <c r="AH285" s="333">
        <f t="shared" si="86"/>
        <v>1.0542168674698797</v>
      </c>
      <c r="AI285" s="329">
        <f t="shared" si="79"/>
        <v>69.72</v>
      </c>
      <c r="AJ285" s="329">
        <f t="shared" si="71"/>
        <v>73.5</v>
      </c>
      <c r="AK285" s="329">
        <f t="shared" si="80"/>
        <v>-3.7800000000000011</v>
      </c>
      <c r="AL285" s="382">
        <f t="shared" si="81"/>
        <v>1.0542168674698795</v>
      </c>
    </row>
    <row r="286" spans="2:38" s="303" customFormat="1" ht="28.5" x14ac:dyDescent="0.2">
      <c r="B286" s="341">
        <f t="shared" si="82"/>
        <v>276</v>
      </c>
      <c r="C286" s="459" t="s">
        <v>200</v>
      </c>
      <c r="D286" s="342" t="s">
        <v>206</v>
      </c>
      <c r="E286" s="341" t="s">
        <v>207</v>
      </c>
      <c r="F286" s="341">
        <v>10</v>
      </c>
      <c r="G286" s="341">
        <v>8170</v>
      </c>
      <c r="H286" s="341" t="s">
        <v>173</v>
      </c>
      <c r="I286" s="341">
        <v>2400</v>
      </c>
      <c r="J286" s="2"/>
      <c r="K286" s="334">
        <v>123</v>
      </c>
      <c r="L286" s="335" t="s">
        <v>121</v>
      </c>
      <c r="M286" s="336" t="s">
        <v>203</v>
      </c>
      <c r="N286" s="337" t="s">
        <v>6</v>
      </c>
      <c r="O286" s="323" t="s">
        <v>188</v>
      </c>
      <c r="P286" s="337" t="s">
        <v>187</v>
      </c>
      <c r="Q286" s="2"/>
      <c r="R286" s="324">
        <f>ROUNDUP((G286/2),0)</f>
        <v>4085</v>
      </c>
      <c r="S286" s="325">
        <v>2</v>
      </c>
      <c r="T286" s="325">
        <f t="shared" si="67"/>
        <v>20</v>
      </c>
      <c r="V286" s="338">
        <v>3660</v>
      </c>
      <c r="W286" s="339">
        <f t="shared" si="68"/>
        <v>0</v>
      </c>
      <c r="X286" s="339">
        <f t="shared" si="69"/>
        <v>95</v>
      </c>
      <c r="Y286" s="327">
        <v>3660</v>
      </c>
      <c r="Z286" s="340">
        <f>($R286*$T286)/$V286</f>
        <v>22.3224043715847</v>
      </c>
      <c r="AA286" s="392"/>
      <c r="AB286" s="329">
        <v>0.84899999999999998</v>
      </c>
      <c r="AC286" s="329">
        <v>0</v>
      </c>
      <c r="AE286" s="332">
        <f t="shared" si="83"/>
        <v>69.363299999999995</v>
      </c>
      <c r="AF286" s="332">
        <f t="shared" si="84"/>
        <v>69.363299999999995</v>
      </c>
      <c r="AG286" s="332">
        <f t="shared" si="85"/>
        <v>0</v>
      </c>
      <c r="AH286" s="333">
        <f t="shared" si="86"/>
        <v>1</v>
      </c>
      <c r="AI286" s="332">
        <f t="shared" si="79"/>
        <v>81.7</v>
      </c>
      <c r="AJ286" s="329">
        <f t="shared" si="71"/>
        <v>81.7</v>
      </c>
      <c r="AK286" s="329">
        <f t="shared" si="80"/>
        <v>0</v>
      </c>
      <c r="AL286" s="382">
        <f t="shared" si="81"/>
        <v>1</v>
      </c>
    </row>
    <row r="287" spans="2:38" s="303" customFormat="1" ht="28.5" x14ac:dyDescent="0.2">
      <c r="B287" s="341">
        <f t="shared" si="82"/>
        <v>277</v>
      </c>
      <c r="C287" s="459" t="s">
        <v>200</v>
      </c>
      <c r="D287" s="342" t="s">
        <v>206</v>
      </c>
      <c r="E287" s="341" t="s">
        <v>207</v>
      </c>
      <c r="F287" s="341">
        <v>10</v>
      </c>
      <c r="G287" s="341">
        <v>8170</v>
      </c>
      <c r="H287" s="341" t="s">
        <v>173</v>
      </c>
      <c r="I287" s="341">
        <v>2400</v>
      </c>
      <c r="J287" s="2"/>
      <c r="K287" s="319">
        <v>125</v>
      </c>
      <c r="L287" s="321" t="s">
        <v>124</v>
      </c>
      <c r="M287" s="322" t="s">
        <v>125</v>
      </c>
      <c r="N287" s="321" t="s">
        <v>39</v>
      </c>
      <c r="O287" s="323" t="s">
        <v>188</v>
      </c>
      <c r="P287" s="321" t="s">
        <v>3</v>
      </c>
      <c r="Q287" s="2"/>
      <c r="R287" s="324">
        <f>ROUNDUP(600,0)</f>
        <v>600</v>
      </c>
      <c r="S287" s="325">
        <v>2</v>
      </c>
      <c r="T287" s="325">
        <f t="shared" si="67"/>
        <v>20</v>
      </c>
      <c r="V287" s="324">
        <v>5000</v>
      </c>
      <c r="W287" s="326">
        <f t="shared" si="68"/>
        <v>8</v>
      </c>
      <c r="X287" s="326">
        <f t="shared" si="69"/>
        <v>4935</v>
      </c>
      <c r="Y287" s="327">
        <v>4900</v>
      </c>
      <c r="Z287" s="328">
        <f t="shared" si="66"/>
        <v>2.5</v>
      </c>
      <c r="AA287" s="304"/>
      <c r="AB287" s="329">
        <v>2.109</v>
      </c>
      <c r="AC287" s="329">
        <v>0.70199999999999996</v>
      </c>
      <c r="AE287" s="332">
        <f t="shared" si="83"/>
        <v>25.308</v>
      </c>
      <c r="AF287" s="332">
        <f t="shared" si="84"/>
        <v>25.835249999999998</v>
      </c>
      <c r="AG287" s="332">
        <f t="shared" si="85"/>
        <v>-0.52724999999999866</v>
      </c>
      <c r="AH287" s="333">
        <f t="shared" si="86"/>
        <v>1.0208333333333333</v>
      </c>
      <c r="AI287" s="332">
        <f t="shared" si="79"/>
        <v>12</v>
      </c>
      <c r="AJ287" s="332">
        <f t="shared" si="71"/>
        <v>12.25</v>
      </c>
      <c r="AK287" s="332">
        <f t="shared" si="80"/>
        <v>-0.25</v>
      </c>
      <c r="AL287" s="333">
        <f t="shared" si="81"/>
        <v>1.0208333333333333</v>
      </c>
    </row>
    <row r="288" spans="2:38" s="303" customFormat="1" ht="28.5" x14ac:dyDescent="0.2">
      <c r="B288" s="341">
        <f t="shared" si="82"/>
        <v>278</v>
      </c>
      <c r="C288" s="459" t="s">
        <v>200</v>
      </c>
      <c r="D288" s="342" t="s">
        <v>206</v>
      </c>
      <c r="E288" s="341" t="s">
        <v>207</v>
      </c>
      <c r="F288" s="341">
        <v>10</v>
      </c>
      <c r="G288" s="341">
        <v>8170</v>
      </c>
      <c r="H288" s="341" t="s">
        <v>173</v>
      </c>
      <c r="I288" s="341">
        <v>2400</v>
      </c>
      <c r="J288" s="2"/>
      <c r="K288" s="319">
        <v>125</v>
      </c>
      <c r="L288" s="321" t="s">
        <v>126</v>
      </c>
      <c r="M288" s="322" t="s">
        <v>127</v>
      </c>
      <c r="N288" s="321" t="s">
        <v>39</v>
      </c>
      <c r="O288" s="323" t="s">
        <v>188</v>
      </c>
      <c r="P288" s="321" t="s">
        <v>3</v>
      </c>
      <c r="Q288" s="2"/>
      <c r="R288" s="324">
        <f t="shared" ref="R288:R291" si="88">ROUNDUP(600,0)</f>
        <v>600</v>
      </c>
      <c r="S288" s="325">
        <v>2</v>
      </c>
      <c r="T288" s="325">
        <f t="shared" si="67"/>
        <v>20</v>
      </c>
      <c r="V288" s="324">
        <v>5000</v>
      </c>
      <c r="W288" s="326">
        <f t="shared" si="68"/>
        <v>8</v>
      </c>
      <c r="X288" s="326">
        <f t="shared" si="69"/>
        <v>4935</v>
      </c>
      <c r="Y288" s="327">
        <v>4900</v>
      </c>
      <c r="Z288" s="328">
        <f t="shared" si="66"/>
        <v>2.5</v>
      </c>
      <c r="AA288" s="392"/>
      <c r="AB288" s="329">
        <v>0.88800000000000001</v>
      </c>
      <c r="AC288" s="329">
        <v>0.34</v>
      </c>
      <c r="AE288" s="332">
        <f t="shared" si="83"/>
        <v>10.656000000000001</v>
      </c>
      <c r="AF288" s="332">
        <f t="shared" si="84"/>
        <v>10.878</v>
      </c>
      <c r="AG288" s="332">
        <f t="shared" si="85"/>
        <v>-0.22199999999999953</v>
      </c>
      <c r="AH288" s="333">
        <f t="shared" si="86"/>
        <v>1.0208333333333333</v>
      </c>
      <c r="AI288" s="332">
        <f t="shared" si="79"/>
        <v>12</v>
      </c>
      <c r="AJ288" s="329">
        <f t="shared" si="71"/>
        <v>12.25</v>
      </c>
      <c r="AK288" s="329">
        <f t="shared" si="80"/>
        <v>-0.25</v>
      </c>
      <c r="AL288" s="382">
        <f t="shared" si="81"/>
        <v>1.0208333333333333</v>
      </c>
    </row>
    <row r="289" spans="2:38" s="303" customFormat="1" ht="28.5" x14ac:dyDescent="0.2">
      <c r="B289" s="341">
        <f t="shared" si="82"/>
        <v>279</v>
      </c>
      <c r="C289" s="459" t="s">
        <v>200</v>
      </c>
      <c r="D289" s="342" t="s">
        <v>206</v>
      </c>
      <c r="E289" s="341" t="s">
        <v>207</v>
      </c>
      <c r="F289" s="341">
        <v>10</v>
      </c>
      <c r="G289" s="341">
        <v>8170</v>
      </c>
      <c r="H289" s="341" t="s">
        <v>173</v>
      </c>
      <c r="I289" s="341">
        <v>2400</v>
      </c>
      <c r="J289" s="2"/>
      <c r="K289" s="319">
        <v>125</v>
      </c>
      <c r="L289" s="321" t="s">
        <v>48</v>
      </c>
      <c r="M289" s="322" t="s">
        <v>49</v>
      </c>
      <c r="N289" s="321" t="s">
        <v>39</v>
      </c>
      <c r="O289" s="323" t="s">
        <v>188</v>
      </c>
      <c r="P289" s="321" t="s">
        <v>3</v>
      </c>
      <c r="Q289" s="2"/>
      <c r="R289" s="324">
        <f t="shared" si="88"/>
        <v>600</v>
      </c>
      <c r="S289" s="325">
        <v>2</v>
      </c>
      <c r="T289" s="325">
        <f t="shared" si="67"/>
        <v>20</v>
      </c>
      <c r="V289" s="324">
        <v>5000</v>
      </c>
      <c r="W289" s="326">
        <f t="shared" si="68"/>
        <v>8</v>
      </c>
      <c r="X289" s="326">
        <f t="shared" si="69"/>
        <v>4935</v>
      </c>
      <c r="Y289" s="327">
        <v>4900</v>
      </c>
      <c r="Z289" s="328">
        <f t="shared" si="66"/>
        <v>2.5</v>
      </c>
      <c r="AA289" s="392"/>
      <c r="AB289" s="329">
        <v>0.81</v>
      </c>
      <c r="AC289" s="329">
        <v>0.28999999999999998</v>
      </c>
      <c r="AE289" s="332">
        <f t="shared" si="83"/>
        <v>9.7200000000000006</v>
      </c>
      <c r="AF289" s="332">
        <f t="shared" si="84"/>
        <v>9.9225000000000012</v>
      </c>
      <c r="AG289" s="332">
        <f t="shared" si="85"/>
        <v>-0.20250000000000057</v>
      </c>
      <c r="AH289" s="333">
        <f t="shared" si="86"/>
        <v>1.0208333333333335</v>
      </c>
      <c r="AI289" s="332">
        <f t="shared" si="79"/>
        <v>12</v>
      </c>
      <c r="AJ289" s="329">
        <f t="shared" si="71"/>
        <v>12.25</v>
      </c>
      <c r="AK289" s="329">
        <f t="shared" si="80"/>
        <v>-0.25</v>
      </c>
      <c r="AL289" s="382">
        <f t="shared" si="81"/>
        <v>1.0208333333333333</v>
      </c>
    </row>
    <row r="290" spans="2:38" s="303" customFormat="1" ht="28.5" x14ac:dyDescent="0.2">
      <c r="B290" s="341">
        <f t="shared" si="82"/>
        <v>280</v>
      </c>
      <c r="C290" s="459" t="s">
        <v>200</v>
      </c>
      <c r="D290" s="342" t="s">
        <v>206</v>
      </c>
      <c r="E290" s="341" t="s">
        <v>207</v>
      </c>
      <c r="F290" s="341">
        <v>10</v>
      </c>
      <c r="G290" s="341">
        <v>8170</v>
      </c>
      <c r="H290" s="341" t="s">
        <v>173</v>
      </c>
      <c r="I290" s="341">
        <v>2400</v>
      </c>
      <c r="J290" s="2"/>
      <c r="K290" s="319">
        <v>125</v>
      </c>
      <c r="L290" s="321" t="s">
        <v>46</v>
      </c>
      <c r="M290" s="322" t="s">
        <v>47</v>
      </c>
      <c r="N290" s="321" t="s">
        <v>39</v>
      </c>
      <c r="O290" s="323" t="s">
        <v>188</v>
      </c>
      <c r="P290" s="321" t="s">
        <v>3</v>
      </c>
      <c r="Q290" s="2"/>
      <c r="R290" s="324">
        <f t="shared" si="88"/>
        <v>600</v>
      </c>
      <c r="S290" s="325">
        <v>2</v>
      </c>
      <c r="T290" s="325">
        <f t="shared" si="67"/>
        <v>20</v>
      </c>
      <c r="V290" s="324">
        <v>5000</v>
      </c>
      <c r="W290" s="326">
        <f t="shared" si="68"/>
        <v>8</v>
      </c>
      <c r="X290" s="326">
        <f t="shared" si="69"/>
        <v>4935</v>
      </c>
      <c r="Y290" s="327">
        <v>4900</v>
      </c>
      <c r="Z290" s="328">
        <f t="shared" si="66"/>
        <v>2.5</v>
      </c>
      <c r="AA290" s="392"/>
      <c r="AB290" s="329">
        <v>0.91600000000000004</v>
      </c>
      <c r="AC290" s="329">
        <v>0.33900000000000002</v>
      </c>
      <c r="AE290" s="332">
        <f t="shared" si="83"/>
        <v>10.992000000000001</v>
      </c>
      <c r="AF290" s="332">
        <f t="shared" si="84"/>
        <v>11.221</v>
      </c>
      <c r="AG290" s="332">
        <f t="shared" si="85"/>
        <v>-0.2289999999999992</v>
      </c>
      <c r="AH290" s="333">
        <f t="shared" si="86"/>
        <v>1.0208333333333333</v>
      </c>
      <c r="AI290" s="332">
        <f t="shared" si="79"/>
        <v>12</v>
      </c>
      <c r="AJ290" s="329">
        <f t="shared" si="71"/>
        <v>12.25</v>
      </c>
      <c r="AK290" s="329">
        <f t="shared" si="80"/>
        <v>-0.25</v>
      </c>
      <c r="AL290" s="382">
        <f t="shared" si="81"/>
        <v>1.0208333333333333</v>
      </c>
    </row>
    <row r="291" spans="2:38" s="303" customFormat="1" ht="28.5" x14ac:dyDescent="0.2">
      <c r="B291" s="341">
        <f t="shared" si="82"/>
        <v>281</v>
      </c>
      <c r="C291" s="459" t="s">
        <v>200</v>
      </c>
      <c r="D291" s="342" t="s">
        <v>206</v>
      </c>
      <c r="E291" s="341" t="s">
        <v>207</v>
      </c>
      <c r="F291" s="341">
        <v>10</v>
      </c>
      <c r="G291" s="341">
        <v>8170</v>
      </c>
      <c r="H291" s="341" t="s">
        <v>173</v>
      </c>
      <c r="I291" s="341">
        <v>2400</v>
      </c>
      <c r="J291" s="2"/>
      <c r="K291" s="468">
        <v>125</v>
      </c>
      <c r="L291" s="417">
        <v>21825</v>
      </c>
      <c r="M291" s="416" t="s">
        <v>45</v>
      </c>
      <c r="N291" s="417" t="s">
        <v>39</v>
      </c>
      <c r="O291" s="323" t="s">
        <v>188</v>
      </c>
      <c r="P291" s="321" t="s">
        <v>3</v>
      </c>
      <c r="Q291" s="2"/>
      <c r="R291" s="324">
        <f t="shared" si="88"/>
        <v>600</v>
      </c>
      <c r="S291" s="325">
        <v>2</v>
      </c>
      <c r="T291" s="325">
        <f t="shared" si="67"/>
        <v>20</v>
      </c>
      <c r="V291" s="324">
        <v>5000</v>
      </c>
      <c r="W291" s="326">
        <f t="shared" si="68"/>
        <v>8</v>
      </c>
      <c r="X291" s="326">
        <f t="shared" si="69"/>
        <v>4935</v>
      </c>
      <c r="Y291" s="327">
        <v>4900</v>
      </c>
      <c r="Z291" s="328">
        <f t="shared" si="66"/>
        <v>2.5</v>
      </c>
      <c r="AA291" s="392"/>
      <c r="AB291" s="329">
        <v>0.999</v>
      </c>
      <c r="AC291" s="329">
        <v>0.2382</v>
      </c>
      <c r="AE291" s="332">
        <f t="shared" si="83"/>
        <v>11.988</v>
      </c>
      <c r="AF291" s="332">
        <f t="shared" si="84"/>
        <v>12.23775</v>
      </c>
      <c r="AG291" s="332">
        <f t="shared" si="85"/>
        <v>-0.24975000000000058</v>
      </c>
      <c r="AH291" s="333">
        <f t="shared" si="86"/>
        <v>1.0208333333333335</v>
      </c>
      <c r="AI291" s="329">
        <f t="shared" si="79"/>
        <v>12</v>
      </c>
      <c r="AJ291" s="329">
        <f t="shared" si="71"/>
        <v>12.25</v>
      </c>
      <c r="AK291" s="329">
        <f t="shared" si="80"/>
        <v>-0.25</v>
      </c>
      <c r="AL291" s="382">
        <f t="shared" si="81"/>
        <v>1.0208333333333333</v>
      </c>
    </row>
    <row r="292" spans="2:38" s="303" customFormat="1" ht="28.5" x14ac:dyDescent="0.2">
      <c r="B292" s="341">
        <f t="shared" si="82"/>
        <v>282</v>
      </c>
      <c r="C292" s="459" t="s">
        <v>200</v>
      </c>
      <c r="D292" s="342" t="s">
        <v>206</v>
      </c>
      <c r="E292" s="341" t="s">
        <v>207</v>
      </c>
      <c r="F292" s="341">
        <v>10</v>
      </c>
      <c r="G292" s="341">
        <v>8170</v>
      </c>
      <c r="H292" s="341" t="s">
        <v>173</v>
      </c>
      <c r="I292" s="341">
        <v>2400</v>
      </c>
      <c r="J292" s="2"/>
      <c r="K292" s="319">
        <v>125</v>
      </c>
      <c r="L292" s="321" t="s">
        <v>114</v>
      </c>
      <c r="M292" s="322" t="s">
        <v>115</v>
      </c>
      <c r="N292" s="321" t="s">
        <v>39</v>
      </c>
      <c r="O292" s="323" t="s">
        <v>188</v>
      </c>
      <c r="P292" s="321" t="s">
        <v>3</v>
      </c>
      <c r="Q292" s="2"/>
      <c r="R292" s="324">
        <f>ROUNDUP(600,0)</f>
        <v>600</v>
      </c>
      <c r="S292" s="325">
        <v>1</v>
      </c>
      <c r="T292" s="325">
        <f t="shared" si="67"/>
        <v>10</v>
      </c>
      <c r="V292" s="348">
        <v>6500</v>
      </c>
      <c r="W292" s="326">
        <f t="shared" si="68"/>
        <v>10</v>
      </c>
      <c r="X292" s="326">
        <f t="shared" si="69"/>
        <v>6145</v>
      </c>
      <c r="Y292" s="327">
        <v>6200</v>
      </c>
      <c r="Z292" s="328">
        <f t="shared" si="66"/>
        <v>1</v>
      </c>
      <c r="AA292" s="304"/>
      <c r="AB292" s="329">
        <v>0.83499999999999996</v>
      </c>
      <c r="AC292" s="329">
        <v>0.21299999999999999</v>
      </c>
      <c r="AE292" s="332">
        <f t="shared" si="83"/>
        <v>5.01</v>
      </c>
      <c r="AF292" s="332">
        <f t="shared" si="84"/>
        <v>5.1769999999999996</v>
      </c>
      <c r="AG292" s="332">
        <f t="shared" si="85"/>
        <v>-0.16699999999999982</v>
      </c>
      <c r="AH292" s="333">
        <f t="shared" si="86"/>
        <v>1.0333333333333332</v>
      </c>
      <c r="AI292" s="332">
        <f t="shared" si="79"/>
        <v>6</v>
      </c>
      <c r="AJ292" s="329">
        <f t="shared" si="71"/>
        <v>6.2</v>
      </c>
      <c r="AK292" s="329">
        <f t="shared" si="80"/>
        <v>-0.20000000000000018</v>
      </c>
      <c r="AL292" s="382">
        <f t="shared" si="81"/>
        <v>1.0333333333333334</v>
      </c>
    </row>
    <row r="293" spans="2:38" s="303" customFormat="1" ht="28.5" x14ac:dyDescent="0.2">
      <c r="B293" s="341">
        <f t="shared" si="82"/>
        <v>283</v>
      </c>
      <c r="C293" s="460" t="s">
        <v>200</v>
      </c>
      <c r="D293" s="407" t="s">
        <v>206</v>
      </c>
      <c r="E293" s="396" t="s">
        <v>207</v>
      </c>
      <c r="F293" s="396">
        <v>10</v>
      </c>
      <c r="G293" s="396">
        <v>8170</v>
      </c>
      <c r="H293" s="396" t="s">
        <v>173</v>
      </c>
      <c r="I293" s="396">
        <v>2400</v>
      </c>
      <c r="J293" s="2"/>
      <c r="K293" s="397">
        <v>125</v>
      </c>
      <c r="L293" s="321" t="s">
        <v>50</v>
      </c>
      <c r="M293" s="322" t="s">
        <v>51</v>
      </c>
      <c r="N293" s="398" t="s">
        <v>39</v>
      </c>
      <c r="O293" s="323" t="s">
        <v>188</v>
      </c>
      <c r="P293" s="398" t="s">
        <v>3</v>
      </c>
      <c r="Q293" s="2"/>
      <c r="R293" s="399">
        <f>ROUNDUP(600,0)</f>
        <v>600</v>
      </c>
      <c r="S293" s="400">
        <v>1</v>
      </c>
      <c r="T293" s="400">
        <f t="shared" si="67"/>
        <v>10</v>
      </c>
      <c r="V293" s="348">
        <v>6500</v>
      </c>
      <c r="W293" s="401">
        <f t="shared" si="68"/>
        <v>10</v>
      </c>
      <c r="X293" s="401">
        <f t="shared" si="69"/>
        <v>6145</v>
      </c>
      <c r="Y293" s="327">
        <v>6200</v>
      </c>
      <c r="Z293" s="403">
        <f t="shared" si="66"/>
        <v>1</v>
      </c>
      <c r="AA293" s="392"/>
      <c r="AB293" s="395">
        <v>1.7110000000000001</v>
      </c>
      <c r="AC293" s="395">
        <v>0.34200000000000003</v>
      </c>
      <c r="AE293" s="332">
        <f t="shared" si="83"/>
        <v>10.266</v>
      </c>
      <c r="AF293" s="332">
        <f t="shared" si="84"/>
        <v>10.6082</v>
      </c>
      <c r="AG293" s="332">
        <f t="shared" si="85"/>
        <v>-0.34220000000000006</v>
      </c>
      <c r="AH293" s="333">
        <f t="shared" si="86"/>
        <v>1.0333333333333334</v>
      </c>
      <c r="AI293" s="332">
        <f t="shared" si="79"/>
        <v>6</v>
      </c>
      <c r="AJ293" s="404">
        <f t="shared" si="71"/>
        <v>6.2</v>
      </c>
      <c r="AK293" s="404">
        <f t="shared" si="80"/>
        <v>-0.20000000000000018</v>
      </c>
      <c r="AL293" s="405">
        <f t="shared" si="81"/>
        <v>1.0333333333333334</v>
      </c>
    </row>
    <row r="294" spans="2:38" s="303" customFormat="1" ht="28.5" x14ac:dyDescent="0.2">
      <c r="B294" s="341">
        <f t="shared" si="82"/>
        <v>284</v>
      </c>
      <c r="C294" s="459" t="s">
        <v>200</v>
      </c>
      <c r="D294" s="342" t="s">
        <v>206</v>
      </c>
      <c r="E294" s="341" t="s">
        <v>207</v>
      </c>
      <c r="F294" s="341">
        <v>10</v>
      </c>
      <c r="G294" s="341">
        <v>8170</v>
      </c>
      <c r="H294" s="341" t="s">
        <v>173</v>
      </c>
      <c r="I294" s="341">
        <v>2400</v>
      </c>
      <c r="J294" s="2"/>
      <c r="K294" s="345">
        <v>125</v>
      </c>
      <c r="L294" s="347">
        <v>10926</v>
      </c>
      <c r="M294" s="346" t="s">
        <v>36</v>
      </c>
      <c r="N294" s="347" t="s">
        <v>6</v>
      </c>
      <c r="O294" s="323" t="s">
        <v>188</v>
      </c>
      <c r="P294" s="347" t="s">
        <v>187</v>
      </c>
      <c r="Q294" s="2"/>
      <c r="R294" s="348">
        <f>ROUNDUP(600,0)</f>
        <v>600</v>
      </c>
      <c r="S294" s="349">
        <v>1</v>
      </c>
      <c r="T294" s="349">
        <f t="shared" si="67"/>
        <v>10</v>
      </c>
      <c r="V294" s="348">
        <v>6100</v>
      </c>
      <c r="W294" s="350">
        <f t="shared" si="68"/>
        <v>10</v>
      </c>
      <c r="X294" s="350">
        <f t="shared" si="69"/>
        <v>6145</v>
      </c>
      <c r="Y294" s="351">
        <v>6100</v>
      </c>
      <c r="Z294" s="389">
        <f t="shared" si="66"/>
        <v>1</v>
      </c>
      <c r="AA294" s="392"/>
      <c r="AB294" s="329">
        <v>0.76700000000000002</v>
      </c>
      <c r="AC294" s="329"/>
      <c r="AE294" s="332">
        <f t="shared" si="83"/>
        <v>4.6020000000000003</v>
      </c>
      <c r="AF294" s="332">
        <f t="shared" si="84"/>
        <v>4.6787000000000001</v>
      </c>
      <c r="AG294" s="332">
        <f t="shared" si="85"/>
        <v>-7.6699999999999768E-2</v>
      </c>
      <c r="AH294" s="333">
        <f t="shared" si="86"/>
        <v>1.0166666666666666</v>
      </c>
      <c r="AI294" s="332">
        <f t="shared" si="79"/>
        <v>6</v>
      </c>
      <c r="AJ294" s="332">
        <f t="shared" si="71"/>
        <v>6.1</v>
      </c>
      <c r="AK294" s="332">
        <f t="shared" si="80"/>
        <v>-9.9999999999999645E-2</v>
      </c>
      <c r="AL294" s="333">
        <f t="shared" si="81"/>
        <v>1.0166666666666666</v>
      </c>
    </row>
    <row r="295" spans="2:38" s="303" customFormat="1" ht="28.5" x14ac:dyDescent="0.2">
      <c r="B295" s="341">
        <f t="shared" si="82"/>
        <v>285</v>
      </c>
      <c r="C295" s="459" t="s">
        <v>200</v>
      </c>
      <c r="D295" s="342" t="s">
        <v>206</v>
      </c>
      <c r="E295" s="341" t="s">
        <v>207</v>
      </c>
      <c r="F295" s="341">
        <v>10</v>
      </c>
      <c r="G295" s="341">
        <v>8170</v>
      </c>
      <c r="H295" s="341" t="s">
        <v>173</v>
      </c>
      <c r="I295" s="341">
        <v>2400</v>
      </c>
      <c r="J295" s="2"/>
      <c r="K295" s="341">
        <v>124</v>
      </c>
      <c r="L295" s="321" t="s">
        <v>124</v>
      </c>
      <c r="M295" s="322" t="s">
        <v>125</v>
      </c>
      <c r="N295" s="342" t="s">
        <v>39</v>
      </c>
      <c r="O295" s="323" t="s">
        <v>188</v>
      </c>
      <c r="P295" s="342" t="s">
        <v>3</v>
      </c>
      <c r="Q295" s="2"/>
      <c r="R295" s="324">
        <f>ROUNDUP(((G295-(600*2))/6),0)</f>
        <v>1162</v>
      </c>
      <c r="S295" s="325">
        <v>6</v>
      </c>
      <c r="T295" s="349">
        <f t="shared" si="67"/>
        <v>60</v>
      </c>
      <c r="V295" s="324">
        <v>5500</v>
      </c>
      <c r="W295" s="388">
        <f t="shared" si="68"/>
        <v>4</v>
      </c>
      <c r="X295" s="388">
        <f t="shared" si="69"/>
        <v>4763</v>
      </c>
      <c r="Y295" s="327">
        <v>4900</v>
      </c>
      <c r="Z295" s="389">
        <f t="shared" si="66"/>
        <v>15</v>
      </c>
      <c r="AA295" s="392"/>
      <c r="AB295" s="329">
        <v>2.109</v>
      </c>
      <c r="AC295" s="329">
        <v>0.70199999999999996</v>
      </c>
      <c r="AE295" s="332">
        <f t="shared" si="83"/>
        <v>147.03948</v>
      </c>
      <c r="AF295" s="332">
        <f t="shared" si="84"/>
        <v>155.01150000000001</v>
      </c>
      <c r="AG295" s="332">
        <f t="shared" si="85"/>
        <v>-7.9720200000000148</v>
      </c>
      <c r="AH295" s="333">
        <f t="shared" si="86"/>
        <v>1.0542168674698795</v>
      </c>
      <c r="AI295" s="332">
        <f t="shared" si="79"/>
        <v>69.72</v>
      </c>
      <c r="AJ295" s="332">
        <f t="shared" si="71"/>
        <v>73.5</v>
      </c>
      <c r="AK295" s="332">
        <f t="shared" si="80"/>
        <v>-3.7800000000000011</v>
      </c>
      <c r="AL295" s="333">
        <f t="shared" si="81"/>
        <v>1.0542168674698795</v>
      </c>
    </row>
    <row r="296" spans="2:38" s="303" customFormat="1" ht="28.5" x14ac:dyDescent="0.2">
      <c r="B296" s="341">
        <f t="shared" si="82"/>
        <v>286</v>
      </c>
      <c r="C296" s="459" t="s">
        <v>200</v>
      </c>
      <c r="D296" s="342" t="s">
        <v>206</v>
      </c>
      <c r="E296" s="341" t="s">
        <v>207</v>
      </c>
      <c r="F296" s="341">
        <v>10</v>
      </c>
      <c r="G296" s="341">
        <v>8170</v>
      </c>
      <c r="H296" s="341" t="s">
        <v>173</v>
      </c>
      <c r="I296" s="341">
        <v>2400</v>
      </c>
      <c r="J296" s="2"/>
      <c r="K296" s="341">
        <v>124</v>
      </c>
      <c r="L296" s="321" t="s">
        <v>126</v>
      </c>
      <c r="M296" s="322" t="s">
        <v>127</v>
      </c>
      <c r="N296" s="342" t="s">
        <v>39</v>
      </c>
      <c r="O296" s="323" t="s">
        <v>188</v>
      </c>
      <c r="P296" s="342" t="s">
        <v>3</v>
      </c>
      <c r="Q296" s="2"/>
      <c r="R296" s="324">
        <f>ROUNDUP(((G296-(600*2))/6),0)</f>
        <v>1162</v>
      </c>
      <c r="S296" s="325">
        <v>6</v>
      </c>
      <c r="T296" s="349">
        <f t="shared" si="67"/>
        <v>60</v>
      </c>
      <c r="V296" s="324">
        <v>5500</v>
      </c>
      <c r="W296" s="388">
        <f t="shared" si="68"/>
        <v>4</v>
      </c>
      <c r="X296" s="388">
        <f t="shared" si="69"/>
        <v>4763</v>
      </c>
      <c r="Y296" s="327">
        <v>4900</v>
      </c>
      <c r="Z296" s="389">
        <f t="shared" si="66"/>
        <v>15</v>
      </c>
      <c r="AA296" s="392"/>
      <c r="AB296" s="329">
        <v>0.88800000000000001</v>
      </c>
      <c r="AC296" s="329">
        <v>0.34</v>
      </c>
      <c r="AE296" s="332">
        <f t="shared" si="83"/>
        <v>61.911360000000002</v>
      </c>
      <c r="AF296" s="332">
        <f t="shared" si="84"/>
        <v>65.268000000000001</v>
      </c>
      <c r="AG296" s="332">
        <f t="shared" si="85"/>
        <v>-3.3566399999999987</v>
      </c>
      <c r="AH296" s="333">
        <f t="shared" si="86"/>
        <v>1.0542168674698795</v>
      </c>
      <c r="AI296" s="332">
        <f t="shared" si="79"/>
        <v>69.72</v>
      </c>
      <c r="AJ296" s="332">
        <f t="shared" si="71"/>
        <v>73.5</v>
      </c>
      <c r="AK296" s="332">
        <f t="shared" si="80"/>
        <v>-3.7800000000000011</v>
      </c>
      <c r="AL296" s="333">
        <f t="shared" si="81"/>
        <v>1.0542168674698795</v>
      </c>
    </row>
    <row r="297" spans="2:38" s="303" customFormat="1" ht="28.5" x14ac:dyDescent="0.2">
      <c r="B297" s="341">
        <f t="shared" si="82"/>
        <v>287</v>
      </c>
      <c r="C297" s="459" t="s">
        <v>200</v>
      </c>
      <c r="D297" s="342" t="s">
        <v>206</v>
      </c>
      <c r="E297" s="341" t="s">
        <v>207</v>
      </c>
      <c r="F297" s="341">
        <v>10</v>
      </c>
      <c r="G297" s="341">
        <v>8170</v>
      </c>
      <c r="H297" s="341" t="s">
        <v>173</v>
      </c>
      <c r="I297" s="341">
        <v>2400</v>
      </c>
      <c r="J297" s="2"/>
      <c r="K297" s="341">
        <v>124</v>
      </c>
      <c r="L297" s="342" t="s">
        <v>48</v>
      </c>
      <c r="M297" s="343" t="s">
        <v>49</v>
      </c>
      <c r="N297" s="342" t="s">
        <v>39</v>
      </c>
      <c r="O297" s="323" t="s">
        <v>188</v>
      </c>
      <c r="P297" s="342" t="s">
        <v>3</v>
      </c>
      <c r="Q297" s="2"/>
      <c r="R297" s="324">
        <f>ROUNDUP(((G297-(600*2))/6),0)</f>
        <v>1162</v>
      </c>
      <c r="S297" s="325">
        <v>6</v>
      </c>
      <c r="T297" s="349">
        <f t="shared" si="67"/>
        <v>60</v>
      </c>
      <c r="V297" s="324">
        <v>5500</v>
      </c>
      <c r="W297" s="388">
        <f t="shared" si="68"/>
        <v>4</v>
      </c>
      <c r="X297" s="388">
        <f t="shared" si="69"/>
        <v>4763</v>
      </c>
      <c r="Y297" s="327">
        <v>4900</v>
      </c>
      <c r="Z297" s="389">
        <f t="shared" ref="Z297:Z376" si="89">$T297/$W297</f>
        <v>15</v>
      </c>
      <c r="AA297" s="392"/>
      <c r="AB297" s="329">
        <v>0.81</v>
      </c>
      <c r="AC297" s="329">
        <v>0.28999999999999998</v>
      </c>
      <c r="AE297" s="332">
        <f t="shared" si="83"/>
        <v>56.473200000000006</v>
      </c>
      <c r="AF297" s="332">
        <f t="shared" si="84"/>
        <v>59.535000000000004</v>
      </c>
      <c r="AG297" s="332">
        <f t="shared" si="85"/>
        <v>-3.0617999999999981</v>
      </c>
      <c r="AH297" s="333">
        <f t="shared" si="86"/>
        <v>1.0542168674698795</v>
      </c>
      <c r="AI297" s="332">
        <f t="shared" si="79"/>
        <v>69.72</v>
      </c>
      <c r="AJ297" s="332">
        <f t="shared" si="71"/>
        <v>73.5</v>
      </c>
      <c r="AK297" s="332">
        <f t="shared" si="80"/>
        <v>-3.7800000000000011</v>
      </c>
      <c r="AL297" s="333">
        <f t="shared" si="81"/>
        <v>1.0542168674698795</v>
      </c>
    </row>
    <row r="298" spans="2:38" s="303" customFormat="1" ht="28.5" x14ac:dyDescent="0.2">
      <c r="B298" s="341">
        <f t="shared" si="82"/>
        <v>288</v>
      </c>
      <c r="C298" s="459" t="s">
        <v>200</v>
      </c>
      <c r="D298" s="342" t="s">
        <v>206</v>
      </c>
      <c r="E298" s="341" t="s">
        <v>207</v>
      </c>
      <c r="F298" s="341">
        <v>10</v>
      </c>
      <c r="G298" s="341">
        <v>8170</v>
      </c>
      <c r="H298" s="341" t="s">
        <v>173</v>
      </c>
      <c r="I298" s="341">
        <v>2400</v>
      </c>
      <c r="J298" s="2"/>
      <c r="K298" s="341">
        <v>124</v>
      </c>
      <c r="L298" s="342" t="s">
        <v>46</v>
      </c>
      <c r="M298" s="343" t="s">
        <v>47</v>
      </c>
      <c r="N298" s="342" t="s">
        <v>39</v>
      </c>
      <c r="O298" s="323" t="s">
        <v>188</v>
      </c>
      <c r="P298" s="342" t="s">
        <v>3</v>
      </c>
      <c r="Q298" s="2"/>
      <c r="R298" s="324">
        <f>ROUNDUP(((G298-(600*2))/6),0)</f>
        <v>1162</v>
      </c>
      <c r="S298" s="325">
        <v>6</v>
      </c>
      <c r="T298" s="349">
        <f t="shared" si="67"/>
        <v>60</v>
      </c>
      <c r="V298" s="324">
        <v>5500</v>
      </c>
      <c r="W298" s="388">
        <f t="shared" si="68"/>
        <v>4</v>
      </c>
      <c r="X298" s="388">
        <f t="shared" si="69"/>
        <v>4763</v>
      </c>
      <c r="Y298" s="327">
        <v>4900</v>
      </c>
      <c r="Z298" s="389">
        <f t="shared" si="89"/>
        <v>15</v>
      </c>
      <c r="AA298" s="392"/>
      <c r="AB298" s="329">
        <v>0.91600000000000004</v>
      </c>
      <c r="AC298" s="329">
        <v>0.33900000000000002</v>
      </c>
      <c r="AE298" s="332">
        <f t="shared" si="83"/>
        <v>63.863520000000001</v>
      </c>
      <c r="AF298" s="332">
        <f t="shared" si="84"/>
        <v>67.326000000000008</v>
      </c>
      <c r="AG298" s="332">
        <f t="shared" si="85"/>
        <v>-3.4624800000000064</v>
      </c>
      <c r="AH298" s="333">
        <f t="shared" si="86"/>
        <v>1.0542168674698795</v>
      </c>
      <c r="AI298" s="332">
        <f t="shared" si="79"/>
        <v>69.72</v>
      </c>
      <c r="AJ298" s="332">
        <f t="shared" si="71"/>
        <v>73.5</v>
      </c>
      <c r="AK298" s="332">
        <f t="shared" si="80"/>
        <v>-3.7800000000000011</v>
      </c>
      <c r="AL298" s="333">
        <f t="shared" si="81"/>
        <v>1.0542168674698795</v>
      </c>
    </row>
    <row r="299" spans="2:38" s="303" customFormat="1" ht="28.5" x14ac:dyDescent="0.2">
      <c r="B299" s="341">
        <f t="shared" si="82"/>
        <v>289</v>
      </c>
      <c r="C299" s="459" t="s">
        <v>200</v>
      </c>
      <c r="D299" s="342" t="s">
        <v>206</v>
      </c>
      <c r="E299" s="341" t="s">
        <v>207</v>
      </c>
      <c r="F299" s="341">
        <v>10</v>
      </c>
      <c r="G299" s="341">
        <v>8170</v>
      </c>
      <c r="H299" s="341" t="s">
        <v>173</v>
      </c>
      <c r="I299" s="341">
        <v>2400</v>
      </c>
      <c r="J299" s="2"/>
      <c r="K299" s="468">
        <v>124</v>
      </c>
      <c r="L299" s="417">
        <v>21825</v>
      </c>
      <c r="M299" s="416" t="s">
        <v>45</v>
      </c>
      <c r="N299" s="417" t="s">
        <v>39</v>
      </c>
      <c r="O299" s="323" t="s">
        <v>188</v>
      </c>
      <c r="P299" s="321" t="s">
        <v>3</v>
      </c>
      <c r="Q299" s="2"/>
      <c r="R299" s="324">
        <f t="shared" ref="R299" si="90">ROUNDUP(((G299-(600*2))/6),0)</f>
        <v>1162</v>
      </c>
      <c r="S299" s="325">
        <v>6</v>
      </c>
      <c r="T299" s="325">
        <f t="shared" si="67"/>
        <v>60</v>
      </c>
      <c r="V299" s="324">
        <v>5500</v>
      </c>
      <c r="W299" s="326">
        <f t="shared" si="68"/>
        <v>4</v>
      </c>
      <c r="X299" s="326">
        <f t="shared" si="69"/>
        <v>4763</v>
      </c>
      <c r="Y299" s="327">
        <v>4900</v>
      </c>
      <c r="Z299" s="328">
        <f t="shared" si="89"/>
        <v>15</v>
      </c>
      <c r="AA299" s="392"/>
      <c r="AB299" s="329">
        <v>0.999</v>
      </c>
      <c r="AC299" s="329">
        <v>0.2382</v>
      </c>
      <c r="AE299" s="332">
        <f t="shared" si="83"/>
        <v>69.650279999999995</v>
      </c>
      <c r="AF299" s="332">
        <f t="shared" si="84"/>
        <v>73.426500000000004</v>
      </c>
      <c r="AG299" s="332">
        <f t="shared" si="85"/>
        <v>-3.7762200000000092</v>
      </c>
      <c r="AH299" s="333">
        <f t="shared" si="86"/>
        <v>1.0542168674698797</v>
      </c>
      <c r="AI299" s="329">
        <f t="shared" si="79"/>
        <v>69.72</v>
      </c>
      <c r="AJ299" s="329">
        <f t="shared" si="71"/>
        <v>73.5</v>
      </c>
      <c r="AK299" s="329">
        <f t="shared" si="80"/>
        <v>-3.7800000000000011</v>
      </c>
      <c r="AL299" s="382">
        <f t="shared" si="81"/>
        <v>1.0542168674698795</v>
      </c>
    </row>
    <row r="300" spans="2:38" s="303" customFormat="1" ht="28.5" x14ac:dyDescent="0.2">
      <c r="B300" s="341">
        <f t="shared" si="82"/>
        <v>290</v>
      </c>
      <c r="C300" s="459" t="s">
        <v>200</v>
      </c>
      <c r="D300" s="342" t="s">
        <v>206</v>
      </c>
      <c r="E300" s="341" t="s">
        <v>207</v>
      </c>
      <c r="F300" s="341">
        <v>10</v>
      </c>
      <c r="G300" s="341">
        <v>8170</v>
      </c>
      <c r="H300" s="341" t="s">
        <v>173</v>
      </c>
      <c r="I300" s="341">
        <v>2400</v>
      </c>
      <c r="J300" s="2"/>
      <c r="K300" s="345">
        <v>124</v>
      </c>
      <c r="L300" s="335" t="s">
        <v>121</v>
      </c>
      <c r="M300" s="336" t="s">
        <v>203</v>
      </c>
      <c r="N300" s="347" t="s">
        <v>6</v>
      </c>
      <c r="O300" s="323" t="s">
        <v>188</v>
      </c>
      <c r="P300" s="347" t="s">
        <v>187</v>
      </c>
      <c r="Q300" s="2"/>
      <c r="R300" s="348">
        <f>ROUNDUP((G300/2),0)</f>
        <v>4085</v>
      </c>
      <c r="S300" s="349">
        <v>2</v>
      </c>
      <c r="T300" s="349">
        <f t="shared" ref="T300:T379" si="91">$F300*$S300</f>
        <v>20</v>
      </c>
      <c r="V300" s="338">
        <v>3660</v>
      </c>
      <c r="W300" s="350">
        <f t="shared" ref="W300:W379" si="92">ROUNDDOWN($V300/$R300,0)</f>
        <v>0</v>
      </c>
      <c r="X300" s="350">
        <f t="shared" ref="X300:X379" si="93">($R300*$W300)+(50*2)+(5*($W300-1))</f>
        <v>95</v>
      </c>
      <c r="Y300" s="327">
        <v>3660</v>
      </c>
      <c r="Z300" s="340">
        <f>($R300*$T300)/$V300</f>
        <v>22.3224043715847</v>
      </c>
      <c r="AA300" s="392"/>
      <c r="AB300" s="329">
        <v>0.84899999999999998</v>
      </c>
      <c r="AC300" s="329">
        <v>0</v>
      </c>
      <c r="AE300" s="332">
        <f t="shared" si="83"/>
        <v>69.363299999999995</v>
      </c>
      <c r="AF300" s="332">
        <f t="shared" si="84"/>
        <v>69.363299999999995</v>
      </c>
      <c r="AG300" s="332">
        <f t="shared" si="85"/>
        <v>0</v>
      </c>
      <c r="AH300" s="333">
        <f t="shared" si="86"/>
        <v>1</v>
      </c>
      <c r="AI300" s="332">
        <f t="shared" si="79"/>
        <v>81.7</v>
      </c>
      <c r="AJ300" s="332">
        <f t="shared" ref="AJ300:AJ379" si="94">($Y300/1000)*$Z300</f>
        <v>81.7</v>
      </c>
      <c r="AK300" s="332">
        <f t="shared" si="80"/>
        <v>0</v>
      </c>
      <c r="AL300" s="333">
        <f t="shared" si="81"/>
        <v>1</v>
      </c>
    </row>
    <row r="301" spans="2:38" s="303" customFormat="1" ht="28.5" x14ac:dyDescent="0.2">
      <c r="B301" s="341">
        <f t="shared" si="82"/>
        <v>291</v>
      </c>
      <c r="C301" s="459" t="s">
        <v>200</v>
      </c>
      <c r="D301" s="342" t="s">
        <v>206</v>
      </c>
      <c r="E301" s="341" t="s">
        <v>207</v>
      </c>
      <c r="F301" s="341">
        <v>10</v>
      </c>
      <c r="G301" s="341">
        <v>8170</v>
      </c>
      <c r="H301" s="341" t="s">
        <v>173</v>
      </c>
      <c r="I301" s="341">
        <v>2400</v>
      </c>
      <c r="J301" s="2"/>
      <c r="K301" s="319">
        <v>126</v>
      </c>
      <c r="L301" s="321" t="s">
        <v>124</v>
      </c>
      <c r="M301" s="322" t="s">
        <v>125</v>
      </c>
      <c r="N301" s="321" t="s">
        <v>39</v>
      </c>
      <c r="O301" s="323" t="s">
        <v>188</v>
      </c>
      <c r="P301" s="321" t="s">
        <v>3</v>
      </c>
      <c r="Q301" s="2"/>
      <c r="R301" s="324">
        <f>ROUNDUP(600,0)</f>
        <v>600</v>
      </c>
      <c r="S301" s="325">
        <v>2</v>
      </c>
      <c r="T301" s="325">
        <f t="shared" si="91"/>
        <v>20</v>
      </c>
      <c r="V301" s="324">
        <v>5000</v>
      </c>
      <c r="W301" s="326">
        <f t="shared" si="92"/>
        <v>8</v>
      </c>
      <c r="X301" s="326">
        <f t="shared" si="93"/>
        <v>4935</v>
      </c>
      <c r="Y301" s="327">
        <v>4900</v>
      </c>
      <c r="Z301" s="328">
        <f t="shared" si="89"/>
        <v>2.5</v>
      </c>
      <c r="AA301" s="387">
        <v>35</v>
      </c>
      <c r="AB301" s="329">
        <v>2.109</v>
      </c>
      <c r="AC301" s="329">
        <v>0.70199999999999996</v>
      </c>
      <c r="AE301" s="332">
        <f t="shared" si="83"/>
        <v>25.308</v>
      </c>
      <c r="AF301" s="332">
        <f t="shared" si="84"/>
        <v>25.835249999999998</v>
      </c>
      <c r="AG301" s="332">
        <f t="shared" si="85"/>
        <v>-0.52724999999999866</v>
      </c>
      <c r="AH301" s="333">
        <f t="shared" si="86"/>
        <v>1.0208333333333333</v>
      </c>
      <c r="AI301" s="332">
        <f t="shared" si="79"/>
        <v>12</v>
      </c>
      <c r="AJ301" s="332">
        <f t="shared" si="94"/>
        <v>12.25</v>
      </c>
      <c r="AK301" s="332">
        <f t="shared" si="80"/>
        <v>-0.25</v>
      </c>
      <c r="AL301" s="333">
        <f t="shared" si="81"/>
        <v>1.0208333333333333</v>
      </c>
    </row>
    <row r="302" spans="2:38" s="303" customFormat="1" ht="28.5" x14ac:dyDescent="0.2">
      <c r="B302" s="341">
        <f t="shared" si="82"/>
        <v>292</v>
      </c>
      <c r="C302" s="459" t="s">
        <v>200</v>
      </c>
      <c r="D302" s="342" t="s">
        <v>206</v>
      </c>
      <c r="E302" s="341" t="s">
        <v>207</v>
      </c>
      <c r="F302" s="341">
        <v>10</v>
      </c>
      <c r="G302" s="341">
        <v>8170</v>
      </c>
      <c r="H302" s="341" t="s">
        <v>173</v>
      </c>
      <c r="I302" s="341">
        <v>2400</v>
      </c>
      <c r="J302" s="2"/>
      <c r="K302" s="319">
        <v>126</v>
      </c>
      <c r="L302" s="321" t="s">
        <v>126</v>
      </c>
      <c r="M302" s="322" t="s">
        <v>127</v>
      </c>
      <c r="N302" s="321" t="s">
        <v>39</v>
      </c>
      <c r="O302" s="323" t="s">
        <v>188</v>
      </c>
      <c r="P302" s="321" t="s">
        <v>3</v>
      </c>
      <c r="Q302" s="2"/>
      <c r="R302" s="324">
        <f t="shared" ref="R302:R305" si="95">ROUNDUP(600,0)</f>
        <v>600</v>
      </c>
      <c r="S302" s="325">
        <v>2</v>
      </c>
      <c r="T302" s="325">
        <f t="shared" si="91"/>
        <v>20</v>
      </c>
      <c r="V302" s="324">
        <v>5000</v>
      </c>
      <c r="W302" s="326">
        <f t="shared" si="92"/>
        <v>8</v>
      </c>
      <c r="X302" s="326">
        <f t="shared" si="93"/>
        <v>4935</v>
      </c>
      <c r="Y302" s="327">
        <v>4900</v>
      </c>
      <c r="Z302" s="328">
        <f t="shared" si="89"/>
        <v>2.5</v>
      </c>
      <c r="AA302" s="392"/>
      <c r="AB302" s="329">
        <v>0.88800000000000001</v>
      </c>
      <c r="AC302" s="329">
        <v>0.34</v>
      </c>
      <c r="AE302" s="332">
        <f t="shared" si="83"/>
        <v>10.656000000000001</v>
      </c>
      <c r="AF302" s="332">
        <f t="shared" si="84"/>
        <v>10.878</v>
      </c>
      <c r="AG302" s="332">
        <f t="shared" si="85"/>
        <v>-0.22199999999999953</v>
      </c>
      <c r="AH302" s="333">
        <f t="shared" si="86"/>
        <v>1.0208333333333333</v>
      </c>
      <c r="AI302" s="332">
        <f t="shared" si="79"/>
        <v>12</v>
      </c>
      <c r="AJ302" s="329">
        <f t="shared" si="94"/>
        <v>12.25</v>
      </c>
      <c r="AK302" s="329">
        <f t="shared" si="80"/>
        <v>-0.25</v>
      </c>
      <c r="AL302" s="382">
        <f t="shared" si="81"/>
        <v>1.0208333333333333</v>
      </c>
    </row>
    <row r="303" spans="2:38" s="303" customFormat="1" ht="28.5" x14ac:dyDescent="0.2">
      <c r="B303" s="341">
        <f t="shared" si="82"/>
        <v>293</v>
      </c>
      <c r="C303" s="459" t="s">
        <v>200</v>
      </c>
      <c r="D303" s="342" t="s">
        <v>206</v>
      </c>
      <c r="E303" s="341" t="s">
        <v>207</v>
      </c>
      <c r="F303" s="341">
        <v>10</v>
      </c>
      <c r="G303" s="341">
        <v>8170</v>
      </c>
      <c r="H303" s="341" t="s">
        <v>173</v>
      </c>
      <c r="I303" s="341">
        <v>2400</v>
      </c>
      <c r="J303" s="2"/>
      <c r="K303" s="319">
        <v>126</v>
      </c>
      <c r="L303" s="321" t="s">
        <v>48</v>
      </c>
      <c r="M303" s="322" t="s">
        <v>49</v>
      </c>
      <c r="N303" s="321" t="s">
        <v>39</v>
      </c>
      <c r="O303" s="323" t="s">
        <v>188</v>
      </c>
      <c r="P303" s="321" t="s">
        <v>3</v>
      </c>
      <c r="Q303" s="2"/>
      <c r="R303" s="324">
        <f t="shared" si="95"/>
        <v>600</v>
      </c>
      <c r="S303" s="325">
        <v>2</v>
      </c>
      <c r="T303" s="325">
        <f t="shared" si="91"/>
        <v>20</v>
      </c>
      <c r="V303" s="324">
        <v>5000</v>
      </c>
      <c r="W303" s="326">
        <f t="shared" si="92"/>
        <v>8</v>
      </c>
      <c r="X303" s="326">
        <f t="shared" si="93"/>
        <v>4935</v>
      </c>
      <c r="Y303" s="327">
        <v>4900</v>
      </c>
      <c r="Z303" s="328">
        <f t="shared" si="89"/>
        <v>2.5</v>
      </c>
      <c r="AA303" s="392"/>
      <c r="AB303" s="329">
        <v>0.81</v>
      </c>
      <c r="AC303" s="329">
        <v>0.28999999999999998</v>
      </c>
      <c r="AE303" s="332">
        <f t="shared" si="83"/>
        <v>9.7200000000000006</v>
      </c>
      <c r="AF303" s="332">
        <f t="shared" si="84"/>
        <v>9.9225000000000012</v>
      </c>
      <c r="AG303" s="332">
        <f t="shared" si="85"/>
        <v>-0.20250000000000057</v>
      </c>
      <c r="AH303" s="333">
        <f t="shared" si="86"/>
        <v>1.0208333333333335</v>
      </c>
      <c r="AI303" s="332">
        <f t="shared" si="79"/>
        <v>12</v>
      </c>
      <c r="AJ303" s="329">
        <f t="shared" si="94"/>
        <v>12.25</v>
      </c>
      <c r="AK303" s="329">
        <f t="shared" si="80"/>
        <v>-0.25</v>
      </c>
      <c r="AL303" s="382">
        <f t="shared" si="81"/>
        <v>1.0208333333333333</v>
      </c>
    </row>
    <row r="304" spans="2:38" s="303" customFormat="1" ht="28.5" x14ac:dyDescent="0.2">
      <c r="B304" s="341">
        <f t="shared" si="82"/>
        <v>294</v>
      </c>
      <c r="C304" s="459" t="s">
        <v>200</v>
      </c>
      <c r="D304" s="342" t="s">
        <v>206</v>
      </c>
      <c r="E304" s="341" t="s">
        <v>207</v>
      </c>
      <c r="F304" s="341">
        <v>10</v>
      </c>
      <c r="G304" s="341">
        <v>8170</v>
      </c>
      <c r="H304" s="341" t="s">
        <v>173</v>
      </c>
      <c r="I304" s="341">
        <v>2400</v>
      </c>
      <c r="J304" s="2"/>
      <c r="K304" s="319">
        <v>126</v>
      </c>
      <c r="L304" s="321" t="s">
        <v>46</v>
      </c>
      <c r="M304" s="322" t="s">
        <v>47</v>
      </c>
      <c r="N304" s="321" t="s">
        <v>39</v>
      </c>
      <c r="O304" s="323" t="s">
        <v>188</v>
      </c>
      <c r="P304" s="321" t="s">
        <v>3</v>
      </c>
      <c r="Q304" s="2"/>
      <c r="R304" s="324">
        <f t="shared" si="95"/>
        <v>600</v>
      </c>
      <c r="S304" s="325">
        <v>2</v>
      </c>
      <c r="T304" s="325">
        <f t="shared" si="91"/>
        <v>20</v>
      </c>
      <c r="V304" s="324">
        <v>5000</v>
      </c>
      <c r="W304" s="326">
        <f t="shared" si="92"/>
        <v>8</v>
      </c>
      <c r="X304" s="326">
        <f t="shared" si="93"/>
        <v>4935</v>
      </c>
      <c r="Y304" s="327">
        <v>4900</v>
      </c>
      <c r="Z304" s="328">
        <f t="shared" si="89"/>
        <v>2.5</v>
      </c>
      <c r="AA304" s="387">
        <v>80</v>
      </c>
      <c r="AB304" s="329">
        <v>0.91600000000000004</v>
      </c>
      <c r="AC304" s="329">
        <v>0.33900000000000002</v>
      </c>
      <c r="AE304" s="332">
        <f t="shared" si="83"/>
        <v>10.992000000000001</v>
      </c>
      <c r="AF304" s="332">
        <f t="shared" si="84"/>
        <v>11.221</v>
      </c>
      <c r="AG304" s="332">
        <f t="shared" si="85"/>
        <v>-0.2289999999999992</v>
      </c>
      <c r="AH304" s="333">
        <f t="shared" si="86"/>
        <v>1.0208333333333333</v>
      </c>
      <c r="AI304" s="332">
        <f t="shared" si="79"/>
        <v>12</v>
      </c>
      <c r="AJ304" s="329">
        <f t="shared" si="94"/>
        <v>12.25</v>
      </c>
      <c r="AK304" s="329">
        <f t="shared" si="80"/>
        <v>-0.25</v>
      </c>
      <c r="AL304" s="382">
        <f t="shared" si="81"/>
        <v>1.0208333333333333</v>
      </c>
    </row>
    <row r="305" spans="2:39" s="303" customFormat="1" ht="28.5" x14ac:dyDescent="0.2">
      <c r="B305" s="341">
        <f t="shared" si="82"/>
        <v>295</v>
      </c>
      <c r="C305" s="459" t="s">
        <v>200</v>
      </c>
      <c r="D305" s="342" t="s">
        <v>206</v>
      </c>
      <c r="E305" s="341" t="s">
        <v>207</v>
      </c>
      <c r="F305" s="341">
        <v>10</v>
      </c>
      <c r="G305" s="341">
        <v>8170</v>
      </c>
      <c r="H305" s="341" t="s">
        <v>173</v>
      </c>
      <c r="I305" s="341">
        <v>2400</v>
      </c>
      <c r="J305" s="2"/>
      <c r="K305" s="468">
        <v>126</v>
      </c>
      <c r="L305" s="417">
        <v>21825</v>
      </c>
      <c r="M305" s="416" t="s">
        <v>45</v>
      </c>
      <c r="N305" s="417" t="s">
        <v>39</v>
      </c>
      <c r="O305" s="323" t="s">
        <v>188</v>
      </c>
      <c r="P305" s="321" t="s">
        <v>3</v>
      </c>
      <c r="Q305" s="2"/>
      <c r="R305" s="324">
        <f t="shared" si="95"/>
        <v>600</v>
      </c>
      <c r="S305" s="325">
        <v>2</v>
      </c>
      <c r="T305" s="325">
        <f t="shared" si="91"/>
        <v>20</v>
      </c>
      <c r="V305" s="324">
        <v>5000</v>
      </c>
      <c r="W305" s="326">
        <f t="shared" si="92"/>
        <v>8</v>
      </c>
      <c r="X305" s="326">
        <f t="shared" si="93"/>
        <v>4935</v>
      </c>
      <c r="Y305" s="327">
        <v>4900</v>
      </c>
      <c r="Z305" s="328">
        <f t="shared" si="89"/>
        <v>2.5</v>
      </c>
      <c r="AA305" s="387">
        <v>80</v>
      </c>
      <c r="AB305" s="329">
        <v>0.999</v>
      </c>
      <c r="AC305" s="329">
        <v>0.2382</v>
      </c>
      <c r="AE305" s="332">
        <f t="shared" si="83"/>
        <v>11.988</v>
      </c>
      <c r="AF305" s="332">
        <f t="shared" si="84"/>
        <v>12.23775</v>
      </c>
      <c r="AG305" s="332">
        <f t="shared" si="85"/>
        <v>-0.24975000000000058</v>
      </c>
      <c r="AH305" s="333">
        <f t="shared" si="86"/>
        <v>1.0208333333333335</v>
      </c>
      <c r="AI305" s="329">
        <f t="shared" si="79"/>
        <v>12</v>
      </c>
      <c r="AJ305" s="329">
        <f t="shared" si="94"/>
        <v>12.25</v>
      </c>
      <c r="AK305" s="329">
        <f t="shared" si="80"/>
        <v>-0.25</v>
      </c>
      <c r="AL305" s="382">
        <f t="shared" si="81"/>
        <v>1.0208333333333333</v>
      </c>
    </row>
    <row r="306" spans="2:39" s="303" customFormat="1" ht="28.5" x14ac:dyDescent="0.2">
      <c r="B306" s="341">
        <f t="shared" si="82"/>
        <v>296</v>
      </c>
      <c r="C306" s="459" t="s">
        <v>200</v>
      </c>
      <c r="D306" s="342" t="s">
        <v>206</v>
      </c>
      <c r="E306" s="341" t="s">
        <v>207</v>
      </c>
      <c r="F306" s="341">
        <v>10</v>
      </c>
      <c r="G306" s="341">
        <v>8170</v>
      </c>
      <c r="H306" s="341" t="s">
        <v>173</v>
      </c>
      <c r="I306" s="341">
        <v>2400</v>
      </c>
      <c r="J306" s="2"/>
      <c r="K306" s="341">
        <v>126</v>
      </c>
      <c r="L306" s="342" t="s">
        <v>114</v>
      </c>
      <c r="M306" s="343" t="s">
        <v>115</v>
      </c>
      <c r="N306" s="342" t="s">
        <v>39</v>
      </c>
      <c r="O306" s="323" t="s">
        <v>188</v>
      </c>
      <c r="P306" s="342" t="s">
        <v>3</v>
      </c>
      <c r="Q306" s="2"/>
      <c r="R306" s="348">
        <f>ROUNDUP(600,0)</f>
        <v>600</v>
      </c>
      <c r="S306" s="349">
        <v>1</v>
      </c>
      <c r="T306" s="349">
        <f t="shared" si="91"/>
        <v>10</v>
      </c>
      <c r="V306" s="348">
        <v>6500</v>
      </c>
      <c r="W306" s="388">
        <f t="shared" si="92"/>
        <v>10</v>
      </c>
      <c r="X306" s="388">
        <f t="shared" si="93"/>
        <v>6145</v>
      </c>
      <c r="Y306" s="351">
        <v>6200</v>
      </c>
      <c r="Z306" s="389">
        <f t="shared" si="89"/>
        <v>1</v>
      </c>
      <c r="AA306" s="392"/>
      <c r="AB306" s="329">
        <v>0.83499999999999996</v>
      </c>
      <c r="AC306" s="329">
        <v>0.21299999999999999</v>
      </c>
      <c r="AE306" s="332">
        <f t="shared" si="83"/>
        <v>5.01</v>
      </c>
      <c r="AF306" s="332">
        <f t="shared" si="84"/>
        <v>5.1769999999999996</v>
      </c>
      <c r="AG306" s="332">
        <f t="shared" si="85"/>
        <v>-0.16699999999999982</v>
      </c>
      <c r="AH306" s="333">
        <f t="shared" si="86"/>
        <v>1.0333333333333332</v>
      </c>
      <c r="AI306" s="332">
        <f t="shared" si="79"/>
        <v>6</v>
      </c>
      <c r="AJ306" s="332">
        <f t="shared" si="94"/>
        <v>6.2</v>
      </c>
      <c r="AK306" s="332">
        <f t="shared" si="80"/>
        <v>-0.20000000000000018</v>
      </c>
      <c r="AL306" s="333">
        <f t="shared" si="81"/>
        <v>1.0333333333333334</v>
      </c>
    </row>
    <row r="307" spans="2:39" s="303" customFormat="1" ht="28.5" x14ac:dyDescent="0.2">
      <c r="B307" s="341">
        <f t="shared" si="82"/>
        <v>297</v>
      </c>
      <c r="C307" s="459" t="s">
        <v>200</v>
      </c>
      <c r="D307" s="342" t="s">
        <v>206</v>
      </c>
      <c r="E307" s="341" t="s">
        <v>207</v>
      </c>
      <c r="F307" s="341">
        <v>10</v>
      </c>
      <c r="G307" s="341">
        <v>8170</v>
      </c>
      <c r="H307" s="341" t="s">
        <v>173</v>
      </c>
      <c r="I307" s="341">
        <v>2400</v>
      </c>
      <c r="J307" s="2"/>
      <c r="K307" s="341">
        <v>126</v>
      </c>
      <c r="L307" s="321" t="s">
        <v>50</v>
      </c>
      <c r="M307" s="322" t="s">
        <v>51</v>
      </c>
      <c r="N307" s="342" t="s">
        <v>39</v>
      </c>
      <c r="O307" s="323" t="s">
        <v>188</v>
      </c>
      <c r="P307" s="342" t="s">
        <v>3</v>
      </c>
      <c r="Q307" s="2"/>
      <c r="R307" s="348">
        <f>ROUNDUP(600,0)</f>
        <v>600</v>
      </c>
      <c r="S307" s="349">
        <v>1</v>
      </c>
      <c r="T307" s="349">
        <f t="shared" si="91"/>
        <v>10</v>
      </c>
      <c r="V307" s="348">
        <v>6500</v>
      </c>
      <c r="W307" s="388">
        <f t="shared" si="92"/>
        <v>10</v>
      </c>
      <c r="X307" s="388">
        <f t="shared" si="93"/>
        <v>6145</v>
      </c>
      <c r="Y307" s="351">
        <v>6200</v>
      </c>
      <c r="Z307" s="389">
        <f t="shared" si="89"/>
        <v>1</v>
      </c>
      <c r="AA307" s="406">
        <v>2</v>
      </c>
      <c r="AB307" s="395">
        <v>1.7110000000000001</v>
      </c>
      <c r="AC307" s="395">
        <v>0.34200000000000003</v>
      </c>
      <c r="AE307" s="332">
        <f t="shared" si="83"/>
        <v>10.266</v>
      </c>
      <c r="AF307" s="332">
        <f t="shared" si="84"/>
        <v>10.6082</v>
      </c>
      <c r="AG307" s="332">
        <f t="shared" si="85"/>
        <v>-0.34220000000000006</v>
      </c>
      <c r="AH307" s="333">
        <f t="shared" si="86"/>
        <v>1.0333333333333334</v>
      </c>
      <c r="AI307" s="332">
        <f t="shared" si="79"/>
        <v>6</v>
      </c>
      <c r="AJ307" s="332">
        <f t="shared" si="94"/>
        <v>6.2</v>
      </c>
      <c r="AK307" s="332">
        <f t="shared" si="80"/>
        <v>-0.20000000000000018</v>
      </c>
      <c r="AL307" s="333">
        <f t="shared" si="81"/>
        <v>1.0333333333333334</v>
      </c>
    </row>
    <row r="308" spans="2:39" s="303" customFormat="1" ht="28.5" x14ac:dyDescent="0.2">
      <c r="B308" s="341">
        <f t="shared" si="82"/>
        <v>298</v>
      </c>
      <c r="C308" s="459" t="s">
        <v>200</v>
      </c>
      <c r="D308" s="342" t="s">
        <v>206</v>
      </c>
      <c r="E308" s="341" t="s">
        <v>207</v>
      </c>
      <c r="F308" s="341">
        <v>10</v>
      </c>
      <c r="G308" s="341">
        <v>8170</v>
      </c>
      <c r="H308" s="341" t="s">
        <v>173</v>
      </c>
      <c r="I308" s="341">
        <v>2400</v>
      </c>
      <c r="J308" s="2"/>
      <c r="K308" s="345">
        <v>126</v>
      </c>
      <c r="L308" s="347">
        <v>10926</v>
      </c>
      <c r="M308" s="346" t="s">
        <v>36</v>
      </c>
      <c r="N308" s="347" t="s">
        <v>6</v>
      </c>
      <c r="O308" s="323" t="s">
        <v>188</v>
      </c>
      <c r="P308" s="347" t="s">
        <v>187</v>
      </c>
      <c r="Q308" s="2"/>
      <c r="R308" s="348">
        <f>ROUNDUP(600,0)</f>
        <v>600</v>
      </c>
      <c r="S308" s="349">
        <v>1</v>
      </c>
      <c r="T308" s="349">
        <f t="shared" si="91"/>
        <v>10</v>
      </c>
      <c r="V308" s="348">
        <v>6100</v>
      </c>
      <c r="W308" s="350">
        <f t="shared" si="92"/>
        <v>10</v>
      </c>
      <c r="X308" s="350">
        <f t="shared" si="93"/>
        <v>6145</v>
      </c>
      <c r="Y308" s="351">
        <v>6100</v>
      </c>
      <c r="Z308" s="389">
        <f t="shared" si="89"/>
        <v>1</v>
      </c>
      <c r="AA308" s="392"/>
      <c r="AB308" s="332">
        <v>0.76700000000000002</v>
      </c>
      <c r="AC308" s="332"/>
      <c r="AE308" s="332">
        <f t="shared" si="83"/>
        <v>4.6020000000000003</v>
      </c>
      <c r="AF308" s="332">
        <f t="shared" si="84"/>
        <v>4.6787000000000001</v>
      </c>
      <c r="AG308" s="332">
        <f t="shared" si="85"/>
        <v>-7.6699999999999768E-2</v>
      </c>
      <c r="AH308" s="333">
        <f t="shared" si="86"/>
        <v>1.0166666666666666</v>
      </c>
      <c r="AI308" s="332">
        <f t="shared" si="79"/>
        <v>6</v>
      </c>
      <c r="AJ308" s="332">
        <f t="shared" si="94"/>
        <v>6.1</v>
      </c>
      <c r="AK308" s="332">
        <f t="shared" si="80"/>
        <v>-9.9999999999999645E-2</v>
      </c>
      <c r="AL308" s="333">
        <f t="shared" si="81"/>
        <v>1.0166666666666666</v>
      </c>
    </row>
    <row r="309" spans="2:39" s="353" customFormat="1" ht="30" customHeight="1" thickBot="1" x14ac:dyDescent="0.3">
      <c r="B309" s="341">
        <f t="shared" si="82"/>
        <v>299</v>
      </c>
      <c r="C309" s="459" t="s">
        <v>200</v>
      </c>
      <c r="D309" s="342" t="s">
        <v>206</v>
      </c>
      <c r="E309" s="341" t="s">
        <v>207</v>
      </c>
      <c r="F309" s="341">
        <v>10</v>
      </c>
      <c r="G309" s="341">
        <v>8170</v>
      </c>
      <c r="H309" s="341" t="s">
        <v>173</v>
      </c>
      <c r="I309" s="341">
        <v>2400</v>
      </c>
      <c r="J309" s="2"/>
      <c r="K309" s="363"/>
      <c r="L309" s="364" t="s">
        <v>28</v>
      </c>
      <c r="M309" s="365" t="s">
        <v>29</v>
      </c>
      <c r="N309" s="470" t="s">
        <v>6</v>
      </c>
      <c r="O309" s="366" t="s">
        <v>189</v>
      </c>
      <c r="P309" s="367" t="s">
        <v>187</v>
      </c>
      <c r="Q309" s="2"/>
      <c r="R309" s="368">
        <v>51</v>
      </c>
      <c r="S309" s="369">
        <f>4*8</f>
        <v>32</v>
      </c>
      <c r="T309" s="369">
        <f t="shared" si="91"/>
        <v>320</v>
      </c>
      <c r="U309" s="303"/>
      <c r="V309" s="368">
        <v>3250</v>
      </c>
      <c r="W309" s="370">
        <f t="shared" si="92"/>
        <v>63</v>
      </c>
      <c r="X309" s="370">
        <f t="shared" si="93"/>
        <v>3623</v>
      </c>
      <c r="Y309" s="371">
        <v>3660</v>
      </c>
      <c r="Z309" s="372">
        <f t="shared" si="89"/>
        <v>5.0793650793650791</v>
      </c>
      <c r="AA309" s="392"/>
      <c r="AB309" s="373">
        <v>1.641</v>
      </c>
      <c r="AC309" s="373">
        <v>0.20319999999999999</v>
      </c>
      <c r="AD309" s="303"/>
      <c r="AE309" s="373">
        <f t="shared" si="83"/>
        <v>26.781120000000001</v>
      </c>
      <c r="AF309" s="373">
        <f t="shared" si="84"/>
        <v>30.506971428571433</v>
      </c>
      <c r="AG309" s="373">
        <f t="shared" si="85"/>
        <v>-3.7258514285714313</v>
      </c>
      <c r="AH309" s="374">
        <f t="shared" si="86"/>
        <v>1.139122315592904</v>
      </c>
      <c r="AI309" s="476">
        <f>+AG309/AF309</f>
        <v>-0.12213114754098368</v>
      </c>
      <c r="AJ309" s="373">
        <f t="shared" si="94"/>
        <v>18.590476190476192</v>
      </c>
      <c r="AK309" s="474">
        <f>($R309/1000)*$T309</f>
        <v>16.32</v>
      </c>
      <c r="AL309" s="474">
        <f>($Y309/1000)*$Z309</f>
        <v>18.590476190476192</v>
      </c>
      <c r="AM309" s="303"/>
    </row>
    <row r="310" spans="2:39" s="303" customFormat="1" ht="28.5" x14ac:dyDescent="0.2">
      <c r="B310" s="375">
        <f>B309+1</f>
        <v>300</v>
      </c>
      <c r="C310" s="457" t="s">
        <v>200</v>
      </c>
      <c r="D310" s="394" t="s">
        <v>208</v>
      </c>
      <c r="E310" s="408" t="s">
        <v>209</v>
      </c>
      <c r="F310" s="408">
        <v>14</v>
      </c>
      <c r="G310" s="375">
        <v>8170</v>
      </c>
      <c r="H310" s="375" t="s">
        <v>173</v>
      </c>
      <c r="I310" s="375">
        <v>2400</v>
      </c>
      <c r="J310" s="2"/>
      <c r="K310" s="319">
        <v>127</v>
      </c>
      <c r="L310" s="321">
        <v>20626</v>
      </c>
      <c r="M310" s="322" t="s">
        <v>44</v>
      </c>
      <c r="N310" s="321" t="s">
        <v>39</v>
      </c>
      <c r="O310" s="378" t="s">
        <v>186</v>
      </c>
      <c r="P310" s="321" t="s">
        <v>3</v>
      </c>
      <c r="Q310" s="2"/>
      <c r="R310" s="324">
        <f t="shared" ref="R310:R333" si="96">ROUNDUP(I310,0)</f>
        <v>2400</v>
      </c>
      <c r="S310" s="325">
        <v>1</v>
      </c>
      <c r="T310" s="325">
        <f t="shared" si="91"/>
        <v>14</v>
      </c>
      <c r="V310" s="324">
        <v>7000</v>
      </c>
      <c r="W310" s="326">
        <f t="shared" si="92"/>
        <v>2</v>
      </c>
      <c r="X310" s="326">
        <f t="shared" si="93"/>
        <v>4905</v>
      </c>
      <c r="Y310" s="327">
        <v>4900</v>
      </c>
      <c r="Z310" s="328">
        <f t="shared" si="89"/>
        <v>7</v>
      </c>
      <c r="AA310" s="304"/>
      <c r="AB310" s="329">
        <v>2.7930000000000001</v>
      </c>
      <c r="AC310" s="329">
        <v>0.45068000000000003</v>
      </c>
      <c r="AE310" s="330">
        <f t="shared" si="83"/>
        <v>93.844800000000006</v>
      </c>
      <c r="AF310" s="330">
        <f t="shared" si="84"/>
        <v>95.799899999999994</v>
      </c>
      <c r="AG310" s="330">
        <f t="shared" si="85"/>
        <v>-1.9550999999999874</v>
      </c>
      <c r="AH310" s="331">
        <f t="shared" si="86"/>
        <v>1.0208333333333333</v>
      </c>
      <c r="AI310" s="329">
        <f t="shared" ref="AI310:AI361" si="97">($R310/1000)*$T310</f>
        <v>33.6</v>
      </c>
      <c r="AJ310" s="329">
        <f t="shared" si="94"/>
        <v>34.300000000000004</v>
      </c>
      <c r="AK310" s="329">
        <f t="shared" ref="AK310:AK361" si="98">+AI310-AJ310</f>
        <v>-0.70000000000000284</v>
      </c>
      <c r="AL310" s="382">
        <f t="shared" ref="AL310:AL361" si="99">+AJ310/AI310</f>
        <v>1.0208333333333335</v>
      </c>
    </row>
    <row r="311" spans="2:39" s="303" customFormat="1" ht="28.5" x14ac:dyDescent="0.2">
      <c r="B311" s="341">
        <f t="shared" si="82"/>
        <v>301</v>
      </c>
      <c r="C311" s="458" t="s">
        <v>200</v>
      </c>
      <c r="D311" s="342" t="s">
        <v>208</v>
      </c>
      <c r="E311" s="341" t="s">
        <v>209</v>
      </c>
      <c r="F311" s="341">
        <v>14</v>
      </c>
      <c r="G311" s="341">
        <v>8170</v>
      </c>
      <c r="H311" s="341" t="s">
        <v>173</v>
      </c>
      <c r="I311" s="341">
        <v>2400</v>
      </c>
      <c r="J311" s="2"/>
      <c r="K311" s="319">
        <v>127</v>
      </c>
      <c r="L311" s="321">
        <v>21825</v>
      </c>
      <c r="M311" s="322" t="s">
        <v>45</v>
      </c>
      <c r="N311" s="321" t="s">
        <v>39</v>
      </c>
      <c r="O311" s="323" t="s">
        <v>186</v>
      </c>
      <c r="P311" s="321" t="s">
        <v>3</v>
      </c>
      <c r="Q311" s="2"/>
      <c r="R311" s="324">
        <f t="shared" si="96"/>
        <v>2400</v>
      </c>
      <c r="S311" s="325">
        <v>1</v>
      </c>
      <c r="T311" s="325">
        <f t="shared" si="91"/>
        <v>14</v>
      </c>
      <c r="V311" s="324">
        <v>7000</v>
      </c>
      <c r="W311" s="326">
        <f t="shared" si="92"/>
        <v>2</v>
      </c>
      <c r="X311" s="326">
        <f t="shared" si="93"/>
        <v>4905</v>
      </c>
      <c r="Y311" s="327">
        <v>4900</v>
      </c>
      <c r="Z311" s="328">
        <f t="shared" si="89"/>
        <v>7</v>
      </c>
      <c r="AA311" s="392"/>
      <c r="AB311" s="329">
        <v>0.999</v>
      </c>
      <c r="AC311" s="329">
        <v>0.2382</v>
      </c>
      <c r="AE311" s="332">
        <f t="shared" si="83"/>
        <v>33.566400000000002</v>
      </c>
      <c r="AF311" s="332">
        <f t="shared" si="84"/>
        <v>34.265699999999995</v>
      </c>
      <c r="AG311" s="332">
        <f t="shared" si="85"/>
        <v>-0.69929999999999382</v>
      </c>
      <c r="AH311" s="333">
        <f t="shared" si="86"/>
        <v>1.020833333333333</v>
      </c>
      <c r="AI311" s="329">
        <f t="shared" si="97"/>
        <v>33.6</v>
      </c>
      <c r="AJ311" s="329">
        <f t="shared" si="94"/>
        <v>34.300000000000004</v>
      </c>
      <c r="AK311" s="329">
        <f t="shared" si="98"/>
        <v>-0.70000000000000284</v>
      </c>
      <c r="AL311" s="382">
        <f t="shared" si="99"/>
        <v>1.0208333333333335</v>
      </c>
    </row>
    <row r="312" spans="2:39" s="303" customFormat="1" ht="28.5" x14ac:dyDescent="0.2">
      <c r="B312" s="341">
        <f t="shared" si="82"/>
        <v>302</v>
      </c>
      <c r="C312" s="458" t="s">
        <v>200</v>
      </c>
      <c r="D312" s="342" t="s">
        <v>208</v>
      </c>
      <c r="E312" s="341" t="s">
        <v>209</v>
      </c>
      <c r="F312" s="341">
        <v>14</v>
      </c>
      <c r="G312" s="341">
        <v>8170</v>
      </c>
      <c r="H312" s="341" t="s">
        <v>173</v>
      </c>
      <c r="I312" s="341">
        <v>2400</v>
      </c>
      <c r="J312" s="2"/>
      <c r="K312" s="319">
        <v>127</v>
      </c>
      <c r="L312" s="321" t="s">
        <v>48</v>
      </c>
      <c r="M312" s="322" t="s">
        <v>49</v>
      </c>
      <c r="N312" s="321" t="s">
        <v>39</v>
      </c>
      <c r="O312" s="323" t="s">
        <v>186</v>
      </c>
      <c r="P312" s="321" t="s">
        <v>3</v>
      </c>
      <c r="Q312" s="2"/>
      <c r="R312" s="324">
        <f t="shared" si="96"/>
        <v>2400</v>
      </c>
      <c r="S312" s="325">
        <v>1</v>
      </c>
      <c r="T312" s="325">
        <f t="shared" si="91"/>
        <v>14</v>
      </c>
      <c r="V312" s="324">
        <v>7000</v>
      </c>
      <c r="W312" s="326">
        <f t="shared" si="92"/>
        <v>2</v>
      </c>
      <c r="X312" s="326">
        <f t="shared" si="93"/>
        <v>4905</v>
      </c>
      <c r="Y312" s="327">
        <v>4900</v>
      </c>
      <c r="Z312" s="328">
        <f t="shared" si="89"/>
        <v>7</v>
      </c>
      <c r="AA312" s="392"/>
      <c r="AB312" s="329">
        <v>0.81</v>
      </c>
      <c r="AC312" s="329">
        <v>0.28999999999999998</v>
      </c>
      <c r="AE312" s="332">
        <f t="shared" si="83"/>
        <v>27.216000000000005</v>
      </c>
      <c r="AF312" s="332">
        <f t="shared" si="84"/>
        <v>27.783000000000001</v>
      </c>
      <c r="AG312" s="332">
        <f t="shared" si="85"/>
        <v>-0.56699999999999662</v>
      </c>
      <c r="AH312" s="333">
        <f t="shared" si="86"/>
        <v>1.0208333333333333</v>
      </c>
      <c r="AI312" s="329">
        <f t="shared" si="97"/>
        <v>33.6</v>
      </c>
      <c r="AJ312" s="329">
        <f t="shared" si="94"/>
        <v>34.300000000000004</v>
      </c>
      <c r="AK312" s="329">
        <f t="shared" si="98"/>
        <v>-0.70000000000000284</v>
      </c>
      <c r="AL312" s="382">
        <f t="shared" si="99"/>
        <v>1.0208333333333335</v>
      </c>
    </row>
    <row r="313" spans="2:39" s="303" customFormat="1" ht="28.5" x14ac:dyDescent="0.2">
      <c r="B313" s="319">
        <f t="shared" si="82"/>
        <v>303</v>
      </c>
      <c r="C313" s="458" t="s">
        <v>200</v>
      </c>
      <c r="D313" s="342" t="s">
        <v>208</v>
      </c>
      <c r="E313" s="341" t="s">
        <v>209</v>
      </c>
      <c r="F313" s="341">
        <v>14</v>
      </c>
      <c r="G313" s="341">
        <v>8170</v>
      </c>
      <c r="H313" s="341" t="s">
        <v>173</v>
      </c>
      <c r="I313" s="341">
        <v>2400</v>
      </c>
      <c r="J313" s="2"/>
      <c r="K313" s="319">
        <v>127</v>
      </c>
      <c r="L313" s="321" t="s">
        <v>46</v>
      </c>
      <c r="M313" s="322" t="s">
        <v>47</v>
      </c>
      <c r="N313" s="321" t="s">
        <v>39</v>
      </c>
      <c r="O313" s="323" t="s">
        <v>186</v>
      </c>
      <c r="P313" s="321" t="s">
        <v>3</v>
      </c>
      <c r="Q313" s="2"/>
      <c r="R313" s="324">
        <f t="shared" si="96"/>
        <v>2400</v>
      </c>
      <c r="S313" s="325">
        <v>1</v>
      </c>
      <c r="T313" s="325">
        <f t="shared" si="91"/>
        <v>14</v>
      </c>
      <c r="V313" s="324">
        <v>7000</v>
      </c>
      <c r="W313" s="326">
        <f t="shared" si="92"/>
        <v>2</v>
      </c>
      <c r="X313" s="326">
        <f t="shared" si="93"/>
        <v>4905</v>
      </c>
      <c r="Y313" s="327">
        <v>4900</v>
      </c>
      <c r="Z313" s="328">
        <f t="shared" si="89"/>
        <v>7</v>
      </c>
      <c r="AA313" s="392"/>
      <c r="AB313" s="329">
        <v>0.91600000000000004</v>
      </c>
      <c r="AC313" s="329">
        <v>0.33900000000000002</v>
      </c>
      <c r="AE313" s="332">
        <f t="shared" si="83"/>
        <v>30.777600000000003</v>
      </c>
      <c r="AF313" s="332">
        <f t="shared" si="84"/>
        <v>31.418799999999997</v>
      </c>
      <c r="AG313" s="332">
        <f t="shared" si="85"/>
        <v>-0.64119999999999422</v>
      </c>
      <c r="AH313" s="333">
        <f t="shared" si="86"/>
        <v>1.020833333333333</v>
      </c>
      <c r="AI313" s="329">
        <f t="shared" si="97"/>
        <v>33.6</v>
      </c>
      <c r="AJ313" s="329">
        <f t="shared" si="94"/>
        <v>34.300000000000004</v>
      </c>
      <c r="AK313" s="329">
        <f t="shared" si="98"/>
        <v>-0.70000000000000284</v>
      </c>
      <c r="AL313" s="382">
        <f t="shared" si="99"/>
        <v>1.0208333333333335</v>
      </c>
    </row>
    <row r="314" spans="2:39" s="303" customFormat="1" ht="28.5" x14ac:dyDescent="0.2">
      <c r="B314" s="319">
        <f t="shared" si="82"/>
        <v>304</v>
      </c>
      <c r="C314" s="458" t="s">
        <v>200</v>
      </c>
      <c r="D314" s="342" t="s">
        <v>208</v>
      </c>
      <c r="E314" s="341" t="s">
        <v>209</v>
      </c>
      <c r="F314" s="341">
        <v>14</v>
      </c>
      <c r="G314" s="341">
        <v>8170</v>
      </c>
      <c r="H314" s="341" t="s">
        <v>173</v>
      </c>
      <c r="I314" s="341">
        <v>2400</v>
      </c>
      <c r="J314" s="2"/>
      <c r="K314" s="334">
        <v>127</v>
      </c>
      <c r="L314" s="335" t="s">
        <v>121</v>
      </c>
      <c r="M314" s="336" t="s">
        <v>203</v>
      </c>
      <c r="N314" s="337" t="s">
        <v>6</v>
      </c>
      <c r="O314" s="323" t="s">
        <v>186</v>
      </c>
      <c r="P314" s="337" t="s">
        <v>187</v>
      </c>
      <c r="Q314" s="2"/>
      <c r="R314" s="324">
        <f t="shared" si="96"/>
        <v>2400</v>
      </c>
      <c r="S314" s="325">
        <v>1</v>
      </c>
      <c r="T314" s="325">
        <f t="shared" si="91"/>
        <v>14</v>
      </c>
      <c r="V314" s="338">
        <v>3660</v>
      </c>
      <c r="W314" s="339">
        <f t="shared" si="92"/>
        <v>1</v>
      </c>
      <c r="X314" s="339">
        <f t="shared" si="93"/>
        <v>2500</v>
      </c>
      <c r="Y314" s="327">
        <v>3660</v>
      </c>
      <c r="Z314" s="340">
        <f>($R314*$T314)/$V314</f>
        <v>9.1803278688524586</v>
      </c>
      <c r="AA314" s="392"/>
      <c r="AB314" s="329">
        <v>0.84899999999999998</v>
      </c>
      <c r="AC314" s="329">
        <v>0</v>
      </c>
      <c r="AE314" s="332">
        <f t="shared" si="83"/>
        <v>28.526399999999999</v>
      </c>
      <c r="AF314" s="332">
        <f t="shared" si="84"/>
        <v>28.526399999999999</v>
      </c>
      <c r="AG314" s="332">
        <f t="shared" si="85"/>
        <v>0</v>
      </c>
      <c r="AH314" s="333">
        <f t="shared" si="86"/>
        <v>1</v>
      </c>
      <c r="AI314" s="329">
        <f t="shared" si="97"/>
        <v>33.6</v>
      </c>
      <c r="AJ314" s="329">
        <f t="shared" si="94"/>
        <v>33.6</v>
      </c>
      <c r="AK314" s="329">
        <f t="shared" si="98"/>
        <v>0</v>
      </c>
      <c r="AL314" s="382">
        <f t="shared" si="99"/>
        <v>1</v>
      </c>
    </row>
    <row r="315" spans="2:39" s="303" customFormat="1" ht="28.5" x14ac:dyDescent="0.2">
      <c r="B315" s="319">
        <f t="shared" si="82"/>
        <v>305</v>
      </c>
      <c r="C315" s="458" t="s">
        <v>200</v>
      </c>
      <c r="D315" s="342" t="s">
        <v>208</v>
      </c>
      <c r="E315" s="341" t="s">
        <v>209</v>
      </c>
      <c r="F315" s="341">
        <v>14</v>
      </c>
      <c r="G315" s="341">
        <v>8170</v>
      </c>
      <c r="H315" s="341" t="s">
        <v>173</v>
      </c>
      <c r="I315" s="341">
        <v>2400</v>
      </c>
      <c r="J315" s="2"/>
      <c r="K315" s="334">
        <v>127</v>
      </c>
      <c r="L315" s="337">
        <v>10926</v>
      </c>
      <c r="M315" s="336" t="s">
        <v>36</v>
      </c>
      <c r="N315" s="337" t="s">
        <v>6</v>
      </c>
      <c r="O315" s="323" t="s">
        <v>186</v>
      </c>
      <c r="P315" s="337" t="s">
        <v>187</v>
      </c>
      <c r="Q315" s="2"/>
      <c r="R315" s="324">
        <f t="shared" si="96"/>
        <v>2400</v>
      </c>
      <c r="S315" s="325">
        <v>1</v>
      </c>
      <c r="T315" s="325">
        <f t="shared" si="91"/>
        <v>14</v>
      </c>
      <c r="V315" s="324">
        <v>6100</v>
      </c>
      <c r="W315" s="339">
        <f t="shared" si="92"/>
        <v>2</v>
      </c>
      <c r="X315" s="339">
        <f t="shared" si="93"/>
        <v>4905</v>
      </c>
      <c r="Y315" s="327">
        <v>6100</v>
      </c>
      <c r="Z315" s="328">
        <f t="shared" si="89"/>
        <v>7</v>
      </c>
      <c r="AA315" s="392"/>
      <c r="AB315" s="329">
        <v>0.76700000000000002</v>
      </c>
      <c r="AC315" s="329"/>
      <c r="AE315" s="332">
        <f t="shared" si="83"/>
        <v>25.7712</v>
      </c>
      <c r="AF315" s="332">
        <f t="shared" si="84"/>
        <v>32.750900000000001</v>
      </c>
      <c r="AG315" s="332">
        <f t="shared" si="85"/>
        <v>-6.9797000000000011</v>
      </c>
      <c r="AH315" s="333">
        <f t="shared" si="86"/>
        <v>1.2708333333333335</v>
      </c>
      <c r="AI315" s="329">
        <f t="shared" si="97"/>
        <v>33.6</v>
      </c>
      <c r="AJ315" s="329">
        <f t="shared" si="94"/>
        <v>42.699999999999996</v>
      </c>
      <c r="AK315" s="329">
        <f t="shared" si="98"/>
        <v>-9.0999999999999943</v>
      </c>
      <c r="AL315" s="382">
        <f t="shared" si="99"/>
        <v>1.2708333333333333</v>
      </c>
    </row>
    <row r="316" spans="2:39" s="303" customFormat="1" ht="28.5" x14ac:dyDescent="0.2">
      <c r="B316" s="319">
        <f t="shared" si="82"/>
        <v>306</v>
      </c>
      <c r="C316" s="458" t="s">
        <v>200</v>
      </c>
      <c r="D316" s="342" t="s">
        <v>208</v>
      </c>
      <c r="E316" s="341" t="s">
        <v>209</v>
      </c>
      <c r="F316" s="341">
        <v>14</v>
      </c>
      <c r="G316" s="341">
        <v>8170</v>
      </c>
      <c r="H316" s="341" t="s">
        <v>173</v>
      </c>
      <c r="I316" s="341">
        <v>2400</v>
      </c>
      <c r="J316" s="2"/>
      <c r="K316" s="319">
        <v>127</v>
      </c>
      <c r="L316" s="321" t="s">
        <v>114</v>
      </c>
      <c r="M316" s="322" t="s">
        <v>115</v>
      </c>
      <c r="N316" s="321" t="s">
        <v>39</v>
      </c>
      <c r="O316" s="323" t="s">
        <v>186</v>
      </c>
      <c r="P316" s="321" t="s">
        <v>3</v>
      </c>
      <c r="Q316" s="2"/>
      <c r="R316" s="324">
        <f t="shared" si="96"/>
        <v>2400</v>
      </c>
      <c r="S316" s="325">
        <v>1</v>
      </c>
      <c r="T316" s="325">
        <f t="shared" si="91"/>
        <v>14</v>
      </c>
      <c r="V316" s="324">
        <v>7000</v>
      </c>
      <c r="W316" s="326">
        <f t="shared" si="92"/>
        <v>2</v>
      </c>
      <c r="X316" s="326">
        <f t="shared" si="93"/>
        <v>4905</v>
      </c>
      <c r="Y316" s="327">
        <v>4900</v>
      </c>
      <c r="Z316" s="328">
        <f t="shared" si="89"/>
        <v>7</v>
      </c>
      <c r="AA316" s="304"/>
      <c r="AB316" s="329">
        <v>0.83499999999999996</v>
      </c>
      <c r="AC316" s="329">
        <v>0.21299999999999999</v>
      </c>
      <c r="AE316" s="332">
        <f t="shared" si="83"/>
        <v>28.056000000000001</v>
      </c>
      <c r="AF316" s="332">
        <f t="shared" si="84"/>
        <v>28.640499999999996</v>
      </c>
      <c r="AG316" s="332">
        <f t="shared" si="85"/>
        <v>-0.58449999999999491</v>
      </c>
      <c r="AH316" s="333">
        <f t="shared" si="86"/>
        <v>1.0208333333333333</v>
      </c>
      <c r="AI316" s="329">
        <f t="shared" si="97"/>
        <v>33.6</v>
      </c>
      <c r="AJ316" s="329">
        <f t="shared" si="94"/>
        <v>34.300000000000004</v>
      </c>
      <c r="AK316" s="329">
        <f t="shared" si="98"/>
        <v>-0.70000000000000284</v>
      </c>
      <c r="AL316" s="382">
        <f t="shared" si="99"/>
        <v>1.0208333333333335</v>
      </c>
    </row>
    <row r="317" spans="2:39" s="303" customFormat="1" ht="28.5" x14ac:dyDescent="0.2">
      <c r="B317" s="341">
        <f t="shared" si="82"/>
        <v>307</v>
      </c>
      <c r="C317" s="459" t="s">
        <v>200</v>
      </c>
      <c r="D317" s="342" t="s">
        <v>208</v>
      </c>
      <c r="E317" s="341" t="s">
        <v>209</v>
      </c>
      <c r="F317" s="341">
        <v>14</v>
      </c>
      <c r="G317" s="341">
        <v>8170</v>
      </c>
      <c r="H317" s="341" t="s">
        <v>173</v>
      </c>
      <c r="I317" s="341">
        <v>2400</v>
      </c>
      <c r="J317" s="2"/>
      <c r="K317" s="319">
        <v>127</v>
      </c>
      <c r="L317" s="321" t="s">
        <v>50</v>
      </c>
      <c r="M317" s="322" t="s">
        <v>51</v>
      </c>
      <c r="N317" s="321" t="s">
        <v>39</v>
      </c>
      <c r="O317" s="323" t="s">
        <v>186</v>
      </c>
      <c r="P317" s="321" t="s">
        <v>3</v>
      </c>
      <c r="Q317" s="2"/>
      <c r="R317" s="324">
        <f t="shared" si="96"/>
        <v>2400</v>
      </c>
      <c r="S317" s="325">
        <v>1</v>
      </c>
      <c r="T317" s="325">
        <f t="shared" si="91"/>
        <v>14</v>
      </c>
      <c r="V317" s="324">
        <v>6000</v>
      </c>
      <c r="W317" s="326">
        <f t="shared" si="92"/>
        <v>2</v>
      </c>
      <c r="X317" s="326">
        <f t="shared" si="93"/>
        <v>4905</v>
      </c>
      <c r="Y317" s="327">
        <v>4900</v>
      </c>
      <c r="Z317" s="328">
        <f t="shared" si="89"/>
        <v>7</v>
      </c>
      <c r="AA317" s="392"/>
      <c r="AB317" s="395">
        <v>1.7110000000000001</v>
      </c>
      <c r="AC317" s="395">
        <v>0.34200000000000003</v>
      </c>
      <c r="AE317" s="332">
        <f t="shared" si="83"/>
        <v>57.489600000000003</v>
      </c>
      <c r="AF317" s="332">
        <f t="shared" si="84"/>
        <v>58.6873</v>
      </c>
      <c r="AG317" s="332">
        <f t="shared" si="85"/>
        <v>-1.1976999999999975</v>
      </c>
      <c r="AH317" s="333">
        <f t="shared" si="86"/>
        <v>1.0208333333333333</v>
      </c>
      <c r="AI317" s="329">
        <f t="shared" si="97"/>
        <v>33.6</v>
      </c>
      <c r="AJ317" s="329">
        <f t="shared" si="94"/>
        <v>34.300000000000004</v>
      </c>
      <c r="AK317" s="329">
        <f t="shared" si="98"/>
        <v>-0.70000000000000284</v>
      </c>
      <c r="AL317" s="382">
        <f t="shared" si="99"/>
        <v>1.0208333333333335</v>
      </c>
    </row>
    <row r="318" spans="2:39" s="303" customFormat="1" ht="28.5" x14ac:dyDescent="0.2">
      <c r="B318" s="341">
        <f t="shared" si="82"/>
        <v>308</v>
      </c>
      <c r="C318" s="459" t="s">
        <v>200</v>
      </c>
      <c r="D318" s="342" t="s">
        <v>208</v>
      </c>
      <c r="E318" s="341" t="s">
        <v>209</v>
      </c>
      <c r="F318" s="341">
        <v>14</v>
      </c>
      <c r="G318" s="341">
        <v>8170</v>
      </c>
      <c r="H318" s="341" t="s">
        <v>173</v>
      </c>
      <c r="I318" s="341">
        <v>2400</v>
      </c>
      <c r="J318" s="2"/>
      <c r="K318" s="319">
        <v>128</v>
      </c>
      <c r="L318" s="321">
        <v>20626</v>
      </c>
      <c r="M318" s="322" t="s">
        <v>44</v>
      </c>
      <c r="N318" s="321" t="s">
        <v>39</v>
      </c>
      <c r="O318" s="323" t="s">
        <v>186</v>
      </c>
      <c r="P318" s="321" t="s">
        <v>3</v>
      </c>
      <c r="Q318" s="2"/>
      <c r="R318" s="324">
        <f t="shared" si="96"/>
        <v>2400</v>
      </c>
      <c r="S318" s="325">
        <v>1</v>
      </c>
      <c r="T318" s="325">
        <f t="shared" si="91"/>
        <v>14</v>
      </c>
      <c r="V318" s="324">
        <v>7000</v>
      </c>
      <c r="W318" s="326">
        <f t="shared" si="92"/>
        <v>2</v>
      </c>
      <c r="X318" s="326">
        <f t="shared" si="93"/>
        <v>4905</v>
      </c>
      <c r="Y318" s="327">
        <v>4900</v>
      </c>
      <c r="Z318" s="328">
        <f t="shared" si="89"/>
        <v>7</v>
      </c>
      <c r="AA318" s="304"/>
      <c r="AB318" s="329">
        <v>2.7930000000000001</v>
      </c>
      <c r="AC318" s="329">
        <v>0.45068000000000003</v>
      </c>
      <c r="AE318" s="332">
        <f t="shared" si="83"/>
        <v>93.844800000000006</v>
      </c>
      <c r="AF318" s="332">
        <f t="shared" si="84"/>
        <v>95.799899999999994</v>
      </c>
      <c r="AG318" s="332">
        <f t="shared" si="85"/>
        <v>-1.9550999999999874</v>
      </c>
      <c r="AH318" s="333">
        <f t="shared" si="86"/>
        <v>1.0208333333333333</v>
      </c>
      <c r="AI318" s="329">
        <f t="shared" si="97"/>
        <v>33.6</v>
      </c>
      <c r="AJ318" s="329">
        <f t="shared" si="94"/>
        <v>34.300000000000004</v>
      </c>
      <c r="AK318" s="329">
        <f t="shared" si="98"/>
        <v>-0.70000000000000284</v>
      </c>
      <c r="AL318" s="382">
        <f t="shared" si="99"/>
        <v>1.0208333333333335</v>
      </c>
    </row>
    <row r="319" spans="2:39" s="303" customFormat="1" ht="28.5" x14ac:dyDescent="0.2">
      <c r="B319" s="319">
        <f t="shared" si="82"/>
        <v>309</v>
      </c>
      <c r="C319" s="458" t="s">
        <v>200</v>
      </c>
      <c r="D319" s="342" t="s">
        <v>208</v>
      </c>
      <c r="E319" s="341" t="s">
        <v>209</v>
      </c>
      <c r="F319" s="341">
        <v>14</v>
      </c>
      <c r="G319" s="341">
        <v>8170</v>
      </c>
      <c r="H319" s="341" t="s">
        <v>173</v>
      </c>
      <c r="I319" s="341">
        <v>2400</v>
      </c>
      <c r="J319" s="2"/>
      <c r="K319" s="319">
        <v>128</v>
      </c>
      <c r="L319" s="321">
        <v>21825</v>
      </c>
      <c r="M319" s="322" t="s">
        <v>45</v>
      </c>
      <c r="N319" s="321" t="s">
        <v>39</v>
      </c>
      <c r="O319" s="323" t="s">
        <v>186</v>
      </c>
      <c r="P319" s="321" t="s">
        <v>3</v>
      </c>
      <c r="Q319" s="2"/>
      <c r="R319" s="324">
        <f t="shared" si="96"/>
        <v>2400</v>
      </c>
      <c r="S319" s="325">
        <v>1</v>
      </c>
      <c r="T319" s="325">
        <f t="shared" si="91"/>
        <v>14</v>
      </c>
      <c r="V319" s="324">
        <v>7000</v>
      </c>
      <c r="W319" s="326">
        <f t="shared" si="92"/>
        <v>2</v>
      </c>
      <c r="X319" s="326">
        <f t="shared" si="93"/>
        <v>4905</v>
      </c>
      <c r="Y319" s="327">
        <v>4900</v>
      </c>
      <c r="Z319" s="328">
        <f t="shared" si="89"/>
        <v>7</v>
      </c>
      <c r="AA319" s="392"/>
      <c r="AB319" s="329">
        <v>0.999</v>
      </c>
      <c r="AC319" s="329">
        <v>0.2382</v>
      </c>
      <c r="AE319" s="332">
        <f t="shared" si="83"/>
        <v>33.566400000000002</v>
      </c>
      <c r="AF319" s="332">
        <f t="shared" si="84"/>
        <v>34.265699999999995</v>
      </c>
      <c r="AG319" s="332">
        <f t="shared" si="85"/>
        <v>-0.69929999999999382</v>
      </c>
      <c r="AH319" s="333">
        <f t="shared" si="86"/>
        <v>1.020833333333333</v>
      </c>
      <c r="AI319" s="329">
        <f t="shared" si="97"/>
        <v>33.6</v>
      </c>
      <c r="AJ319" s="329">
        <f t="shared" si="94"/>
        <v>34.300000000000004</v>
      </c>
      <c r="AK319" s="329">
        <f t="shared" si="98"/>
        <v>-0.70000000000000284</v>
      </c>
      <c r="AL319" s="382">
        <f t="shared" si="99"/>
        <v>1.0208333333333335</v>
      </c>
    </row>
    <row r="320" spans="2:39" s="303" customFormat="1" ht="28.5" x14ac:dyDescent="0.2">
      <c r="B320" s="319">
        <f t="shared" si="82"/>
        <v>310</v>
      </c>
      <c r="C320" s="458" t="s">
        <v>200</v>
      </c>
      <c r="D320" s="342" t="s">
        <v>208</v>
      </c>
      <c r="E320" s="341" t="s">
        <v>209</v>
      </c>
      <c r="F320" s="341">
        <v>14</v>
      </c>
      <c r="G320" s="341">
        <v>8170</v>
      </c>
      <c r="H320" s="341" t="s">
        <v>173</v>
      </c>
      <c r="I320" s="341">
        <v>2400</v>
      </c>
      <c r="J320" s="2"/>
      <c r="K320" s="319">
        <v>128</v>
      </c>
      <c r="L320" s="321" t="s">
        <v>48</v>
      </c>
      <c r="M320" s="322" t="s">
        <v>49</v>
      </c>
      <c r="N320" s="321" t="s">
        <v>39</v>
      </c>
      <c r="O320" s="323" t="s">
        <v>186</v>
      </c>
      <c r="P320" s="321" t="s">
        <v>3</v>
      </c>
      <c r="Q320" s="2"/>
      <c r="R320" s="324">
        <f t="shared" si="96"/>
        <v>2400</v>
      </c>
      <c r="S320" s="325">
        <v>1</v>
      </c>
      <c r="T320" s="325">
        <f t="shared" si="91"/>
        <v>14</v>
      </c>
      <c r="V320" s="324">
        <v>7000</v>
      </c>
      <c r="W320" s="326">
        <f t="shared" si="92"/>
        <v>2</v>
      </c>
      <c r="X320" s="326">
        <f t="shared" si="93"/>
        <v>4905</v>
      </c>
      <c r="Y320" s="327">
        <v>4900</v>
      </c>
      <c r="Z320" s="328">
        <f t="shared" si="89"/>
        <v>7</v>
      </c>
      <c r="AA320" s="392"/>
      <c r="AB320" s="329">
        <v>0.81</v>
      </c>
      <c r="AC320" s="329">
        <v>0.28999999999999998</v>
      </c>
      <c r="AE320" s="332">
        <f t="shared" si="83"/>
        <v>27.216000000000005</v>
      </c>
      <c r="AF320" s="332">
        <f t="shared" si="84"/>
        <v>27.783000000000001</v>
      </c>
      <c r="AG320" s="332">
        <f t="shared" si="85"/>
        <v>-0.56699999999999662</v>
      </c>
      <c r="AH320" s="333">
        <f t="shared" si="86"/>
        <v>1.0208333333333333</v>
      </c>
      <c r="AI320" s="329">
        <f t="shared" si="97"/>
        <v>33.6</v>
      </c>
      <c r="AJ320" s="329">
        <f t="shared" si="94"/>
        <v>34.300000000000004</v>
      </c>
      <c r="AK320" s="329">
        <f t="shared" si="98"/>
        <v>-0.70000000000000284</v>
      </c>
      <c r="AL320" s="382">
        <f t="shared" si="99"/>
        <v>1.0208333333333335</v>
      </c>
    </row>
    <row r="321" spans="2:38" s="303" customFormat="1" ht="28.5" x14ac:dyDescent="0.2">
      <c r="B321" s="319">
        <f t="shared" si="82"/>
        <v>311</v>
      </c>
      <c r="C321" s="458" t="s">
        <v>200</v>
      </c>
      <c r="D321" s="342" t="s">
        <v>208</v>
      </c>
      <c r="E321" s="341" t="s">
        <v>209</v>
      </c>
      <c r="F321" s="341">
        <v>14</v>
      </c>
      <c r="G321" s="341">
        <v>8170</v>
      </c>
      <c r="H321" s="341" t="s">
        <v>173</v>
      </c>
      <c r="I321" s="341">
        <v>2400</v>
      </c>
      <c r="J321" s="2"/>
      <c r="K321" s="319">
        <v>128</v>
      </c>
      <c r="L321" s="321" t="s">
        <v>46</v>
      </c>
      <c r="M321" s="322" t="s">
        <v>47</v>
      </c>
      <c r="N321" s="321" t="s">
        <v>39</v>
      </c>
      <c r="O321" s="323" t="s">
        <v>186</v>
      </c>
      <c r="P321" s="321" t="s">
        <v>3</v>
      </c>
      <c r="Q321" s="2"/>
      <c r="R321" s="324">
        <f t="shared" si="96"/>
        <v>2400</v>
      </c>
      <c r="S321" s="325">
        <v>1</v>
      </c>
      <c r="T321" s="325">
        <f t="shared" si="91"/>
        <v>14</v>
      </c>
      <c r="V321" s="324">
        <v>7000</v>
      </c>
      <c r="W321" s="326">
        <f t="shared" si="92"/>
        <v>2</v>
      </c>
      <c r="X321" s="326">
        <f t="shared" si="93"/>
        <v>4905</v>
      </c>
      <c r="Y321" s="327">
        <v>4900</v>
      </c>
      <c r="Z321" s="328">
        <f t="shared" si="89"/>
        <v>7</v>
      </c>
      <c r="AA321" s="392"/>
      <c r="AB321" s="329">
        <v>0.91600000000000004</v>
      </c>
      <c r="AC321" s="329">
        <v>0.33900000000000002</v>
      </c>
      <c r="AE321" s="332">
        <f t="shared" si="83"/>
        <v>30.777600000000003</v>
      </c>
      <c r="AF321" s="332">
        <f t="shared" si="84"/>
        <v>31.418799999999997</v>
      </c>
      <c r="AG321" s="332">
        <f t="shared" si="85"/>
        <v>-0.64119999999999422</v>
      </c>
      <c r="AH321" s="333">
        <f t="shared" si="86"/>
        <v>1.020833333333333</v>
      </c>
      <c r="AI321" s="329">
        <f t="shared" si="97"/>
        <v>33.6</v>
      </c>
      <c r="AJ321" s="329">
        <f t="shared" si="94"/>
        <v>34.300000000000004</v>
      </c>
      <c r="AK321" s="329">
        <f t="shared" si="98"/>
        <v>-0.70000000000000284</v>
      </c>
      <c r="AL321" s="382">
        <f t="shared" si="99"/>
        <v>1.0208333333333335</v>
      </c>
    </row>
    <row r="322" spans="2:38" s="303" customFormat="1" ht="28.5" x14ac:dyDescent="0.2">
      <c r="B322" s="319">
        <f t="shared" si="82"/>
        <v>312</v>
      </c>
      <c r="C322" s="458" t="s">
        <v>200</v>
      </c>
      <c r="D322" s="342" t="s">
        <v>208</v>
      </c>
      <c r="E322" s="341" t="s">
        <v>209</v>
      </c>
      <c r="F322" s="341">
        <v>14</v>
      </c>
      <c r="G322" s="341">
        <v>8170</v>
      </c>
      <c r="H322" s="341" t="s">
        <v>173</v>
      </c>
      <c r="I322" s="341">
        <v>2400</v>
      </c>
      <c r="J322" s="2"/>
      <c r="K322" s="334">
        <v>128</v>
      </c>
      <c r="L322" s="337">
        <v>10926</v>
      </c>
      <c r="M322" s="336" t="s">
        <v>36</v>
      </c>
      <c r="N322" s="337" t="s">
        <v>6</v>
      </c>
      <c r="O322" s="323" t="s">
        <v>186</v>
      </c>
      <c r="P322" s="337" t="s">
        <v>187</v>
      </c>
      <c r="Q322" s="2"/>
      <c r="R322" s="324">
        <f t="shared" si="96"/>
        <v>2400</v>
      </c>
      <c r="S322" s="325">
        <v>1</v>
      </c>
      <c r="T322" s="325">
        <f t="shared" si="91"/>
        <v>14</v>
      </c>
      <c r="V322" s="324">
        <v>6100</v>
      </c>
      <c r="W322" s="339">
        <f t="shared" si="92"/>
        <v>2</v>
      </c>
      <c r="X322" s="339">
        <f t="shared" si="93"/>
        <v>4905</v>
      </c>
      <c r="Y322" s="327">
        <v>6100</v>
      </c>
      <c r="Z322" s="328">
        <f t="shared" si="89"/>
        <v>7</v>
      </c>
      <c r="AA322" s="392"/>
      <c r="AB322" s="329">
        <v>0.76700000000000002</v>
      </c>
      <c r="AC322" s="329"/>
      <c r="AE322" s="332">
        <f t="shared" si="83"/>
        <v>25.7712</v>
      </c>
      <c r="AF322" s="332">
        <f t="shared" si="84"/>
        <v>32.750900000000001</v>
      </c>
      <c r="AG322" s="332">
        <f t="shared" si="85"/>
        <v>-6.9797000000000011</v>
      </c>
      <c r="AH322" s="333">
        <f t="shared" si="86"/>
        <v>1.2708333333333335</v>
      </c>
      <c r="AI322" s="329">
        <f t="shared" si="97"/>
        <v>33.6</v>
      </c>
      <c r="AJ322" s="329">
        <f t="shared" si="94"/>
        <v>42.699999999999996</v>
      </c>
      <c r="AK322" s="329">
        <f t="shared" si="98"/>
        <v>-9.0999999999999943</v>
      </c>
      <c r="AL322" s="382">
        <f t="shared" si="99"/>
        <v>1.2708333333333333</v>
      </c>
    </row>
    <row r="323" spans="2:38" s="303" customFormat="1" ht="28.5" x14ac:dyDescent="0.2">
      <c r="B323" s="319">
        <f t="shared" si="82"/>
        <v>313</v>
      </c>
      <c r="C323" s="458" t="s">
        <v>200</v>
      </c>
      <c r="D323" s="342" t="s">
        <v>208</v>
      </c>
      <c r="E323" s="341" t="s">
        <v>209</v>
      </c>
      <c r="F323" s="341">
        <v>14</v>
      </c>
      <c r="G323" s="341">
        <v>8170</v>
      </c>
      <c r="H323" s="341" t="s">
        <v>173</v>
      </c>
      <c r="I323" s="341">
        <v>2400</v>
      </c>
      <c r="J323" s="2"/>
      <c r="K323" s="319">
        <v>128</v>
      </c>
      <c r="L323" s="321" t="s">
        <v>114</v>
      </c>
      <c r="M323" s="322" t="s">
        <v>115</v>
      </c>
      <c r="N323" s="321" t="s">
        <v>39</v>
      </c>
      <c r="O323" s="323" t="s">
        <v>186</v>
      </c>
      <c r="P323" s="321" t="s">
        <v>3</v>
      </c>
      <c r="Q323" s="2"/>
      <c r="R323" s="324">
        <f t="shared" si="96"/>
        <v>2400</v>
      </c>
      <c r="S323" s="325">
        <v>1</v>
      </c>
      <c r="T323" s="325">
        <f t="shared" si="91"/>
        <v>14</v>
      </c>
      <c r="V323" s="324">
        <v>7000</v>
      </c>
      <c r="W323" s="326">
        <f t="shared" si="92"/>
        <v>2</v>
      </c>
      <c r="X323" s="326">
        <f t="shared" si="93"/>
        <v>4905</v>
      </c>
      <c r="Y323" s="327">
        <v>4900</v>
      </c>
      <c r="Z323" s="328">
        <f t="shared" si="89"/>
        <v>7</v>
      </c>
      <c r="AA323" s="392"/>
      <c r="AB323" s="329">
        <v>0.83499999999999996</v>
      </c>
      <c r="AC323" s="329">
        <v>0.21299999999999999</v>
      </c>
      <c r="AE323" s="332">
        <f t="shared" si="83"/>
        <v>28.056000000000001</v>
      </c>
      <c r="AF323" s="332">
        <f t="shared" si="84"/>
        <v>28.640499999999996</v>
      </c>
      <c r="AG323" s="332">
        <f t="shared" si="85"/>
        <v>-0.58449999999999491</v>
      </c>
      <c r="AH323" s="333">
        <f t="shared" si="86"/>
        <v>1.0208333333333333</v>
      </c>
      <c r="AI323" s="329">
        <f t="shared" si="97"/>
        <v>33.6</v>
      </c>
      <c r="AJ323" s="329">
        <f t="shared" si="94"/>
        <v>34.300000000000004</v>
      </c>
      <c r="AK323" s="329">
        <f t="shared" si="98"/>
        <v>-0.70000000000000284</v>
      </c>
      <c r="AL323" s="382">
        <f t="shared" si="99"/>
        <v>1.0208333333333335</v>
      </c>
    </row>
    <row r="324" spans="2:38" s="303" customFormat="1" ht="28.5" x14ac:dyDescent="0.2">
      <c r="B324" s="319">
        <f t="shared" si="82"/>
        <v>314</v>
      </c>
      <c r="C324" s="458" t="s">
        <v>200</v>
      </c>
      <c r="D324" s="342" t="s">
        <v>208</v>
      </c>
      <c r="E324" s="341" t="s">
        <v>209</v>
      </c>
      <c r="F324" s="341">
        <v>14</v>
      </c>
      <c r="G324" s="341">
        <v>8170</v>
      </c>
      <c r="H324" s="341" t="s">
        <v>173</v>
      </c>
      <c r="I324" s="341">
        <v>2400</v>
      </c>
      <c r="J324" s="2"/>
      <c r="K324" s="319">
        <v>128</v>
      </c>
      <c r="L324" s="321" t="s">
        <v>50</v>
      </c>
      <c r="M324" s="322" t="s">
        <v>51</v>
      </c>
      <c r="N324" s="321" t="s">
        <v>39</v>
      </c>
      <c r="O324" s="323" t="s">
        <v>186</v>
      </c>
      <c r="P324" s="321" t="s">
        <v>3</v>
      </c>
      <c r="Q324" s="2"/>
      <c r="R324" s="324">
        <f t="shared" si="96"/>
        <v>2400</v>
      </c>
      <c r="S324" s="325">
        <v>1</v>
      </c>
      <c r="T324" s="325">
        <f t="shared" si="91"/>
        <v>14</v>
      </c>
      <c r="V324" s="324">
        <v>7000</v>
      </c>
      <c r="W324" s="326">
        <f t="shared" si="92"/>
        <v>2</v>
      </c>
      <c r="X324" s="326">
        <f t="shared" si="93"/>
        <v>4905</v>
      </c>
      <c r="Y324" s="327">
        <v>4900</v>
      </c>
      <c r="Z324" s="328">
        <f t="shared" si="89"/>
        <v>7</v>
      </c>
      <c r="AA324" s="387">
        <v>14</v>
      </c>
      <c r="AB324" s="395">
        <v>1.7110000000000001</v>
      </c>
      <c r="AC324" s="395">
        <v>0.34200000000000003</v>
      </c>
      <c r="AE324" s="332">
        <f t="shared" si="83"/>
        <v>57.489600000000003</v>
      </c>
      <c r="AF324" s="332">
        <f t="shared" si="84"/>
        <v>58.6873</v>
      </c>
      <c r="AG324" s="332">
        <f t="shared" si="85"/>
        <v>-1.1976999999999975</v>
      </c>
      <c r="AH324" s="333">
        <f t="shared" si="86"/>
        <v>1.0208333333333333</v>
      </c>
      <c r="AI324" s="329">
        <f t="shared" si="97"/>
        <v>33.6</v>
      </c>
      <c r="AJ324" s="329">
        <f t="shared" si="94"/>
        <v>34.300000000000004</v>
      </c>
      <c r="AK324" s="329">
        <f t="shared" si="98"/>
        <v>-0.70000000000000284</v>
      </c>
      <c r="AL324" s="382">
        <f t="shared" si="99"/>
        <v>1.0208333333333335</v>
      </c>
    </row>
    <row r="325" spans="2:38" s="303" customFormat="1" ht="28.5" x14ac:dyDescent="0.2">
      <c r="B325" s="319">
        <f t="shared" si="82"/>
        <v>315</v>
      </c>
      <c r="C325" s="459" t="s">
        <v>200</v>
      </c>
      <c r="D325" s="342" t="s">
        <v>208</v>
      </c>
      <c r="E325" s="341" t="s">
        <v>209</v>
      </c>
      <c r="F325" s="341">
        <v>14</v>
      </c>
      <c r="G325" s="341">
        <v>8170</v>
      </c>
      <c r="H325" s="341" t="s">
        <v>173</v>
      </c>
      <c r="I325" s="341">
        <v>2400</v>
      </c>
      <c r="J325" s="2"/>
      <c r="K325" s="319">
        <v>129</v>
      </c>
      <c r="L325" s="321">
        <v>20626</v>
      </c>
      <c r="M325" s="322" t="s">
        <v>44</v>
      </c>
      <c r="N325" s="321" t="s">
        <v>39</v>
      </c>
      <c r="O325" s="323" t="s">
        <v>186</v>
      </c>
      <c r="P325" s="321" t="s">
        <v>3</v>
      </c>
      <c r="Q325" s="2"/>
      <c r="R325" s="324">
        <f t="shared" si="96"/>
        <v>2400</v>
      </c>
      <c r="S325" s="325">
        <v>6</v>
      </c>
      <c r="T325" s="325">
        <f t="shared" si="91"/>
        <v>84</v>
      </c>
      <c r="V325" s="324">
        <v>7000</v>
      </c>
      <c r="W325" s="326">
        <f t="shared" si="92"/>
        <v>2</v>
      </c>
      <c r="X325" s="326">
        <f t="shared" si="93"/>
        <v>4905</v>
      </c>
      <c r="Y325" s="327">
        <v>4900</v>
      </c>
      <c r="Z325" s="328">
        <f t="shared" si="89"/>
        <v>42</v>
      </c>
      <c r="AA325" s="304"/>
      <c r="AB325" s="329">
        <v>2.7930000000000001</v>
      </c>
      <c r="AC325" s="329">
        <v>0.45068000000000003</v>
      </c>
      <c r="AE325" s="332">
        <f t="shared" si="83"/>
        <v>563.06880000000001</v>
      </c>
      <c r="AF325" s="332">
        <f t="shared" si="84"/>
        <v>574.79940000000011</v>
      </c>
      <c r="AG325" s="332">
        <f t="shared" si="85"/>
        <v>-11.730600000000095</v>
      </c>
      <c r="AH325" s="333">
        <f t="shared" si="86"/>
        <v>1.0208333333333335</v>
      </c>
      <c r="AI325" s="329">
        <f t="shared" si="97"/>
        <v>201.6</v>
      </c>
      <c r="AJ325" s="329">
        <f t="shared" si="94"/>
        <v>205.8</v>
      </c>
      <c r="AK325" s="329">
        <f t="shared" si="98"/>
        <v>-4.2000000000000171</v>
      </c>
      <c r="AL325" s="382">
        <f t="shared" si="99"/>
        <v>1.0208333333333335</v>
      </c>
    </row>
    <row r="326" spans="2:38" s="303" customFormat="1" ht="28.5" x14ac:dyDescent="0.2">
      <c r="B326" s="319">
        <f t="shared" si="82"/>
        <v>316</v>
      </c>
      <c r="C326" s="458" t="s">
        <v>200</v>
      </c>
      <c r="D326" s="342" t="s">
        <v>208</v>
      </c>
      <c r="E326" s="341" t="s">
        <v>209</v>
      </c>
      <c r="F326" s="341">
        <v>14</v>
      </c>
      <c r="G326" s="341">
        <v>8170</v>
      </c>
      <c r="H326" s="341" t="s">
        <v>173</v>
      </c>
      <c r="I326" s="341">
        <v>2400</v>
      </c>
      <c r="J326" s="2"/>
      <c r="K326" s="319">
        <v>129</v>
      </c>
      <c r="L326" s="321">
        <v>21825</v>
      </c>
      <c r="M326" s="322" t="s">
        <v>45</v>
      </c>
      <c r="N326" s="321" t="s">
        <v>39</v>
      </c>
      <c r="O326" s="323" t="s">
        <v>186</v>
      </c>
      <c r="P326" s="321" t="s">
        <v>3</v>
      </c>
      <c r="Q326" s="2"/>
      <c r="R326" s="324">
        <f t="shared" si="96"/>
        <v>2400</v>
      </c>
      <c r="S326" s="325">
        <v>6</v>
      </c>
      <c r="T326" s="325">
        <f t="shared" si="91"/>
        <v>84</v>
      </c>
      <c r="V326" s="324">
        <v>7000</v>
      </c>
      <c r="W326" s="326">
        <f t="shared" si="92"/>
        <v>2</v>
      </c>
      <c r="X326" s="326">
        <f t="shared" si="93"/>
        <v>4905</v>
      </c>
      <c r="Y326" s="327">
        <v>4900</v>
      </c>
      <c r="Z326" s="328">
        <f t="shared" si="89"/>
        <v>42</v>
      </c>
      <c r="AA326" s="392"/>
      <c r="AB326" s="329">
        <v>0.999</v>
      </c>
      <c r="AC326" s="329">
        <v>0.2382</v>
      </c>
      <c r="AE326" s="332">
        <f t="shared" si="83"/>
        <v>201.39839999999998</v>
      </c>
      <c r="AF326" s="332">
        <f t="shared" si="84"/>
        <v>205.5942</v>
      </c>
      <c r="AG326" s="332">
        <f t="shared" si="85"/>
        <v>-4.1958000000000197</v>
      </c>
      <c r="AH326" s="333">
        <f t="shared" si="86"/>
        <v>1.0208333333333335</v>
      </c>
      <c r="AI326" s="329">
        <f t="shared" si="97"/>
        <v>201.6</v>
      </c>
      <c r="AJ326" s="329">
        <f t="shared" si="94"/>
        <v>205.8</v>
      </c>
      <c r="AK326" s="329">
        <f t="shared" si="98"/>
        <v>-4.2000000000000171</v>
      </c>
      <c r="AL326" s="382">
        <f t="shared" si="99"/>
        <v>1.0208333333333335</v>
      </c>
    </row>
    <row r="327" spans="2:38" s="303" customFormat="1" ht="28.5" x14ac:dyDescent="0.2">
      <c r="B327" s="319">
        <f t="shared" si="82"/>
        <v>317</v>
      </c>
      <c r="C327" s="458" t="s">
        <v>200</v>
      </c>
      <c r="D327" s="342" t="s">
        <v>208</v>
      </c>
      <c r="E327" s="341" t="s">
        <v>209</v>
      </c>
      <c r="F327" s="341">
        <v>14</v>
      </c>
      <c r="G327" s="341">
        <v>8170</v>
      </c>
      <c r="H327" s="341" t="s">
        <v>173</v>
      </c>
      <c r="I327" s="341">
        <v>2400</v>
      </c>
      <c r="J327" s="2"/>
      <c r="K327" s="319">
        <v>129</v>
      </c>
      <c r="L327" s="321" t="s">
        <v>48</v>
      </c>
      <c r="M327" s="322" t="s">
        <v>49</v>
      </c>
      <c r="N327" s="321" t="s">
        <v>39</v>
      </c>
      <c r="O327" s="323" t="s">
        <v>186</v>
      </c>
      <c r="P327" s="321" t="s">
        <v>3</v>
      </c>
      <c r="Q327" s="2"/>
      <c r="R327" s="324">
        <f t="shared" si="96"/>
        <v>2400</v>
      </c>
      <c r="S327" s="325">
        <v>6</v>
      </c>
      <c r="T327" s="325">
        <f t="shared" si="91"/>
        <v>84</v>
      </c>
      <c r="V327" s="324">
        <v>7000</v>
      </c>
      <c r="W327" s="326">
        <f t="shared" si="92"/>
        <v>2</v>
      </c>
      <c r="X327" s="326">
        <f t="shared" si="93"/>
        <v>4905</v>
      </c>
      <c r="Y327" s="327">
        <v>4900</v>
      </c>
      <c r="Z327" s="328">
        <f t="shared" si="89"/>
        <v>42</v>
      </c>
      <c r="AA327" s="392"/>
      <c r="AB327" s="329">
        <v>0.81</v>
      </c>
      <c r="AC327" s="329">
        <v>0.28999999999999998</v>
      </c>
      <c r="AE327" s="332">
        <f t="shared" si="83"/>
        <v>163.29599999999999</v>
      </c>
      <c r="AF327" s="332">
        <f t="shared" si="84"/>
        <v>166.69800000000001</v>
      </c>
      <c r="AG327" s="332">
        <f t="shared" si="85"/>
        <v>-3.4020000000000152</v>
      </c>
      <c r="AH327" s="333">
        <f t="shared" si="86"/>
        <v>1.0208333333333335</v>
      </c>
      <c r="AI327" s="329">
        <f t="shared" si="97"/>
        <v>201.6</v>
      </c>
      <c r="AJ327" s="329">
        <f t="shared" si="94"/>
        <v>205.8</v>
      </c>
      <c r="AK327" s="329">
        <f t="shared" si="98"/>
        <v>-4.2000000000000171</v>
      </c>
      <c r="AL327" s="382">
        <f t="shared" si="99"/>
        <v>1.0208333333333335</v>
      </c>
    </row>
    <row r="328" spans="2:38" s="303" customFormat="1" ht="28.5" x14ac:dyDescent="0.2">
      <c r="B328" s="319">
        <f t="shared" si="82"/>
        <v>318</v>
      </c>
      <c r="C328" s="458" t="s">
        <v>200</v>
      </c>
      <c r="D328" s="342" t="s">
        <v>208</v>
      </c>
      <c r="E328" s="341" t="s">
        <v>209</v>
      </c>
      <c r="F328" s="341">
        <v>14</v>
      </c>
      <c r="G328" s="341">
        <v>8170</v>
      </c>
      <c r="H328" s="341" t="s">
        <v>173</v>
      </c>
      <c r="I328" s="341">
        <v>2400</v>
      </c>
      <c r="J328" s="2"/>
      <c r="K328" s="319">
        <v>129</v>
      </c>
      <c r="L328" s="321" t="s">
        <v>46</v>
      </c>
      <c r="M328" s="322" t="s">
        <v>47</v>
      </c>
      <c r="N328" s="321" t="s">
        <v>39</v>
      </c>
      <c r="O328" s="323" t="s">
        <v>186</v>
      </c>
      <c r="P328" s="321" t="s">
        <v>3</v>
      </c>
      <c r="Q328" s="2"/>
      <c r="R328" s="324">
        <f t="shared" si="96"/>
        <v>2400</v>
      </c>
      <c r="S328" s="325">
        <v>6</v>
      </c>
      <c r="T328" s="325">
        <f t="shared" si="91"/>
        <v>84</v>
      </c>
      <c r="V328" s="324">
        <v>7000</v>
      </c>
      <c r="W328" s="326">
        <f t="shared" si="92"/>
        <v>2</v>
      </c>
      <c r="X328" s="326">
        <f t="shared" si="93"/>
        <v>4905</v>
      </c>
      <c r="Y328" s="327">
        <v>4900</v>
      </c>
      <c r="Z328" s="328">
        <f t="shared" si="89"/>
        <v>42</v>
      </c>
      <c r="AA328" s="392"/>
      <c r="AB328" s="329">
        <v>0.91600000000000004</v>
      </c>
      <c r="AC328" s="329">
        <v>0.33900000000000002</v>
      </c>
      <c r="AE328" s="332">
        <f t="shared" si="83"/>
        <v>184.66560000000001</v>
      </c>
      <c r="AF328" s="332">
        <f t="shared" si="84"/>
        <v>188.51280000000003</v>
      </c>
      <c r="AG328" s="332">
        <f t="shared" si="85"/>
        <v>-3.8472000000000151</v>
      </c>
      <c r="AH328" s="333">
        <f t="shared" si="86"/>
        <v>1.0208333333333335</v>
      </c>
      <c r="AI328" s="329">
        <f t="shared" si="97"/>
        <v>201.6</v>
      </c>
      <c r="AJ328" s="329">
        <f t="shared" si="94"/>
        <v>205.8</v>
      </c>
      <c r="AK328" s="329">
        <f t="shared" si="98"/>
        <v>-4.2000000000000171</v>
      </c>
      <c r="AL328" s="382">
        <f t="shared" si="99"/>
        <v>1.0208333333333335</v>
      </c>
    </row>
    <row r="329" spans="2:38" s="303" customFormat="1" ht="28.5" x14ac:dyDescent="0.2">
      <c r="B329" s="319">
        <f t="shared" si="82"/>
        <v>319</v>
      </c>
      <c r="C329" s="459" t="s">
        <v>200</v>
      </c>
      <c r="D329" s="342" t="s">
        <v>208</v>
      </c>
      <c r="E329" s="341" t="s">
        <v>209</v>
      </c>
      <c r="F329" s="341">
        <v>14</v>
      </c>
      <c r="G329" s="341">
        <v>8170</v>
      </c>
      <c r="H329" s="341" t="s">
        <v>173</v>
      </c>
      <c r="I329" s="341">
        <v>2400</v>
      </c>
      <c r="J329" s="2"/>
      <c r="K329" s="319">
        <v>130</v>
      </c>
      <c r="L329" s="321">
        <v>20626</v>
      </c>
      <c r="M329" s="322" t="s">
        <v>44</v>
      </c>
      <c r="N329" s="321" t="s">
        <v>39</v>
      </c>
      <c r="O329" s="323" t="s">
        <v>186</v>
      </c>
      <c r="P329" s="321" t="s">
        <v>3</v>
      </c>
      <c r="Q329" s="2"/>
      <c r="R329" s="324">
        <f t="shared" si="96"/>
        <v>2400</v>
      </c>
      <c r="S329" s="325">
        <v>1</v>
      </c>
      <c r="T329" s="325">
        <f t="shared" si="91"/>
        <v>14</v>
      </c>
      <c r="V329" s="324">
        <v>7000</v>
      </c>
      <c r="W329" s="326">
        <f t="shared" si="92"/>
        <v>2</v>
      </c>
      <c r="X329" s="326">
        <f t="shared" si="93"/>
        <v>4905</v>
      </c>
      <c r="Y329" s="327">
        <v>4900</v>
      </c>
      <c r="Z329" s="328">
        <f t="shared" si="89"/>
        <v>7</v>
      </c>
      <c r="AA329" s="387">
        <v>63</v>
      </c>
      <c r="AB329" s="329">
        <v>2.7930000000000001</v>
      </c>
      <c r="AC329" s="329">
        <v>0.45068000000000003</v>
      </c>
      <c r="AE329" s="332">
        <f t="shared" si="83"/>
        <v>93.844800000000006</v>
      </c>
      <c r="AF329" s="332">
        <f t="shared" si="84"/>
        <v>95.799899999999994</v>
      </c>
      <c r="AG329" s="332">
        <f t="shared" si="85"/>
        <v>-1.9550999999999874</v>
      </c>
      <c r="AH329" s="333">
        <f t="shared" si="86"/>
        <v>1.0208333333333333</v>
      </c>
      <c r="AI329" s="329">
        <f t="shared" si="97"/>
        <v>33.6</v>
      </c>
      <c r="AJ329" s="329">
        <f t="shared" si="94"/>
        <v>34.300000000000004</v>
      </c>
      <c r="AK329" s="329">
        <f t="shared" si="98"/>
        <v>-0.70000000000000284</v>
      </c>
      <c r="AL329" s="382">
        <f t="shared" si="99"/>
        <v>1.0208333333333335</v>
      </c>
    </row>
    <row r="330" spans="2:38" s="303" customFormat="1" ht="28.5" x14ac:dyDescent="0.2">
      <c r="B330" s="319">
        <f t="shared" si="82"/>
        <v>320</v>
      </c>
      <c r="C330" s="458" t="s">
        <v>200</v>
      </c>
      <c r="D330" s="342" t="s">
        <v>208</v>
      </c>
      <c r="E330" s="341" t="s">
        <v>209</v>
      </c>
      <c r="F330" s="341">
        <v>14</v>
      </c>
      <c r="G330" s="341">
        <v>8170</v>
      </c>
      <c r="H330" s="341" t="s">
        <v>173</v>
      </c>
      <c r="I330" s="341">
        <v>2400</v>
      </c>
      <c r="J330" s="2"/>
      <c r="K330" s="319">
        <v>130</v>
      </c>
      <c r="L330" s="321">
        <v>21825</v>
      </c>
      <c r="M330" s="322" t="s">
        <v>45</v>
      </c>
      <c r="N330" s="321" t="s">
        <v>39</v>
      </c>
      <c r="O330" s="323" t="s">
        <v>186</v>
      </c>
      <c r="P330" s="321" t="s">
        <v>3</v>
      </c>
      <c r="Q330" s="2"/>
      <c r="R330" s="324">
        <f t="shared" si="96"/>
        <v>2400</v>
      </c>
      <c r="S330" s="325">
        <v>1</v>
      </c>
      <c r="T330" s="325">
        <f t="shared" si="91"/>
        <v>14</v>
      </c>
      <c r="V330" s="324">
        <v>7000</v>
      </c>
      <c r="W330" s="326">
        <f t="shared" si="92"/>
        <v>2</v>
      </c>
      <c r="X330" s="326">
        <f t="shared" si="93"/>
        <v>4905</v>
      </c>
      <c r="Y330" s="327">
        <v>4900</v>
      </c>
      <c r="Z330" s="328">
        <f t="shared" si="89"/>
        <v>7</v>
      </c>
      <c r="AA330" s="392"/>
      <c r="AB330" s="329">
        <v>0.999</v>
      </c>
      <c r="AC330" s="329">
        <v>0.2382</v>
      </c>
      <c r="AE330" s="332">
        <f t="shared" si="83"/>
        <v>33.566400000000002</v>
      </c>
      <c r="AF330" s="332">
        <f t="shared" si="84"/>
        <v>34.265699999999995</v>
      </c>
      <c r="AG330" s="332">
        <f t="shared" si="85"/>
        <v>-0.69929999999999382</v>
      </c>
      <c r="AH330" s="333">
        <f t="shared" si="86"/>
        <v>1.020833333333333</v>
      </c>
      <c r="AI330" s="329">
        <f t="shared" si="97"/>
        <v>33.6</v>
      </c>
      <c r="AJ330" s="329">
        <f t="shared" si="94"/>
        <v>34.300000000000004</v>
      </c>
      <c r="AK330" s="329">
        <f t="shared" si="98"/>
        <v>-0.70000000000000284</v>
      </c>
      <c r="AL330" s="382">
        <f t="shared" si="99"/>
        <v>1.0208333333333335</v>
      </c>
    </row>
    <row r="331" spans="2:38" s="303" customFormat="1" ht="28.5" x14ac:dyDescent="0.2">
      <c r="B331" s="319">
        <f t="shared" si="82"/>
        <v>321</v>
      </c>
      <c r="C331" s="458" t="s">
        <v>200</v>
      </c>
      <c r="D331" s="342" t="s">
        <v>208</v>
      </c>
      <c r="E331" s="341" t="s">
        <v>209</v>
      </c>
      <c r="F331" s="341">
        <v>14</v>
      </c>
      <c r="G331" s="341">
        <v>8170</v>
      </c>
      <c r="H331" s="341" t="s">
        <v>173</v>
      </c>
      <c r="I331" s="341">
        <v>2400</v>
      </c>
      <c r="J331" s="2"/>
      <c r="K331" s="319">
        <v>130</v>
      </c>
      <c r="L331" s="321" t="s">
        <v>48</v>
      </c>
      <c r="M331" s="322" t="s">
        <v>49</v>
      </c>
      <c r="N331" s="321" t="s">
        <v>39</v>
      </c>
      <c r="O331" s="323" t="s">
        <v>186</v>
      </c>
      <c r="P331" s="321" t="s">
        <v>3</v>
      </c>
      <c r="Q331" s="2"/>
      <c r="R331" s="324">
        <f t="shared" si="96"/>
        <v>2400</v>
      </c>
      <c r="S331" s="325">
        <v>1</v>
      </c>
      <c r="T331" s="325">
        <f t="shared" si="91"/>
        <v>14</v>
      </c>
      <c r="V331" s="324">
        <v>7000</v>
      </c>
      <c r="W331" s="326">
        <f t="shared" si="92"/>
        <v>2</v>
      </c>
      <c r="X331" s="326">
        <f t="shared" si="93"/>
        <v>4905</v>
      </c>
      <c r="Y331" s="327">
        <v>4900</v>
      </c>
      <c r="Z331" s="328">
        <f t="shared" si="89"/>
        <v>7</v>
      </c>
      <c r="AA331" s="392"/>
      <c r="AB331" s="329">
        <v>0.81</v>
      </c>
      <c r="AC331" s="329">
        <v>0.28999999999999998</v>
      </c>
      <c r="AE331" s="332">
        <f t="shared" si="83"/>
        <v>27.216000000000005</v>
      </c>
      <c r="AF331" s="332">
        <f t="shared" si="84"/>
        <v>27.783000000000001</v>
      </c>
      <c r="AG331" s="332">
        <f t="shared" si="85"/>
        <v>-0.56699999999999662</v>
      </c>
      <c r="AH331" s="333">
        <f t="shared" si="86"/>
        <v>1.0208333333333333</v>
      </c>
      <c r="AI331" s="329">
        <f t="shared" si="97"/>
        <v>33.6</v>
      </c>
      <c r="AJ331" s="329">
        <f t="shared" si="94"/>
        <v>34.300000000000004</v>
      </c>
      <c r="AK331" s="329">
        <f t="shared" si="98"/>
        <v>-0.70000000000000284</v>
      </c>
      <c r="AL331" s="382">
        <f t="shared" si="99"/>
        <v>1.0208333333333335</v>
      </c>
    </row>
    <row r="332" spans="2:38" s="303" customFormat="1" ht="28.5" x14ac:dyDescent="0.2">
      <c r="B332" s="319">
        <f t="shared" si="82"/>
        <v>322</v>
      </c>
      <c r="C332" s="458" t="s">
        <v>200</v>
      </c>
      <c r="D332" s="342" t="s">
        <v>208</v>
      </c>
      <c r="E332" s="341" t="s">
        <v>209</v>
      </c>
      <c r="F332" s="341">
        <v>14</v>
      </c>
      <c r="G332" s="341">
        <v>8170</v>
      </c>
      <c r="H332" s="341" t="s">
        <v>173</v>
      </c>
      <c r="I332" s="341">
        <v>2400</v>
      </c>
      <c r="J332" s="2"/>
      <c r="K332" s="319">
        <v>130</v>
      </c>
      <c r="L332" s="321" t="s">
        <v>46</v>
      </c>
      <c r="M332" s="322" t="s">
        <v>47</v>
      </c>
      <c r="N332" s="321" t="s">
        <v>39</v>
      </c>
      <c r="O332" s="323" t="s">
        <v>186</v>
      </c>
      <c r="P332" s="321" t="s">
        <v>3</v>
      </c>
      <c r="Q332" s="2"/>
      <c r="R332" s="324">
        <f t="shared" si="96"/>
        <v>2400</v>
      </c>
      <c r="S332" s="325">
        <v>1</v>
      </c>
      <c r="T332" s="325">
        <f t="shared" si="91"/>
        <v>14</v>
      </c>
      <c r="V332" s="324">
        <v>7000</v>
      </c>
      <c r="W332" s="326">
        <f t="shared" si="92"/>
        <v>2</v>
      </c>
      <c r="X332" s="326">
        <f t="shared" si="93"/>
        <v>4905</v>
      </c>
      <c r="Y332" s="327">
        <v>4900</v>
      </c>
      <c r="Z332" s="328">
        <f t="shared" si="89"/>
        <v>7</v>
      </c>
      <c r="AA332" s="392"/>
      <c r="AB332" s="329">
        <v>0.91600000000000004</v>
      </c>
      <c r="AC332" s="329">
        <v>0.33900000000000002</v>
      </c>
      <c r="AE332" s="332">
        <f t="shared" si="83"/>
        <v>30.777600000000003</v>
      </c>
      <c r="AF332" s="332">
        <f t="shared" si="84"/>
        <v>31.418799999999997</v>
      </c>
      <c r="AG332" s="332">
        <f t="shared" si="85"/>
        <v>-0.64119999999999422</v>
      </c>
      <c r="AH332" s="333">
        <f t="shared" si="86"/>
        <v>1.020833333333333</v>
      </c>
      <c r="AI332" s="329">
        <f t="shared" si="97"/>
        <v>33.6</v>
      </c>
      <c r="AJ332" s="329">
        <f t="shared" si="94"/>
        <v>34.300000000000004</v>
      </c>
      <c r="AK332" s="329">
        <f t="shared" si="98"/>
        <v>-0.70000000000000284</v>
      </c>
      <c r="AL332" s="382">
        <f t="shared" si="99"/>
        <v>1.0208333333333335</v>
      </c>
    </row>
    <row r="333" spans="2:38" s="303" customFormat="1" ht="28.5" x14ac:dyDescent="0.2">
      <c r="B333" s="319">
        <f t="shared" ref="B333:B396" si="100">B332+1</f>
        <v>323</v>
      </c>
      <c r="C333" s="458" t="s">
        <v>200</v>
      </c>
      <c r="D333" s="342" t="s">
        <v>208</v>
      </c>
      <c r="E333" s="341" t="s">
        <v>209</v>
      </c>
      <c r="F333" s="341">
        <v>14</v>
      </c>
      <c r="G333" s="341">
        <v>8170</v>
      </c>
      <c r="H333" s="341" t="s">
        <v>173</v>
      </c>
      <c r="I333" s="341">
        <v>2400</v>
      </c>
      <c r="J333" s="2"/>
      <c r="K333" s="334">
        <v>130</v>
      </c>
      <c r="L333" s="335" t="s">
        <v>121</v>
      </c>
      <c r="M333" s="336" t="s">
        <v>203</v>
      </c>
      <c r="N333" s="337" t="s">
        <v>6</v>
      </c>
      <c r="O333" s="323" t="s">
        <v>186</v>
      </c>
      <c r="P333" s="337" t="s">
        <v>187</v>
      </c>
      <c r="Q333" s="2"/>
      <c r="R333" s="324">
        <f t="shared" si="96"/>
        <v>2400</v>
      </c>
      <c r="S333" s="325">
        <v>1</v>
      </c>
      <c r="T333" s="325">
        <f t="shared" si="91"/>
        <v>14</v>
      </c>
      <c r="V333" s="338">
        <v>3660</v>
      </c>
      <c r="W333" s="339">
        <f t="shared" si="92"/>
        <v>1</v>
      </c>
      <c r="X333" s="339">
        <f t="shared" si="93"/>
        <v>2500</v>
      </c>
      <c r="Y333" s="327">
        <v>3660</v>
      </c>
      <c r="Z333" s="340">
        <f>($R333*$T333)/$V333</f>
        <v>9.1803278688524586</v>
      </c>
      <c r="AA333" s="392"/>
      <c r="AB333" s="329">
        <v>0.84899999999999998</v>
      </c>
      <c r="AC333" s="329">
        <v>0</v>
      </c>
      <c r="AE333" s="332">
        <f t="shared" si="83"/>
        <v>28.526399999999999</v>
      </c>
      <c r="AF333" s="332">
        <f t="shared" si="84"/>
        <v>28.526399999999999</v>
      </c>
      <c r="AG333" s="332">
        <f t="shared" si="85"/>
        <v>0</v>
      </c>
      <c r="AH333" s="333">
        <f t="shared" si="86"/>
        <v>1</v>
      </c>
      <c r="AI333" s="329">
        <f t="shared" si="97"/>
        <v>33.6</v>
      </c>
      <c r="AJ333" s="329">
        <f t="shared" si="94"/>
        <v>33.6</v>
      </c>
      <c r="AK333" s="329">
        <f t="shared" si="98"/>
        <v>0</v>
      </c>
      <c r="AL333" s="382">
        <f t="shared" si="99"/>
        <v>1</v>
      </c>
    </row>
    <row r="334" spans="2:38" s="303" customFormat="1" ht="28.5" x14ac:dyDescent="0.2">
      <c r="B334" s="319">
        <f t="shared" si="100"/>
        <v>324</v>
      </c>
      <c r="C334" s="459" t="s">
        <v>200</v>
      </c>
      <c r="D334" s="342" t="s">
        <v>208</v>
      </c>
      <c r="E334" s="341" t="s">
        <v>209</v>
      </c>
      <c r="F334" s="341">
        <v>14</v>
      </c>
      <c r="G334" s="341">
        <v>8170</v>
      </c>
      <c r="H334" s="341" t="s">
        <v>173</v>
      </c>
      <c r="I334" s="341">
        <v>2400</v>
      </c>
      <c r="J334" s="2"/>
      <c r="K334" s="319">
        <v>123</v>
      </c>
      <c r="L334" s="321" t="s">
        <v>124</v>
      </c>
      <c r="M334" s="322" t="s">
        <v>125</v>
      </c>
      <c r="N334" s="321" t="s">
        <v>39</v>
      </c>
      <c r="O334" s="323" t="s">
        <v>188</v>
      </c>
      <c r="P334" s="321" t="s">
        <v>3</v>
      </c>
      <c r="Q334" s="2"/>
      <c r="R334" s="324">
        <f>ROUNDUP(((G334-(600*2))/6),0)</f>
        <v>1162</v>
      </c>
      <c r="S334" s="325">
        <v>6</v>
      </c>
      <c r="T334" s="325">
        <f t="shared" si="91"/>
        <v>84</v>
      </c>
      <c r="V334" s="324">
        <v>5500</v>
      </c>
      <c r="W334" s="326">
        <f t="shared" si="92"/>
        <v>4</v>
      </c>
      <c r="X334" s="326">
        <f t="shared" si="93"/>
        <v>4763</v>
      </c>
      <c r="Y334" s="327">
        <v>4900</v>
      </c>
      <c r="Z334" s="328">
        <f t="shared" si="89"/>
        <v>21</v>
      </c>
      <c r="AA334" s="304"/>
      <c r="AB334" s="329">
        <v>2.109</v>
      </c>
      <c r="AC334" s="329">
        <v>0.70199999999999996</v>
      </c>
      <c r="AE334" s="332">
        <f t="shared" si="83"/>
        <v>205.85527199999999</v>
      </c>
      <c r="AF334" s="332">
        <f t="shared" si="84"/>
        <v>217.01610000000002</v>
      </c>
      <c r="AG334" s="332">
        <f t="shared" si="85"/>
        <v>-11.160828000000038</v>
      </c>
      <c r="AH334" s="333">
        <f t="shared" si="86"/>
        <v>1.0542168674698797</v>
      </c>
      <c r="AI334" s="329">
        <f t="shared" si="97"/>
        <v>97.60799999999999</v>
      </c>
      <c r="AJ334" s="329">
        <f t="shared" si="94"/>
        <v>102.9</v>
      </c>
      <c r="AK334" s="329">
        <f t="shared" si="98"/>
        <v>-5.2920000000000158</v>
      </c>
      <c r="AL334" s="382">
        <f t="shared" si="99"/>
        <v>1.0542168674698797</v>
      </c>
    </row>
    <row r="335" spans="2:38" s="303" customFormat="1" ht="28.5" x14ac:dyDescent="0.2">
      <c r="B335" s="319">
        <f t="shared" si="100"/>
        <v>325</v>
      </c>
      <c r="C335" s="459" t="s">
        <v>200</v>
      </c>
      <c r="D335" s="342" t="s">
        <v>208</v>
      </c>
      <c r="E335" s="341" t="s">
        <v>209</v>
      </c>
      <c r="F335" s="341">
        <v>14</v>
      </c>
      <c r="G335" s="341">
        <v>8170</v>
      </c>
      <c r="H335" s="341" t="s">
        <v>173</v>
      </c>
      <c r="I335" s="341">
        <v>2400</v>
      </c>
      <c r="J335" s="2"/>
      <c r="K335" s="319">
        <v>123</v>
      </c>
      <c r="L335" s="321" t="s">
        <v>126</v>
      </c>
      <c r="M335" s="322" t="s">
        <v>127</v>
      </c>
      <c r="N335" s="321" t="s">
        <v>39</v>
      </c>
      <c r="O335" s="323" t="s">
        <v>188</v>
      </c>
      <c r="P335" s="321" t="s">
        <v>3</v>
      </c>
      <c r="Q335" s="2"/>
      <c r="R335" s="324">
        <f>ROUNDUP(((G335-(600*2))/6),0)</f>
        <v>1162</v>
      </c>
      <c r="S335" s="325">
        <v>6</v>
      </c>
      <c r="T335" s="325">
        <f t="shared" si="91"/>
        <v>84</v>
      </c>
      <c r="V335" s="324">
        <v>5500</v>
      </c>
      <c r="W335" s="326">
        <f t="shared" si="92"/>
        <v>4</v>
      </c>
      <c r="X335" s="326">
        <f t="shared" si="93"/>
        <v>4763</v>
      </c>
      <c r="Y335" s="327">
        <v>4900</v>
      </c>
      <c r="Z335" s="328">
        <f t="shared" si="89"/>
        <v>21</v>
      </c>
      <c r="AA335" s="392"/>
      <c r="AB335" s="329">
        <v>0.88800000000000001</v>
      </c>
      <c r="AC335" s="329">
        <v>0.34</v>
      </c>
      <c r="AE335" s="332">
        <f t="shared" si="83"/>
        <v>86.675903999999989</v>
      </c>
      <c r="AF335" s="332">
        <f t="shared" si="84"/>
        <v>91.375200000000007</v>
      </c>
      <c r="AG335" s="332">
        <f t="shared" si="85"/>
        <v>-4.6992960000000181</v>
      </c>
      <c r="AH335" s="333">
        <f t="shared" si="86"/>
        <v>1.0542168674698797</v>
      </c>
      <c r="AI335" s="329">
        <f t="shared" si="97"/>
        <v>97.60799999999999</v>
      </c>
      <c r="AJ335" s="329">
        <f t="shared" si="94"/>
        <v>102.9</v>
      </c>
      <c r="AK335" s="329">
        <f t="shared" si="98"/>
        <v>-5.2920000000000158</v>
      </c>
      <c r="AL335" s="382">
        <f t="shared" si="99"/>
        <v>1.0542168674698797</v>
      </c>
    </row>
    <row r="336" spans="2:38" s="303" customFormat="1" ht="28.5" x14ac:dyDescent="0.2">
      <c r="B336" s="319">
        <f t="shared" si="100"/>
        <v>326</v>
      </c>
      <c r="C336" s="459" t="s">
        <v>200</v>
      </c>
      <c r="D336" s="342" t="s">
        <v>208</v>
      </c>
      <c r="E336" s="341" t="s">
        <v>209</v>
      </c>
      <c r="F336" s="341">
        <v>14</v>
      </c>
      <c r="G336" s="341">
        <v>8170</v>
      </c>
      <c r="H336" s="341" t="s">
        <v>210</v>
      </c>
      <c r="I336" s="341">
        <v>2400</v>
      </c>
      <c r="J336" s="2"/>
      <c r="K336" s="319">
        <v>123</v>
      </c>
      <c r="L336" s="321" t="s">
        <v>48</v>
      </c>
      <c r="M336" s="322" t="s">
        <v>49</v>
      </c>
      <c r="N336" s="321" t="s">
        <v>39</v>
      </c>
      <c r="O336" s="323" t="s">
        <v>188</v>
      </c>
      <c r="P336" s="321" t="s">
        <v>3</v>
      </c>
      <c r="Q336" s="2"/>
      <c r="R336" s="324">
        <f>ROUNDUP(((G336-(600*2))/6),0)</f>
        <v>1162</v>
      </c>
      <c r="S336" s="325">
        <v>6</v>
      </c>
      <c r="T336" s="325">
        <f t="shared" si="91"/>
        <v>84</v>
      </c>
      <c r="V336" s="324">
        <v>5500</v>
      </c>
      <c r="W336" s="326">
        <f t="shared" si="92"/>
        <v>4</v>
      </c>
      <c r="X336" s="326">
        <f t="shared" si="93"/>
        <v>4763</v>
      </c>
      <c r="Y336" s="327">
        <v>4900</v>
      </c>
      <c r="Z336" s="328">
        <f t="shared" si="89"/>
        <v>21</v>
      </c>
      <c r="AA336" s="392"/>
      <c r="AB336" s="329">
        <v>0.81</v>
      </c>
      <c r="AC336" s="329">
        <v>0.28999999999999998</v>
      </c>
      <c r="AE336" s="332">
        <f t="shared" si="83"/>
        <v>79.062479999999994</v>
      </c>
      <c r="AF336" s="332">
        <f t="shared" si="84"/>
        <v>83.349000000000004</v>
      </c>
      <c r="AG336" s="332">
        <f t="shared" si="85"/>
        <v>-4.2865200000000101</v>
      </c>
      <c r="AH336" s="333">
        <f t="shared" si="86"/>
        <v>1.0542168674698797</v>
      </c>
      <c r="AI336" s="329">
        <f t="shared" si="97"/>
        <v>97.60799999999999</v>
      </c>
      <c r="AJ336" s="329">
        <f t="shared" si="94"/>
        <v>102.9</v>
      </c>
      <c r="AK336" s="329">
        <f t="shared" si="98"/>
        <v>-5.2920000000000158</v>
      </c>
      <c r="AL336" s="382">
        <f t="shared" si="99"/>
        <v>1.0542168674698797</v>
      </c>
    </row>
    <row r="337" spans="2:38" s="303" customFormat="1" ht="28.5" x14ac:dyDescent="0.2">
      <c r="B337" s="319">
        <f t="shared" si="100"/>
        <v>327</v>
      </c>
      <c r="C337" s="459" t="s">
        <v>200</v>
      </c>
      <c r="D337" s="342" t="s">
        <v>208</v>
      </c>
      <c r="E337" s="341" t="s">
        <v>209</v>
      </c>
      <c r="F337" s="341">
        <v>14</v>
      </c>
      <c r="G337" s="341">
        <v>8170</v>
      </c>
      <c r="H337" s="341" t="s">
        <v>173</v>
      </c>
      <c r="I337" s="341">
        <v>2400</v>
      </c>
      <c r="J337" s="2"/>
      <c r="K337" s="319">
        <v>123</v>
      </c>
      <c r="L337" s="321" t="s">
        <v>46</v>
      </c>
      <c r="M337" s="322" t="s">
        <v>47</v>
      </c>
      <c r="N337" s="321" t="s">
        <v>39</v>
      </c>
      <c r="O337" s="323" t="s">
        <v>188</v>
      </c>
      <c r="P337" s="321" t="s">
        <v>3</v>
      </c>
      <c r="Q337" s="2"/>
      <c r="R337" s="324">
        <f>ROUNDUP(((G337-(600*2))/6),0)</f>
        <v>1162</v>
      </c>
      <c r="S337" s="325">
        <v>6</v>
      </c>
      <c r="T337" s="325">
        <f t="shared" si="91"/>
        <v>84</v>
      </c>
      <c r="V337" s="324">
        <v>5500</v>
      </c>
      <c r="W337" s="326">
        <f t="shared" si="92"/>
        <v>4</v>
      </c>
      <c r="X337" s="326">
        <f t="shared" si="93"/>
        <v>4763</v>
      </c>
      <c r="Y337" s="327">
        <v>4900</v>
      </c>
      <c r="Z337" s="328">
        <f t="shared" si="89"/>
        <v>21</v>
      </c>
      <c r="AA337" s="392"/>
      <c r="AB337" s="329">
        <v>0.91600000000000004</v>
      </c>
      <c r="AC337" s="329">
        <v>0.33900000000000002</v>
      </c>
      <c r="AE337" s="332">
        <f t="shared" si="83"/>
        <v>89.408927999999989</v>
      </c>
      <c r="AF337" s="332">
        <f t="shared" si="84"/>
        <v>94.256400000000014</v>
      </c>
      <c r="AG337" s="332">
        <f t="shared" si="85"/>
        <v>-4.8474720000000247</v>
      </c>
      <c r="AH337" s="333">
        <f t="shared" si="86"/>
        <v>1.0542168674698797</v>
      </c>
      <c r="AI337" s="329">
        <f t="shared" si="97"/>
        <v>97.60799999999999</v>
      </c>
      <c r="AJ337" s="329">
        <f t="shared" si="94"/>
        <v>102.9</v>
      </c>
      <c r="AK337" s="329">
        <f t="shared" si="98"/>
        <v>-5.2920000000000158</v>
      </c>
      <c r="AL337" s="382">
        <f t="shared" si="99"/>
        <v>1.0542168674698797</v>
      </c>
    </row>
    <row r="338" spans="2:38" s="303" customFormat="1" ht="28.5" x14ac:dyDescent="0.2">
      <c r="B338" s="341">
        <f t="shared" si="100"/>
        <v>328</v>
      </c>
      <c r="C338" s="459" t="s">
        <v>200</v>
      </c>
      <c r="D338" s="342" t="s">
        <v>208</v>
      </c>
      <c r="E338" s="341" t="s">
        <v>209</v>
      </c>
      <c r="F338" s="341">
        <v>14</v>
      </c>
      <c r="G338" s="341">
        <v>8170</v>
      </c>
      <c r="H338" s="341" t="s">
        <v>173</v>
      </c>
      <c r="I338" s="341">
        <v>2400</v>
      </c>
      <c r="J338" s="2"/>
      <c r="K338" s="468">
        <v>123</v>
      </c>
      <c r="L338" s="417">
        <v>21825</v>
      </c>
      <c r="M338" s="416" t="s">
        <v>45</v>
      </c>
      <c r="N338" s="417" t="s">
        <v>39</v>
      </c>
      <c r="O338" s="323" t="s">
        <v>188</v>
      </c>
      <c r="P338" s="321" t="s">
        <v>3</v>
      </c>
      <c r="Q338" s="2"/>
      <c r="R338" s="324">
        <f t="shared" ref="R338" si="101">ROUNDUP(((G338-(600*2))/6),0)</f>
        <v>1162</v>
      </c>
      <c r="S338" s="325">
        <v>6</v>
      </c>
      <c r="T338" s="325">
        <f t="shared" si="91"/>
        <v>84</v>
      </c>
      <c r="V338" s="324">
        <v>5500</v>
      </c>
      <c r="W338" s="326">
        <f t="shared" si="92"/>
        <v>4</v>
      </c>
      <c r="X338" s="326">
        <f t="shared" si="93"/>
        <v>4763</v>
      </c>
      <c r="Y338" s="327">
        <v>4900</v>
      </c>
      <c r="Z338" s="328">
        <f t="shared" si="89"/>
        <v>21</v>
      </c>
      <c r="AA338" s="392"/>
      <c r="AB338" s="329">
        <v>0.999</v>
      </c>
      <c r="AC338" s="329">
        <v>0.2382</v>
      </c>
      <c r="AE338" s="332">
        <f t="shared" si="83"/>
        <v>97.510391999999996</v>
      </c>
      <c r="AF338" s="332">
        <f t="shared" si="84"/>
        <v>102.7971</v>
      </c>
      <c r="AG338" s="332">
        <f t="shared" si="85"/>
        <v>-5.2867080000000044</v>
      </c>
      <c r="AH338" s="333">
        <f t="shared" si="86"/>
        <v>1.0542168674698795</v>
      </c>
      <c r="AI338" s="329">
        <f t="shared" si="97"/>
        <v>97.60799999999999</v>
      </c>
      <c r="AJ338" s="329">
        <f t="shared" si="94"/>
        <v>102.9</v>
      </c>
      <c r="AK338" s="329">
        <f t="shared" si="98"/>
        <v>-5.2920000000000158</v>
      </c>
      <c r="AL338" s="382">
        <f t="shared" si="99"/>
        <v>1.0542168674698797</v>
      </c>
    </row>
    <row r="339" spans="2:38" s="303" customFormat="1" ht="28.5" x14ac:dyDescent="0.2">
      <c r="B339" s="319">
        <f t="shared" si="100"/>
        <v>329</v>
      </c>
      <c r="C339" s="459" t="s">
        <v>200</v>
      </c>
      <c r="D339" s="342" t="s">
        <v>208</v>
      </c>
      <c r="E339" s="341" t="s">
        <v>209</v>
      </c>
      <c r="F339" s="341">
        <v>14</v>
      </c>
      <c r="G339" s="341">
        <v>8170</v>
      </c>
      <c r="H339" s="341" t="s">
        <v>173</v>
      </c>
      <c r="I339" s="341">
        <v>2400</v>
      </c>
      <c r="J339" s="2"/>
      <c r="K339" s="334">
        <v>123</v>
      </c>
      <c r="L339" s="335" t="s">
        <v>121</v>
      </c>
      <c r="M339" s="336" t="s">
        <v>203</v>
      </c>
      <c r="N339" s="337" t="s">
        <v>6</v>
      </c>
      <c r="O339" s="323" t="s">
        <v>188</v>
      </c>
      <c r="P339" s="337" t="s">
        <v>187</v>
      </c>
      <c r="Q339" s="2"/>
      <c r="R339" s="324">
        <f>ROUNDUP((G339/2),0)</f>
        <v>4085</v>
      </c>
      <c r="S339" s="325">
        <v>2</v>
      </c>
      <c r="T339" s="325">
        <f t="shared" si="91"/>
        <v>28</v>
      </c>
      <c r="V339" s="338">
        <v>3660</v>
      </c>
      <c r="W339" s="339">
        <f t="shared" si="92"/>
        <v>0</v>
      </c>
      <c r="X339" s="339">
        <f t="shared" si="93"/>
        <v>95</v>
      </c>
      <c r="Y339" s="327">
        <v>3660</v>
      </c>
      <c r="Z339" s="340">
        <f>($R339*$T339)/$V339</f>
        <v>31.251366120218581</v>
      </c>
      <c r="AA339" s="392"/>
      <c r="AB339" s="329">
        <v>0.84899999999999998</v>
      </c>
      <c r="AC339" s="329">
        <v>0</v>
      </c>
      <c r="AE339" s="332">
        <f t="shared" si="83"/>
        <v>97.108619999999988</v>
      </c>
      <c r="AF339" s="332">
        <f t="shared" si="84"/>
        <v>97.108619999999988</v>
      </c>
      <c r="AG339" s="332">
        <f t="shared" si="85"/>
        <v>0</v>
      </c>
      <c r="AH339" s="333">
        <f t="shared" si="86"/>
        <v>1</v>
      </c>
      <c r="AI339" s="329">
        <f t="shared" si="97"/>
        <v>114.38</v>
      </c>
      <c r="AJ339" s="329">
        <f t="shared" si="94"/>
        <v>114.38000000000001</v>
      </c>
      <c r="AK339" s="329">
        <f t="shared" si="98"/>
        <v>0</v>
      </c>
      <c r="AL339" s="382">
        <f t="shared" si="99"/>
        <v>1.0000000000000002</v>
      </c>
    </row>
    <row r="340" spans="2:38" s="303" customFormat="1" ht="28.5" x14ac:dyDescent="0.2">
      <c r="B340" s="341">
        <f t="shared" si="100"/>
        <v>330</v>
      </c>
      <c r="C340" s="459" t="s">
        <v>200</v>
      </c>
      <c r="D340" s="342" t="s">
        <v>208</v>
      </c>
      <c r="E340" s="341" t="s">
        <v>209</v>
      </c>
      <c r="F340" s="341">
        <v>14</v>
      </c>
      <c r="G340" s="341">
        <v>8170</v>
      </c>
      <c r="H340" s="341" t="s">
        <v>173</v>
      </c>
      <c r="I340" s="341">
        <v>2400</v>
      </c>
      <c r="J340" s="2"/>
      <c r="K340" s="319">
        <v>125</v>
      </c>
      <c r="L340" s="321" t="s">
        <v>124</v>
      </c>
      <c r="M340" s="322" t="s">
        <v>125</v>
      </c>
      <c r="N340" s="321" t="s">
        <v>39</v>
      </c>
      <c r="O340" s="323" t="s">
        <v>188</v>
      </c>
      <c r="P340" s="321" t="s">
        <v>3</v>
      </c>
      <c r="Q340" s="2"/>
      <c r="R340" s="324">
        <f>ROUNDUP(600,0)</f>
        <v>600</v>
      </c>
      <c r="S340" s="325">
        <v>2</v>
      </c>
      <c r="T340" s="325">
        <f t="shared" si="91"/>
        <v>28</v>
      </c>
      <c r="V340" s="324">
        <v>5000</v>
      </c>
      <c r="W340" s="326">
        <f t="shared" si="92"/>
        <v>8</v>
      </c>
      <c r="X340" s="326">
        <f t="shared" si="93"/>
        <v>4935</v>
      </c>
      <c r="Y340" s="327">
        <v>4900</v>
      </c>
      <c r="Z340" s="328">
        <f t="shared" si="89"/>
        <v>3.5</v>
      </c>
      <c r="AA340" s="304"/>
      <c r="AB340" s="329">
        <v>2.109</v>
      </c>
      <c r="AC340" s="329">
        <v>0.70199999999999996</v>
      </c>
      <c r="AE340" s="332">
        <f t="shared" si="83"/>
        <v>35.431200000000004</v>
      </c>
      <c r="AF340" s="332">
        <f t="shared" si="84"/>
        <v>36.169349999999994</v>
      </c>
      <c r="AG340" s="332">
        <f t="shared" si="85"/>
        <v>-0.73814999999999031</v>
      </c>
      <c r="AH340" s="333">
        <f t="shared" si="86"/>
        <v>1.020833333333333</v>
      </c>
      <c r="AI340" s="332">
        <f t="shared" si="97"/>
        <v>16.8</v>
      </c>
      <c r="AJ340" s="332">
        <f t="shared" si="94"/>
        <v>17.150000000000002</v>
      </c>
      <c r="AK340" s="332">
        <f t="shared" si="98"/>
        <v>-0.35000000000000142</v>
      </c>
      <c r="AL340" s="333">
        <f t="shared" si="99"/>
        <v>1.0208333333333335</v>
      </c>
    </row>
    <row r="341" spans="2:38" s="303" customFormat="1" ht="28.5" x14ac:dyDescent="0.2">
      <c r="B341" s="319">
        <f t="shared" si="100"/>
        <v>331</v>
      </c>
      <c r="C341" s="459" t="s">
        <v>200</v>
      </c>
      <c r="D341" s="342" t="s">
        <v>208</v>
      </c>
      <c r="E341" s="341" t="s">
        <v>209</v>
      </c>
      <c r="F341" s="341">
        <v>14</v>
      </c>
      <c r="G341" s="341">
        <v>8170</v>
      </c>
      <c r="H341" s="341" t="s">
        <v>173</v>
      </c>
      <c r="I341" s="341">
        <v>2400</v>
      </c>
      <c r="J341" s="2"/>
      <c r="K341" s="319">
        <v>125</v>
      </c>
      <c r="L341" s="321" t="s">
        <v>126</v>
      </c>
      <c r="M341" s="322" t="s">
        <v>127</v>
      </c>
      <c r="N341" s="321" t="s">
        <v>39</v>
      </c>
      <c r="O341" s="323" t="s">
        <v>188</v>
      </c>
      <c r="P341" s="321" t="s">
        <v>3</v>
      </c>
      <c r="Q341" s="2"/>
      <c r="R341" s="324">
        <f t="shared" ref="R341:R344" si="102">ROUNDUP(600,0)</f>
        <v>600</v>
      </c>
      <c r="S341" s="325">
        <v>2</v>
      </c>
      <c r="T341" s="325">
        <f t="shared" si="91"/>
        <v>28</v>
      </c>
      <c r="V341" s="324">
        <v>5000</v>
      </c>
      <c r="W341" s="326">
        <f t="shared" si="92"/>
        <v>8</v>
      </c>
      <c r="X341" s="326">
        <f t="shared" si="93"/>
        <v>4935</v>
      </c>
      <c r="Y341" s="327">
        <v>4900</v>
      </c>
      <c r="Z341" s="328">
        <f t="shared" si="89"/>
        <v>3.5</v>
      </c>
      <c r="AA341" s="392"/>
      <c r="AB341" s="329">
        <v>0.88800000000000001</v>
      </c>
      <c r="AC341" s="329">
        <v>0.34</v>
      </c>
      <c r="AE341" s="332">
        <f t="shared" si="83"/>
        <v>14.9184</v>
      </c>
      <c r="AF341" s="332">
        <f t="shared" si="84"/>
        <v>15.229199999999999</v>
      </c>
      <c r="AG341" s="332">
        <f t="shared" si="85"/>
        <v>-0.31079999999999863</v>
      </c>
      <c r="AH341" s="333">
        <f t="shared" si="86"/>
        <v>1.0208333333333333</v>
      </c>
      <c r="AI341" s="329">
        <f t="shared" si="97"/>
        <v>16.8</v>
      </c>
      <c r="AJ341" s="329">
        <f t="shared" si="94"/>
        <v>17.150000000000002</v>
      </c>
      <c r="AK341" s="329">
        <f t="shared" si="98"/>
        <v>-0.35000000000000142</v>
      </c>
      <c r="AL341" s="382">
        <f t="shared" si="99"/>
        <v>1.0208333333333335</v>
      </c>
    </row>
    <row r="342" spans="2:38" s="303" customFormat="1" ht="28.5" x14ac:dyDescent="0.2">
      <c r="B342" s="319">
        <f t="shared" si="100"/>
        <v>332</v>
      </c>
      <c r="C342" s="459" t="s">
        <v>200</v>
      </c>
      <c r="D342" s="342" t="s">
        <v>208</v>
      </c>
      <c r="E342" s="341" t="s">
        <v>209</v>
      </c>
      <c r="F342" s="341">
        <v>14</v>
      </c>
      <c r="G342" s="341">
        <v>8170</v>
      </c>
      <c r="H342" s="341" t="s">
        <v>173</v>
      </c>
      <c r="I342" s="341">
        <v>2400</v>
      </c>
      <c r="J342" s="2"/>
      <c r="K342" s="319">
        <v>125</v>
      </c>
      <c r="L342" s="321" t="s">
        <v>48</v>
      </c>
      <c r="M342" s="322" t="s">
        <v>49</v>
      </c>
      <c r="N342" s="321" t="s">
        <v>39</v>
      </c>
      <c r="O342" s="323" t="s">
        <v>188</v>
      </c>
      <c r="P342" s="321" t="s">
        <v>3</v>
      </c>
      <c r="Q342" s="2"/>
      <c r="R342" s="324">
        <f t="shared" si="102"/>
        <v>600</v>
      </c>
      <c r="S342" s="325">
        <v>2</v>
      </c>
      <c r="T342" s="325">
        <f t="shared" si="91"/>
        <v>28</v>
      </c>
      <c r="V342" s="324">
        <v>5000</v>
      </c>
      <c r="W342" s="326">
        <f t="shared" si="92"/>
        <v>8</v>
      </c>
      <c r="X342" s="326">
        <f t="shared" si="93"/>
        <v>4935</v>
      </c>
      <c r="Y342" s="327">
        <v>4900</v>
      </c>
      <c r="Z342" s="328">
        <f t="shared" si="89"/>
        <v>3.5</v>
      </c>
      <c r="AA342" s="392"/>
      <c r="AB342" s="329">
        <v>0.81</v>
      </c>
      <c r="AC342" s="329">
        <v>0.28999999999999998</v>
      </c>
      <c r="AE342" s="332">
        <f t="shared" si="83"/>
        <v>13.608000000000002</v>
      </c>
      <c r="AF342" s="332">
        <f t="shared" si="84"/>
        <v>13.891500000000001</v>
      </c>
      <c r="AG342" s="332">
        <f t="shared" si="85"/>
        <v>-0.28349999999999831</v>
      </c>
      <c r="AH342" s="333">
        <f t="shared" si="86"/>
        <v>1.0208333333333333</v>
      </c>
      <c r="AI342" s="329">
        <f t="shared" si="97"/>
        <v>16.8</v>
      </c>
      <c r="AJ342" s="329">
        <f t="shared" si="94"/>
        <v>17.150000000000002</v>
      </c>
      <c r="AK342" s="329">
        <f t="shared" si="98"/>
        <v>-0.35000000000000142</v>
      </c>
      <c r="AL342" s="382">
        <f t="shared" si="99"/>
        <v>1.0208333333333335</v>
      </c>
    </row>
    <row r="343" spans="2:38" s="303" customFormat="1" ht="28.5" x14ac:dyDescent="0.2">
      <c r="B343" s="319">
        <f t="shared" si="100"/>
        <v>333</v>
      </c>
      <c r="C343" s="459" t="s">
        <v>200</v>
      </c>
      <c r="D343" s="342" t="s">
        <v>208</v>
      </c>
      <c r="E343" s="341" t="s">
        <v>209</v>
      </c>
      <c r="F343" s="341">
        <v>14</v>
      </c>
      <c r="G343" s="341">
        <v>8170</v>
      </c>
      <c r="H343" s="341" t="s">
        <v>173</v>
      </c>
      <c r="I343" s="341">
        <v>2400</v>
      </c>
      <c r="J343" s="2"/>
      <c r="K343" s="319">
        <v>125</v>
      </c>
      <c r="L343" s="321" t="s">
        <v>46</v>
      </c>
      <c r="M343" s="322" t="s">
        <v>47</v>
      </c>
      <c r="N343" s="321" t="s">
        <v>39</v>
      </c>
      <c r="O343" s="323" t="s">
        <v>188</v>
      </c>
      <c r="P343" s="321" t="s">
        <v>3</v>
      </c>
      <c r="Q343" s="2"/>
      <c r="R343" s="324">
        <f t="shared" si="102"/>
        <v>600</v>
      </c>
      <c r="S343" s="325">
        <v>2</v>
      </c>
      <c r="T343" s="325">
        <f t="shared" si="91"/>
        <v>28</v>
      </c>
      <c r="V343" s="324">
        <v>5000</v>
      </c>
      <c r="W343" s="326">
        <f t="shared" si="92"/>
        <v>8</v>
      </c>
      <c r="X343" s="326">
        <f t="shared" si="93"/>
        <v>4935</v>
      </c>
      <c r="Y343" s="327">
        <v>4900</v>
      </c>
      <c r="Z343" s="328">
        <f t="shared" si="89"/>
        <v>3.5</v>
      </c>
      <c r="AA343" s="392"/>
      <c r="AB343" s="329">
        <v>0.91600000000000004</v>
      </c>
      <c r="AC343" s="329">
        <v>0.33900000000000002</v>
      </c>
      <c r="AE343" s="332">
        <f t="shared" si="83"/>
        <v>15.388800000000002</v>
      </c>
      <c r="AF343" s="332">
        <f t="shared" si="84"/>
        <v>15.709399999999999</v>
      </c>
      <c r="AG343" s="332">
        <f t="shared" si="85"/>
        <v>-0.32059999999999711</v>
      </c>
      <c r="AH343" s="333">
        <f t="shared" si="86"/>
        <v>1.020833333333333</v>
      </c>
      <c r="AI343" s="329">
        <f t="shared" si="97"/>
        <v>16.8</v>
      </c>
      <c r="AJ343" s="329">
        <f t="shared" si="94"/>
        <v>17.150000000000002</v>
      </c>
      <c r="AK343" s="329">
        <f t="shared" si="98"/>
        <v>-0.35000000000000142</v>
      </c>
      <c r="AL343" s="382">
        <f t="shared" si="99"/>
        <v>1.0208333333333335</v>
      </c>
    </row>
    <row r="344" spans="2:38" s="303" customFormat="1" ht="28.5" x14ac:dyDescent="0.2">
      <c r="B344" s="341">
        <f t="shared" si="100"/>
        <v>334</v>
      </c>
      <c r="C344" s="459" t="s">
        <v>200</v>
      </c>
      <c r="D344" s="342" t="s">
        <v>208</v>
      </c>
      <c r="E344" s="341" t="s">
        <v>209</v>
      </c>
      <c r="F344" s="341">
        <v>14</v>
      </c>
      <c r="G344" s="341">
        <v>8170</v>
      </c>
      <c r="H344" s="341" t="s">
        <v>173</v>
      </c>
      <c r="I344" s="341">
        <v>2400</v>
      </c>
      <c r="J344" s="2"/>
      <c r="K344" s="468">
        <v>125</v>
      </c>
      <c r="L344" s="417">
        <v>21825</v>
      </c>
      <c r="M344" s="416" t="s">
        <v>45</v>
      </c>
      <c r="N344" s="417" t="s">
        <v>39</v>
      </c>
      <c r="O344" s="323" t="s">
        <v>188</v>
      </c>
      <c r="P344" s="321" t="s">
        <v>3</v>
      </c>
      <c r="Q344" s="2"/>
      <c r="R344" s="324">
        <f t="shared" si="102"/>
        <v>600</v>
      </c>
      <c r="S344" s="325">
        <v>2</v>
      </c>
      <c r="T344" s="325">
        <f t="shared" si="91"/>
        <v>28</v>
      </c>
      <c r="V344" s="324">
        <v>5000</v>
      </c>
      <c r="W344" s="326">
        <f t="shared" si="92"/>
        <v>8</v>
      </c>
      <c r="X344" s="326">
        <f t="shared" si="93"/>
        <v>4935</v>
      </c>
      <c r="Y344" s="327">
        <v>4900</v>
      </c>
      <c r="Z344" s="328">
        <f t="shared" si="89"/>
        <v>3.5</v>
      </c>
      <c r="AA344" s="392"/>
      <c r="AB344" s="329">
        <v>0.999</v>
      </c>
      <c r="AC344" s="329">
        <v>0.2382</v>
      </c>
      <c r="AE344" s="332">
        <f t="shared" si="83"/>
        <v>16.783200000000001</v>
      </c>
      <c r="AF344" s="332">
        <f t="shared" si="84"/>
        <v>17.132849999999998</v>
      </c>
      <c r="AG344" s="332">
        <f t="shared" si="85"/>
        <v>-0.34964999999999691</v>
      </c>
      <c r="AH344" s="333">
        <f t="shared" si="86"/>
        <v>1.020833333333333</v>
      </c>
      <c r="AI344" s="329">
        <f t="shared" si="97"/>
        <v>16.8</v>
      </c>
      <c r="AJ344" s="329">
        <f t="shared" si="94"/>
        <v>17.150000000000002</v>
      </c>
      <c r="AK344" s="329">
        <f t="shared" si="98"/>
        <v>-0.35000000000000142</v>
      </c>
      <c r="AL344" s="382">
        <f t="shared" si="99"/>
        <v>1.0208333333333335</v>
      </c>
    </row>
    <row r="345" spans="2:38" s="303" customFormat="1" ht="28.5" x14ac:dyDescent="0.2">
      <c r="B345" s="319">
        <f t="shared" si="100"/>
        <v>335</v>
      </c>
      <c r="C345" s="459" t="s">
        <v>200</v>
      </c>
      <c r="D345" s="342" t="s">
        <v>208</v>
      </c>
      <c r="E345" s="341" t="s">
        <v>209</v>
      </c>
      <c r="F345" s="341">
        <v>14</v>
      </c>
      <c r="G345" s="341">
        <v>8170</v>
      </c>
      <c r="H345" s="341" t="s">
        <v>173</v>
      </c>
      <c r="I345" s="341">
        <v>2400</v>
      </c>
      <c r="J345" s="2"/>
      <c r="K345" s="319">
        <v>125</v>
      </c>
      <c r="L345" s="321" t="s">
        <v>114</v>
      </c>
      <c r="M345" s="322" t="s">
        <v>115</v>
      </c>
      <c r="N345" s="321" t="s">
        <v>39</v>
      </c>
      <c r="O345" s="323" t="s">
        <v>188</v>
      </c>
      <c r="P345" s="321" t="s">
        <v>3</v>
      </c>
      <c r="Q345" s="2"/>
      <c r="R345" s="324">
        <f>ROUNDUP(600,0)</f>
        <v>600</v>
      </c>
      <c r="S345" s="325">
        <v>1</v>
      </c>
      <c r="T345" s="325">
        <f t="shared" si="91"/>
        <v>14</v>
      </c>
      <c r="V345" s="348">
        <v>6500</v>
      </c>
      <c r="W345" s="326">
        <f t="shared" si="92"/>
        <v>10</v>
      </c>
      <c r="X345" s="326">
        <f t="shared" si="93"/>
        <v>6145</v>
      </c>
      <c r="Y345" s="327">
        <v>6200</v>
      </c>
      <c r="Z345" s="328">
        <f t="shared" si="89"/>
        <v>1.4</v>
      </c>
      <c r="AA345" s="304"/>
      <c r="AB345" s="329">
        <v>0.83499999999999996</v>
      </c>
      <c r="AC345" s="329">
        <v>0.21299999999999999</v>
      </c>
      <c r="AE345" s="332">
        <f t="shared" si="83"/>
        <v>7.0140000000000002</v>
      </c>
      <c r="AF345" s="332">
        <f t="shared" si="84"/>
        <v>7.2477999999999998</v>
      </c>
      <c r="AG345" s="332">
        <f t="shared" si="85"/>
        <v>-0.23379999999999956</v>
      </c>
      <c r="AH345" s="333">
        <f t="shared" si="86"/>
        <v>1.0333333333333332</v>
      </c>
      <c r="AI345" s="329">
        <f t="shared" si="97"/>
        <v>8.4</v>
      </c>
      <c r="AJ345" s="329">
        <f t="shared" si="94"/>
        <v>8.68</v>
      </c>
      <c r="AK345" s="329">
        <f t="shared" si="98"/>
        <v>-0.27999999999999936</v>
      </c>
      <c r="AL345" s="382">
        <f t="shared" si="99"/>
        <v>1.0333333333333332</v>
      </c>
    </row>
    <row r="346" spans="2:38" s="303" customFormat="1" ht="28.5" x14ac:dyDescent="0.2">
      <c r="B346" s="396">
        <f t="shared" si="100"/>
        <v>336</v>
      </c>
      <c r="C346" s="460" t="s">
        <v>200</v>
      </c>
      <c r="D346" s="342" t="s">
        <v>208</v>
      </c>
      <c r="E346" s="341" t="s">
        <v>209</v>
      </c>
      <c r="F346" s="341">
        <v>14</v>
      </c>
      <c r="G346" s="396">
        <v>8170</v>
      </c>
      <c r="H346" s="396" t="s">
        <v>173</v>
      </c>
      <c r="I346" s="396">
        <v>2400</v>
      </c>
      <c r="J346" s="2"/>
      <c r="K346" s="397">
        <v>125</v>
      </c>
      <c r="L346" s="321" t="s">
        <v>50</v>
      </c>
      <c r="M346" s="322" t="s">
        <v>51</v>
      </c>
      <c r="N346" s="398" t="s">
        <v>39</v>
      </c>
      <c r="O346" s="323" t="s">
        <v>188</v>
      </c>
      <c r="P346" s="398" t="s">
        <v>3</v>
      </c>
      <c r="Q346" s="2"/>
      <c r="R346" s="399">
        <f>ROUNDUP(600,0)</f>
        <v>600</v>
      </c>
      <c r="S346" s="400">
        <v>1</v>
      </c>
      <c r="T346" s="400">
        <f t="shared" si="91"/>
        <v>14</v>
      </c>
      <c r="V346" s="399">
        <v>6500</v>
      </c>
      <c r="W346" s="401">
        <f t="shared" si="92"/>
        <v>10</v>
      </c>
      <c r="X346" s="401">
        <f t="shared" si="93"/>
        <v>6145</v>
      </c>
      <c r="Y346" s="402">
        <v>6200</v>
      </c>
      <c r="Z346" s="403">
        <f t="shared" si="89"/>
        <v>1.4</v>
      </c>
      <c r="AA346" s="392"/>
      <c r="AB346" s="395">
        <v>1.7110000000000001</v>
      </c>
      <c r="AC346" s="395">
        <v>0.34200000000000003</v>
      </c>
      <c r="AE346" s="332">
        <f t="shared" si="83"/>
        <v>14.372400000000001</v>
      </c>
      <c r="AF346" s="332">
        <f t="shared" si="84"/>
        <v>14.85148</v>
      </c>
      <c r="AG346" s="332">
        <f t="shared" ref="AG346:AG415" si="103">+AE346-AF346</f>
        <v>-0.47907999999999973</v>
      </c>
      <c r="AH346" s="333">
        <f t="shared" ref="AH346:AH415" si="104">+AF346/AE346</f>
        <v>1.0333333333333332</v>
      </c>
      <c r="AI346" s="404">
        <f t="shared" si="97"/>
        <v>8.4</v>
      </c>
      <c r="AJ346" s="404">
        <f t="shared" si="94"/>
        <v>8.68</v>
      </c>
      <c r="AK346" s="404">
        <f t="shared" si="98"/>
        <v>-0.27999999999999936</v>
      </c>
      <c r="AL346" s="405">
        <f t="shared" si="99"/>
        <v>1.0333333333333332</v>
      </c>
    </row>
    <row r="347" spans="2:38" s="303" customFormat="1" ht="28.5" x14ac:dyDescent="0.2">
      <c r="B347" s="341">
        <f t="shared" si="100"/>
        <v>337</v>
      </c>
      <c r="C347" s="459" t="s">
        <v>200</v>
      </c>
      <c r="D347" s="342" t="s">
        <v>208</v>
      </c>
      <c r="E347" s="341" t="s">
        <v>209</v>
      </c>
      <c r="F347" s="341">
        <v>14</v>
      </c>
      <c r="G347" s="341">
        <v>8170</v>
      </c>
      <c r="H347" s="341" t="s">
        <v>173</v>
      </c>
      <c r="I347" s="341">
        <v>2400</v>
      </c>
      <c r="J347" s="2"/>
      <c r="K347" s="345">
        <v>125</v>
      </c>
      <c r="L347" s="347">
        <v>10926</v>
      </c>
      <c r="M347" s="346" t="s">
        <v>36</v>
      </c>
      <c r="N347" s="347" t="s">
        <v>6</v>
      </c>
      <c r="O347" s="323" t="s">
        <v>188</v>
      </c>
      <c r="P347" s="347" t="s">
        <v>187</v>
      </c>
      <c r="Q347" s="2"/>
      <c r="R347" s="348">
        <f>ROUNDUP(600,0)</f>
        <v>600</v>
      </c>
      <c r="S347" s="349">
        <v>1</v>
      </c>
      <c r="T347" s="349">
        <f t="shared" si="91"/>
        <v>14</v>
      </c>
      <c r="V347" s="348">
        <v>6100</v>
      </c>
      <c r="W347" s="350">
        <f t="shared" si="92"/>
        <v>10</v>
      </c>
      <c r="X347" s="350">
        <f t="shared" si="93"/>
        <v>6145</v>
      </c>
      <c r="Y347" s="351">
        <v>6100</v>
      </c>
      <c r="Z347" s="389">
        <f t="shared" si="89"/>
        <v>1.4</v>
      </c>
      <c r="AA347" s="392"/>
      <c r="AB347" s="329">
        <v>0.76700000000000002</v>
      </c>
      <c r="AC347" s="329"/>
      <c r="AE347" s="332">
        <f t="shared" si="83"/>
        <v>6.4428000000000001</v>
      </c>
      <c r="AF347" s="332">
        <f t="shared" si="84"/>
        <v>6.5501799999999992</v>
      </c>
      <c r="AG347" s="332">
        <f t="shared" si="103"/>
        <v>-0.10737999999999914</v>
      </c>
      <c r="AH347" s="333">
        <f t="shared" si="104"/>
        <v>1.0166666666666666</v>
      </c>
      <c r="AI347" s="332">
        <f t="shared" si="97"/>
        <v>8.4</v>
      </c>
      <c r="AJ347" s="332">
        <f t="shared" si="94"/>
        <v>8.5399999999999991</v>
      </c>
      <c r="AK347" s="332">
        <f t="shared" si="98"/>
        <v>-0.13999999999999879</v>
      </c>
      <c r="AL347" s="333">
        <f t="shared" si="99"/>
        <v>1.0166666666666666</v>
      </c>
    </row>
    <row r="348" spans="2:38" s="303" customFormat="1" ht="28.5" x14ac:dyDescent="0.2">
      <c r="B348" s="341">
        <f t="shared" si="100"/>
        <v>338</v>
      </c>
      <c r="C348" s="459" t="s">
        <v>200</v>
      </c>
      <c r="D348" s="342" t="s">
        <v>208</v>
      </c>
      <c r="E348" s="341" t="s">
        <v>209</v>
      </c>
      <c r="F348" s="341">
        <v>14</v>
      </c>
      <c r="G348" s="341">
        <v>8170</v>
      </c>
      <c r="H348" s="341" t="s">
        <v>173</v>
      </c>
      <c r="I348" s="341">
        <v>2400</v>
      </c>
      <c r="J348" s="2"/>
      <c r="K348" s="341">
        <v>124</v>
      </c>
      <c r="L348" s="321" t="s">
        <v>124</v>
      </c>
      <c r="M348" s="322" t="s">
        <v>125</v>
      </c>
      <c r="N348" s="342" t="s">
        <v>39</v>
      </c>
      <c r="O348" s="323" t="s">
        <v>188</v>
      </c>
      <c r="P348" s="342" t="s">
        <v>3</v>
      </c>
      <c r="Q348" s="2"/>
      <c r="R348" s="324">
        <f>ROUNDUP(((G348-(600*2))/6),0)</f>
        <v>1162</v>
      </c>
      <c r="S348" s="325">
        <v>6</v>
      </c>
      <c r="T348" s="349">
        <f t="shared" si="91"/>
        <v>84</v>
      </c>
      <c r="V348" s="324">
        <v>5500</v>
      </c>
      <c r="W348" s="388">
        <f t="shared" si="92"/>
        <v>4</v>
      </c>
      <c r="X348" s="388">
        <f t="shared" si="93"/>
        <v>4763</v>
      </c>
      <c r="Y348" s="327">
        <v>4900</v>
      </c>
      <c r="Z348" s="389">
        <f t="shared" si="89"/>
        <v>21</v>
      </c>
      <c r="AA348" s="392"/>
      <c r="AB348" s="329">
        <v>2.109</v>
      </c>
      <c r="AC348" s="329">
        <v>0.70199999999999996</v>
      </c>
      <c r="AE348" s="332">
        <f t="shared" ref="AE348:AE418" si="105">(($R348/1000)*$T348)*$AB348</f>
        <v>205.85527199999999</v>
      </c>
      <c r="AF348" s="332">
        <f t="shared" ref="AF348:AF418" si="106">(($Y348*$Z348)/1000)*$AB348</f>
        <v>217.01610000000002</v>
      </c>
      <c r="AG348" s="332">
        <f t="shared" si="103"/>
        <v>-11.160828000000038</v>
      </c>
      <c r="AH348" s="333">
        <f t="shared" si="104"/>
        <v>1.0542168674698797</v>
      </c>
      <c r="AI348" s="332">
        <f t="shared" si="97"/>
        <v>97.60799999999999</v>
      </c>
      <c r="AJ348" s="332">
        <f t="shared" si="94"/>
        <v>102.9</v>
      </c>
      <c r="AK348" s="332">
        <f t="shared" si="98"/>
        <v>-5.2920000000000158</v>
      </c>
      <c r="AL348" s="333">
        <f t="shared" si="99"/>
        <v>1.0542168674698797</v>
      </c>
    </row>
    <row r="349" spans="2:38" s="303" customFormat="1" ht="28.5" x14ac:dyDescent="0.2">
      <c r="B349" s="341">
        <f t="shared" si="100"/>
        <v>339</v>
      </c>
      <c r="C349" s="459" t="s">
        <v>200</v>
      </c>
      <c r="D349" s="342" t="s">
        <v>208</v>
      </c>
      <c r="E349" s="341" t="s">
        <v>209</v>
      </c>
      <c r="F349" s="341">
        <v>14</v>
      </c>
      <c r="G349" s="341">
        <v>8170</v>
      </c>
      <c r="H349" s="341" t="s">
        <v>173</v>
      </c>
      <c r="I349" s="341">
        <v>2400</v>
      </c>
      <c r="J349" s="2"/>
      <c r="K349" s="341">
        <v>124</v>
      </c>
      <c r="L349" s="321" t="s">
        <v>126</v>
      </c>
      <c r="M349" s="322" t="s">
        <v>127</v>
      </c>
      <c r="N349" s="342" t="s">
        <v>39</v>
      </c>
      <c r="O349" s="323" t="s">
        <v>188</v>
      </c>
      <c r="P349" s="342" t="s">
        <v>3</v>
      </c>
      <c r="Q349" s="2"/>
      <c r="R349" s="324">
        <f>ROUNDUP(((G349-(600*2))/6),0)</f>
        <v>1162</v>
      </c>
      <c r="S349" s="325">
        <v>6</v>
      </c>
      <c r="T349" s="349">
        <f t="shared" si="91"/>
        <v>84</v>
      </c>
      <c r="V349" s="324">
        <v>5500</v>
      </c>
      <c r="W349" s="388">
        <f t="shared" si="92"/>
        <v>4</v>
      </c>
      <c r="X349" s="388">
        <f t="shared" si="93"/>
        <v>4763</v>
      </c>
      <c r="Y349" s="327">
        <v>4900</v>
      </c>
      <c r="Z349" s="389">
        <f t="shared" si="89"/>
        <v>21</v>
      </c>
      <c r="AA349" s="392"/>
      <c r="AB349" s="329">
        <v>0.88800000000000001</v>
      </c>
      <c r="AC349" s="329">
        <v>0.34</v>
      </c>
      <c r="AE349" s="332">
        <f t="shared" si="105"/>
        <v>86.675903999999989</v>
      </c>
      <c r="AF349" s="332">
        <f t="shared" si="106"/>
        <v>91.375200000000007</v>
      </c>
      <c r="AG349" s="332">
        <f t="shared" si="103"/>
        <v>-4.6992960000000181</v>
      </c>
      <c r="AH349" s="333">
        <f t="shared" si="104"/>
        <v>1.0542168674698797</v>
      </c>
      <c r="AI349" s="332">
        <f t="shared" si="97"/>
        <v>97.60799999999999</v>
      </c>
      <c r="AJ349" s="332">
        <f t="shared" si="94"/>
        <v>102.9</v>
      </c>
      <c r="AK349" s="332">
        <f t="shared" si="98"/>
        <v>-5.2920000000000158</v>
      </c>
      <c r="AL349" s="333">
        <f t="shared" si="99"/>
        <v>1.0542168674698797</v>
      </c>
    </row>
    <row r="350" spans="2:38" s="303" customFormat="1" ht="28.5" x14ac:dyDescent="0.2">
      <c r="B350" s="341">
        <f t="shared" si="100"/>
        <v>340</v>
      </c>
      <c r="C350" s="459" t="s">
        <v>200</v>
      </c>
      <c r="D350" s="342" t="s">
        <v>208</v>
      </c>
      <c r="E350" s="341" t="s">
        <v>209</v>
      </c>
      <c r="F350" s="341">
        <v>14</v>
      </c>
      <c r="G350" s="341">
        <v>8170</v>
      </c>
      <c r="H350" s="341" t="s">
        <v>173</v>
      </c>
      <c r="I350" s="341">
        <v>2400</v>
      </c>
      <c r="J350" s="2"/>
      <c r="K350" s="341">
        <v>124</v>
      </c>
      <c r="L350" s="342" t="s">
        <v>48</v>
      </c>
      <c r="M350" s="343" t="s">
        <v>49</v>
      </c>
      <c r="N350" s="342" t="s">
        <v>39</v>
      </c>
      <c r="O350" s="323" t="s">
        <v>188</v>
      </c>
      <c r="P350" s="342" t="s">
        <v>3</v>
      </c>
      <c r="Q350" s="2"/>
      <c r="R350" s="324">
        <f>ROUNDUP(((G350-(600*2))/6),0)</f>
        <v>1162</v>
      </c>
      <c r="S350" s="325">
        <v>6</v>
      </c>
      <c r="T350" s="349">
        <f t="shared" si="91"/>
        <v>84</v>
      </c>
      <c r="V350" s="324">
        <v>5500</v>
      </c>
      <c r="W350" s="388">
        <f t="shared" si="92"/>
        <v>4</v>
      </c>
      <c r="X350" s="388">
        <f t="shared" si="93"/>
        <v>4763</v>
      </c>
      <c r="Y350" s="327">
        <v>4900</v>
      </c>
      <c r="Z350" s="389">
        <f t="shared" si="89"/>
        <v>21</v>
      </c>
      <c r="AA350" s="392"/>
      <c r="AB350" s="329">
        <v>0.81</v>
      </c>
      <c r="AC350" s="329">
        <v>0.28999999999999998</v>
      </c>
      <c r="AE350" s="332">
        <f t="shared" si="105"/>
        <v>79.062479999999994</v>
      </c>
      <c r="AF350" s="332">
        <f t="shared" si="106"/>
        <v>83.349000000000004</v>
      </c>
      <c r="AG350" s="332">
        <f t="shared" si="103"/>
        <v>-4.2865200000000101</v>
      </c>
      <c r="AH350" s="333">
        <f t="shared" si="104"/>
        <v>1.0542168674698797</v>
      </c>
      <c r="AI350" s="332">
        <f t="shared" si="97"/>
        <v>97.60799999999999</v>
      </c>
      <c r="AJ350" s="332">
        <f t="shared" si="94"/>
        <v>102.9</v>
      </c>
      <c r="AK350" s="332">
        <f t="shared" si="98"/>
        <v>-5.2920000000000158</v>
      </c>
      <c r="AL350" s="333">
        <f t="shared" si="99"/>
        <v>1.0542168674698797</v>
      </c>
    </row>
    <row r="351" spans="2:38" s="303" customFormat="1" ht="28.5" x14ac:dyDescent="0.2">
      <c r="B351" s="341">
        <f t="shared" si="100"/>
        <v>341</v>
      </c>
      <c r="C351" s="459" t="s">
        <v>200</v>
      </c>
      <c r="D351" s="342" t="s">
        <v>208</v>
      </c>
      <c r="E351" s="341" t="s">
        <v>209</v>
      </c>
      <c r="F351" s="341">
        <v>14</v>
      </c>
      <c r="G351" s="341">
        <v>8170</v>
      </c>
      <c r="H351" s="341" t="s">
        <v>173</v>
      </c>
      <c r="I351" s="341">
        <v>2400</v>
      </c>
      <c r="J351" s="2"/>
      <c r="K351" s="341">
        <v>124</v>
      </c>
      <c r="L351" s="342" t="s">
        <v>46</v>
      </c>
      <c r="M351" s="343" t="s">
        <v>47</v>
      </c>
      <c r="N351" s="342" t="s">
        <v>39</v>
      </c>
      <c r="O351" s="323" t="s">
        <v>188</v>
      </c>
      <c r="P351" s="342" t="s">
        <v>3</v>
      </c>
      <c r="Q351" s="2"/>
      <c r="R351" s="324">
        <f>ROUNDUP(((G351-(600*2))/6),0)</f>
        <v>1162</v>
      </c>
      <c r="S351" s="325">
        <v>6</v>
      </c>
      <c r="T351" s="349">
        <f t="shared" si="91"/>
        <v>84</v>
      </c>
      <c r="V351" s="324">
        <v>5500</v>
      </c>
      <c r="W351" s="388">
        <f t="shared" si="92"/>
        <v>4</v>
      </c>
      <c r="X351" s="388">
        <f t="shared" si="93"/>
        <v>4763</v>
      </c>
      <c r="Y351" s="327">
        <v>4900</v>
      </c>
      <c r="Z351" s="389">
        <f t="shared" si="89"/>
        <v>21</v>
      </c>
      <c r="AA351" s="392"/>
      <c r="AB351" s="329">
        <v>0.91600000000000004</v>
      </c>
      <c r="AC351" s="329">
        <v>0.33900000000000002</v>
      </c>
      <c r="AE351" s="332">
        <f t="shared" si="105"/>
        <v>89.408927999999989</v>
      </c>
      <c r="AF351" s="332">
        <f t="shared" si="106"/>
        <v>94.256400000000014</v>
      </c>
      <c r="AG351" s="332">
        <f t="shared" si="103"/>
        <v>-4.8474720000000247</v>
      </c>
      <c r="AH351" s="333">
        <f t="shared" si="104"/>
        <v>1.0542168674698797</v>
      </c>
      <c r="AI351" s="332">
        <f t="shared" si="97"/>
        <v>97.60799999999999</v>
      </c>
      <c r="AJ351" s="332">
        <f t="shared" si="94"/>
        <v>102.9</v>
      </c>
      <c r="AK351" s="332">
        <f t="shared" si="98"/>
        <v>-5.2920000000000158</v>
      </c>
      <c r="AL351" s="333">
        <f t="shared" si="99"/>
        <v>1.0542168674698797</v>
      </c>
    </row>
    <row r="352" spans="2:38" s="303" customFormat="1" ht="28.5" x14ac:dyDescent="0.2">
      <c r="B352" s="341">
        <f t="shared" si="100"/>
        <v>342</v>
      </c>
      <c r="C352" s="459" t="s">
        <v>200</v>
      </c>
      <c r="D352" s="342" t="s">
        <v>208</v>
      </c>
      <c r="E352" s="341" t="s">
        <v>209</v>
      </c>
      <c r="F352" s="341">
        <v>14</v>
      </c>
      <c r="G352" s="341">
        <v>8170</v>
      </c>
      <c r="H352" s="341" t="s">
        <v>173</v>
      </c>
      <c r="I352" s="341">
        <v>2400</v>
      </c>
      <c r="J352" s="2"/>
      <c r="K352" s="468">
        <v>124</v>
      </c>
      <c r="L352" s="417">
        <v>21825</v>
      </c>
      <c r="M352" s="416" t="s">
        <v>45</v>
      </c>
      <c r="N352" s="417" t="s">
        <v>39</v>
      </c>
      <c r="O352" s="323" t="s">
        <v>188</v>
      </c>
      <c r="P352" s="321" t="s">
        <v>3</v>
      </c>
      <c r="Q352" s="2"/>
      <c r="R352" s="324">
        <f t="shared" ref="R352" si="107">ROUNDUP(((G352-(600*2))/6),0)</f>
        <v>1162</v>
      </c>
      <c r="S352" s="325">
        <v>6</v>
      </c>
      <c r="T352" s="325">
        <f t="shared" si="91"/>
        <v>84</v>
      </c>
      <c r="V352" s="324">
        <v>5500</v>
      </c>
      <c r="W352" s="326">
        <f t="shared" si="92"/>
        <v>4</v>
      </c>
      <c r="X352" s="326">
        <f t="shared" si="93"/>
        <v>4763</v>
      </c>
      <c r="Y352" s="327">
        <v>4900</v>
      </c>
      <c r="Z352" s="328">
        <f t="shared" si="89"/>
        <v>21</v>
      </c>
      <c r="AA352" s="392"/>
      <c r="AB352" s="329">
        <v>0.999</v>
      </c>
      <c r="AC352" s="329">
        <v>0.2382</v>
      </c>
      <c r="AE352" s="332">
        <f t="shared" si="105"/>
        <v>97.510391999999996</v>
      </c>
      <c r="AF352" s="332">
        <f t="shared" si="106"/>
        <v>102.7971</v>
      </c>
      <c r="AG352" s="332">
        <f t="shared" si="103"/>
        <v>-5.2867080000000044</v>
      </c>
      <c r="AH352" s="333">
        <f t="shared" si="104"/>
        <v>1.0542168674698795</v>
      </c>
      <c r="AI352" s="329">
        <f t="shared" si="97"/>
        <v>97.60799999999999</v>
      </c>
      <c r="AJ352" s="329">
        <f t="shared" si="94"/>
        <v>102.9</v>
      </c>
      <c r="AK352" s="329">
        <f t="shared" si="98"/>
        <v>-5.2920000000000158</v>
      </c>
      <c r="AL352" s="382">
        <f t="shared" si="99"/>
        <v>1.0542168674698797</v>
      </c>
    </row>
    <row r="353" spans="2:39" s="303" customFormat="1" ht="28.5" x14ac:dyDescent="0.2">
      <c r="B353" s="341">
        <f t="shared" si="100"/>
        <v>343</v>
      </c>
      <c r="C353" s="459" t="s">
        <v>200</v>
      </c>
      <c r="D353" s="342" t="s">
        <v>208</v>
      </c>
      <c r="E353" s="341" t="s">
        <v>209</v>
      </c>
      <c r="F353" s="341">
        <v>14</v>
      </c>
      <c r="G353" s="341">
        <v>8170</v>
      </c>
      <c r="H353" s="341" t="s">
        <v>173</v>
      </c>
      <c r="I353" s="341">
        <v>2400</v>
      </c>
      <c r="J353" s="2"/>
      <c r="K353" s="345">
        <v>124</v>
      </c>
      <c r="L353" s="335" t="s">
        <v>121</v>
      </c>
      <c r="M353" s="336" t="s">
        <v>203</v>
      </c>
      <c r="N353" s="347" t="s">
        <v>6</v>
      </c>
      <c r="O353" s="323" t="s">
        <v>188</v>
      </c>
      <c r="P353" s="347" t="s">
        <v>187</v>
      </c>
      <c r="Q353" s="2"/>
      <c r="R353" s="348">
        <f>ROUNDUP((G353/2),0)</f>
        <v>4085</v>
      </c>
      <c r="S353" s="349">
        <v>2</v>
      </c>
      <c r="T353" s="349">
        <f t="shared" si="91"/>
        <v>28</v>
      </c>
      <c r="V353" s="338">
        <v>3660</v>
      </c>
      <c r="W353" s="350">
        <f t="shared" si="92"/>
        <v>0</v>
      </c>
      <c r="X353" s="350">
        <f t="shared" si="93"/>
        <v>95</v>
      </c>
      <c r="Y353" s="327">
        <v>3660</v>
      </c>
      <c r="Z353" s="340">
        <f>($R353*$T353)/$V353</f>
        <v>31.251366120218581</v>
      </c>
      <c r="AA353" s="392"/>
      <c r="AB353" s="329">
        <v>0.84899999999999998</v>
      </c>
      <c r="AC353" s="329">
        <v>0</v>
      </c>
      <c r="AE353" s="332">
        <f t="shared" si="105"/>
        <v>97.108619999999988</v>
      </c>
      <c r="AF353" s="332">
        <f t="shared" si="106"/>
        <v>97.108619999999988</v>
      </c>
      <c r="AG353" s="332">
        <f t="shared" si="103"/>
        <v>0</v>
      </c>
      <c r="AH353" s="333">
        <f t="shared" si="104"/>
        <v>1</v>
      </c>
      <c r="AI353" s="332">
        <f t="shared" si="97"/>
        <v>114.38</v>
      </c>
      <c r="AJ353" s="332">
        <f t="shared" si="94"/>
        <v>114.38000000000001</v>
      </c>
      <c r="AK353" s="332">
        <f t="shared" si="98"/>
        <v>0</v>
      </c>
      <c r="AL353" s="333">
        <f t="shared" si="99"/>
        <v>1.0000000000000002</v>
      </c>
    </row>
    <row r="354" spans="2:39" s="303" customFormat="1" ht="28.5" x14ac:dyDescent="0.2">
      <c r="B354" s="341">
        <f t="shared" si="100"/>
        <v>344</v>
      </c>
      <c r="C354" s="459" t="s">
        <v>200</v>
      </c>
      <c r="D354" s="342" t="s">
        <v>208</v>
      </c>
      <c r="E354" s="341" t="s">
        <v>209</v>
      </c>
      <c r="F354" s="341">
        <v>14</v>
      </c>
      <c r="G354" s="341">
        <v>8170</v>
      </c>
      <c r="H354" s="341" t="s">
        <v>173</v>
      </c>
      <c r="I354" s="341">
        <v>2400</v>
      </c>
      <c r="J354" s="2"/>
      <c r="K354" s="319">
        <v>126</v>
      </c>
      <c r="L354" s="321" t="s">
        <v>124</v>
      </c>
      <c r="M354" s="322" t="s">
        <v>125</v>
      </c>
      <c r="N354" s="321" t="s">
        <v>39</v>
      </c>
      <c r="O354" s="323" t="s">
        <v>188</v>
      </c>
      <c r="P354" s="321" t="s">
        <v>3</v>
      </c>
      <c r="Q354" s="2"/>
      <c r="R354" s="324">
        <f>ROUNDUP(600,0)</f>
        <v>600</v>
      </c>
      <c r="S354" s="325">
        <v>2</v>
      </c>
      <c r="T354" s="325">
        <f t="shared" si="91"/>
        <v>28</v>
      </c>
      <c r="V354" s="324">
        <v>5000</v>
      </c>
      <c r="W354" s="326">
        <f t="shared" si="92"/>
        <v>8</v>
      </c>
      <c r="X354" s="326">
        <f t="shared" si="93"/>
        <v>4935</v>
      </c>
      <c r="Y354" s="327">
        <v>4900</v>
      </c>
      <c r="Z354" s="328">
        <f t="shared" si="89"/>
        <v>3.5</v>
      </c>
      <c r="AA354" s="387">
        <v>49</v>
      </c>
      <c r="AB354" s="329">
        <v>2.109</v>
      </c>
      <c r="AC354" s="329">
        <v>0.70199999999999996</v>
      </c>
      <c r="AE354" s="332">
        <f t="shared" si="105"/>
        <v>35.431200000000004</v>
      </c>
      <c r="AF354" s="332">
        <f t="shared" si="106"/>
        <v>36.169349999999994</v>
      </c>
      <c r="AG354" s="332">
        <f t="shared" si="103"/>
        <v>-0.73814999999999031</v>
      </c>
      <c r="AH354" s="333">
        <f t="shared" si="104"/>
        <v>1.020833333333333</v>
      </c>
      <c r="AI354" s="332">
        <f t="shared" si="97"/>
        <v>16.8</v>
      </c>
      <c r="AJ354" s="332">
        <f t="shared" si="94"/>
        <v>17.150000000000002</v>
      </c>
      <c r="AK354" s="332">
        <f t="shared" si="98"/>
        <v>-0.35000000000000142</v>
      </c>
      <c r="AL354" s="333">
        <f t="shared" si="99"/>
        <v>1.0208333333333335</v>
      </c>
    </row>
    <row r="355" spans="2:39" s="303" customFormat="1" ht="28.5" x14ac:dyDescent="0.2">
      <c r="B355" s="341">
        <f t="shared" si="100"/>
        <v>345</v>
      </c>
      <c r="C355" s="459" t="s">
        <v>200</v>
      </c>
      <c r="D355" s="342" t="s">
        <v>208</v>
      </c>
      <c r="E355" s="341" t="s">
        <v>209</v>
      </c>
      <c r="F355" s="341">
        <v>14</v>
      </c>
      <c r="G355" s="341">
        <v>8170</v>
      </c>
      <c r="H355" s="341" t="s">
        <v>173</v>
      </c>
      <c r="I355" s="341">
        <v>2400</v>
      </c>
      <c r="J355" s="2"/>
      <c r="K355" s="319">
        <v>126</v>
      </c>
      <c r="L355" s="321" t="s">
        <v>126</v>
      </c>
      <c r="M355" s="322" t="s">
        <v>127</v>
      </c>
      <c r="N355" s="321" t="s">
        <v>39</v>
      </c>
      <c r="O355" s="323" t="s">
        <v>188</v>
      </c>
      <c r="P355" s="321" t="s">
        <v>3</v>
      </c>
      <c r="Q355" s="2"/>
      <c r="R355" s="324">
        <f t="shared" ref="R355:R358" si="108">ROUNDUP(600,0)</f>
        <v>600</v>
      </c>
      <c r="S355" s="325">
        <v>2</v>
      </c>
      <c r="T355" s="325">
        <f t="shared" si="91"/>
        <v>28</v>
      </c>
      <c r="V355" s="324">
        <v>5000</v>
      </c>
      <c r="W355" s="326">
        <f t="shared" si="92"/>
        <v>8</v>
      </c>
      <c r="X355" s="326">
        <f t="shared" si="93"/>
        <v>4935</v>
      </c>
      <c r="Y355" s="327">
        <v>4900</v>
      </c>
      <c r="Z355" s="328">
        <f t="shared" si="89"/>
        <v>3.5</v>
      </c>
      <c r="AA355" s="392"/>
      <c r="AB355" s="329">
        <v>0.88800000000000001</v>
      </c>
      <c r="AC355" s="329">
        <v>0.34</v>
      </c>
      <c r="AE355" s="332">
        <f t="shared" si="105"/>
        <v>14.9184</v>
      </c>
      <c r="AF355" s="332">
        <f t="shared" si="106"/>
        <v>15.229199999999999</v>
      </c>
      <c r="AG355" s="332">
        <f t="shared" si="103"/>
        <v>-0.31079999999999863</v>
      </c>
      <c r="AH355" s="333">
        <f t="shared" si="104"/>
        <v>1.0208333333333333</v>
      </c>
      <c r="AI355" s="329">
        <f t="shared" si="97"/>
        <v>16.8</v>
      </c>
      <c r="AJ355" s="329">
        <f t="shared" si="94"/>
        <v>17.150000000000002</v>
      </c>
      <c r="AK355" s="329">
        <f t="shared" si="98"/>
        <v>-0.35000000000000142</v>
      </c>
      <c r="AL355" s="382">
        <f t="shared" si="99"/>
        <v>1.0208333333333335</v>
      </c>
    </row>
    <row r="356" spans="2:39" s="303" customFormat="1" ht="28.5" x14ac:dyDescent="0.2">
      <c r="B356" s="341">
        <f t="shared" si="100"/>
        <v>346</v>
      </c>
      <c r="C356" s="459" t="s">
        <v>200</v>
      </c>
      <c r="D356" s="342" t="s">
        <v>208</v>
      </c>
      <c r="E356" s="341" t="s">
        <v>209</v>
      </c>
      <c r="F356" s="341">
        <v>14</v>
      </c>
      <c r="G356" s="341">
        <v>8170</v>
      </c>
      <c r="H356" s="341" t="s">
        <v>173</v>
      </c>
      <c r="I356" s="341">
        <v>2400</v>
      </c>
      <c r="J356" s="2"/>
      <c r="K356" s="319">
        <v>126</v>
      </c>
      <c r="L356" s="321" t="s">
        <v>48</v>
      </c>
      <c r="M356" s="322" t="s">
        <v>49</v>
      </c>
      <c r="N356" s="321" t="s">
        <v>39</v>
      </c>
      <c r="O356" s="323" t="s">
        <v>188</v>
      </c>
      <c r="P356" s="321" t="s">
        <v>3</v>
      </c>
      <c r="Q356" s="2"/>
      <c r="R356" s="324">
        <f t="shared" si="108"/>
        <v>600</v>
      </c>
      <c r="S356" s="325">
        <v>2</v>
      </c>
      <c r="T356" s="325">
        <f t="shared" si="91"/>
        <v>28</v>
      </c>
      <c r="V356" s="324">
        <v>5000</v>
      </c>
      <c r="W356" s="326">
        <f t="shared" si="92"/>
        <v>8</v>
      </c>
      <c r="X356" s="326">
        <f t="shared" si="93"/>
        <v>4935</v>
      </c>
      <c r="Y356" s="327">
        <v>4900</v>
      </c>
      <c r="Z356" s="328">
        <f t="shared" si="89"/>
        <v>3.5</v>
      </c>
      <c r="AA356" s="392"/>
      <c r="AB356" s="329">
        <v>0.81</v>
      </c>
      <c r="AC356" s="329">
        <v>0.28999999999999998</v>
      </c>
      <c r="AE356" s="332">
        <f t="shared" si="105"/>
        <v>13.608000000000002</v>
      </c>
      <c r="AF356" s="332">
        <f t="shared" si="106"/>
        <v>13.891500000000001</v>
      </c>
      <c r="AG356" s="332">
        <f t="shared" si="103"/>
        <v>-0.28349999999999831</v>
      </c>
      <c r="AH356" s="333">
        <f t="shared" si="104"/>
        <v>1.0208333333333333</v>
      </c>
      <c r="AI356" s="329">
        <f t="shared" si="97"/>
        <v>16.8</v>
      </c>
      <c r="AJ356" s="329">
        <f t="shared" si="94"/>
        <v>17.150000000000002</v>
      </c>
      <c r="AK356" s="329">
        <f t="shared" si="98"/>
        <v>-0.35000000000000142</v>
      </c>
      <c r="AL356" s="382">
        <f t="shared" si="99"/>
        <v>1.0208333333333335</v>
      </c>
    </row>
    <row r="357" spans="2:39" s="303" customFormat="1" ht="28.5" x14ac:dyDescent="0.2">
      <c r="B357" s="341">
        <f t="shared" si="100"/>
        <v>347</v>
      </c>
      <c r="C357" s="459" t="s">
        <v>200</v>
      </c>
      <c r="D357" s="342" t="s">
        <v>208</v>
      </c>
      <c r="E357" s="341" t="s">
        <v>209</v>
      </c>
      <c r="F357" s="341">
        <v>14</v>
      </c>
      <c r="G357" s="341">
        <v>8170</v>
      </c>
      <c r="H357" s="341" t="s">
        <v>173</v>
      </c>
      <c r="I357" s="341">
        <v>2400</v>
      </c>
      <c r="J357" s="2"/>
      <c r="K357" s="319">
        <v>126</v>
      </c>
      <c r="L357" s="321" t="s">
        <v>46</v>
      </c>
      <c r="M357" s="322" t="s">
        <v>47</v>
      </c>
      <c r="N357" s="321" t="s">
        <v>39</v>
      </c>
      <c r="O357" s="323" t="s">
        <v>188</v>
      </c>
      <c r="P357" s="321" t="s">
        <v>3</v>
      </c>
      <c r="Q357" s="2"/>
      <c r="R357" s="324">
        <f t="shared" si="108"/>
        <v>600</v>
      </c>
      <c r="S357" s="325">
        <v>2</v>
      </c>
      <c r="T357" s="325">
        <f t="shared" si="91"/>
        <v>28</v>
      </c>
      <c r="V357" s="324">
        <v>5000</v>
      </c>
      <c r="W357" s="326">
        <f t="shared" si="92"/>
        <v>8</v>
      </c>
      <c r="X357" s="326">
        <f t="shared" si="93"/>
        <v>4935</v>
      </c>
      <c r="Y357" s="327">
        <v>4900</v>
      </c>
      <c r="Z357" s="328">
        <f t="shared" si="89"/>
        <v>3.5</v>
      </c>
      <c r="AA357" s="387">
        <v>112</v>
      </c>
      <c r="AB357" s="329">
        <v>0.91600000000000004</v>
      </c>
      <c r="AC357" s="329">
        <v>0.33900000000000002</v>
      </c>
      <c r="AE357" s="332">
        <f t="shared" si="105"/>
        <v>15.388800000000002</v>
      </c>
      <c r="AF357" s="332">
        <f t="shared" si="106"/>
        <v>15.709399999999999</v>
      </c>
      <c r="AG357" s="332">
        <f t="shared" si="103"/>
        <v>-0.32059999999999711</v>
      </c>
      <c r="AH357" s="333">
        <f t="shared" si="104"/>
        <v>1.020833333333333</v>
      </c>
      <c r="AI357" s="329">
        <f t="shared" si="97"/>
        <v>16.8</v>
      </c>
      <c r="AJ357" s="329">
        <f t="shared" si="94"/>
        <v>17.150000000000002</v>
      </c>
      <c r="AK357" s="329">
        <f t="shared" si="98"/>
        <v>-0.35000000000000142</v>
      </c>
      <c r="AL357" s="382">
        <f t="shared" si="99"/>
        <v>1.0208333333333335</v>
      </c>
    </row>
    <row r="358" spans="2:39" s="303" customFormat="1" ht="28.5" x14ac:dyDescent="0.2">
      <c r="B358" s="341">
        <f t="shared" si="100"/>
        <v>348</v>
      </c>
      <c r="C358" s="459" t="s">
        <v>200</v>
      </c>
      <c r="D358" s="342" t="s">
        <v>208</v>
      </c>
      <c r="E358" s="341" t="s">
        <v>209</v>
      </c>
      <c r="F358" s="341">
        <v>14</v>
      </c>
      <c r="G358" s="341">
        <v>8170</v>
      </c>
      <c r="H358" s="341" t="s">
        <v>173</v>
      </c>
      <c r="I358" s="341">
        <v>2400</v>
      </c>
      <c r="J358" s="2"/>
      <c r="K358" s="468">
        <v>126</v>
      </c>
      <c r="L358" s="417">
        <v>21825</v>
      </c>
      <c r="M358" s="416" t="s">
        <v>45</v>
      </c>
      <c r="N358" s="417" t="s">
        <v>39</v>
      </c>
      <c r="O358" s="323" t="s">
        <v>188</v>
      </c>
      <c r="P358" s="321" t="s">
        <v>3</v>
      </c>
      <c r="Q358" s="2"/>
      <c r="R358" s="324">
        <f t="shared" si="108"/>
        <v>600</v>
      </c>
      <c r="S358" s="325">
        <v>2</v>
      </c>
      <c r="T358" s="325">
        <f t="shared" si="91"/>
        <v>28</v>
      </c>
      <c r="V358" s="324">
        <v>5000</v>
      </c>
      <c r="W358" s="326">
        <f t="shared" si="92"/>
        <v>8</v>
      </c>
      <c r="X358" s="326">
        <f t="shared" si="93"/>
        <v>4935</v>
      </c>
      <c r="Y358" s="327">
        <v>4900</v>
      </c>
      <c r="Z358" s="328">
        <f t="shared" si="89"/>
        <v>3.5</v>
      </c>
      <c r="AA358" s="387">
        <v>112</v>
      </c>
      <c r="AB358" s="329">
        <v>0.999</v>
      </c>
      <c r="AC358" s="329">
        <v>0.2382</v>
      </c>
      <c r="AE358" s="332">
        <f t="shared" si="105"/>
        <v>16.783200000000001</v>
      </c>
      <c r="AF358" s="332">
        <f t="shared" si="106"/>
        <v>17.132849999999998</v>
      </c>
      <c r="AG358" s="332">
        <f t="shared" si="103"/>
        <v>-0.34964999999999691</v>
      </c>
      <c r="AH358" s="333">
        <f t="shared" si="104"/>
        <v>1.020833333333333</v>
      </c>
      <c r="AI358" s="329">
        <f t="shared" si="97"/>
        <v>16.8</v>
      </c>
      <c r="AJ358" s="329">
        <f t="shared" si="94"/>
        <v>17.150000000000002</v>
      </c>
      <c r="AK358" s="329">
        <f t="shared" si="98"/>
        <v>-0.35000000000000142</v>
      </c>
      <c r="AL358" s="382">
        <f t="shared" si="99"/>
        <v>1.0208333333333335</v>
      </c>
    </row>
    <row r="359" spans="2:39" s="303" customFormat="1" ht="28.5" x14ac:dyDescent="0.2">
      <c r="B359" s="341">
        <f t="shared" si="100"/>
        <v>349</v>
      </c>
      <c r="C359" s="459" t="s">
        <v>200</v>
      </c>
      <c r="D359" s="342" t="s">
        <v>208</v>
      </c>
      <c r="E359" s="341" t="s">
        <v>209</v>
      </c>
      <c r="F359" s="341">
        <v>14</v>
      </c>
      <c r="G359" s="341">
        <v>8170</v>
      </c>
      <c r="H359" s="341" t="s">
        <v>173</v>
      </c>
      <c r="I359" s="341">
        <v>2400</v>
      </c>
      <c r="J359" s="2"/>
      <c r="K359" s="341">
        <v>126</v>
      </c>
      <c r="L359" s="342" t="s">
        <v>114</v>
      </c>
      <c r="M359" s="343" t="s">
        <v>115</v>
      </c>
      <c r="N359" s="342" t="s">
        <v>39</v>
      </c>
      <c r="O359" s="323" t="s">
        <v>188</v>
      </c>
      <c r="P359" s="342" t="s">
        <v>3</v>
      </c>
      <c r="Q359" s="2"/>
      <c r="R359" s="348">
        <f>ROUNDUP(600,0)</f>
        <v>600</v>
      </c>
      <c r="S359" s="349">
        <v>1</v>
      </c>
      <c r="T359" s="349">
        <f t="shared" si="91"/>
        <v>14</v>
      </c>
      <c r="V359" s="348">
        <v>6500</v>
      </c>
      <c r="W359" s="388">
        <f t="shared" si="92"/>
        <v>10</v>
      </c>
      <c r="X359" s="388">
        <f t="shared" si="93"/>
        <v>6145</v>
      </c>
      <c r="Y359" s="351">
        <v>6200</v>
      </c>
      <c r="Z359" s="389">
        <f t="shared" si="89"/>
        <v>1.4</v>
      </c>
      <c r="AA359" s="392"/>
      <c r="AB359" s="329">
        <v>0.83499999999999996</v>
      </c>
      <c r="AC359" s="329">
        <v>0.21299999999999999</v>
      </c>
      <c r="AE359" s="332">
        <f t="shared" si="105"/>
        <v>7.0140000000000002</v>
      </c>
      <c r="AF359" s="332">
        <f t="shared" si="106"/>
        <v>7.2477999999999998</v>
      </c>
      <c r="AG359" s="332">
        <f t="shared" si="103"/>
        <v>-0.23379999999999956</v>
      </c>
      <c r="AH359" s="333">
        <f t="shared" si="104"/>
        <v>1.0333333333333332</v>
      </c>
      <c r="AI359" s="332">
        <f t="shared" si="97"/>
        <v>8.4</v>
      </c>
      <c r="AJ359" s="332">
        <f t="shared" si="94"/>
        <v>8.68</v>
      </c>
      <c r="AK359" s="332">
        <f t="shared" si="98"/>
        <v>-0.27999999999999936</v>
      </c>
      <c r="AL359" s="333">
        <f t="shared" si="99"/>
        <v>1.0333333333333332</v>
      </c>
    </row>
    <row r="360" spans="2:39" s="303" customFormat="1" ht="28.5" x14ac:dyDescent="0.2">
      <c r="B360" s="341">
        <f t="shared" si="100"/>
        <v>350</v>
      </c>
      <c r="C360" s="459" t="s">
        <v>200</v>
      </c>
      <c r="D360" s="342" t="s">
        <v>208</v>
      </c>
      <c r="E360" s="341" t="s">
        <v>209</v>
      </c>
      <c r="F360" s="341">
        <v>14</v>
      </c>
      <c r="G360" s="341">
        <v>8170</v>
      </c>
      <c r="H360" s="341" t="s">
        <v>173</v>
      </c>
      <c r="I360" s="341">
        <v>2400</v>
      </c>
      <c r="J360" s="2"/>
      <c r="K360" s="341">
        <v>126</v>
      </c>
      <c r="L360" s="321" t="s">
        <v>50</v>
      </c>
      <c r="M360" s="322" t="s">
        <v>51</v>
      </c>
      <c r="N360" s="342" t="s">
        <v>39</v>
      </c>
      <c r="O360" s="323" t="s">
        <v>188</v>
      </c>
      <c r="P360" s="342" t="s">
        <v>3</v>
      </c>
      <c r="Q360" s="2"/>
      <c r="R360" s="348">
        <f>ROUNDUP(600,0)</f>
        <v>600</v>
      </c>
      <c r="S360" s="349">
        <v>1</v>
      </c>
      <c r="T360" s="349">
        <f t="shared" si="91"/>
        <v>14</v>
      </c>
      <c r="V360" s="348">
        <v>6500</v>
      </c>
      <c r="W360" s="388">
        <f t="shared" si="92"/>
        <v>10</v>
      </c>
      <c r="X360" s="388">
        <f t="shared" si="93"/>
        <v>6145</v>
      </c>
      <c r="Y360" s="351">
        <v>6200</v>
      </c>
      <c r="Z360" s="389">
        <f t="shared" si="89"/>
        <v>1.4</v>
      </c>
      <c r="AA360" s="406">
        <v>3</v>
      </c>
      <c r="AB360" s="395">
        <v>1.7110000000000001</v>
      </c>
      <c r="AC360" s="395">
        <v>0.34200000000000003</v>
      </c>
      <c r="AE360" s="332">
        <f t="shared" si="105"/>
        <v>14.372400000000001</v>
      </c>
      <c r="AF360" s="332">
        <f t="shared" si="106"/>
        <v>14.85148</v>
      </c>
      <c r="AG360" s="332">
        <f t="shared" si="103"/>
        <v>-0.47907999999999973</v>
      </c>
      <c r="AH360" s="333">
        <f t="shared" si="104"/>
        <v>1.0333333333333332</v>
      </c>
      <c r="AI360" s="332">
        <f t="shared" si="97"/>
        <v>8.4</v>
      </c>
      <c r="AJ360" s="332">
        <f t="shared" si="94"/>
        <v>8.68</v>
      </c>
      <c r="AK360" s="332">
        <f t="shared" si="98"/>
        <v>-0.27999999999999936</v>
      </c>
      <c r="AL360" s="333">
        <f t="shared" si="99"/>
        <v>1.0333333333333332</v>
      </c>
    </row>
    <row r="361" spans="2:39" s="303" customFormat="1" ht="28.5" x14ac:dyDescent="0.2">
      <c r="B361" s="341">
        <f t="shared" si="100"/>
        <v>351</v>
      </c>
      <c r="C361" s="459" t="s">
        <v>200</v>
      </c>
      <c r="D361" s="342" t="s">
        <v>208</v>
      </c>
      <c r="E361" s="341" t="s">
        <v>209</v>
      </c>
      <c r="F361" s="341">
        <v>14</v>
      </c>
      <c r="G361" s="341">
        <v>8170</v>
      </c>
      <c r="H361" s="341" t="s">
        <v>173</v>
      </c>
      <c r="I361" s="341">
        <v>2400</v>
      </c>
      <c r="J361" s="2"/>
      <c r="K361" s="345">
        <v>126</v>
      </c>
      <c r="L361" s="347">
        <v>10926</v>
      </c>
      <c r="M361" s="346" t="s">
        <v>36</v>
      </c>
      <c r="N361" s="347" t="s">
        <v>6</v>
      </c>
      <c r="O361" s="323" t="s">
        <v>188</v>
      </c>
      <c r="P361" s="347" t="s">
        <v>187</v>
      </c>
      <c r="Q361" s="2"/>
      <c r="R361" s="348">
        <f>ROUNDUP(600,0)</f>
        <v>600</v>
      </c>
      <c r="S361" s="349">
        <v>1</v>
      </c>
      <c r="T361" s="349">
        <f t="shared" si="91"/>
        <v>14</v>
      </c>
      <c r="V361" s="348">
        <v>6100</v>
      </c>
      <c r="W361" s="350">
        <f t="shared" si="92"/>
        <v>10</v>
      </c>
      <c r="X361" s="350">
        <f t="shared" si="93"/>
        <v>6145</v>
      </c>
      <c r="Y361" s="351">
        <v>6100</v>
      </c>
      <c r="Z361" s="389">
        <f t="shared" si="89"/>
        <v>1.4</v>
      </c>
      <c r="AA361" s="392"/>
      <c r="AB361" s="329">
        <v>0.76700000000000002</v>
      </c>
      <c r="AC361" s="329"/>
      <c r="AE361" s="332">
        <f t="shared" si="105"/>
        <v>6.4428000000000001</v>
      </c>
      <c r="AF361" s="332">
        <f t="shared" si="106"/>
        <v>6.5501799999999992</v>
      </c>
      <c r="AG361" s="332">
        <f t="shared" si="103"/>
        <v>-0.10737999999999914</v>
      </c>
      <c r="AH361" s="333">
        <f t="shared" si="104"/>
        <v>1.0166666666666666</v>
      </c>
      <c r="AI361" s="332">
        <f t="shared" si="97"/>
        <v>8.4</v>
      </c>
      <c r="AJ361" s="332">
        <f t="shared" si="94"/>
        <v>8.5399999999999991</v>
      </c>
      <c r="AK361" s="332">
        <f t="shared" si="98"/>
        <v>-0.13999999999999879</v>
      </c>
      <c r="AL361" s="333">
        <f t="shared" si="99"/>
        <v>1.0166666666666666</v>
      </c>
    </row>
    <row r="362" spans="2:39" s="353" customFormat="1" ht="30" customHeight="1" thickBot="1" x14ac:dyDescent="0.3">
      <c r="B362" s="341">
        <f t="shared" si="100"/>
        <v>352</v>
      </c>
      <c r="C362" s="459" t="s">
        <v>200</v>
      </c>
      <c r="D362" s="342" t="s">
        <v>208</v>
      </c>
      <c r="E362" s="341" t="s">
        <v>209</v>
      </c>
      <c r="F362" s="341">
        <v>14</v>
      </c>
      <c r="G362" s="341">
        <v>8170</v>
      </c>
      <c r="H362" s="341" t="s">
        <v>173</v>
      </c>
      <c r="I362" s="341">
        <v>2400</v>
      </c>
      <c r="J362" s="2"/>
      <c r="K362" s="363"/>
      <c r="L362" s="364" t="s">
        <v>28</v>
      </c>
      <c r="M362" s="365" t="s">
        <v>29</v>
      </c>
      <c r="N362" s="470" t="s">
        <v>6</v>
      </c>
      <c r="O362" s="366" t="s">
        <v>189</v>
      </c>
      <c r="P362" s="367" t="s">
        <v>187</v>
      </c>
      <c r="Q362" s="2"/>
      <c r="R362" s="368">
        <v>51</v>
      </c>
      <c r="S362" s="369">
        <f>4*8</f>
        <v>32</v>
      </c>
      <c r="T362" s="369">
        <f t="shared" si="91"/>
        <v>448</v>
      </c>
      <c r="U362" s="303"/>
      <c r="V362" s="368">
        <v>3250</v>
      </c>
      <c r="W362" s="370">
        <f t="shared" si="92"/>
        <v>63</v>
      </c>
      <c r="X362" s="370">
        <f t="shared" si="93"/>
        <v>3623</v>
      </c>
      <c r="Y362" s="371">
        <v>3660</v>
      </c>
      <c r="Z362" s="372">
        <f t="shared" si="89"/>
        <v>7.1111111111111107</v>
      </c>
      <c r="AA362" s="392"/>
      <c r="AB362" s="373">
        <v>1.641</v>
      </c>
      <c r="AC362" s="373">
        <v>0.20319999999999999</v>
      </c>
      <c r="AD362" s="303"/>
      <c r="AE362" s="373">
        <f t="shared" si="105"/>
        <v>37.493567999999996</v>
      </c>
      <c r="AF362" s="373">
        <f t="shared" si="106"/>
        <v>42.709759999999996</v>
      </c>
      <c r="AG362" s="373">
        <f t="shared" si="103"/>
        <v>-5.2161919999999995</v>
      </c>
      <c r="AH362" s="374">
        <f t="shared" si="104"/>
        <v>1.1391223155929038</v>
      </c>
      <c r="AI362" s="476">
        <f>+AG362/AF362</f>
        <v>-0.1221311475409836</v>
      </c>
      <c r="AJ362" s="373">
        <f t="shared" si="94"/>
        <v>26.026666666666667</v>
      </c>
      <c r="AK362" s="474">
        <f>($R362/1000)*$T362</f>
        <v>22.847999999999999</v>
      </c>
      <c r="AL362" s="474">
        <f>($Y362/1000)*$Z362</f>
        <v>26.026666666666667</v>
      </c>
      <c r="AM362" s="303"/>
    </row>
    <row r="363" spans="2:39" s="303" customFormat="1" ht="28.5" x14ac:dyDescent="0.2">
      <c r="B363" s="375">
        <f>B362+1</f>
        <v>353</v>
      </c>
      <c r="C363" s="457" t="s">
        <v>200</v>
      </c>
      <c r="D363" s="394" t="s">
        <v>211</v>
      </c>
      <c r="E363" s="408" t="s">
        <v>212</v>
      </c>
      <c r="F363" s="408">
        <v>1</v>
      </c>
      <c r="G363" s="408">
        <v>26170</v>
      </c>
      <c r="H363" s="375" t="s">
        <v>173</v>
      </c>
      <c r="I363" s="375">
        <v>2400</v>
      </c>
      <c r="J363" s="2"/>
      <c r="K363" s="319">
        <v>127</v>
      </c>
      <c r="L363" s="321">
        <v>20626</v>
      </c>
      <c r="M363" s="322" t="s">
        <v>44</v>
      </c>
      <c r="N363" s="321" t="s">
        <v>39</v>
      </c>
      <c r="O363" s="378" t="s">
        <v>186</v>
      </c>
      <c r="P363" s="321" t="s">
        <v>3</v>
      </c>
      <c r="Q363" s="2"/>
      <c r="R363" s="324">
        <f t="shared" ref="R363:R386" si="109">ROUNDUP(I363,0)</f>
        <v>2400</v>
      </c>
      <c r="S363" s="325">
        <v>1</v>
      </c>
      <c r="T363" s="325">
        <f t="shared" si="91"/>
        <v>1</v>
      </c>
      <c r="V363" s="324">
        <v>7000</v>
      </c>
      <c r="W363" s="326">
        <f t="shared" si="92"/>
        <v>2</v>
      </c>
      <c r="X363" s="326">
        <f t="shared" si="93"/>
        <v>4905</v>
      </c>
      <c r="Y363" s="327">
        <v>4900</v>
      </c>
      <c r="Z363" s="328">
        <f t="shared" si="89"/>
        <v>0.5</v>
      </c>
      <c r="AA363" s="304"/>
      <c r="AB363" s="329">
        <v>2.7930000000000001</v>
      </c>
      <c r="AC363" s="329">
        <v>0.45068000000000003</v>
      </c>
      <c r="AE363" s="330">
        <f t="shared" si="105"/>
        <v>6.7031999999999998</v>
      </c>
      <c r="AF363" s="330">
        <f t="shared" si="106"/>
        <v>6.8428500000000012</v>
      </c>
      <c r="AG363" s="330">
        <f t="shared" si="103"/>
        <v>-0.13965000000000138</v>
      </c>
      <c r="AH363" s="331">
        <f t="shared" si="104"/>
        <v>1.0208333333333335</v>
      </c>
      <c r="AI363" s="329">
        <f t="shared" ref="AI363:AI414" si="110">($R363/1000)*$T363</f>
        <v>2.4</v>
      </c>
      <c r="AJ363" s="329">
        <f t="shared" si="94"/>
        <v>2.4500000000000002</v>
      </c>
      <c r="AK363" s="329">
        <f t="shared" ref="AK363:AK414" si="111">+AI363-AJ363</f>
        <v>-5.0000000000000266E-2</v>
      </c>
      <c r="AL363" s="382">
        <f t="shared" ref="AL363:AL414" si="112">+AJ363/AI363</f>
        <v>1.0208333333333335</v>
      </c>
    </row>
    <row r="364" spans="2:39" s="303" customFormat="1" ht="28.5" x14ac:dyDescent="0.2">
      <c r="B364" s="341">
        <f t="shared" si="100"/>
        <v>354</v>
      </c>
      <c r="C364" s="458" t="s">
        <v>200</v>
      </c>
      <c r="D364" s="342" t="s">
        <v>211</v>
      </c>
      <c r="E364" s="341" t="s">
        <v>212</v>
      </c>
      <c r="F364" s="341">
        <v>1</v>
      </c>
      <c r="G364" s="341">
        <v>26170</v>
      </c>
      <c r="H364" s="341" t="s">
        <v>173</v>
      </c>
      <c r="I364" s="341">
        <v>2400</v>
      </c>
      <c r="J364" s="2"/>
      <c r="K364" s="319">
        <v>127</v>
      </c>
      <c r="L364" s="321">
        <v>21825</v>
      </c>
      <c r="M364" s="322" t="s">
        <v>45</v>
      </c>
      <c r="N364" s="321" t="s">
        <v>39</v>
      </c>
      <c r="O364" s="323" t="s">
        <v>186</v>
      </c>
      <c r="P364" s="321" t="s">
        <v>3</v>
      </c>
      <c r="Q364" s="2"/>
      <c r="R364" s="324">
        <f t="shared" si="109"/>
        <v>2400</v>
      </c>
      <c r="S364" s="325">
        <v>1</v>
      </c>
      <c r="T364" s="325">
        <f t="shared" si="91"/>
        <v>1</v>
      </c>
      <c r="V364" s="324">
        <v>7000</v>
      </c>
      <c r="W364" s="326">
        <f t="shared" si="92"/>
        <v>2</v>
      </c>
      <c r="X364" s="326">
        <f t="shared" si="93"/>
        <v>4905</v>
      </c>
      <c r="Y364" s="327">
        <v>4900</v>
      </c>
      <c r="Z364" s="328">
        <f t="shared" si="89"/>
        <v>0.5</v>
      </c>
      <c r="AA364" s="392"/>
      <c r="AB364" s="329">
        <v>0.999</v>
      </c>
      <c r="AC364" s="329">
        <v>0.2382</v>
      </c>
      <c r="AE364" s="332">
        <f t="shared" si="105"/>
        <v>2.3975999999999997</v>
      </c>
      <c r="AF364" s="332">
        <f t="shared" si="106"/>
        <v>2.4475500000000001</v>
      </c>
      <c r="AG364" s="332">
        <f t="shared" si="103"/>
        <v>-4.9950000000000383E-2</v>
      </c>
      <c r="AH364" s="333">
        <f t="shared" si="104"/>
        <v>1.0208333333333335</v>
      </c>
      <c r="AI364" s="329">
        <f t="shared" si="110"/>
        <v>2.4</v>
      </c>
      <c r="AJ364" s="329">
        <f t="shared" si="94"/>
        <v>2.4500000000000002</v>
      </c>
      <c r="AK364" s="329">
        <f t="shared" si="111"/>
        <v>-5.0000000000000266E-2</v>
      </c>
      <c r="AL364" s="382">
        <f t="shared" si="112"/>
        <v>1.0208333333333335</v>
      </c>
    </row>
    <row r="365" spans="2:39" s="303" customFormat="1" ht="28.5" x14ac:dyDescent="0.2">
      <c r="B365" s="341">
        <f t="shared" si="100"/>
        <v>355</v>
      </c>
      <c r="C365" s="458" t="s">
        <v>200</v>
      </c>
      <c r="D365" s="342" t="s">
        <v>211</v>
      </c>
      <c r="E365" s="341" t="s">
        <v>212</v>
      </c>
      <c r="F365" s="341">
        <v>1</v>
      </c>
      <c r="G365" s="341">
        <v>26170</v>
      </c>
      <c r="H365" s="341" t="s">
        <v>173</v>
      </c>
      <c r="I365" s="341">
        <v>2400</v>
      </c>
      <c r="J365" s="2"/>
      <c r="K365" s="319">
        <v>127</v>
      </c>
      <c r="L365" s="321" t="s">
        <v>48</v>
      </c>
      <c r="M365" s="322" t="s">
        <v>49</v>
      </c>
      <c r="N365" s="321" t="s">
        <v>39</v>
      </c>
      <c r="O365" s="323" t="s">
        <v>186</v>
      </c>
      <c r="P365" s="321" t="s">
        <v>3</v>
      </c>
      <c r="Q365" s="2"/>
      <c r="R365" s="324">
        <f t="shared" si="109"/>
        <v>2400</v>
      </c>
      <c r="S365" s="325">
        <v>1</v>
      </c>
      <c r="T365" s="325">
        <f t="shared" si="91"/>
        <v>1</v>
      </c>
      <c r="V365" s="324">
        <v>7000</v>
      </c>
      <c r="W365" s="326">
        <f t="shared" si="92"/>
        <v>2</v>
      </c>
      <c r="X365" s="326">
        <f t="shared" si="93"/>
        <v>4905</v>
      </c>
      <c r="Y365" s="327">
        <v>4900</v>
      </c>
      <c r="Z365" s="328">
        <f t="shared" si="89"/>
        <v>0.5</v>
      </c>
      <c r="AA365" s="392"/>
      <c r="AB365" s="329">
        <v>0.81</v>
      </c>
      <c r="AC365" s="329">
        <v>0.28999999999999998</v>
      </c>
      <c r="AE365" s="332">
        <f t="shared" si="105"/>
        <v>1.944</v>
      </c>
      <c r="AF365" s="332">
        <f t="shared" si="106"/>
        <v>1.9845000000000004</v>
      </c>
      <c r="AG365" s="332">
        <f t="shared" si="103"/>
        <v>-4.0500000000000425E-2</v>
      </c>
      <c r="AH365" s="333">
        <f t="shared" si="104"/>
        <v>1.0208333333333335</v>
      </c>
      <c r="AI365" s="329">
        <f t="shared" si="110"/>
        <v>2.4</v>
      </c>
      <c r="AJ365" s="329">
        <f t="shared" si="94"/>
        <v>2.4500000000000002</v>
      </c>
      <c r="AK365" s="329">
        <f t="shared" si="111"/>
        <v>-5.0000000000000266E-2</v>
      </c>
      <c r="AL365" s="382">
        <f t="shared" si="112"/>
        <v>1.0208333333333335</v>
      </c>
    </row>
    <row r="366" spans="2:39" s="303" customFormat="1" ht="28.5" x14ac:dyDescent="0.2">
      <c r="B366" s="319">
        <f t="shared" si="100"/>
        <v>356</v>
      </c>
      <c r="C366" s="458" t="s">
        <v>200</v>
      </c>
      <c r="D366" s="342" t="s">
        <v>211</v>
      </c>
      <c r="E366" s="341" t="s">
        <v>212</v>
      </c>
      <c r="F366" s="341">
        <v>1</v>
      </c>
      <c r="G366" s="341">
        <v>26170</v>
      </c>
      <c r="H366" s="341" t="s">
        <v>173</v>
      </c>
      <c r="I366" s="341">
        <v>2400</v>
      </c>
      <c r="J366" s="2"/>
      <c r="K366" s="319">
        <v>127</v>
      </c>
      <c r="L366" s="321" t="s">
        <v>46</v>
      </c>
      <c r="M366" s="322" t="s">
        <v>47</v>
      </c>
      <c r="N366" s="321" t="s">
        <v>39</v>
      </c>
      <c r="O366" s="323" t="s">
        <v>186</v>
      </c>
      <c r="P366" s="321" t="s">
        <v>3</v>
      </c>
      <c r="Q366" s="2"/>
      <c r="R366" s="324">
        <f t="shared" si="109"/>
        <v>2400</v>
      </c>
      <c r="S366" s="325">
        <v>1</v>
      </c>
      <c r="T366" s="325">
        <f t="shared" si="91"/>
        <v>1</v>
      </c>
      <c r="V366" s="324">
        <v>7000</v>
      </c>
      <c r="W366" s="326">
        <f t="shared" si="92"/>
        <v>2</v>
      </c>
      <c r="X366" s="326">
        <f t="shared" si="93"/>
        <v>4905</v>
      </c>
      <c r="Y366" s="327">
        <v>4900</v>
      </c>
      <c r="Z366" s="328">
        <f t="shared" si="89"/>
        <v>0.5</v>
      </c>
      <c r="AA366" s="392"/>
      <c r="AB366" s="329">
        <v>0.91600000000000004</v>
      </c>
      <c r="AC366" s="329">
        <v>0.33900000000000002</v>
      </c>
      <c r="AE366" s="332">
        <f t="shared" si="105"/>
        <v>2.1983999999999999</v>
      </c>
      <c r="AF366" s="332">
        <f t="shared" si="106"/>
        <v>2.2442000000000002</v>
      </c>
      <c r="AG366" s="332">
        <f t="shared" si="103"/>
        <v>-4.5800000000000285E-2</v>
      </c>
      <c r="AH366" s="333">
        <f t="shared" si="104"/>
        <v>1.0208333333333335</v>
      </c>
      <c r="AI366" s="329">
        <f t="shared" si="110"/>
        <v>2.4</v>
      </c>
      <c r="AJ366" s="329">
        <f t="shared" si="94"/>
        <v>2.4500000000000002</v>
      </c>
      <c r="AK366" s="329">
        <f t="shared" si="111"/>
        <v>-5.0000000000000266E-2</v>
      </c>
      <c r="AL366" s="382">
        <f t="shared" si="112"/>
        <v>1.0208333333333335</v>
      </c>
    </row>
    <row r="367" spans="2:39" s="303" customFormat="1" ht="28.5" x14ac:dyDescent="0.2">
      <c r="B367" s="319">
        <f t="shared" si="100"/>
        <v>357</v>
      </c>
      <c r="C367" s="458" t="s">
        <v>200</v>
      </c>
      <c r="D367" s="342" t="s">
        <v>211</v>
      </c>
      <c r="E367" s="341" t="s">
        <v>212</v>
      </c>
      <c r="F367" s="341">
        <v>1</v>
      </c>
      <c r="G367" s="341">
        <v>26170</v>
      </c>
      <c r="H367" s="341" t="s">
        <v>173</v>
      </c>
      <c r="I367" s="341">
        <v>2400</v>
      </c>
      <c r="J367" s="2"/>
      <c r="K367" s="334">
        <v>127</v>
      </c>
      <c r="L367" s="335" t="s">
        <v>121</v>
      </c>
      <c r="M367" s="336" t="s">
        <v>203</v>
      </c>
      <c r="N367" s="337" t="s">
        <v>6</v>
      </c>
      <c r="O367" s="323" t="s">
        <v>186</v>
      </c>
      <c r="P367" s="337" t="s">
        <v>187</v>
      </c>
      <c r="Q367" s="2"/>
      <c r="R367" s="324">
        <f t="shared" si="109"/>
        <v>2400</v>
      </c>
      <c r="S367" s="325">
        <v>1</v>
      </c>
      <c r="T367" s="325">
        <f t="shared" si="91"/>
        <v>1</v>
      </c>
      <c r="V367" s="338">
        <v>3660</v>
      </c>
      <c r="W367" s="339">
        <f t="shared" si="92"/>
        <v>1</v>
      </c>
      <c r="X367" s="339">
        <f t="shared" si="93"/>
        <v>2500</v>
      </c>
      <c r="Y367" s="327">
        <v>3660</v>
      </c>
      <c r="Z367" s="340">
        <f>($R367*$T367)/$V367</f>
        <v>0.65573770491803274</v>
      </c>
      <c r="AA367" s="392"/>
      <c r="AB367" s="329">
        <v>0.84899999999999998</v>
      </c>
      <c r="AC367" s="329">
        <v>0</v>
      </c>
      <c r="AE367" s="332">
        <f t="shared" si="105"/>
        <v>2.0375999999999999</v>
      </c>
      <c r="AF367" s="332">
        <f t="shared" si="106"/>
        <v>2.0375999999999999</v>
      </c>
      <c r="AG367" s="332">
        <f t="shared" si="103"/>
        <v>0</v>
      </c>
      <c r="AH367" s="333">
        <f t="shared" si="104"/>
        <v>1</v>
      </c>
      <c r="AI367" s="329">
        <f t="shared" si="110"/>
        <v>2.4</v>
      </c>
      <c r="AJ367" s="329">
        <f t="shared" si="94"/>
        <v>2.4</v>
      </c>
      <c r="AK367" s="329">
        <f t="shared" si="111"/>
        <v>0</v>
      </c>
      <c r="AL367" s="382">
        <f t="shared" si="112"/>
        <v>1</v>
      </c>
    </row>
    <row r="368" spans="2:39" s="303" customFormat="1" ht="28.5" x14ac:dyDescent="0.2">
      <c r="B368" s="319">
        <f t="shared" si="100"/>
        <v>358</v>
      </c>
      <c r="C368" s="458" t="s">
        <v>200</v>
      </c>
      <c r="D368" s="342" t="s">
        <v>211</v>
      </c>
      <c r="E368" s="341" t="s">
        <v>212</v>
      </c>
      <c r="F368" s="341">
        <v>1</v>
      </c>
      <c r="G368" s="341">
        <v>26170</v>
      </c>
      <c r="H368" s="341" t="s">
        <v>173</v>
      </c>
      <c r="I368" s="341">
        <v>2400</v>
      </c>
      <c r="J368" s="2"/>
      <c r="K368" s="334">
        <v>127</v>
      </c>
      <c r="L368" s="337">
        <v>10926</v>
      </c>
      <c r="M368" s="336" t="s">
        <v>36</v>
      </c>
      <c r="N368" s="337" t="s">
        <v>6</v>
      </c>
      <c r="O368" s="323" t="s">
        <v>186</v>
      </c>
      <c r="P368" s="337" t="s">
        <v>187</v>
      </c>
      <c r="Q368" s="2"/>
      <c r="R368" s="324">
        <f t="shared" si="109"/>
        <v>2400</v>
      </c>
      <c r="S368" s="325">
        <v>1</v>
      </c>
      <c r="T368" s="325">
        <f t="shared" si="91"/>
        <v>1</v>
      </c>
      <c r="V368" s="324">
        <v>6100</v>
      </c>
      <c r="W368" s="339">
        <f t="shared" si="92"/>
        <v>2</v>
      </c>
      <c r="X368" s="339">
        <f t="shared" si="93"/>
        <v>4905</v>
      </c>
      <c r="Y368" s="327">
        <v>6100</v>
      </c>
      <c r="Z368" s="328">
        <f t="shared" si="89"/>
        <v>0.5</v>
      </c>
      <c r="AA368" s="392"/>
      <c r="AB368" s="329">
        <v>0.76700000000000002</v>
      </c>
      <c r="AC368" s="329"/>
      <c r="AE368" s="332">
        <f t="shared" si="105"/>
        <v>1.8408</v>
      </c>
      <c r="AF368" s="332">
        <f t="shared" si="106"/>
        <v>2.33935</v>
      </c>
      <c r="AG368" s="332">
        <f t="shared" si="103"/>
        <v>-0.49855000000000005</v>
      </c>
      <c r="AH368" s="333">
        <f t="shared" si="104"/>
        <v>1.2708333333333333</v>
      </c>
      <c r="AI368" s="329">
        <f t="shared" si="110"/>
        <v>2.4</v>
      </c>
      <c r="AJ368" s="329">
        <f t="shared" si="94"/>
        <v>3.05</v>
      </c>
      <c r="AK368" s="329">
        <f t="shared" si="111"/>
        <v>-0.64999999999999991</v>
      </c>
      <c r="AL368" s="382">
        <f t="shared" si="112"/>
        <v>1.2708333333333333</v>
      </c>
    </row>
    <row r="369" spans="2:38" s="303" customFormat="1" ht="28.5" x14ac:dyDescent="0.2">
      <c r="B369" s="319">
        <f t="shared" si="100"/>
        <v>359</v>
      </c>
      <c r="C369" s="458" t="s">
        <v>200</v>
      </c>
      <c r="D369" s="342" t="s">
        <v>211</v>
      </c>
      <c r="E369" s="341" t="s">
        <v>212</v>
      </c>
      <c r="F369" s="341">
        <v>1</v>
      </c>
      <c r="G369" s="341">
        <v>26170</v>
      </c>
      <c r="H369" s="341" t="s">
        <v>173</v>
      </c>
      <c r="I369" s="341">
        <v>2400</v>
      </c>
      <c r="J369" s="2"/>
      <c r="K369" s="319">
        <v>127</v>
      </c>
      <c r="L369" s="321" t="s">
        <v>114</v>
      </c>
      <c r="M369" s="322" t="s">
        <v>115</v>
      </c>
      <c r="N369" s="321" t="s">
        <v>39</v>
      </c>
      <c r="O369" s="323" t="s">
        <v>186</v>
      </c>
      <c r="P369" s="321" t="s">
        <v>3</v>
      </c>
      <c r="Q369" s="2"/>
      <c r="R369" s="324">
        <f t="shared" si="109"/>
        <v>2400</v>
      </c>
      <c r="S369" s="325">
        <v>1</v>
      </c>
      <c r="T369" s="325">
        <f t="shared" si="91"/>
        <v>1</v>
      </c>
      <c r="V369" s="324">
        <v>7000</v>
      </c>
      <c r="W369" s="326">
        <f t="shared" si="92"/>
        <v>2</v>
      </c>
      <c r="X369" s="326">
        <f t="shared" si="93"/>
        <v>4905</v>
      </c>
      <c r="Y369" s="327">
        <v>4900</v>
      </c>
      <c r="Z369" s="328">
        <f t="shared" si="89"/>
        <v>0.5</v>
      </c>
      <c r="AA369" s="304"/>
      <c r="AB369" s="329">
        <v>0.83499999999999996</v>
      </c>
      <c r="AC369" s="329">
        <v>0.21299999999999999</v>
      </c>
      <c r="AE369" s="332">
        <f t="shared" si="105"/>
        <v>2.004</v>
      </c>
      <c r="AF369" s="332">
        <f t="shared" si="106"/>
        <v>2.04575</v>
      </c>
      <c r="AG369" s="332">
        <f t="shared" si="103"/>
        <v>-4.1749999999999954E-2</v>
      </c>
      <c r="AH369" s="333">
        <f t="shared" si="104"/>
        <v>1.0208333333333333</v>
      </c>
      <c r="AI369" s="329">
        <f t="shared" si="110"/>
        <v>2.4</v>
      </c>
      <c r="AJ369" s="329">
        <f t="shared" si="94"/>
        <v>2.4500000000000002</v>
      </c>
      <c r="AK369" s="329">
        <f t="shared" si="111"/>
        <v>-5.0000000000000266E-2</v>
      </c>
      <c r="AL369" s="382">
        <f t="shared" si="112"/>
        <v>1.0208333333333335</v>
      </c>
    </row>
    <row r="370" spans="2:38" s="303" customFormat="1" ht="28.5" x14ac:dyDescent="0.2">
      <c r="B370" s="341">
        <f t="shared" si="100"/>
        <v>360</v>
      </c>
      <c r="C370" s="459" t="s">
        <v>200</v>
      </c>
      <c r="D370" s="342" t="s">
        <v>211</v>
      </c>
      <c r="E370" s="341" t="s">
        <v>212</v>
      </c>
      <c r="F370" s="341">
        <v>1</v>
      </c>
      <c r="G370" s="341">
        <v>26170</v>
      </c>
      <c r="H370" s="341" t="s">
        <v>173</v>
      </c>
      <c r="I370" s="341">
        <v>2400</v>
      </c>
      <c r="J370" s="2"/>
      <c r="K370" s="319">
        <v>127</v>
      </c>
      <c r="L370" s="321" t="s">
        <v>50</v>
      </c>
      <c r="M370" s="322" t="s">
        <v>51</v>
      </c>
      <c r="N370" s="321" t="s">
        <v>39</v>
      </c>
      <c r="O370" s="323" t="s">
        <v>186</v>
      </c>
      <c r="P370" s="321" t="s">
        <v>3</v>
      </c>
      <c r="Q370" s="2"/>
      <c r="R370" s="324">
        <f t="shared" si="109"/>
        <v>2400</v>
      </c>
      <c r="S370" s="325">
        <v>1</v>
      </c>
      <c r="T370" s="325">
        <f t="shared" si="91"/>
        <v>1</v>
      </c>
      <c r="V370" s="324">
        <v>6000</v>
      </c>
      <c r="W370" s="326">
        <f t="shared" si="92"/>
        <v>2</v>
      </c>
      <c r="X370" s="326">
        <f t="shared" si="93"/>
        <v>4905</v>
      </c>
      <c r="Y370" s="327">
        <v>4900</v>
      </c>
      <c r="Z370" s="328">
        <f t="shared" si="89"/>
        <v>0.5</v>
      </c>
      <c r="AA370" s="392"/>
      <c r="AB370" s="395">
        <v>1.7110000000000001</v>
      </c>
      <c r="AC370" s="395">
        <v>0.34200000000000003</v>
      </c>
      <c r="AE370" s="332">
        <f t="shared" si="105"/>
        <v>4.1063999999999998</v>
      </c>
      <c r="AF370" s="332">
        <f t="shared" si="106"/>
        <v>4.1919500000000003</v>
      </c>
      <c r="AG370" s="332">
        <f t="shared" si="103"/>
        <v>-8.5550000000000459E-2</v>
      </c>
      <c r="AH370" s="333">
        <f t="shared" si="104"/>
        <v>1.0208333333333335</v>
      </c>
      <c r="AI370" s="329">
        <f t="shared" si="110"/>
        <v>2.4</v>
      </c>
      <c r="AJ370" s="329">
        <f t="shared" si="94"/>
        <v>2.4500000000000002</v>
      </c>
      <c r="AK370" s="329">
        <f t="shared" si="111"/>
        <v>-5.0000000000000266E-2</v>
      </c>
      <c r="AL370" s="382">
        <f t="shared" si="112"/>
        <v>1.0208333333333335</v>
      </c>
    </row>
    <row r="371" spans="2:38" s="303" customFormat="1" ht="28.5" x14ac:dyDescent="0.2">
      <c r="B371" s="341">
        <f t="shared" si="100"/>
        <v>361</v>
      </c>
      <c r="C371" s="459" t="s">
        <v>200</v>
      </c>
      <c r="D371" s="342" t="s">
        <v>211</v>
      </c>
      <c r="E371" s="341" t="s">
        <v>212</v>
      </c>
      <c r="F371" s="341">
        <v>1</v>
      </c>
      <c r="G371" s="341">
        <v>26170</v>
      </c>
      <c r="H371" s="341" t="s">
        <v>173</v>
      </c>
      <c r="I371" s="341">
        <v>2400</v>
      </c>
      <c r="J371" s="2"/>
      <c r="K371" s="319">
        <v>128</v>
      </c>
      <c r="L371" s="321">
        <v>20626</v>
      </c>
      <c r="M371" s="322" t="s">
        <v>44</v>
      </c>
      <c r="N371" s="321" t="s">
        <v>39</v>
      </c>
      <c r="O371" s="323" t="s">
        <v>186</v>
      </c>
      <c r="P371" s="321" t="s">
        <v>3</v>
      </c>
      <c r="Q371" s="2"/>
      <c r="R371" s="324">
        <f t="shared" si="109"/>
        <v>2400</v>
      </c>
      <c r="S371" s="325">
        <v>1</v>
      </c>
      <c r="T371" s="325">
        <f t="shared" si="91"/>
        <v>1</v>
      </c>
      <c r="V371" s="324">
        <v>7000</v>
      </c>
      <c r="W371" s="326">
        <f t="shared" si="92"/>
        <v>2</v>
      </c>
      <c r="X371" s="326">
        <f t="shared" si="93"/>
        <v>4905</v>
      </c>
      <c r="Y371" s="327">
        <v>4900</v>
      </c>
      <c r="Z371" s="328">
        <f t="shared" si="89"/>
        <v>0.5</v>
      </c>
      <c r="AA371" s="304"/>
      <c r="AB371" s="329">
        <v>2.7930000000000001</v>
      </c>
      <c r="AC371" s="329">
        <v>0.45068000000000003</v>
      </c>
      <c r="AE371" s="332">
        <f t="shared" si="105"/>
        <v>6.7031999999999998</v>
      </c>
      <c r="AF371" s="332">
        <f t="shared" si="106"/>
        <v>6.8428500000000012</v>
      </c>
      <c r="AG371" s="332">
        <f t="shared" si="103"/>
        <v>-0.13965000000000138</v>
      </c>
      <c r="AH371" s="333">
        <f t="shared" si="104"/>
        <v>1.0208333333333335</v>
      </c>
      <c r="AI371" s="329">
        <f t="shared" si="110"/>
        <v>2.4</v>
      </c>
      <c r="AJ371" s="329">
        <f t="shared" si="94"/>
        <v>2.4500000000000002</v>
      </c>
      <c r="AK371" s="329">
        <f t="shared" si="111"/>
        <v>-5.0000000000000266E-2</v>
      </c>
      <c r="AL371" s="382">
        <f t="shared" si="112"/>
        <v>1.0208333333333335</v>
      </c>
    </row>
    <row r="372" spans="2:38" s="303" customFormat="1" ht="28.5" x14ac:dyDescent="0.2">
      <c r="B372" s="319">
        <f t="shared" si="100"/>
        <v>362</v>
      </c>
      <c r="C372" s="458" t="s">
        <v>200</v>
      </c>
      <c r="D372" s="342" t="s">
        <v>211</v>
      </c>
      <c r="E372" s="341" t="s">
        <v>212</v>
      </c>
      <c r="F372" s="341">
        <v>1</v>
      </c>
      <c r="G372" s="341">
        <v>26170</v>
      </c>
      <c r="H372" s="341" t="s">
        <v>173</v>
      </c>
      <c r="I372" s="341">
        <v>2400</v>
      </c>
      <c r="J372" s="2"/>
      <c r="K372" s="319">
        <v>128</v>
      </c>
      <c r="L372" s="321">
        <v>21825</v>
      </c>
      <c r="M372" s="322" t="s">
        <v>45</v>
      </c>
      <c r="N372" s="321" t="s">
        <v>39</v>
      </c>
      <c r="O372" s="323" t="s">
        <v>186</v>
      </c>
      <c r="P372" s="321" t="s">
        <v>3</v>
      </c>
      <c r="Q372" s="2"/>
      <c r="R372" s="324">
        <f t="shared" si="109"/>
        <v>2400</v>
      </c>
      <c r="S372" s="325">
        <v>1</v>
      </c>
      <c r="T372" s="325">
        <f t="shared" si="91"/>
        <v>1</v>
      </c>
      <c r="V372" s="324">
        <v>7000</v>
      </c>
      <c r="W372" s="326">
        <f t="shared" si="92"/>
        <v>2</v>
      </c>
      <c r="X372" s="326">
        <f t="shared" si="93"/>
        <v>4905</v>
      </c>
      <c r="Y372" s="327">
        <v>4900</v>
      </c>
      <c r="Z372" s="328">
        <f t="shared" si="89"/>
        <v>0.5</v>
      </c>
      <c r="AA372" s="392"/>
      <c r="AB372" s="329">
        <v>0.999</v>
      </c>
      <c r="AC372" s="329">
        <v>0.2382</v>
      </c>
      <c r="AE372" s="332">
        <f t="shared" si="105"/>
        <v>2.3975999999999997</v>
      </c>
      <c r="AF372" s="332">
        <f t="shared" si="106"/>
        <v>2.4475500000000001</v>
      </c>
      <c r="AG372" s="332">
        <f t="shared" si="103"/>
        <v>-4.9950000000000383E-2</v>
      </c>
      <c r="AH372" s="333">
        <f t="shared" si="104"/>
        <v>1.0208333333333335</v>
      </c>
      <c r="AI372" s="329">
        <f t="shared" si="110"/>
        <v>2.4</v>
      </c>
      <c r="AJ372" s="329">
        <f t="shared" si="94"/>
        <v>2.4500000000000002</v>
      </c>
      <c r="AK372" s="329">
        <f t="shared" si="111"/>
        <v>-5.0000000000000266E-2</v>
      </c>
      <c r="AL372" s="382">
        <f t="shared" si="112"/>
        <v>1.0208333333333335</v>
      </c>
    </row>
    <row r="373" spans="2:38" s="303" customFormat="1" ht="28.5" x14ac:dyDescent="0.2">
      <c r="B373" s="319">
        <f t="shared" si="100"/>
        <v>363</v>
      </c>
      <c r="C373" s="458" t="s">
        <v>200</v>
      </c>
      <c r="D373" s="342" t="s">
        <v>211</v>
      </c>
      <c r="E373" s="341" t="s">
        <v>212</v>
      </c>
      <c r="F373" s="341">
        <v>1</v>
      </c>
      <c r="G373" s="341">
        <v>26170</v>
      </c>
      <c r="H373" s="341" t="s">
        <v>173</v>
      </c>
      <c r="I373" s="341">
        <v>2400</v>
      </c>
      <c r="J373" s="2"/>
      <c r="K373" s="319">
        <v>128</v>
      </c>
      <c r="L373" s="321" t="s">
        <v>48</v>
      </c>
      <c r="M373" s="322" t="s">
        <v>49</v>
      </c>
      <c r="N373" s="321" t="s">
        <v>39</v>
      </c>
      <c r="O373" s="323" t="s">
        <v>186</v>
      </c>
      <c r="P373" s="321" t="s">
        <v>3</v>
      </c>
      <c r="Q373" s="2"/>
      <c r="R373" s="324">
        <f t="shared" si="109"/>
        <v>2400</v>
      </c>
      <c r="S373" s="325">
        <v>1</v>
      </c>
      <c r="T373" s="325">
        <f t="shared" si="91"/>
        <v>1</v>
      </c>
      <c r="V373" s="324">
        <v>7000</v>
      </c>
      <c r="W373" s="326">
        <f t="shared" si="92"/>
        <v>2</v>
      </c>
      <c r="X373" s="326">
        <f t="shared" si="93"/>
        <v>4905</v>
      </c>
      <c r="Y373" s="327">
        <v>4900</v>
      </c>
      <c r="Z373" s="328">
        <f t="shared" si="89"/>
        <v>0.5</v>
      </c>
      <c r="AA373" s="392"/>
      <c r="AB373" s="329">
        <v>0.81</v>
      </c>
      <c r="AC373" s="329">
        <v>0.28999999999999998</v>
      </c>
      <c r="AE373" s="332">
        <f t="shared" si="105"/>
        <v>1.944</v>
      </c>
      <c r="AF373" s="332">
        <f t="shared" si="106"/>
        <v>1.9845000000000004</v>
      </c>
      <c r="AG373" s="332">
        <f t="shared" si="103"/>
        <v>-4.0500000000000425E-2</v>
      </c>
      <c r="AH373" s="333">
        <f t="shared" si="104"/>
        <v>1.0208333333333335</v>
      </c>
      <c r="AI373" s="329">
        <f t="shared" si="110"/>
        <v>2.4</v>
      </c>
      <c r="AJ373" s="329">
        <f t="shared" si="94"/>
        <v>2.4500000000000002</v>
      </c>
      <c r="AK373" s="329">
        <f t="shared" si="111"/>
        <v>-5.0000000000000266E-2</v>
      </c>
      <c r="AL373" s="382">
        <f t="shared" si="112"/>
        <v>1.0208333333333335</v>
      </c>
    </row>
    <row r="374" spans="2:38" s="303" customFormat="1" ht="28.5" x14ac:dyDescent="0.2">
      <c r="B374" s="319">
        <f t="shared" si="100"/>
        <v>364</v>
      </c>
      <c r="C374" s="458" t="s">
        <v>200</v>
      </c>
      <c r="D374" s="342" t="s">
        <v>211</v>
      </c>
      <c r="E374" s="341" t="s">
        <v>212</v>
      </c>
      <c r="F374" s="341">
        <v>1</v>
      </c>
      <c r="G374" s="341">
        <v>26170</v>
      </c>
      <c r="H374" s="341" t="s">
        <v>173</v>
      </c>
      <c r="I374" s="341">
        <v>2400</v>
      </c>
      <c r="J374" s="2"/>
      <c r="K374" s="319">
        <v>128</v>
      </c>
      <c r="L374" s="321" t="s">
        <v>46</v>
      </c>
      <c r="M374" s="322" t="s">
        <v>47</v>
      </c>
      <c r="N374" s="321" t="s">
        <v>39</v>
      </c>
      <c r="O374" s="323" t="s">
        <v>186</v>
      </c>
      <c r="P374" s="321" t="s">
        <v>3</v>
      </c>
      <c r="Q374" s="2"/>
      <c r="R374" s="324">
        <f t="shared" si="109"/>
        <v>2400</v>
      </c>
      <c r="S374" s="325">
        <v>1</v>
      </c>
      <c r="T374" s="325">
        <f t="shared" si="91"/>
        <v>1</v>
      </c>
      <c r="V374" s="324">
        <v>7000</v>
      </c>
      <c r="W374" s="326">
        <f t="shared" si="92"/>
        <v>2</v>
      </c>
      <c r="X374" s="326">
        <f t="shared" si="93"/>
        <v>4905</v>
      </c>
      <c r="Y374" s="327">
        <v>4900</v>
      </c>
      <c r="Z374" s="328">
        <f t="shared" si="89"/>
        <v>0.5</v>
      </c>
      <c r="AA374" s="392"/>
      <c r="AB374" s="329">
        <v>0.91600000000000004</v>
      </c>
      <c r="AC374" s="329">
        <v>0.33900000000000002</v>
      </c>
      <c r="AE374" s="332">
        <f t="shared" si="105"/>
        <v>2.1983999999999999</v>
      </c>
      <c r="AF374" s="332">
        <f t="shared" si="106"/>
        <v>2.2442000000000002</v>
      </c>
      <c r="AG374" s="332">
        <f t="shared" si="103"/>
        <v>-4.5800000000000285E-2</v>
      </c>
      <c r="AH374" s="333">
        <f t="shared" si="104"/>
        <v>1.0208333333333335</v>
      </c>
      <c r="AI374" s="329">
        <f t="shared" si="110"/>
        <v>2.4</v>
      </c>
      <c r="AJ374" s="329">
        <f t="shared" si="94"/>
        <v>2.4500000000000002</v>
      </c>
      <c r="AK374" s="329">
        <f t="shared" si="111"/>
        <v>-5.0000000000000266E-2</v>
      </c>
      <c r="AL374" s="382">
        <f t="shared" si="112"/>
        <v>1.0208333333333335</v>
      </c>
    </row>
    <row r="375" spans="2:38" s="303" customFormat="1" ht="28.5" x14ac:dyDescent="0.2">
      <c r="B375" s="319">
        <f t="shared" si="100"/>
        <v>365</v>
      </c>
      <c r="C375" s="458" t="s">
        <v>200</v>
      </c>
      <c r="D375" s="342" t="s">
        <v>211</v>
      </c>
      <c r="E375" s="341" t="s">
        <v>212</v>
      </c>
      <c r="F375" s="341">
        <v>1</v>
      </c>
      <c r="G375" s="341">
        <v>26170</v>
      </c>
      <c r="H375" s="341" t="s">
        <v>173</v>
      </c>
      <c r="I375" s="341">
        <v>2400</v>
      </c>
      <c r="J375" s="2"/>
      <c r="K375" s="334">
        <v>128</v>
      </c>
      <c r="L375" s="337">
        <v>10926</v>
      </c>
      <c r="M375" s="336" t="s">
        <v>36</v>
      </c>
      <c r="N375" s="337" t="s">
        <v>6</v>
      </c>
      <c r="O375" s="323" t="s">
        <v>186</v>
      </c>
      <c r="P375" s="337" t="s">
        <v>187</v>
      </c>
      <c r="Q375" s="2"/>
      <c r="R375" s="324">
        <f t="shared" si="109"/>
        <v>2400</v>
      </c>
      <c r="S375" s="325">
        <v>1</v>
      </c>
      <c r="T375" s="325">
        <f t="shared" si="91"/>
        <v>1</v>
      </c>
      <c r="V375" s="324">
        <v>6100</v>
      </c>
      <c r="W375" s="339">
        <f t="shared" si="92"/>
        <v>2</v>
      </c>
      <c r="X375" s="339">
        <f t="shared" si="93"/>
        <v>4905</v>
      </c>
      <c r="Y375" s="327">
        <v>6100</v>
      </c>
      <c r="Z375" s="328">
        <f t="shared" si="89"/>
        <v>0.5</v>
      </c>
      <c r="AA375" s="392"/>
      <c r="AB375" s="329">
        <v>0.76700000000000002</v>
      </c>
      <c r="AC375" s="329"/>
      <c r="AE375" s="332">
        <f t="shared" si="105"/>
        <v>1.8408</v>
      </c>
      <c r="AF375" s="332">
        <f t="shared" si="106"/>
        <v>2.33935</v>
      </c>
      <c r="AG375" s="332">
        <f t="shared" si="103"/>
        <v>-0.49855000000000005</v>
      </c>
      <c r="AH375" s="333">
        <f t="shared" si="104"/>
        <v>1.2708333333333333</v>
      </c>
      <c r="AI375" s="329">
        <f t="shared" si="110"/>
        <v>2.4</v>
      </c>
      <c r="AJ375" s="329">
        <f t="shared" si="94"/>
        <v>3.05</v>
      </c>
      <c r="AK375" s="329">
        <f t="shared" si="111"/>
        <v>-0.64999999999999991</v>
      </c>
      <c r="AL375" s="382">
        <f t="shared" si="112"/>
        <v>1.2708333333333333</v>
      </c>
    </row>
    <row r="376" spans="2:38" s="303" customFormat="1" ht="28.5" x14ac:dyDescent="0.2">
      <c r="B376" s="319">
        <f t="shared" si="100"/>
        <v>366</v>
      </c>
      <c r="C376" s="458" t="s">
        <v>200</v>
      </c>
      <c r="D376" s="342" t="s">
        <v>211</v>
      </c>
      <c r="E376" s="341" t="s">
        <v>212</v>
      </c>
      <c r="F376" s="341">
        <v>1</v>
      </c>
      <c r="G376" s="341">
        <v>26170</v>
      </c>
      <c r="H376" s="341" t="s">
        <v>173</v>
      </c>
      <c r="I376" s="341">
        <v>2400</v>
      </c>
      <c r="J376" s="2"/>
      <c r="K376" s="319">
        <v>128</v>
      </c>
      <c r="L376" s="321" t="s">
        <v>114</v>
      </c>
      <c r="M376" s="322" t="s">
        <v>115</v>
      </c>
      <c r="N376" s="321" t="s">
        <v>39</v>
      </c>
      <c r="O376" s="323" t="s">
        <v>186</v>
      </c>
      <c r="P376" s="321" t="s">
        <v>3</v>
      </c>
      <c r="Q376" s="2"/>
      <c r="R376" s="324">
        <f t="shared" si="109"/>
        <v>2400</v>
      </c>
      <c r="S376" s="325">
        <v>1</v>
      </c>
      <c r="T376" s="325">
        <f t="shared" si="91"/>
        <v>1</v>
      </c>
      <c r="V376" s="324">
        <v>7000</v>
      </c>
      <c r="W376" s="326">
        <f t="shared" si="92"/>
        <v>2</v>
      </c>
      <c r="X376" s="326">
        <f t="shared" si="93"/>
        <v>4905</v>
      </c>
      <c r="Y376" s="327">
        <v>4900</v>
      </c>
      <c r="Z376" s="328">
        <f t="shared" si="89"/>
        <v>0.5</v>
      </c>
      <c r="AA376" s="392"/>
      <c r="AB376" s="329">
        <v>0.83499999999999996</v>
      </c>
      <c r="AC376" s="329">
        <v>0.21299999999999999</v>
      </c>
      <c r="AE376" s="332">
        <f t="shared" si="105"/>
        <v>2.004</v>
      </c>
      <c r="AF376" s="332">
        <f t="shared" si="106"/>
        <v>2.04575</v>
      </c>
      <c r="AG376" s="332">
        <f t="shared" si="103"/>
        <v>-4.1749999999999954E-2</v>
      </c>
      <c r="AH376" s="333">
        <f t="shared" si="104"/>
        <v>1.0208333333333333</v>
      </c>
      <c r="AI376" s="329">
        <f t="shared" si="110"/>
        <v>2.4</v>
      </c>
      <c r="AJ376" s="329">
        <f t="shared" si="94"/>
        <v>2.4500000000000002</v>
      </c>
      <c r="AK376" s="329">
        <f t="shared" si="111"/>
        <v>-5.0000000000000266E-2</v>
      </c>
      <c r="AL376" s="382">
        <f t="shared" si="112"/>
        <v>1.0208333333333335</v>
      </c>
    </row>
    <row r="377" spans="2:38" s="303" customFormat="1" ht="28.5" x14ac:dyDescent="0.2">
      <c r="B377" s="319">
        <f t="shared" si="100"/>
        <v>367</v>
      </c>
      <c r="C377" s="458" t="s">
        <v>200</v>
      </c>
      <c r="D377" s="342" t="s">
        <v>211</v>
      </c>
      <c r="E377" s="341" t="s">
        <v>212</v>
      </c>
      <c r="F377" s="341">
        <v>1</v>
      </c>
      <c r="G377" s="341">
        <v>26170</v>
      </c>
      <c r="H377" s="341" t="s">
        <v>173</v>
      </c>
      <c r="I377" s="341">
        <v>2400</v>
      </c>
      <c r="J377" s="2"/>
      <c r="K377" s="319">
        <v>128</v>
      </c>
      <c r="L377" s="321" t="s">
        <v>50</v>
      </c>
      <c r="M377" s="322" t="s">
        <v>51</v>
      </c>
      <c r="N377" s="321" t="s">
        <v>39</v>
      </c>
      <c r="O377" s="323" t="s">
        <v>186</v>
      </c>
      <c r="P377" s="321" t="s">
        <v>3</v>
      </c>
      <c r="Q377" s="2"/>
      <c r="R377" s="324">
        <f t="shared" si="109"/>
        <v>2400</v>
      </c>
      <c r="S377" s="325">
        <v>1</v>
      </c>
      <c r="T377" s="325">
        <f t="shared" si="91"/>
        <v>1</v>
      </c>
      <c r="V377" s="324">
        <v>7000</v>
      </c>
      <c r="W377" s="326">
        <f t="shared" si="92"/>
        <v>2</v>
      </c>
      <c r="X377" s="326">
        <f t="shared" si="93"/>
        <v>4905</v>
      </c>
      <c r="Y377" s="327">
        <v>4900</v>
      </c>
      <c r="Z377" s="328">
        <f t="shared" ref="Z377:Z460" si="113">$T377/$W377</f>
        <v>0.5</v>
      </c>
      <c r="AA377" s="387">
        <v>1</v>
      </c>
      <c r="AB377" s="395">
        <v>1.7110000000000001</v>
      </c>
      <c r="AC377" s="395">
        <v>0.34200000000000003</v>
      </c>
      <c r="AE377" s="332">
        <f t="shared" si="105"/>
        <v>4.1063999999999998</v>
      </c>
      <c r="AF377" s="332">
        <f t="shared" si="106"/>
        <v>4.1919500000000003</v>
      </c>
      <c r="AG377" s="332">
        <f t="shared" si="103"/>
        <v>-8.5550000000000459E-2</v>
      </c>
      <c r="AH377" s="333">
        <f t="shared" si="104"/>
        <v>1.0208333333333335</v>
      </c>
      <c r="AI377" s="329">
        <f t="shared" si="110"/>
        <v>2.4</v>
      </c>
      <c r="AJ377" s="329">
        <f t="shared" si="94"/>
        <v>2.4500000000000002</v>
      </c>
      <c r="AK377" s="329">
        <f t="shared" si="111"/>
        <v>-5.0000000000000266E-2</v>
      </c>
      <c r="AL377" s="382">
        <f t="shared" si="112"/>
        <v>1.0208333333333335</v>
      </c>
    </row>
    <row r="378" spans="2:38" s="303" customFormat="1" ht="28.5" x14ac:dyDescent="0.2">
      <c r="B378" s="341">
        <f t="shared" si="100"/>
        <v>368</v>
      </c>
      <c r="C378" s="459" t="s">
        <v>200</v>
      </c>
      <c r="D378" s="342" t="s">
        <v>211</v>
      </c>
      <c r="E378" s="341" t="s">
        <v>212</v>
      </c>
      <c r="F378" s="341">
        <v>1</v>
      </c>
      <c r="G378" s="341">
        <v>26170</v>
      </c>
      <c r="H378" s="341" t="s">
        <v>173</v>
      </c>
      <c r="I378" s="341">
        <v>2400</v>
      </c>
      <c r="J378" s="2"/>
      <c r="K378" s="319">
        <v>129</v>
      </c>
      <c r="L378" s="321">
        <v>20626</v>
      </c>
      <c r="M378" s="322" t="s">
        <v>44</v>
      </c>
      <c r="N378" s="321" t="s">
        <v>39</v>
      </c>
      <c r="O378" s="323" t="s">
        <v>186</v>
      </c>
      <c r="P378" s="321" t="s">
        <v>3</v>
      </c>
      <c r="Q378" s="2"/>
      <c r="R378" s="324">
        <f t="shared" si="109"/>
        <v>2400</v>
      </c>
      <c r="S378" s="325">
        <v>28</v>
      </c>
      <c r="T378" s="325">
        <f t="shared" si="91"/>
        <v>28</v>
      </c>
      <c r="V378" s="324">
        <v>7000</v>
      </c>
      <c r="W378" s="326">
        <f t="shared" si="92"/>
        <v>2</v>
      </c>
      <c r="X378" s="326">
        <f t="shared" si="93"/>
        <v>4905</v>
      </c>
      <c r="Y378" s="327">
        <v>4900</v>
      </c>
      <c r="Z378" s="328">
        <f t="shared" si="113"/>
        <v>14</v>
      </c>
      <c r="AA378" s="304"/>
      <c r="AB378" s="329">
        <v>2.7930000000000001</v>
      </c>
      <c r="AC378" s="329">
        <v>0.45068000000000003</v>
      </c>
      <c r="AE378" s="332">
        <f t="shared" si="105"/>
        <v>187.68960000000001</v>
      </c>
      <c r="AF378" s="332">
        <f t="shared" si="106"/>
        <v>191.59979999999999</v>
      </c>
      <c r="AG378" s="332">
        <f t="shared" si="103"/>
        <v>-3.9101999999999748</v>
      </c>
      <c r="AH378" s="333">
        <f t="shared" si="104"/>
        <v>1.0208333333333333</v>
      </c>
      <c r="AI378" s="329">
        <f t="shared" si="110"/>
        <v>67.2</v>
      </c>
      <c r="AJ378" s="329">
        <f t="shared" si="94"/>
        <v>68.600000000000009</v>
      </c>
      <c r="AK378" s="329">
        <f t="shared" si="111"/>
        <v>-1.4000000000000057</v>
      </c>
      <c r="AL378" s="382">
        <f t="shared" si="112"/>
        <v>1.0208333333333335</v>
      </c>
    </row>
    <row r="379" spans="2:38" s="303" customFormat="1" ht="28.5" x14ac:dyDescent="0.2">
      <c r="B379" s="319">
        <f t="shared" si="100"/>
        <v>369</v>
      </c>
      <c r="C379" s="458" t="s">
        <v>200</v>
      </c>
      <c r="D379" s="342" t="s">
        <v>211</v>
      </c>
      <c r="E379" s="341" t="s">
        <v>212</v>
      </c>
      <c r="F379" s="341">
        <v>1</v>
      </c>
      <c r="G379" s="341">
        <v>26170</v>
      </c>
      <c r="H379" s="341" t="s">
        <v>173</v>
      </c>
      <c r="I379" s="341">
        <v>2400</v>
      </c>
      <c r="J379" s="2"/>
      <c r="K379" s="319">
        <v>129</v>
      </c>
      <c r="L379" s="321">
        <v>21825</v>
      </c>
      <c r="M379" s="322" t="s">
        <v>45</v>
      </c>
      <c r="N379" s="321" t="s">
        <v>39</v>
      </c>
      <c r="O379" s="323" t="s">
        <v>186</v>
      </c>
      <c r="P379" s="321" t="s">
        <v>3</v>
      </c>
      <c r="Q379" s="2"/>
      <c r="R379" s="324">
        <f t="shared" si="109"/>
        <v>2400</v>
      </c>
      <c r="S379" s="325">
        <v>28</v>
      </c>
      <c r="T379" s="325">
        <f t="shared" si="91"/>
        <v>28</v>
      </c>
      <c r="V379" s="324">
        <v>7000</v>
      </c>
      <c r="W379" s="326">
        <f t="shared" si="92"/>
        <v>2</v>
      </c>
      <c r="X379" s="326">
        <f t="shared" si="93"/>
        <v>4905</v>
      </c>
      <c r="Y379" s="327">
        <v>4900</v>
      </c>
      <c r="Z379" s="328">
        <f t="shared" si="113"/>
        <v>14</v>
      </c>
      <c r="AA379" s="392"/>
      <c r="AB379" s="329">
        <v>0.999</v>
      </c>
      <c r="AC379" s="329">
        <v>0.2382</v>
      </c>
      <c r="AE379" s="332">
        <f t="shared" si="105"/>
        <v>67.132800000000003</v>
      </c>
      <c r="AF379" s="332">
        <f t="shared" si="106"/>
        <v>68.531399999999991</v>
      </c>
      <c r="AG379" s="332">
        <f t="shared" si="103"/>
        <v>-1.3985999999999876</v>
      </c>
      <c r="AH379" s="333">
        <f t="shared" si="104"/>
        <v>1.020833333333333</v>
      </c>
      <c r="AI379" s="329">
        <f t="shared" si="110"/>
        <v>67.2</v>
      </c>
      <c r="AJ379" s="329">
        <f t="shared" si="94"/>
        <v>68.600000000000009</v>
      </c>
      <c r="AK379" s="329">
        <f t="shared" si="111"/>
        <v>-1.4000000000000057</v>
      </c>
      <c r="AL379" s="382">
        <f t="shared" si="112"/>
        <v>1.0208333333333335</v>
      </c>
    </row>
    <row r="380" spans="2:38" s="303" customFormat="1" ht="28.5" x14ac:dyDescent="0.2">
      <c r="B380" s="319">
        <f t="shared" si="100"/>
        <v>370</v>
      </c>
      <c r="C380" s="458" t="s">
        <v>200</v>
      </c>
      <c r="D380" s="342" t="s">
        <v>211</v>
      </c>
      <c r="E380" s="341" t="s">
        <v>212</v>
      </c>
      <c r="F380" s="341">
        <v>1</v>
      </c>
      <c r="G380" s="341">
        <v>26170</v>
      </c>
      <c r="H380" s="341" t="s">
        <v>173</v>
      </c>
      <c r="I380" s="341">
        <v>2400</v>
      </c>
      <c r="J380" s="2"/>
      <c r="K380" s="319">
        <v>129</v>
      </c>
      <c r="L380" s="321" t="s">
        <v>48</v>
      </c>
      <c r="M380" s="322" t="s">
        <v>49</v>
      </c>
      <c r="N380" s="321" t="s">
        <v>39</v>
      </c>
      <c r="O380" s="323" t="s">
        <v>186</v>
      </c>
      <c r="P380" s="321" t="s">
        <v>3</v>
      </c>
      <c r="Q380" s="2"/>
      <c r="R380" s="324">
        <f t="shared" si="109"/>
        <v>2400</v>
      </c>
      <c r="S380" s="325">
        <v>28</v>
      </c>
      <c r="T380" s="325">
        <f t="shared" ref="T380:T463" si="114">$F380*$S380</f>
        <v>28</v>
      </c>
      <c r="V380" s="324">
        <v>7000</v>
      </c>
      <c r="W380" s="326">
        <f t="shared" ref="W380:W463" si="115">ROUNDDOWN($V380/$R380,0)</f>
        <v>2</v>
      </c>
      <c r="X380" s="326">
        <f t="shared" ref="X380:X463" si="116">($R380*$W380)+(50*2)+(5*($W380-1))</f>
        <v>4905</v>
      </c>
      <c r="Y380" s="327">
        <v>4900</v>
      </c>
      <c r="Z380" s="328">
        <f t="shared" si="113"/>
        <v>14</v>
      </c>
      <c r="AA380" s="392"/>
      <c r="AB380" s="329">
        <v>0.81</v>
      </c>
      <c r="AC380" s="329">
        <v>0.28999999999999998</v>
      </c>
      <c r="AE380" s="332">
        <f t="shared" si="105"/>
        <v>54.432000000000009</v>
      </c>
      <c r="AF380" s="332">
        <f t="shared" si="106"/>
        <v>55.566000000000003</v>
      </c>
      <c r="AG380" s="332">
        <f t="shared" si="103"/>
        <v>-1.1339999999999932</v>
      </c>
      <c r="AH380" s="333">
        <f t="shared" si="104"/>
        <v>1.0208333333333333</v>
      </c>
      <c r="AI380" s="329">
        <f t="shared" si="110"/>
        <v>67.2</v>
      </c>
      <c r="AJ380" s="329">
        <f t="shared" ref="AJ380:AJ463" si="117">($Y380/1000)*$Z380</f>
        <v>68.600000000000009</v>
      </c>
      <c r="AK380" s="329">
        <f t="shared" si="111"/>
        <v>-1.4000000000000057</v>
      </c>
      <c r="AL380" s="382">
        <f t="shared" si="112"/>
        <v>1.0208333333333335</v>
      </c>
    </row>
    <row r="381" spans="2:38" s="303" customFormat="1" ht="28.5" x14ac:dyDescent="0.2">
      <c r="B381" s="319">
        <f t="shared" si="100"/>
        <v>371</v>
      </c>
      <c r="C381" s="458" t="s">
        <v>200</v>
      </c>
      <c r="D381" s="342" t="s">
        <v>211</v>
      </c>
      <c r="E381" s="341" t="s">
        <v>212</v>
      </c>
      <c r="F381" s="341">
        <v>1</v>
      </c>
      <c r="G381" s="341">
        <v>26170</v>
      </c>
      <c r="H381" s="341" t="s">
        <v>173</v>
      </c>
      <c r="I381" s="341">
        <v>2400</v>
      </c>
      <c r="J381" s="2"/>
      <c r="K381" s="319">
        <v>129</v>
      </c>
      <c r="L381" s="321" t="s">
        <v>46</v>
      </c>
      <c r="M381" s="322" t="s">
        <v>47</v>
      </c>
      <c r="N381" s="321" t="s">
        <v>39</v>
      </c>
      <c r="O381" s="323" t="s">
        <v>186</v>
      </c>
      <c r="P381" s="321" t="s">
        <v>3</v>
      </c>
      <c r="Q381" s="2"/>
      <c r="R381" s="324">
        <f t="shared" si="109"/>
        <v>2400</v>
      </c>
      <c r="S381" s="325">
        <v>28</v>
      </c>
      <c r="T381" s="325">
        <f t="shared" si="114"/>
        <v>28</v>
      </c>
      <c r="V381" s="324">
        <v>7000</v>
      </c>
      <c r="W381" s="326">
        <f t="shared" si="115"/>
        <v>2</v>
      </c>
      <c r="X381" s="326">
        <f t="shared" si="116"/>
        <v>4905</v>
      </c>
      <c r="Y381" s="327">
        <v>4900</v>
      </c>
      <c r="Z381" s="328">
        <f t="shared" si="113"/>
        <v>14</v>
      </c>
      <c r="AA381" s="392"/>
      <c r="AB381" s="329">
        <v>0.91600000000000004</v>
      </c>
      <c r="AC381" s="329">
        <v>0.33900000000000002</v>
      </c>
      <c r="AE381" s="332">
        <f t="shared" si="105"/>
        <v>61.555200000000006</v>
      </c>
      <c r="AF381" s="332">
        <f t="shared" si="106"/>
        <v>62.837599999999995</v>
      </c>
      <c r="AG381" s="332">
        <f t="shared" si="103"/>
        <v>-1.2823999999999884</v>
      </c>
      <c r="AH381" s="333">
        <f t="shared" si="104"/>
        <v>1.020833333333333</v>
      </c>
      <c r="AI381" s="329">
        <f t="shared" si="110"/>
        <v>67.2</v>
      </c>
      <c r="AJ381" s="329">
        <f t="shared" si="117"/>
        <v>68.600000000000009</v>
      </c>
      <c r="AK381" s="329">
        <f t="shared" si="111"/>
        <v>-1.4000000000000057</v>
      </c>
      <c r="AL381" s="382">
        <f t="shared" si="112"/>
        <v>1.0208333333333335</v>
      </c>
    </row>
    <row r="382" spans="2:38" s="303" customFormat="1" ht="28.5" x14ac:dyDescent="0.2">
      <c r="B382" s="341">
        <f t="shared" si="100"/>
        <v>372</v>
      </c>
      <c r="C382" s="459" t="s">
        <v>200</v>
      </c>
      <c r="D382" s="342" t="s">
        <v>211</v>
      </c>
      <c r="E382" s="341" t="s">
        <v>212</v>
      </c>
      <c r="F382" s="341">
        <v>1</v>
      </c>
      <c r="G382" s="341">
        <v>26170</v>
      </c>
      <c r="H382" s="341" t="s">
        <v>173</v>
      </c>
      <c r="I382" s="341">
        <v>2400</v>
      </c>
      <c r="J382" s="2"/>
      <c r="K382" s="319">
        <v>130</v>
      </c>
      <c r="L382" s="321">
        <v>20626</v>
      </c>
      <c r="M382" s="322" t="s">
        <v>44</v>
      </c>
      <c r="N382" s="321" t="s">
        <v>39</v>
      </c>
      <c r="O382" s="323" t="s">
        <v>186</v>
      </c>
      <c r="P382" s="321" t="s">
        <v>3</v>
      </c>
      <c r="Q382" s="2"/>
      <c r="R382" s="324">
        <f t="shared" si="109"/>
        <v>2400</v>
      </c>
      <c r="S382" s="325">
        <v>1</v>
      </c>
      <c r="T382" s="325">
        <f t="shared" si="114"/>
        <v>1</v>
      </c>
      <c r="V382" s="324">
        <v>7000</v>
      </c>
      <c r="W382" s="326">
        <f t="shared" si="115"/>
        <v>2</v>
      </c>
      <c r="X382" s="326">
        <f t="shared" si="116"/>
        <v>4905</v>
      </c>
      <c r="Y382" s="327">
        <v>4900</v>
      </c>
      <c r="Z382" s="328">
        <f t="shared" si="113"/>
        <v>0.5</v>
      </c>
      <c r="AA382" s="387">
        <v>15.5</v>
      </c>
      <c r="AB382" s="329">
        <v>2.7930000000000001</v>
      </c>
      <c r="AC382" s="329">
        <v>0.45068000000000003</v>
      </c>
      <c r="AE382" s="332">
        <f t="shared" si="105"/>
        <v>6.7031999999999998</v>
      </c>
      <c r="AF382" s="332">
        <f t="shared" si="106"/>
        <v>6.8428500000000012</v>
      </c>
      <c r="AG382" s="332">
        <f t="shared" si="103"/>
        <v>-0.13965000000000138</v>
      </c>
      <c r="AH382" s="333">
        <f t="shared" si="104"/>
        <v>1.0208333333333335</v>
      </c>
      <c r="AI382" s="329">
        <f t="shared" si="110"/>
        <v>2.4</v>
      </c>
      <c r="AJ382" s="329">
        <f t="shared" si="117"/>
        <v>2.4500000000000002</v>
      </c>
      <c r="AK382" s="329">
        <f t="shared" si="111"/>
        <v>-5.0000000000000266E-2</v>
      </c>
      <c r="AL382" s="382">
        <f t="shared" si="112"/>
        <v>1.0208333333333335</v>
      </c>
    </row>
    <row r="383" spans="2:38" s="303" customFormat="1" ht="28.5" x14ac:dyDescent="0.2">
      <c r="B383" s="319">
        <f t="shared" si="100"/>
        <v>373</v>
      </c>
      <c r="C383" s="458" t="s">
        <v>200</v>
      </c>
      <c r="D383" s="342" t="s">
        <v>211</v>
      </c>
      <c r="E383" s="341" t="s">
        <v>212</v>
      </c>
      <c r="F383" s="341">
        <v>1</v>
      </c>
      <c r="G383" s="341">
        <v>26170</v>
      </c>
      <c r="H383" s="341" t="s">
        <v>173</v>
      </c>
      <c r="I383" s="341">
        <v>2400</v>
      </c>
      <c r="J383" s="2"/>
      <c r="K383" s="319">
        <v>130</v>
      </c>
      <c r="L383" s="321">
        <v>21825</v>
      </c>
      <c r="M383" s="322" t="s">
        <v>45</v>
      </c>
      <c r="N383" s="321" t="s">
        <v>39</v>
      </c>
      <c r="O383" s="323" t="s">
        <v>186</v>
      </c>
      <c r="P383" s="321" t="s">
        <v>3</v>
      </c>
      <c r="Q383" s="2"/>
      <c r="R383" s="324">
        <f t="shared" si="109"/>
        <v>2400</v>
      </c>
      <c r="S383" s="325">
        <v>1</v>
      </c>
      <c r="T383" s="325">
        <f t="shared" si="114"/>
        <v>1</v>
      </c>
      <c r="V383" s="324">
        <v>7000</v>
      </c>
      <c r="W383" s="326">
        <f t="shared" si="115"/>
        <v>2</v>
      </c>
      <c r="X383" s="326">
        <f t="shared" si="116"/>
        <v>4905</v>
      </c>
      <c r="Y383" s="327">
        <v>4900</v>
      </c>
      <c r="Z383" s="328">
        <f t="shared" si="113"/>
        <v>0.5</v>
      </c>
      <c r="AA383" s="392"/>
      <c r="AB383" s="329">
        <v>0.999</v>
      </c>
      <c r="AC383" s="329">
        <v>0.2382</v>
      </c>
      <c r="AE383" s="332">
        <f t="shared" si="105"/>
        <v>2.3975999999999997</v>
      </c>
      <c r="AF383" s="332">
        <f t="shared" si="106"/>
        <v>2.4475500000000001</v>
      </c>
      <c r="AG383" s="332">
        <f t="shared" si="103"/>
        <v>-4.9950000000000383E-2</v>
      </c>
      <c r="AH383" s="333">
        <f t="shared" si="104"/>
        <v>1.0208333333333335</v>
      </c>
      <c r="AI383" s="329">
        <f t="shared" si="110"/>
        <v>2.4</v>
      </c>
      <c r="AJ383" s="329">
        <f t="shared" si="117"/>
        <v>2.4500000000000002</v>
      </c>
      <c r="AK383" s="329">
        <f t="shared" si="111"/>
        <v>-5.0000000000000266E-2</v>
      </c>
      <c r="AL383" s="382">
        <f t="shared" si="112"/>
        <v>1.0208333333333335</v>
      </c>
    </row>
    <row r="384" spans="2:38" s="303" customFormat="1" ht="28.5" x14ac:dyDescent="0.2">
      <c r="B384" s="319">
        <f t="shared" si="100"/>
        <v>374</v>
      </c>
      <c r="C384" s="458" t="s">
        <v>200</v>
      </c>
      <c r="D384" s="342" t="s">
        <v>211</v>
      </c>
      <c r="E384" s="341" t="s">
        <v>212</v>
      </c>
      <c r="F384" s="341">
        <v>1</v>
      </c>
      <c r="G384" s="341">
        <v>26170</v>
      </c>
      <c r="H384" s="341" t="s">
        <v>173</v>
      </c>
      <c r="I384" s="341">
        <v>2400</v>
      </c>
      <c r="J384" s="2"/>
      <c r="K384" s="319">
        <v>130</v>
      </c>
      <c r="L384" s="321" t="s">
        <v>48</v>
      </c>
      <c r="M384" s="322" t="s">
        <v>49</v>
      </c>
      <c r="N384" s="321" t="s">
        <v>39</v>
      </c>
      <c r="O384" s="323" t="s">
        <v>186</v>
      </c>
      <c r="P384" s="321" t="s">
        <v>3</v>
      </c>
      <c r="Q384" s="2"/>
      <c r="R384" s="324">
        <f t="shared" si="109"/>
        <v>2400</v>
      </c>
      <c r="S384" s="325">
        <v>1</v>
      </c>
      <c r="T384" s="325">
        <f t="shared" si="114"/>
        <v>1</v>
      </c>
      <c r="V384" s="324">
        <v>7000</v>
      </c>
      <c r="W384" s="326">
        <f t="shared" si="115"/>
        <v>2</v>
      </c>
      <c r="X384" s="326">
        <f t="shared" si="116"/>
        <v>4905</v>
      </c>
      <c r="Y384" s="327">
        <v>4900</v>
      </c>
      <c r="Z384" s="328">
        <f t="shared" si="113"/>
        <v>0.5</v>
      </c>
      <c r="AA384" s="392"/>
      <c r="AB384" s="329">
        <v>0.81</v>
      </c>
      <c r="AC384" s="329">
        <v>0.28999999999999998</v>
      </c>
      <c r="AE384" s="332">
        <f t="shared" si="105"/>
        <v>1.944</v>
      </c>
      <c r="AF384" s="332">
        <f t="shared" si="106"/>
        <v>1.9845000000000004</v>
      </c>
      <c r="AG384" s="332">
        <f t="shared" si="103"/>
        <v>-4.0500000000000425E-2</v>
      </c>
      <c r="AH384" s="333">
        <f t="shared" si="104"/>
        <v>1.0208333333333335</v>
      </c>
      <c r="AI384" s="329">
        <f t="shared" si="110"/>
        <v>2.4</v>
      </c>
      <c r="AJ384" s="329">
        <f t="shared" si="117"/>
        <v>2.4500000000000002</v>
      </c>
      <c r="AK384" s="329">
        <f t="shared" si="111"/>
        <v>-5.0000000000000266E-2</v>
      </c>
      <c r="AL384" s="382">
        <f t="shared" si="112"/>
        <v>1.0208333333333335</v>
      </c>
    </row>
    <row r="385" spans="2:38" s="303" customFormat="1" ht="28.5" x14ac:dyDescent="0.2">
      <c r="B385" s="319">
        <f t="shared" si="100"/>
        <v>375</v>
      </c>
      <c r="C385" s="458" t="s">
        <v>200</v>
      </c>
      <c r="D385" s="342" t="s">
        <v>211</v>
      </c>
      <c r="E385" s="341" t="s">
        <v>212</v>
      </c>
      <c r="F385" s="341">
        <v>1</v>
      </c>
      <c r="G385" s="341">
        <v>26170</v>
      </c>
      <c r="H385" s="341" t="s">
        <v>173</v>
      </c>
      <c r="I385" s="341">
        <v>2400</v>
      </c>
      <c r="J385" s="2"/>
      <c r="K385" s="319">
        <v>130</v>
      </c>
      <c r="L385" s="321" t="s">
        <v>46</v>
      </c>
      <c r="M385" s="322" t="s">
        <v>47</v>
      </c>
      <c r="N385" s="321" t="s">
        <v>39</v>
      </c>
      <c r="O385" s="323" t="s">
        <v>186</v>
      </c>
      <c r="P385" s="321" t="s">
        <v>3</v>
      </c>
      <c r="Q385" s="2"/>
      <c r="R385" s="324">
        <f t="shared" si="109"/>
        <v>2400</v>
      </c>
      <c r="S385" s="325">
        <v>1</v>
      </c>
      <c r="T385" s="325">
        <f t="shared" si="114"/>
        <v>1</v>
      </c>
      <c r="V385" s="324">
        <v>7000</v>
      </c>
      <c r="W385" s="326">
        <f t="shared" si="115"/>
        <v>2</v>
      </c>
      <c r="X385" s="326">
        <f t="shared" si="116"/>
        <v>4905</v>
      </c>
      <c r="Y385" s="327">
        <v>4900</v>
      </c>
      <c r="Z385" s="328">
        <f t="shared" si="113"/>
        <v>0.5</v>
      </c>
      <c r="AA385" s="392"/>
      <c r="AB385" s="329">
        <v>0.91600000000000004</v>
      </c>
      <c r="AC385" s="329">
        <v>0.33900000000000002</v>
      </c>
      <c r="AE385" s="332">
        <f t="shared" si="105"/>
        <v>2.1983999999999999</v>
      </c>
      <c r="AF385" s="332">
        <f t="shared" si="106"/>
        <v>2.2442000000000002</v>
      </c>
      <c r="AG385" s="332">
        <f t="shared" si="103"/>
        <v>-4.5800000000000285E-2</v>
      </c>
      <c r="AH385" s="333">
        <f t="shared" si="104"/>
        <v>1.0208333333333335</v>
      </c>
      <c r="AI385" s="329">
        <f t="shared" si="110"/>
        <v>2.4</v>
      </c>
      <c r="AJ385" s="329">
        <f t="shared" si="117"/>
        <v>2.4500000000000002</v>
      </c>
      <c r="AK385" s="329">
        <f t="shared" si="111"/>
        <v>-5.0000000000000266E-2</v>
      </c>
      <c r="AL385" s="382">
        <f t="shared" si="112"/>
        <v>1.0208333333333335</v>
      </c>
    </row>
    <row r="386" spans="2:38" s="303" customFormat="1" ht="28.5" x14ac:dyDescent="0.2">
      <c r="B386" s="319">
        <f t="shared" si="100"/>
        <v>376</v>
      </c>
      <c r="C386" s="458" t="s">
        <v>200</v>
      </c>
      <c r="D386" s="342" t="s">
        <v>211</v>
      </c>
      <c r="E386" s="341" t="s">
        <v>212</v>
      </c>
      <c r="F386" s="341">
        <v>1</v>
      </c>
      <c r="G386" s="341">
        <v>26170</v>
      </c>
      <c r="H386" s="341" t="s">
        <v>173</v>
      </c>
      <c r="I386" s="341">
        <v>2400</v>
      </c>
      <c r="J386" s="2"/>
      <c r="K386" s="334">
        <v>130</v>
      </c>
      <c r="L386" s="335" t="s">
        <v>121</v>
      </c>
      <c r="M386" s="336" t="s">
        <v>203</v>
      </c>
      <c r="N386" s="337" t="s">
        <v>6</v>
      </c>
      <c r="O386" s="323" t="s">
        <v>186</v>
      </c>
      <c r="P386" s="337" t="s">
        <v>187</v>
      </c>
      <c r="Q386" s="2"/>
      <c r="R386" s="324">
        <f t="shared" si="109"/>
        <v>2400</v>
      </c>
      <c r="S386" s="325">
        <v>1</v>
      </c>
      <c r="T386" s="325">
        <f t="shared" si="114"/>
        <v>1</v>
      </c>
      <c r="V386" s="338">
        <v>3660</v>
      </c>
      <c r="W386" s="339">
        <f t="shared" si="115"/>
        <v>1</v>
      </c>
      <c r="X386" s="339">
        <f t="shared" si="116"/>
        <v>2500</v>
      </c>
      <c r="Y386" s="327">
        <v>3660</v>
      </c>
      <c r="Z386" s="340">
        <f>($R386*$T386)/$V386</f>
        <v>0.65573770491803274</v>
      </c>
      <c r="AA386" s="392"/>
      <c r="AB386" s="329">
        <v>0.84899999999999998</v>
      </c>
      <c r="AC386" s="329">
        <v>0</v>
      </c>
      <c r="AE386" s="332">
        <f t="shared" si="105"/>
        <v>2.0375999999999999</v>
      </c>
      <c r="AF386" s="332">
        <f t="shared" si="106"/>
        <v>2.0375999999999999</v>
      </c>
      <c r="AG386" s="332">
        <f t="shared" si="103"/>
        <v>0</v>
      </c>
      <c r="AH386" s="333">
        <f t="shared" si="104"/>
        <v>1</v>
      </c>
      <c r="AI386" s="329">
        <f t="shared" si="110"/>
        <v>2.4</v>
      </c>
      <c r="AJ386" s="329">
        <f t="shared" si="117"/>
        <v>2.4</v>
      </c>
      <c r="AK386" s="329">
        <f t="shared" si="111"/>
        <v>0</v>
      </c>
      <c r="AL386" s="382">
        <f t="shared" si="112"/>
        <v>1</v>
      </c>
    </row>
    <row r="387" spans="2:38" s="303" customFormat="1" ht="28.5" x14ac:dyDescent="0.2">
      <c r="B387" s="341">
        <f t="shared" si="100"/>
        <v>377</v>
      </c>
      <c r="C387" s="459" t="s">
        <v>200</v>
      </c>
      <c r="D387" s="342" t="s">
        <v>211</v>
      </c>
      <c r="E387" s="341" t="s">
        <v>212</v>
      </c>
      <c r="F387" s="341">
        <v>1</v>
      </c>
      <c r="G387" s="341">
        <v>26170</v>
      </c>
      <c r="H387" s="341" t="s">
        <v>173</v>
      </c>
      <c r="I387" s="341">
        <v>2400</v>
      </c>
      <c r="J387" s="2"/>
      <c r="K387" s="319">
        <v>123</v>
      </c>
      <c r="L387" s="321" t="s">
        <v>124</v>
      </c>
      <c r="M387" s="322" t="s">
        <v>125</v>
      </c>
      <c r="N387" s="321" t="s">
        <v>39</v>
      </c>
      <c r="O387" s="323" t="s">
        <v>188</v>
      </c>
      <c r="P387" s="321" t="s">
        <v>3</v>
      </c>
      <c r="Q387" s="2"/>
      <c r="R387" s="324">
        <f>ROUNDUP(((G387-(600*2))/28),0)</f>
        <v>892</v>
      </c>
      <c r="S387" s="325">
        <v>28</v>
      </c>
      <c r="T387" s="325">
        <f t="shared" si="114"/>
        <v>28</v>
      </c>
      <c r="V387" s="324">
        <v>7000</v>
      </c>
      <c r="W387" s="326">
        <f t="shared" si="115"/>
        <v>7</v>
      </c>
      <c r="X387" s="326">
        <f t="shared" si="116"/>
        <v>6374</v>
      </c>
      <c r="Y387" s="327">
        <v>6400</v>
      </c>
      <c r="Z387" s="328">
        <f t="shared" si="113"/>
        <v>4</v>
      </c>
      <c r="AA387" s="304"/>
      <c r="AB387" s="329">
        <v>2.109</v>
      </c>
      <c r="AC387" s="329">
        <v>0.70199999999999996</v>
      </c>
      <c r="AE387" s="332">
        <f t="shared" si="105"/>
        <v>52.674383999999996</v>
      </c>
      <c r="AF387" s="332">
        <f t="shared" si="106"/>
        <v>53.990400000000001</v>
      </c>
      <c r="AG387" s="332">
        <f t="shared" si="103"/>
        <v>-1.3160160000000047</v>
      </c>
      <c r="AH387" s="333">
        <f t="shared" si="104"/>
        <v>1.0249839846252404</v>
      </c>
      <c r="AI387" s="329">
        <f t="shared" si="110"/>
        <v>24.975999999999999</v>
      </c>
      <c r="AJ387" s="329">
        <f t="shared" si="117"/>
        <v>25.6</v>
      </c>
      <c r="AK387" s="329">
        <f t="shared" si="111"/>
        <v>-0.62400000000000233</v>
      </c>
      <c r="AL387" s="382">
        <f t="shared" si="112"/>
        <v>1.0249839846252404</v>
      </c>
    </row>
    <row r="388" spans="2:38" s="303" customFormat="1" ht="28.5" x14ac:dyDescent="0.2">
      <c r="B388" s="341">
        <f t="shared" si="100"/>
        <v>378</v>
      </c>
      <c r="C388" s="459" t="s">
        <v>200</v>
      </c>
      <c r="D388" s="342" t="s">
        <v>211</v>
      </c>
      <c r="E388" s="341" t="s">
        <v>212</v>
      </c>
      <c r="F388" s="341">
        <v>1</v>
      </c>
      <c r="G388" s="341">
        <v>26170</v>
      </c>
      <c r="H388" s="341" t="s">
        <v>173</v>
      </c>
      <c r="I388" s="341">
        <v>2400</v>
      </c>
      <c r="J388" s="2"/>
      <c r="K388" s="319">
        <v>123</v>
      </c>
      <c r="L388" s="321" t="s">
        <v>126</v>
      </c>
      <c r="M388" s="322" t="s">
        <v>127</v>
      </c>
      <c r="N388" s="321" t="s">
        <v>39</v>
      </c>
      <c r="O388" s="323" t="s">
        <v>188</v>
      </c>
      <c r="P388" s="321" t="s">
        <v>3</v>
      </c>
      <c r="Q388" s="2"/>
      <c r="R388" s="324">
        <f>ROUNDUP(((G388-(600*2))/28),0)</f>
        <v>892</v>
      </c>
      <c r="S388" s="325">
        <v>28</v>
      </c>
      <c r="T388" s="325">
        <f t="shared" si="114"/>
        <v>28</v>
      </c>
      <c r="V388" s="324">
        <v>7000</v>
      </c>
      <c r="W388" s="326">
        <f t="shared" si="115"/>
        <v>7</v>
      </c>
      <c r="X388" s="326">
        <f t="shared" si="116"/>
        <v>6374</v>
      </c>
      <c r="Y388" s="327">
        <v>6400</v>
      </c>
      <c r="Z388" s="328">
        <f t="shared" si="113"/>
        <v>4</v>
      </c>
      <c r="AA388" s="392"/>
      <c r="AB388" s="329">
        <v>0.88800000000000001</v>
      </c>
      <c r="AC388" s="329">
        <v>0.34</v>
      </c>
      <c r="AE388" s="332">
        <f t="shared" si="105"/>
        <v>22.178688000000001</v>
      </c>
      <c r="AF388" s="332">
        <f t="shared" si="106"/>
        <v>22.732800000000001</v>
      </c>
      <c r="AG388" s="332">
        <f t="shared" si="103"/>
        <v>-0.55411199999999994</v>
      </c>
      <c r="AH388" s="333">
        <f t="shared" si="104"/>
        <v>1.0249839846252402</v>
      </c>
      <c r="AI388" s="329">
        <f t="shared" si="110"/>
        <v>24.975999999999999</v>
      </c>
      <c r="AJ388" s="329">
        <f t="shared" si="117"/>
        <v>25.6</v>
      </c>
      <c r="AK388" s="329">
        <f t="shared" si="111"/>
        <v>-0.62400000000000233</v>
      </c>
      <c r="AL388" s="382">
        <f t="shared" si="112"/>
        <v>1.0249839846252404</v>
      </c>
    </row>
    <row r="389" spans="2:38" s="303" customFormat="1" ht="28.5" x14ac:dyDescent="0.2">
      <c r="B389" s="341">
        <f t="shared" si="100"/>
        <v>379</v>
      </c>
      <c r="C389" s="459" t="s">
        <v>200</v>
      </c>
      <c r="D389" s="342" t="s">
        <v>211</v>
      </c>
      <c r="E389" s="341" t="s">
        <v>212</v>
      </c>
      <c r="F389" s="341">
        <v>1</v>
      </c>
      <c r="G389" s="341">
        <v>26170</v>
      </c>
      <c r="H389" s="341" t="s">
        <v>173</v>
      </c>
      <c r="I389" s="341">
        <v>2400</v>
      </c>
      <c r="J389" s="2"/>
      <c r="K389" s="319">
        <v>123</v>
      </c>
      <c r="L389" s="321" t="s">
        <v>48</v>
      </c>
      <c r="M389" s="322" t="s">
        <v>49</v>
      </c>
      <c r="N389" s="321" t="s">
        <v>39</v>
      </c>
      <c r="O389" s="323" t="s">
        <v>188</v>
      </c>
      <c r="P389" s="321" t="s">
        <v>3</v>
      </c>
      <c r="Q389" s="2"/>
      <c r="R389" s="324">
        <f>ROUNDUP(((G389-(600*2))/28),0)</f>
        <v>892</v>
      </c>
      <c r="S389" s="325">
        <v>28</v>
      </c>
      <c r="T389" s="325">
        <f t="shared" si="114"/>
        <v>28</v>
      </c>
      <c r="V389" s="324">
        <v>7000</v>
      </c>
      <c r="W389" s="326">
        <f t="shared" si="115"/>
        <v>7</v>
      </c>
      <c r="X389" s="326">
        <f t="shared" si="116"/>
        <v>6374</v>
      </c>
      <c r="Y389" s="327">
        <v>6400</v>
      </c>
      <c r="Z389" s="328">
        <f t="shared" si="113"/>
        <v>4</v>
      </c>
      <c r="AA389" s="392"/>
      <c r="AB389" s="329">
        <v>0.81</v>
      </c>
      <c r="AC389" s="329">
        <v>0.28999999999999998</v>
      </c>
      <c r="AE389" s="332">
        <f t="shared" si="105"/>
        <v>20.230560000000001</v>
      </c>
      <c r="AF389" s="332">
        <f t="shared" si="106"/>
        <v>20.736000000000004</v>
      </c>
      <c r="AG389" s="332">
        <f t="shared" si="103"/>
        <v>-0.50544000000000366</v>
      </c>
      <c r="AH389" s="333">
        <f t="shared" si="104"/>
        <v>1.0249839846252404</v>
      </c>
      <c r="AI389" s="329">
        <f t="shared" si="110"/>
        <v>24.975999999999999</v>
      </c>
      <c r="AJ389" s="329">
        <f t="shared" si="117"/>
        <v>25.6</v>
      </c>
      <c r="AK389" s="329">
        <f t="shared" si="111"/>
        <v>-0.62400000000000233</v>
      </c>
      <c r="AL389" s="382">
        <f t="shared" si="112"/>
        <v>1.0249839846252404</v>
      </c>
    </row>
    <row r="390" spans="2:38" s="303" customFormat="1" ht="28.5" x14ac:dyDescent="0.2">
      <c r="B390" s="341">
        <f t="shared" si="100"/>
        <v>380</v>
      </c>
      <c r="C390" s="459" t="s">
        <v>200</v>
      </c>
      <c r="D390" s="342" t="s">
        <v>211</v>
      </c>
      <c r="E390" s="341" t="s">
        <v>212</v>
      </c>
      <c r="F390" s="341">
        <v>1</v>
      </c>
      <c r="G390" s="341">
        <v>26170</v>
      </c>
      <c r="H390" s="341" t="s">
        <v>173</v>
      </c>
      <c r="I390" s="341">
        <v>2400</v>
      </c>
      <c r="J390" s="2"/>
      <c r="K390" s="319">
        <v>123</v>
      </c>
      <c r="L390" s="321" t="s">
        <v>46</v>
      </c>
      <c r="M390" s="322" t="s">
        <v>47</v>
      </c>
      <c r="N390" s="321" t="s">
        <v>39</v>
      </c>
      <c r="O390" s="323" t="s">
        <v>188</v>
      </c>
      <c r="P390" s="321" t="s">
        <v>3</v>
      </c>
      <c r="Q390" s="2"/>
      <c r="R390" s="324">
        <f>ROUNDUP(((G390-(600*2))/28),0)</f>
        <v>892</v>
      </c>
      <c r="S390" s="325">
        <v>28</v>
      </c>
      <c r="T390" s="325">
        <f t="shared" si="114"/>
        <v>28</v>
      </c>
      <c r="V390" s="324">
        <v>7000</v>
      </c>
      <c r="W390" s="326">
        <f t="shared" si="115"/>
        <v>7</v>
      </c>
      <c r="X390" s="326">
        <f t="shared" si="116"/>
        <v>6374</v>
      </c>
      <c r="Y390" s="327">
        <v>6400</v>
      </c>
      <c r="Z390" s="328">
        <f t="shared" si="113"/>
        <v>4</v>
      </c>
      <c r="AA390" s="392"/>
      <c r="AB390" s="329">
        <v>0.91600000000000004</v>
      </c>
      <c r="AC390" s="329">
        <v>0.33900000000000002</v>
      </c>
      <c r="AE390" s="332">
        <f t="shared" si="105"/>
        <v>22.878015999999999</v>
      </c>
      <c r="AF390" s="332">
        <f t="shared" si="106"/>
        <v>23.449600000000004</v>
      </c>
      <c r="AG390" s="332">
        <f t="shared" si="103"/>
        <v>-0.57158400000000498</v>
      </c>
      <c r="AH390" s="333">
        <f t="shared" si="104"/>
        <v>1.0249839846252404</v>
      </c>
      <c r="AI390" s="329">
        <f t="shared" si="110"/>
        <v>24.975999999999999</v>
      </c>
      <c r="AJ390" s="329">
        <f t="shared" si="117"/>
        <v>25.6</v>
      </c>
      <c r="AK390" s="329">
        <f t="shared" si="111"/>
        <v>-0.62400000000000233</v>
      </c>
      <c r="AL390" s="382">
        <f t="shared" si="112"/>
        <v>1.0249839846252404</v>
      </c>
    </row>
    <row r="391" spans="2:38" s="303" customFormat="1" ht="28.5" x14ac:dyDescent="0.2">
      <c r="B391" s="341">
        <f t="shared" si="100"/>
        <v>381</v>
      </c>
      <c r="C391" s="459" t="s">
        <v>200</v>
      </c>
      <c r="D391" s="342" t="s">
        <v>211</v>
      </c>
      <c r="E391" s="341" t="s">
        <v>212</v>
      </c>
      <c r="F391" s="341">
        <v>1</v>
      </c>
      <c r="G391" s="341">
        <v>26170</v>
      </c>
      <c r="H391" s="341" t="s">
        <v>173</v>
      </c>
      <c r="I391" s="341">
        <v>2400</v>
      </c>
      <c r="J391" s="2"/>
      <c r="K391" s="468">
        <v>123</v>
      </c>
      <c r="L391" s="417">
        <v>21825</v>
      </c>
      <c r="M391" s="416" t="s">
        <v>45</v>
      </c>
      <c r="N391" s="417" t="s">
        <v>39</v>
      </c>
      <c r="O391" s="323" t="s">
        <v>188</v>
      </c>
      <c r="P391" s="321" t="s">
        <v>3</v>
      </c>
      <c r="Q391" s="2"/>
      <c r="R391" s="324">
        <f>ROUNDUP(((G391-(600*2))/28),0)</f>
        <v>892</v>
      </c>
      <c r="S391" s="325">
        <v>28</v>
      </c>
      <c r="T391" s="325">
        <f t="shared" si="114"/>
        <v>28</v>
      </c>
      <c r="V391" s="324">
        <v>7000</v>
      </c>
      <c r="W391" s="326">
        <f t="shared" si="115"/>
        <v>7</v>
      </c>
      <c r="X391" s="326">
        <f t="shared" si="116"/>
        <v>6374</v>
      </c>
      <c r="Y391" s="327">
        <v>6400</v>
      </c>
      <c r="Z391" s="328">
        <f t="shared" si="113"/>
        <v>4</v>
      </c>
      <c r="AA391" s="392"/>
      <c r="AB391" s="329">
        <v>0.999</v>
      </c>
      <c r="AC391" s="329">
        <v>0.2382</v>
      </c>
      <c r="AE391" s="332">
        <f t="shared" si="105"/>
        <v>24.951024</v>
      </c>
      <c r="AF391" s="332">
        <f t="shared" si="106"/>
        <v>25.574400000000001</v>
      </c>
      <c r="AG391" s="332">
        <f t="shared" si="103"/>
        <v>-0.62337600000000037</v>
      </c>
      <c r="AH391" s="333">
        <f t="shared" si="104"/>
        <v>1.0249839846252402</v>
      </c>
      <c r="AI391" s="329">
        <f t="shared" si="110"/>
        <v>24.975999999999999</v>
      </c>
      <c r="AJ391" s="329">
        <f t="shared" si="117"/>
        <v>25.6</v>
      </c>
      <c r="AK391" s="329">
        <f t="shared" si="111"/>
        <v>-0.62400000000000233</v>
      </c>
      <c r="AL391" s="382">
        <f t="shared" si="112"/>
        <v>1.0249839846252404</v>
      </c>
    </row>
    <row r="392" spans="2:38" s="303" customFormat="1" ht="28.5" x14ac:dyDescent="0.2">
      <c r="B392" s="341">
        <f t="shared" si="100"/>
        <v>382</v>
      </c>
      <c r="C392" s="459" t="s">
        <v>200</v>
      </c>
      <c r="D392" s="342" t="s">
        <v>211</v>
      </c>
      <c r="E392" s="341" t="s">
        <v>212</v>
      </c>
      <c r="F392" s="341">
        <v>1</v>
      </c>
      <c r="G392" s="341">
        <v>26170</v>
      </c>
      <c r="H392" s="341" t="s">
        <v>173</v>
      </c>
      <c r="I392" s="341">
        <v>2400</v>
      </c>
      <c r="J392" s="2"/>
      <c r="K392" s="334">
        <v>123</v>
      </c>
      <c r="L392" s="335" t="s">
        <v>121</v>
      </c>
      <c r="M392" s="336" t="s">
        <v>203</v>
      </c>
      <c r="N392" s="337" t="s">
        <v>6</v>
      </c>
      <c r="O392" s="323" t="s">
        <v>188</v>
      </c>
      <c r="P392" s="337" t="s">
        <v>187</v>
      </c>
      <c r="Q392" s="2"/>
      <c r="R392" s="324">
        <f>ROUNDUP((892*6),0)</f>
        <v>5352</v>
      </c>
      <c r="S392" s="325">
        <v>5</v>
      </c>
      <c r="T392" s="325">
        <f t="shared" si="114"/>
        <v>5</v>
      </c>
      <c r="V392" s="338">
        <v>3660</v>
      </c>
      <c r="W392" s="339">
        <f t="shared" si="115"/>
        <v>0</v>
      </c>
      <c r="X392" s="339">
        <f t="shared" si="116"/>
        <v>95</v>
      </c>
      <c r="Y392" s="327">
        <v>3660</v>
      </c>
      <c r="Z392" s="340">
        <f>($R392*$T392)/$V392</f>
        <v>7.3114754098360653</v>
      </c>
      <c r="AA392" s="392"/>
      <c r="AB392" s="329">
        <v>0.84899999999999998</v>
      </c>
      <c r="AC392" s="329">
        <v>0</v>
      </c>
      <c r="AE392" s="332">
        <f t="shared" si="105"/>
        <v>22.719239999999999</v>
      </c>
      <c r="AF392" s="332">
        <f t="shared" si="106"/>
        <v>22.719239999999999</v>
      </c>
      <c r="AG392" s="332">
        <f t="shared" si="103"/>
        <v>0</v>
      </c>
      <c r="AH392" s="333">
        <f t="shared" si="104"/>
        <v>1</v>
      </c>
      <c r="AI392" s="329">
        <f t="shared" si="110"/>
        <v>26.76</v>
      </c>
      <c r="AJ392" s="329">
        <f t="shared" si="117"/>
        <v>26.76</v>
      </c>
      <c r="AK392" s="329">
        <f t="shared" si="111"/>
        <v>0</v>
      </c>
      <c r="AL392" s="382">
        <f t="shared" si="112"/>
        <v>1</v>
      </c>
    </row>
    <row r="393" spans="2:38" s="303" customFormat="1" ht="28.5" x14ac:dyDescent="0.2">
      <c r="B393" s="341">
        <f t="shared" si="100"/>
        <v>383</v>
      </c>
      <c r="C393" s="459" t="s">
        <v>200</v>
      </c>
      <c r="D393" s="342" t="s">
        <v>211</v>
      </c>
      <c r="E393" s="341" t="s">
        <v>212</v>
      </c>
      <c r="F393" s="341">
        <v>1</v>
      </c>
      <c r="G393" s="341">
        <v>26170</v>
      </c>
      <c r="H393" s="341" t="s">
        <v>173</v>
      </c>
      <c r="I393" s="341">
        <v>2400</v>
      </c>
      <c r="J393" s="2"/>
      <c r="K393" s="319">
        <v>125</v>
      </c>
      <c r="L393" s="321" t="s">
        <v>124</v>
      </c>
      <c r="M393" s="322" t="s">
        <v>125</v>
      </c>
      <c r="N393" s="321" t="s">
        <v>39</v>
      </c>
      <c r="O393" s="323" t="s">
        <v>188</v>
      </c>
      <c r="P393" s="321" t="s">
        <v>3</v>
      </c>
      <c r="Q393" s="2"/>
      <c r="R393" s="324">
        <f>ROUNDUP(600,0)</f>
        <v>600</v>
      </c>
      <c r="S393" s="325">
        <v>2</v>
      </c>
      <c r="T393" s="325">
        <f t="shared" si="114"/>
        <v>2</v>
      </c>
      <c r="V393" s="324">
        <v>5000</v>
      </c>
      <c r="W393" s="326">
        <f t="shared" si="115"/>
        <v>8</v>
      </c>
      <c r="X393" s="326">
        <f t="shared" si="116"/>
        <v>4935</v>
      </c>
      <c r="Y393" s="327">
        <v>4900</v>
      </c>
      <c r="Z393" s="328">
        <f t="shared" si="113"/>
        <v>0.25</v>
      </c>
      <c r="AA393" s="304"/>
      <c r="AB393" s="329">
        <v>2.109</v>
      </c>
      <c r="AC393" s="329">
        <v>0.70199999999999996</v>
      </c>
      <c r="AE393" s="332">
        <f t="shared" si="105"/>
        <v>2.5307999999999997</v>
      </c>
      <c r="AF393" s="332">
        <f t="shared" si="106"/>
        <v>2.5835250000000003</v>
      </c>
      <c r="AG393" s="332">
        <f t="shared" si="103"/>
        <v>-5.2725000000000577E-2</v>
      </c>
      <c r="AH393" s="333">
        <f t="shared" si="104"/>
        <v>1.0208333333333335</v>
      </c>
      <c r="AI393" s="332">
        <f t="shared" si="110"/>
        <v>1.2</v>
      </c>
      <c r="AJ393" s="332">
        <f t="shared" si="117"/>
        <v>1.2250000000000001</v>
      </c>
      <c r="AK393" s="332">
        <f t="shared" si="111"/>
        <v>-2.5000000000000133E-2</v>
      </c>
      <c r="AL393" s="333">
        <f t="shared" si="112"/>
        <v>1.0208333333333335</v>
      </c>
    </row>
    <row r="394" spans="2:38" s="303" customFormat="1" ht="28.5" x14ac:dyDescent="0.2">
      <c r="B394" s="341">
        <f t="shared" si="100"/>
        <v>384</v>
      </c>
      <c r="C394" s="459" t="s">
        <v>200</v>
      </c>
      <c r="D394" s="342" t="s">
        <v>211</v>
      </c>
      <c r="E394" s="341" t="s">
        <v>212</v>
      </c>
      <c r="F394" s="341">
        <v>1</v>
      </c>
      <c r="G394" s="341">
        <v>26170</v>
      </c>
      <c r="H394" s="341" t="s">
        <v>173</v>
      </c>
      <c r="I394" s="341">
        <v>2400</v>
      </c>
      <c r="J394" s="2"/>
      <c r="K394" s="319">
        <v>125</v>
      </c>
      <c r="L394" s="321" t="s">
        <v>126</v>
      </c>
      <c r="M394" s="322" t="s">
        <v>127</v>
      </c>
      <c r="N394" s="321" t="s">
        <v>39</v>
      </c>
      <c r="O394" s="323" t="s">
        <v>188</v>
      </c>
      <c r="P394" s="321" t="s">
        <v>3</v>
      </c>
      <c r="Q394" s="2"/>
      <c r="R394" s="324">
        <f t="shared" ref="R394:R397" si="118">ROUNDUP(600,0)</f>
        <v>600</v>
      </c>
      <c r="S394" s="325">
        <v>2</v>
      </c>
      <c r="T394" s="325">
        <f t="shared" si="114"/>
        <v>2</v>
      </c>
      <c r="V394" s="324">
        <v>5000</v>
      </c>
      <c r="W394" s="326">
        <f t="shared" si="115"/>
        <v>8</v>
      </c>
      <c r="X394" s="326">
        <f t="shared" si="116"/>
        <v>4935</v>
      </c>
      <c r="Y394" s="327">
        <v>4900</v>
      </c>
      <c r="Z394" s="328">
        <f t="shared" si="113"/>
        <v>0.25</v>
      </c>
      <c r="AA394" s="392"/>
      <c r="AB394" s="329">
        <v>0.88800000000000001</v>
      </c>
      <c r="AC394" s="329">
        <v>0.34</v>
      </c>
      <c r="AE394" s="332">
        <f t="shared" si="105"/>
        <v>1.0655999999999999</v>
      </c>
      <c r="AF394" s="332">
        <f t="shared" si="106"/>
        <v>1.0878000000000001</v>
      </c>
      <c r="AG394" s="332">
        <f t="shared" si="103"/>
        <v>-2.220000000000022E-2</v>
      </c>
      <c r="AH394" s="333">
        <f t="shared" si="104"/>
        <v>1.0208333333333335</v>
      </c>
      <c r="AI394" s="329">
        <f t="shared" si="110"/>
        <v>1.2</v>
      </c>
      <c r="AJ394" s="329">
        <f t="shared" si="117"/>
        <v>1.2250000000000001</v>
      </c>
      <c r="AK394" s="329">
        <f t="shared" si="111"/>
        <v>-2.5000000000000133E-2</v>
      </c>
      <c r="AL394" s="382">
        <f t="shared" si="112"/>
        <v>1.0208333333333335</v>
      </c>
    </row>
    <row r="395" spans="2:38" s="303" customFormat="1" ht="28.5" x14ac:dyDescent="0.2">
      <c r="B395" s="341">
        <f t="shared" si="100"/>
        <v>385</v>
      </c>
      <c r="C395" s="459" t="s">
        <v>200</v>
      </c>
      <c r="D395" s="342" t="s">
        <v>211</v>
      </c>
      <c r="E395" s="341" t="s">
        <v>212</v>
      </c>
      <c r="F395" s="341">
        <v>1</v>
      </c>
      <c r="G395" s="341">
        <v>26170</v>
      </c>
      <c r="H395" s="341" t="s">
        <v>173</v>
      </c>
      <c r="I395" s="341">
        <v>2400</v>
      </c>
      <c r="J395" s="2"/>
      <c r="K395" s="319">
        <v>125</v>
      </c>
      <c r="L395" s="321" t="s">
        <v>48</v>
      </c>
      <c r="M395" s="322" t="s">
        <v>49</v>
      </c>
      <c r="N395" s="321" t="s">
        <v>39</v>
      </c>
      <c r="O395" s="323" t="s">
        <v>188</v>
      </c>
      <c r="P395" s="321" t="s">
        <v>3</v>
      </c>
      <c r="Q395" s="2"/>
      <c r="R395" s="324">
        <f t="shared" si="118"/>
        <v>600</v>
      </c>
      <c r="S395" s="325">
        <v>2</v>
      </c>
      <c r="T395" s="325">
        <f t="shared" si="114"/>
        <v>2</v>
      </c>
      <c r="V395" s="324">
        <v>5000</v>
      </c>
      <c r="W395" s="326">
        <f t="shared" si="115"/>
        <v>8</v>
      </c>
      <c r="X395" s="326">
        <f t="shared" si="116"/>
        <v>4935</v>
      </c>
      <c r="Y395" s="327">
        <v>4900</v>
      </c>
      <c r="Z395" s="328">
        <f t="shared" si="113"/>
        <v>0.25</v>
      </c>
      <c r="AA395" s="392"/>
      <c r="AB395" s="329">
        <v>0.81</v>
      </c>
      <c r="AC395" s="329">
        <v>0.28999999999999998</v>
      </c>
      <c r="AE395" s="332">
        <f t="shared" si="105"/>
        <v>0.97199999999999998</v>
      </c>
      <c r="AF395" s="332">
        <f t="shared" si="106"/>
        <v>0.99225000000000019</v>
      </c>
      <c r="AG395" s="332">
        <f t="shared" si="103"/>
        <v>-2.0250000000000212E-2</v>
      </c>
      <c r="AH395" s="333">
        <f t="shared" si="104"/>
        <v>1.0208333333333335</v>
      </c>
      <c r="AI395" s="329">
        <f t="shared" si="110"/>
        <v>1.2</v>
      </c>
      <c r="AJ395" s="329">
        <f t="shared" si="117"/>
        <v>1.2250000000000001</v>
      </c>
      <c r="AK395" s="329">
        <f t="shared" si="111"/>
        <v>-2.5000000000000133E-2</v>
      </c>
      <c r="AL395" s="382">
        <f t="shared" si="112"/>
        <v>1.0208333333333335</v>
      </c>
    </row>
    <row r="396" spans="2:38" s="303" customFormat="1" ht="28.5" x14ac:dyDescent="0.2">
      <c r="B396" s="341">
        <f t="shared" si="100"/>
        <v>386</v>
      </c>
      <c r="C396" s="459" t="s">
        <v>200</v>
      </c>
      <c r="D396" s="342" t="s">
        <v>211</v>
      </c>
      <c r="E396" s="341" t="s">
        <v>212</v>
      </c>
      <c r="F396" s="341">
        <v>1</v>
      </c>
      <c r="G396" s="341">
        <v>26170</v>
      </c>
      <c r="H396" s="341" t="s">
        <v>173</v>
      </c>
      <c r="I396" s="341">
        <v>2400</v>
      </c>
      <c r="J396" s="2"/>
      <c r="K396" s="319">
        <v>125</v>
      </c>
      <c r="L396" s="321" t="s">
        <v>46</v>
      </c>
      <c r="M396" s="322" t="s">
        <v>47</v>
      </c>
      <c r="N396" s="321" t="s">
        <v>39</v>
      </c>
      <c r="O396" s="323" t="s">
        <v>188</v>
      </c>
      <c r="P396" s="321" t="s">
        <v>3</v>
      </c>
      <c r="Q396" s="2"/>
      <c r="R396" s="324">
        <f t="shared" si="118"/>
        <v>600</v>
      </c>
      <c r="S396" s="325">
        <v>2</v>
      </c>
      <c r="T396" s="325">
        <f t="shared" si="114"/>
        <v>2</v>
      </c>
      <c r="V396" s="324">
        <v>5000</v>
      </c>
      <c r="W396" s="326">
        <f t="shared" si="115"/>
        <v>8</v>
      </c>
      <c r="X396" s="326">
        <f t="shared" si="116"/>
        <v>4935</v>
      </c>
      <c r="Y396" s="327">
        <v>4900</v>
      </c>
      <c r="Z396" s="328">
        <f t="shared" si="113"/>
        <v>0.25</v>
      </c>
      <c r="AA396" s="392"/>
      <c r="AB396" s="329">
        <v>0.91600000000000004</v>
      </c>
      <c r="AC396" s="329">
        <v>0.33900000000000002</v>
      </c>
      <c r="AE396" s="332">
        <f t="shared" si="105"/>
        <v>1.0992</v>
      </c>
      <c r="AF396" s="332">
        <f t="shared" si="106"/>
        <v>1.1221000000000001</v>
      </c>
      <c r="AG396" s="332">
        <f t="shared" si="103"/>
        <v>-2.2900000000000142E-2</v>
      </c>
      <c r="AH396" s="333">
        <f t="shared" si="104"/>
        <v>1.0208333333333335</v>
      </c>
      <c r="AI396" s="329">
        <f t="shared" si="110"/>
        <v>1.2</v>
      </c>
      <c r="AJ396" s="329">
        <f t="shared" si="117"/>
        <v>1.2250000000000001</v>
      </c>
      <c r="AK396" s="329">
        <f t="shared" si="111"/>
        <v>-2.5000000000000133E-2</v>
      </c>
      <c r="AL396" s="382">
        <f t="shared" si="112"/>
        <v>1.0208333333333335</v>
      </c>
    </row>
    <row r="397" spans="2:38" s="303" customFormat="1" ht="28.5" x14ac:dyDescent="0.2">
      <c r="B397" s="341">
        <f t="shared" ref="B397:B460" si="119">B396+1</f>
        <v>387</v>
      </c>
      <c r="C397" s="459" t="s">
        <v>200</v>
      </c>
      <c r="D397" s="342" t="s">
        <v>211</v>
      </c>
      <c r="E397" s="341" t="s">
        <v>212</v>
      </c>
      <c r="F397" s="341">
        <v>1</v>
      </c>
      <c r="G397" s="341">
        <v>26170</v>
      </c>
      <c r="H397" s="341" t="s">
        <v>173</v>
      </c>
      <c r="I397" s="341">
        <v>2400</v>
      </c>
      <c r="J397" s="2"/>
      <c r="K397" s="468">
        <v>125</v>
      </c>
      <c r="L397" s="417">
        <v>21825</v>
      </c>
      <c r="M397" s="416" t="s">
        <v>45</v>
      </c>
      <c r="N397" s="417" t="s">
        <v>39</v>
      </c>
      <c r="O397" s="323" t="s">
        <v>188</v>
      </c>
      <c r="P397" s="321" t="s">
        <v>3</v>
      </c>
      <c r="Q397" s="2"/>
      <c r="R397" s="324">
        <f t="shared" si="118"/>
        <v>600</v>
      </c>
      <c r="S397" s="325">
        <v>2</v>
      </c>
      <c r="T397" s="325">
        <f t="shared" si="114"/>
        <v>2</v>
      </c>
      <c r="V397" s="324">
        <v>5000</v>
      </c>
      <c r="W397" s="326">
        <f t="shared" si="115"/>
        <v>8</v>
      </c>
      <c r="X397" s="326">
        <f t="shared" si="116"/>
        <v>4935</v>
      </c>
      <c r="Y397" s="327">
        <v>4900</v>
      </c>
      <c r="Z397" s="328">
        <f t="shared" si="113"/>
        <v>0.25</v>
      </c>
      <c r="AA397" s="392"/>
      <c r="AB397" s="329">
        <v>0.999</v>
      </c>
      <c r="AC397" s="329">
        <v>0.2382</v>
      </c>
      <c r="AE397" s="332">
        <f t="shared" si="105"/>
        <v>1.1987999999999999</v>
      </c>
      <c r="AF397" s="332">
        <f t="shared" si="106"/>
        <v>1.2237750000000001</v>
      </c>
      <c r="AG397" s="332">
        <f t="shared" si="103"/>
        <v>-2.4975000000000191E-2</v>
      </c>
      <c r="AH397" s="333">
        <f t="shared" si="104"/>
        <v>1.0208333333333335</v>
      </c>
      <c r="AI397" s="329">
        <f t="shared" si="110"/>
        <v>1.2</v>
      </c>
      <c r="AJ397" s="329">
        <f t="shared" si="117"/>
        <v>1.2250000000000001</v>
      </c>
      <c r="AK397" s="329">
        <f t="shared" si="111"/>
        <v>-2.5000000000000133E-2</v>
      </c>
      <c r="AL397" s="382">
        <f t="shared" si="112"/>
        <v>1.0208333333333335</v>
      </c>
    </row>
    <row r="398" spans="2:38" s="303" customFormat="1" ht="28.5" x14ac:dyDescent="0.2">
      <c r="B398" s="341">
        <f t="shared" si="119"/>
        <v>388</v>
      </c>
      <c r="C398" s="459" t="s">
        <v>200</v>
      </c>
      <c r="D398" s="342" t="s">
        <v>211</v>
      </c>
      <c r="E398" s="341" t="s">
        <v>212</v>
      </c>
      <c r="F398" s="341">
        <v>1</v>
      </c>
      <c r="G398" s="341">
        <v>26170</v>
      </c>
      <c r="H398" s="341" t="s">
        <v>173</v>
      </c>
      <c r="I398" s="341">
        <v>2400</v>
      </c>
      <c r="J398" s="2"/>
      <c r="K398" s="319">
        <v>125</v>
      </c>
      <c r="L398" s="321" t="s">
        <v>114</v>
      </c>
      <c r="M398" s="322" t="s">
        <v>115</v>
      </c>
      <c r="N398" s="321" t="s">
        <v>39</v>
      </c>
      <c r="O398" s="323" t="s">
        <v>188</v>
      </c>
      <c r="P398" s="321" t="s">
        <v>3</v>
      </c>
      <c r="Q398" s="2"/>
      <c r="R398" s="324">
        <f>ROUNDUP(600,0)</f>
        <v>600</v>
      </c>
      <c r="S398" s="325">
        <v>1</v>
      </c>
      <c r="T398" s="325">
        <f t="shared" si="114"/>
        <v>1</v>
      </c>
      <c r="V398" s="348">
        <v>6500</v>
      </c>
      <c r="W398" s="326">
        <f t="shared" si="115"/>
        <v>10</v>
      </c>
      <c r="X398" s="326">
        <f t="shared" si="116"/>
        <v>6145</v>
      </c>
      <c r="Y398" s="327">
        <v>6200</v>
      </c>
      <c r="Z398" s="328">
        <f t="shared" si="113"/>
        <v>0.1</v>
      </c>
      <c r="AA398" s="304"/>
      <c r="AB398" s="329">
        <v>0.83499999999999996</v>
      </c>
      <c r="AC398" s="329">
        <v>0.21299999999999999</v>
      </c>
      <c r="AE398" s="332">
        <f t="shared" si="105"/>
        <v>0.501</v>
      </c>
      <c r="AF398" s="332">
        <f t="shared" si="106"/>
        <v>0.51769999999999994</v>
      </c>
      <c r="AG398" s="332">
        <f t="shared" si="103"/>
        <v>-1.6699999999999937E-2</v>
      </c>
      <c r="AH398" s="333">
        <f t="shared" si="104"/>
        <v>1.0333333333333332</v>
      </c>
      <c r="AI398" s="329">
        <f t="shared" si="110"/>
        <v>0.6</v>
      </c>
      <c r="AJ398" s="329">
        <f t="shared" si="117"/>
        <v>0.62000000000000011</v>
      </c>
      <c r="AK398" s="329">
        <f t="shared" si="111"/>
        <v>-2.0000000000000129E-2</v>
      </c>
      <c r="AL398" s="382">
        <f t="shared" si="112"/>
        <v>1.0333333333333337</v>
      </c>
    </row>
    <row r="399" spans="2:38" s="303" customFormat="1" ht="28.5" x14ac:dyDescent="0.2">
      <c r="B399" s="341">
        <f t="shared" si="119"/>
        <v>389</v>
      </c>
      <c r="C399" s="460" t="s">
        <v>200</v>
      </c>
      <c r="D399" s="342" t="s">
        <v>211</v>
      </c>
      <c r="E399" s="341" t="s">
        <v>212</v>
      </c>
      <c r="F399" s="341">
        <v>1</v>
      </c>
      <c r="G399" s="341">
        <v>26170</v>
      </c>
      <c r="H399" s="396" t="s">
        <v>173</v>
      </c>
      <c r="I399" s="396">
        <v>2400</v>
      </c>
      <c r="J399" s="2"/>
      <c r="K399" s="397">
        <v>125</v>
      </c>
      <c r="L399" s="321" t="s">
        <v>50</v>
      </c>
      <c r="M399" s="322" t="s">
        <v>51</v>
      </c>
      <c r="N399" s="398" t="s">
        <v>39</v>
      </c>
      <c r="O399" s="323" t="s">
        <v>188</v>
      </c>
      <c r="P399" s="398" t="s">
        <v>3</v>
      </c>
      <c r="Q399" s="2"/>
      <c r="R399" s="399">
        <f>ROUNDUP(600,0)</f>
        <v>600</v>
      </c>
      <c r="S399" s="400">
        <v>1</v>
      </c>
      <c r="T399" s="400">
        <f t="shared" si="114"/>
        <v>1</v>
      </c>
      <c r="V399" s="399">
        <v>6500</v>
      </c>
      <c r="W399" s="401">
        <f t="shared" si="115"/>
        <v>10</v>
      </c>
      <c r="X399" s="401">
        <f t="shared" si="116"/>
        <v>6145</v>
      </c>
      <c r="Y399" s="402">
        <v>6200</v>
      </c>
      <c r="Z399" s="403">
        <f t="shared" si="113"/>
        <v>0.1</v>
      </c>
      <c r="AA399" s="392"/>
      <c r="AB399" s="395">
        <v>1.7110000000000001</v>
      </c>
      <c r="AC399" s="395">
        <v>0.34200000000000003</v>
      </c>
      <c r="AE399" s="332">
        <f t="shared" si="105"/>
        <v>1.0266</v>
      </c>
      <c r="AF399" s="332">
        <f t="shared" si="106"/>
        <v>1.0608200000000001</v>
      </c>
      <c r="AG399" s="332">
        <f t="shared" si="103"/>
        <v>-3.4220000000000139E-2</v>
      </c>
      <c r="AH399" s="333">
        <f t="shared" si="104"/>
        <v>1.0333333333333334</v>
      </c>
      <c r="AI399" s="404">
        <f t="shared" si="110"/>
        <v>0.6</v>
      </c>
      <c r="AJ399" s="404">
        <f t="shared" si="117"/>
        <v>0.62000000000000011</v>
      </c>
      <c r="AK399" s="404">
        <f t="shared" si="111"/>
        <v>-2.0000000000000129E-2</v>
      </c>
      <c r="AL399" s="405">
        <f t="shared" si="112"/>
        <v>1.0333333333333337</v>
      </c>
    </row>
    <row r="400" spans="2:38" s="303" customFormat="1" ht="28.5" x14ac:dyDescent="0.2">
      <c r="B400" s="341">
        <f t="shared" si="119"/>
        <v>390</v>
      </c>
      <c r="C400" s="459" t="s">
        <v>200</v>
      </c>
      <c r="D400" s="342" t="s">
        <v>211</v>
      </c>
      <c r="E400" s="341" t="s">
        <v>212</v>
      </c>
      <c r="F400" s="341">
        <v>1</v>
      </c>
      <c r="G400" s="341">
        <v>26170</v>
      </c>
      <c r="H400" s="341" t="s">
        <v>173</v>
      </c>
      <c r="I400" s="341">
        <v>2400</v>
      </c>
      <c r="J400" s="2"/>
      <c r="K400" s="345">
        <v>125</v>
      </c>
      <c r="L400" s="347">
        <v>10926</v>
      </c>
      <c r="M400" s="346" t="s">
        <v>36</v>
      </c>
      <c r="N400" s="347" t="s">
        <v>6</v>
      </c>
      <c r="O400" s="323" t="s">
        <v>188</v>
      </c>
      <c r="P400" s="347" t="s">
        <v>187</v>
      </c>
      <c r="Q400" s="2"/>
      <c r="R400" s="348">
        <f>ROUNDUP(600,0)</f>
        <v>600</v>
      </c>
      <c r="S400" s="349">
        <v>1</v>
      </c>
      <c r="T400" s="349">
        <f t="shared" si="114"/>
        <v>1</v>
      </c>
      <c r="V400" s="348">
        <v>6100</v>
      </c>
      <c r="W400" s="350">
        <f t="shared" si="115"/>
        <v>10</v>
      </c>
      <c r="X400" s="350">
        <f t="shared" si="116"/>
        <v>6145</v>
      </c>
      <c r="Y400" s="351">
        <v>6100</v>
      </c>
      <c r="Z400" s="389">
        <f t="shared" si="113"/>
        <v>0.1</v>
      </c>
      <c r="AA400" s="392"/>
      <c r="AB400" s="329">
        <v>0.76700000000000002</v>
      </c>
      <c r="AC400" s="329"/>
      <c r="AE400" s="332">
        <f t="shared" si="105"/>
        <v>0.4602</v>
      </c>
      <c r="AF400" s="332">
        <f t="shared" si="106"/>
        <v>0.46787000000000001</v>
      </c>
      <c r="AG400" s="332">
        <f t="shared" si="103"/>
        <v>-7.6700000000000101E-3</v>
      </c>
      <c r="AH400" s="333">
        <f t="shared" si="104"/>
        <v>1.0166666666666666</v>
      </c>
      <c r="AI400" s="332">
        <f t="shared" si="110"/>
        <v>0.6</v>
      </c>
      <c r="AJ400" s="332">
        <f t="shared" si="117"/>
        <v>0.61</v>
      </c>
      <c r="AK400" s="332">
        <f t="shared" si="111"/>
        <v>-1.0000000000000009E-2</v>
      </c>
      <c r="AL400" s="333">
        <f t="shared" si="112"/>
        <v>1.0166666666666666</v>
      </c>
    </row>
    <row r="401" spans="2:39" s="303" customFormat="1" ht="28.5" x14ac:dyDescent="0.2">
      <c r="B401" s="341">
        <f t="shared" si="119"/>
        <v>391</v>
      </c>
      <c r="C401" s="459" t="s">
        <v>200</v>
      </c>
      <c r="D401" s="342" t="s">
        <v>211</v>
      </c>
      <c r="E401" s="341" t="s">
        <v>212</v>
      </c>
      <c r="F401" s="341">
        <v>1</v>
      </c>
      <c r="G401" s="341">
        <v>26170</v>
      </c>
      <c r="H401" s="341" t="s">
        <v>173</v>
      </c>
      <c r="I401" s="341">
        <v>2400</v>
      </c>
      <c r="J401" s="2"/>
      <c r="K401" s="341">
        <v>124</v>
      </c>
      <c r="L401" s="321" t="s">
        <v>124</v>
      </c>
      <c r="M401" s="322" t="s">
        <v>125</v>
      </c>
      <c r="N401" s="342" t="s">
        <v>39</v>
      </c>
      <c r="O401" s="323" t="s">
        <v>188</v>
      </c>
      <c r="P401" s="342" t="s">
        <v>3</v>
      </c>
      <c r="Q401" s="2"/>
      <c r="R401" s="324">
        <f>ROUNDUP(((G401-(600*2))/28),0)</f>
        <v>892</v>
      </c>
      <c r="S401" s="325">
        <v>28</v>
      </c>
      <c r="T401" s="349">
        <f t="shared" si="114"/>
        <v>28</v>
      </c>
      <c r="V401" s="324">
        <v>7000</v>
      </c>
      <c r="W401" s="388">
        <f t="shared" si="115"/>
        <v>7</v>
      </c>
      <c r="X401" s="388">
        <f t="shared" si="116"/>
        <v>6374</v>
      </c>
      <c r="Y401" s="327">
        <v>6400</v>
      </c>
      <c r="Z401" s="389">
        <f t="shared" si="113"/>
        <v>4</v>
      </c>
      <c r="AA401" s="406">
        <v>8</v>
      </c>
      <c r="AB401" s="329">
        <v>2.109</v>
      </c>
      <c r="AC401" s="329">
        <v>0.70199999999999996</v>
      </c>
      <c r="AE401" s="332">
        <f t="shared" si="105"/>
        <v>52.674383999999996</v>
      </c>
      <c r="AF401" s="332">
        <f t="shared" si="106"/>
        <v>53.990400000000001</v>
      </c>
      <c r="AG401" s="332">
        <f t="shared" si="103"/>
        <v>-1.3160160000000047</v>
      </c>
      <c r="AH401" s="333">
        <f t="shared" si="104"/>
        <v>1.0249839846252404</v>
      </c>
      <c r="AI401" s="332">
        <f t="shared" si="110"/>
        <v>24.975999999999999</v>
      </c>
      <c r="AJ401" s="332">
        <f t="shared" si="117"/>
        <v>25.6</v>
      </c>
      <c r="AK401" s="332">
        <f t="shared" si="111"/>
        <v>-0.62400000000000233</v>
      </c>
      <c r="AL401" s="333">
        <f t="shared" si="112"/>
        <v>1.0249839846252404</v>
      </c>
    </row>
    <row r="402" spans="2:39" s="303" customFormat="1" ht="28.5" x14ac:dyDescent="0.2">
      <c r="B402" s="341">
        <f t="shared" si="119"/>
        <v>392</v>
      </c>
      <c r="C402" s="459" t="s">
        <v>200</v>
      </c>
      <c r="D402" s="342" t="s">
        <v>211</v>
      </c>
      <c r="E402" s="341" t="s">
        <v>212</v>
      </c>
      <c r="F402" s="341">
        <v>1</v>
      </c>
      <c r="G402" s="341">
        <v>26170</v>
      </c>
      <c r="H402" s="341" t="s">
        <v>173</v>
      </c>
      <c r="I402" s="341">
        <v>2400</v>
      </c>
      <c r="J402" s="2"/>
      <c r="K402" s="341">
        <v>124</v>
      </c>
      <c r="L402" s="321" t="s">
        <v>126</v>
      </c>
      <c r="M402" s="322" t="s">
        <v>127</v>
      </c>
      <c r="N402" s="342" t="s">
        <v>39</v>
      </c>
      <c r="O402" s="323" t="s">
        <v>188</v>
      </c>
      <c r="P402" s="342" t="s">
        <v>3</v>
      </c>
      <c r="Q402" s="2"/>
      <c r="R402" s="324">
        <f>ROUNDUP(((G402-(600*2))/28),0)</f>
        <v>892</v>
      </c>
      <c r="S402" s="325">
        <v>28</v>
      </c>
      <c r="T402" s="349">
        <f t="shared" si="114"/>
        <v>28</v>
      </c>
      <c r="V402" s="324">
        <v>7000</v>
      </c>
      <c r="W402" s="388">
        <f t="shared" si="115"/>
        <v>7</v>
      </c>
      <c r="X402" s="388">
        <f t="shared" si="116"/>
        <v>6374</v>
      </c>
      <c r="Y402" s="327">
        <v>6400</v>
      </c>
      <c r="Z402" s="389">
        <f t="shared" si="113"/>
        <v>4</v>
      </c>
      <c r="AA402" s="392"/>
      <c r="AB402" s="329">
        <v>0.88800000000000001</v>
      </c>
      <c r="AC402" s="329">
        <v>0.34</v>
      </c>
      <c r="AE402" s="332">
        <f t="shared" si="105"/>
        <v>22.178688000000001</v>
      </c>
      <c r="AF402" s="332">
        <f t="shared" si="106"/>
        <v>22.732800000000001</v>
      </c>
      <c r="AG402" s="332">
        <f t="shared" si="103"/>
        <v>-0.55411199999999994</v>
      </c>
      <c r="AH402" s="333">
        <f t="shared" si="104"/>
        <v>1.0249839846252402</v>
      </c>
      <c r="AI402" s="332">
        <f t="shared" si="110"/>
        <v>24.975999999999999</v>
      </c>
      <c r="AJ402" s="332">
        <f t="shared" si="117"/>
        <v>25.6</v>
      </c>
      <c r="AK402" s="332">
        <f t="shared" si="111"/>
        <v>-0.62400000000000233</v>
      </c>
      <c r="AL402" s="333">
        <f t="shared" si="112"/>
        <v>1.0249839846252404</v>
      </c>
    </row>
    <row r="403" spans="2:39" s="303" customFormat="1" ht="28.5" x14ac:dyDescent="0.2">
      <c r="B403" s="341">
        <f t="shared" si="119"/>
        <v>393</v>
      </c>
      <c r="C403" s="459" t="s">
        <v>200</v>
      </c>
      <c r="D403" s="342" t="s">
        <v>211</v>
      </c>
      <c r="E403" s="341" t="s">
        <v>212</v>
      </c>
      <c r="F403" s="341">
        <v>1</v>
      </c>
      <c r="G403" s="341">
        <v>26170</v>
      </c>
      <c r="H403" s="341" t="s">
        <v>173</v>
      </c>
      <c r="I403" s="341">
        <v>2400</v>
      </c>
      <c r="J403" s="2"/>
      <c r="K403" s="341">
        <v>124</v>
      </c>
      <c r="L403" s="342" t="s">
        <v>48</v>
      </c>
      <c r="M403" s="343" t="s">
        <v>49</v>
      </c>
      <c r="N403" s="342" t="s">
        <v>39</v>
      </c>
      <c r="O403" s="323" t="s">
        <v>188</v>
      </c>
      <c r="P403" s="342" t="s">
        <v>3</v>
      </c>
      <c r="Q403" s="2"/>
      <c r="R403" s="324">
        <f>ROUNDUP(((G403-(600*2))/28),0)</f>
        <v>892</v>
      </c>
      <c r="S403" s="325">
        <v>28</v>
      </c>
      <c r="T403" s="349">
        <f t="shared" si="114"/>
        <v>28</v>
      </c>
      <c r="V403" s="324">
        <v>7000</v>
      </c>
      <c r="W403" s="388">
        <f t="shared" si="115"/>
        <v>7</v>
      </c>
      <c r="X403" s="388">
        <f t="shared" si="116"/>
        <v>6374</v>
      </c>
      <c r="Y403" s="327">
        <v>6400</v>
      </c>
      <c r="Z403" s="389">
        <f t="shared" si="113"/>
        <v>4</v>
      </c>
      <c r="AA403" s="392"/>
      <c r="AB403" s="329">
        <v>0.81</v>
      </c>
      <c r="AC403" s="329">
        <v>0.28999999999999998</v>
      </c>
      <c r="AE403" s="332">
        <f t="shared" si="105"/>
        <v>20.230560000000001</v>
      </c>
      <c r="AF403" s="332">
        <f t="shared" si="106"/>
        <v>20.736000000000004</v>
      </c>
      <c r="AG403" s="332">
        <f t="shared" si="103"/>
        <v>-0.50544000000000366</v>
      </c>
      <c r="AH403" s="333">
        <f t="shared" si="104"/>
        <v>1.0249839846252404</v>
      </c>
      <c r="AI403" s="332">
        <f t="shared" si="110"/>
        <v>24.975999999999999</v>
      </c>
      <c r="AJ403" s="332">
        <f t="shared" si="117"/>
        <v>25.6</v>
      </c>
      <c r="AK403" s="332">
        <f t="shared" si="111"/>
        <v>-0.62400000000000233</v>
      </c>
      <c r="AL403" s="333">
        <f t="shared" si="112"/>
        <v>1.0249839846252404</v>
      </c>
    </row>
    <row r="404" spans="2:39" s="303" customFormat="1" ht="28.5" x14ac:dyDescent="0.2">
      <c r="B404" s="341">
        <f t="shared" si="119"/>
        <v>394</v>
      </c>
      <c r="C404" s="459" t="s">
        <v>200</v>
      </c>
      <c r="D404" s="342" t="s">
        <v>211</v>
      </c>
      <c r="E404" s="341" t="s">
        <v>212</v>
      </c>
      <c r="F404" s="341">
        <v>1</v>
      </c>
      <c r="G404" s="341">
        <v>26170</v>
      </c>
      <c r="H404" s="341" t="s">
        <v>173</v>
      </c>
      <c r="I404" s="341">
        <v>2400</v>
      </c>
      <c r="J404" s="2"/>
      <c r="K404" s="341">
        <v>124</v>
      </c>
      <c r="L404" s="342" t="s">
        <v>46</v>
      </c>
      <c r="M404" s="343" t="s">
        <v>47</v>
      </c>
      <c r="N404" s="342" t="s">
        <v>39</v>
      </c>
      <c r="O404" s="323" t="s">
        <v>188</v>
      </c>
      <c r="P404" s="342" t="s">
        <v>3</v>
      </c>
      <c r="Q404" s="2"/>
      <c r="R404" s="324">
        <f>ROUNDUP(((G404-(600*2))/28),0)</f>
        <v>892</v>
      </c>
      <c r="S404" s="325">
        <v>28</v>
      </c>
      <c r="T404" s="349">
        <f t="shared" si="114"/>
        <v>28</v>
      </c>
      <c r="V404" s="324">
        <v>7000</v>
      </c>
      <c r="W404" s="388">
        <f t="shared" si="115"/>
        <v>7</v>
      </c>
      <c r="X404" s="388">
        <f t="shared" si="116"/>
        <v>6374</v>
      </c>
      <c r="Y404" s="327">
        <v>6400</v>
      </c>
      <c r="Z404" s="389">
        <f t="shared" si="113"/>
        <v>4</v>
      </c>
      <c r="AA404" s="406">
        <v>8</v>
      </c>
      <c r="AB404" s="329">
        <v>0.91600000000000004</v>
      </c>
      <c r="AC404" s="329">
        <v>0.33900000000000002</v>
      </c>
      <c r="AE404" s="332">
        <f t="shared" si="105"/>
        <v>22.878015999999999</v>
      </c>
      <c r="AF404" s="332">
        <f t="shared" si="106"/>
        <v>23.449600000000004</v>
      </c>
      <c r="AG404" s="332">
        <f t="shared" si="103"/>
        <v>-0.57158400000000498</v>
      </c>
      <c r="AH404" s="333">
        <f t="shared" si="104"/>
        <v>1.0249839846252404</v>
      </c>
      <c r="AI404" s="332">
        <f t="shared" si="110"/>
        <v>24.975999999999999</v>
      </c>
      <c r="AJ404" s="332">
        <f t="shared" si="117"/>
        <v>25.6</v>
      </c>
      <c r="AK404" s="332">
        <f t="shared" si="111"/>
        <v>-0.62400000000000233</v>
      </c>
      <c r="AL404" s="333">
        <f t="shared" si="112"/>
        <v>1.0249839846252404</v>
      </c>
    </row>
    <row r="405" spans="2:39" s="303" customFormat="1" ht="28.5" x14ac:dyDescent="0.2">
      <c r="B405" s="341">
        <f t="shared" si="119"/>
        <v>395</v>
      </c>
      <c r="C405" s="459" t="s">
        <v>200</v>
      </c>
      <c r="D405" s="342" t="s">
        <v>211</v>
      </c>
      <c r="E405" s="341" t="s">
        <v>212</v>
      </c>
      <c r="F405" s="341">
        <v>1</v>
      </c>
      <c r="G405" s="341">
        <v>26170</v>
      </c>
      <c r="H405" s="341" t="s">
        <v>173</v>
      </c>
      <c r="I405" s="341">
        <v>2400</v>
      </c>
      <c r="J405" s="2"/>
      <c r="K405" s="468">
        <v>124</v>
      </c>
      <c r="L405" s="417">
        <v>21825</v>
      </c>
      <c r="M405" s="416" t="s">
        <v>45</v>
      </c>
      <c r="N405" s="417" t="s">
        <v>39</v>
      </c>
      <c r="O405" s="323" t="s">
        <v>188</v>
      </c>
      <c r="P405" s="321" t="s">
        <v>3</v>
      </c>
      <c r="Q405" s="2"/>
      <c r="R405" s="324">
        <f>ROUNDUP(((G405-(600*2))/28),0)</f>
        <v>892</v>
      </c>
      <c r="S405" s="325">
        <v>28</v>
      </c>
      <c r="T405" s="325">
        <f t="shared" si="114"/>
        <v>28</v>
      </c>
      <c r="V405" s="324">
        <v>7000</v>
      </c>
      <c r="W405" s="326">
        <f t="shared" si="115"/>
        <v>7</v>
      </c>
      <c r="X405" s="326">
        <f t="shared" si="116"/>
        <v>6374</v>
      </c>
      <c r="Y405" s="327">
        <v>6400</v>
      </c>
      <c r="Z405" s="328">
        <f t="shared" si="113"/>
        <v>4</v>
      </c>
      <c r="AA405" s="406">
        <v>8</v>
      </c>
      <c r="AB405" s="329">
        <v>0.999</v>
      </c>
      <c r="AC405" s="329">
        <v>0.2382</v>
      </c>
      <c r="AE405" s="332">
        <f t="shared" si="105"/>
        <v>24.951024</v>
      </c>
      <c r="AF405" s="332">
        <f t="shared" si="106"/>
        <v>25.574400000000001</v>
      </c>
      <c r="AG405" s="332">
        <f t="shared" si="103"/>
        <v>-0.62337600000000037</v>
      </c>
      <c r="AH405" s="333">
        <f t="shared" si="104"/>
        <v>1.0249839846252402</v>
      </c>
      <c r="AI405" s="329">
        <f t="shared" si="110"/>
        <v>24.975999999999999</v>
      </c>
      <c r="AJ405" s="329">
        <f t="shared" si="117"/>
        <v>25.6</v>
      </c>
      <c r="AK405" s="329">
        <f t="shared" si="111"/>
        <v>-0.62400000000000233</v>
      </c>
      <c r="AL405" s="382">
        <f t="shared" si="112"/>
        <v>1.0249839846252404</v>
      </c>
    </row>
    <row r="406" spans="2:39" s="303" customFormat="1" ht="28.5" x14ac:dyDescent="0.2">
      <c r="B406" s="341">
        <f t="shared" si="119"/>
        <v>396</v>
      </c>
      <c r="C406" s="459" t="s">
        <v>200</v>
      </c>
      <c r="D406" s="342" t="s">
        <v>211</v>
      </c>
      <c r="E406" s="341" t="s">
        <v>212</v>
      </c>
      <c r="F406" s="341">
        <v>1</v>
      </c>
      <c r="G406" s="341">
        <v>26170</v>
      </c>
      <c r="H406" s="341" t="s">
        <v>173</v>
      </c>
      <c r="I406" s="341">
        <v>2400</v>
      </c>
      <c r="J406" s="2"/>
      <c r="K406" s="345">
        <v>124</v>
      </c>
      <c r="L406" s="335" t="s">
        <v>121</v>
      </c>
      <c r="M406" s="336" t="s">
        <v>203</v>
      </c>
      <c r="N406" s="347" t="s">
        <v>6</v>
      </c>
      <c r="O406" s="323" t="s">
        <v>188</v>
      </c>
      <c r="P406" s="347" t="s">
        <v>187</v>
      </c>
      <c r="Q406" s="2"/>
      <c r="R406" s="324">
        <f>ROUNDUP((892*6),0)</f>
        <v>5352</v>
      </c>
      <c r="S406" s="325">
        <v>5</v>
      </c>
      <c r="T406" s="349">
        <f t="shared" si="114"/>
        <v>5</v>
      </c>
      <c r="V406" s="338">
        <v>3660</v>
      </c>
      <c r="W406" s="350">
        <f t="shared" si="115"/>
        <v>0</v>
      </c>
      <c r="X406" s="350">
        <f t="shared" si="116"/>
        <v>95</v>
      </c>
      <c r="Y406" s="327">
        <v>3660</v>
      </c>
      <c r="Z406" s="340">
        <f>($R406*$T406)/$V406</f>
        <v>7.3114754098360653</v>
      </c>
      <c r="AA406" s="392"/>
      <c r="AB406" s="329">
        <v>0.84899999999999998</v>
      </c>
      <c r="AC406" s="329">
        <v>0</v>
      </c>
      <c r="AE406" s="332">
        <f t="shared" si="105"/>
        <v>22.719239999999999</v>
      </c>
      <c r="AF406" s="332">
        <f t="shared" si="106"/>
        <v>22.719239999999999</v>
      </c>
      <c r="AG406" s="332">
        <f t="shared" si="103"/>
        <v>0</v>
      </c>
      <c r="AH406" s="333">
        <f t="shared" si="104"/>
        <v>1</v>
      </c>
      <c r="AI406" s="332">
        <f t="shared" si="110"/>
        <v>26.76</v>
      </c>
      <c r="AJ406" s="332">
        <f t="shared" si="117"/>
        <v>26.76</v>
      </c>
      <c r="AK406" s="332">
        <f t="shared" si="111"/>
        <v>0</v>
      </c>
      <c r="AL406" s="333">
        <f t="shared" si="112"/>
        <v>1</v>
      </c>
    </row>
    <row r="407" spans="2:39" s="303" customFormat="1" ht="28.5" x14ac:dyDescent="0.2">
      <c r="B407" s="341">
        <f t="shared" si="119"/>
        <v>397</v>
      </c>
      <c r="C407" s="459" t="s">
        <v>200</v>
      </c>
      <c r="D407" s="342" t="s">
        <v>211</v>
      </c>
      <c r="E407" s="341" t="s">
        <v>212</v>
      </c>
      <c r="F407" s="341">
        <v>1</v>
      </c>
      <c r="G407" s="341">
        <v>26170</v>
      </c>
      <c r="H407" s="341" t="s">
        <v>173</v>
      </c>
      <c r="I407" s="341">
        <v>2400</v>
      </c>
      <c r="J407" s="2"/>
      <c r="K407" s="319">
        <v>126</v>
      </c>
      <c r="L407" s="321" t="s">
        <v>124</v>
      </c>
      <c r="M407" s="322" t="s">
        <v>125</v>
      </c>
      <c r="N407" s="321" t="s">
        <v>39</v>
      </c>
      <c r="O407" s="323" t="s">
        <v>188</v>
      </c>
      <c r="P407" s="321" t="s">
        <v>3</v>
      </c>
      <c r="Q407" s="2"/>
      <c r="R407" s="324">
        <f>ROUNDUP(600,0)</f>
        <v>600</v>
      </c>
      <c r="S407" s="325">
        <v>2</v>
      </c>
      <c r="T407" s="325">
        <f t="shared" si="114"/>
        <v>2</v>
      </c>
      <c r="V407" s="324">
        <v>5000</v>
      </c>
      <c r="W407" s="326">
        <f t="shared" si="115"/>
        <v>8</v>
      </c>
      <c r="X407" s="326">
        <f t="shared" si="116"/>
        <v>4935</v>
      </c>
      <c r="Y407" s="327">
        <v>4900</v>
      </c>
      <c r="Z407" s="328">
        <f t="shared" si="113"/>
        <v>0.25</v>
      </c>
      <c r="AA407" s="387">
        <v>0.5</v>
      </c>
      <c r="AB407" s="329">
        <v>2.109</v>
      </c>
      <c r="AC407" s="329">
        <v>0.70199999999999996</v>
      </c>
      <c r="AE407" s="332">
        <f t="shared" si="105"/>
        <v>2.5307999999999997</v>
      </c>
      <c r="AF407" s="332">
        <f t="shared" si="106"/>
        <v>2.5835250000000003</v>
      </c>
      <c r="AG407" s="332">
        <f t="shared" si="103"/>
        <v>-5.2725000000000577E-2</v>
      </c>
      <c r="AH407" s="333">
        <f t="shared" si="104"/>
        <v>1.0208333333333335</v>
      </c>
      <c r="AI407" s="332">
        <f t="shared" si="110"/>
        <v>1.2</v>
      </c>
      <c r="AJ407" s="332">
        <f t="shared" si="117"/>
        <v>1.2250000000000001</v>
      </c>
      <c r="AK407" s="332">
        <f t="shared" si="111"/>
        <v>-2.5000000000000133E-2</v>
      </c>
      <c r="AL407" s="333">
        <f t="shared" si="112"/>
        <v>1.0208333333333335</v>
      </c>
    </row>
    <row r="408" spans="2:39" s="303" customFormat="1" ht="28.5" x14ac:dyDescent="0.2">
      <c r="B408" s="341">
        <f t="shared" si="119"/>
        <v>398</v>
      </c>
      <c r="C408" s="459" t="s">
        <v>200</v>
      </c>
      <c r="D408" s="342" t="s">
        <v>211</v>
      </c>
      <c r="E408" s="341" t="s">
        <v>212</v>
      </c>
      <c r="F408" s="341">
        <v>1</v>
      </c>
      <c r="G408" s="341">
        <v>26170</v>
      </c>
      <c r="H408" s="341" t="s">
        <v>173</v>
      </c>
      <c r="I408" s="341">
        <v>2400</v>
      </c>
      <c r="J408" s="2"/>
      <c r="K408" s="319">
        <v>126</v>
      </c>
      <c r="L408" s="321" t="s">
        <v>126</v>
      </c>
      <c r="M408" s="322" t="s">
        <v>127</v>
      </c>
      <c r="N408" s="321" t="s">
        <v>39</v>
      </c>
      <c r="O408" s="323" t="s">
        <v>188</v>
      </c>
      <c r="P408" s="321" t="s">
        <v>3</v>
      </c>
      <c r="Q408" s="2"/>
      <c r="R408" s="324">
        <f t="shared" ref="R408:R411" si="120">ROUNDUP(600,0)</f>
        <v>600</v>
      </c>
      <c r="S408" s="325">
        <v>2</v>
      </c>
      <c r="T408" s="325">
        <f t="shared" si="114"/>
        <v>2</v>
      </c>
      <c r="V408" s="324">
        <v>5000</v>
      </c>
      <c r="W408" s="326">
        <f t="shared" si="115"/>
        <v>8</v>
      </c>
      <c r="X408" s="326">
        <f t="shared" si="116"/>
        <v>4935</v>
      </c>
      <c r="Y408" s="327">
        <v>4900</v>
      </c>
      <c r="Z408" s="328">
        <f t="shared" si="113"/>
        <v>0.25</v>
      </c>
      <c r="AA408" s="392"/>
      <c r="AB408" s="329">
        <v>0.88800000000000001</v>
      </c>
      <c r="AC408" s="329">
        <v>0.34</v>
      </c>
      <c r="AE408" s="332">
        <f t="shared" si="105"/>
        <v>1.0655999999999999</v>
      </c>
      <c r="AF408" s="332">
        <f t="shared" si="106"/>
        <v>1.0878000000000001</v>
      </c>
      <c r="AG408" s="332">
        <f t="shared" si="103"/>
        <v>-2.220000000000022E-2</v>
      </c>
      <c r="AH408" s="333">
        <f t="shared" si="104"/>
        <v>1.0208333333333335</v>
      </c>
      <c r="AI408" s="329">
        <f t="shared" si="110"/>
        <v>1.2</v>
      </c>
      <c r="AJ408" s="329">
        <f t="shared" si="117"/>
        <v>1.2250000000000001</v>
      </c>
      <c r="AK408" s="329">
        <f t="shared" si="111"/>
        <v>-2.5000000000000133E-2</v>
      </c>
      <c r="AL408" s="382">
        <f t="shared" si="112"/>
        <v>1.0208333333333335</v>
      </c>
    </row>
    <row r="409" spans="2:39" s="303" customFormat="1" ht="28.5" x14ac:dyDescent="0.2">
      <c r="B409" s="341">
        <f t="shared" si="119"/>
        <v>399</v>
      </c>
      <c r="C409" s="459" t="s">
        <v>200</v>
      </c>
      <c r="D409" s="342" t="s">
        <v>211</v>
      </c>
      <c r="E409" s="341" t="s">
        <v>212</v>
      </c>
      <c r="F409" s="341">
        <v>1</v>
      </c>
      <c r="G409" s="341">
        <v>26170</v>
      </c>
      <c r="H409" s="341" t="s">
        <v>173</v>
      </c>
      <c r="I409" s="341">
        <v>2400</v>
      </c>
      <c r="J409" s="2"/>
      <c r="K409" s="319">
        <v>126</v>
      </c>
      <c r="L409" s="321" t="s">
        <v>48</v>
      </c>
      <c r="M409" s="322" t="s">
        <v>49</v>
      </c>
      <c r="N409" s="321" t="s">
        <v>39</v>
      </c>
      <c r="O409" s="323" t="s">
        <v>188</v>
      </c>
      <c r="P409" s="321" t="s">
        <v>3</v>
      </c>
      <c r="Q409" s="2"/>
      <c r="R409" s="324">
        <f t="shared" si="120"/>
        <v>600</v>
      </c>
      <c r="S409" s="325">
        <v>2</v>
      </c>
      <c r="T409" s="325">
        <f t="shared" si="114"/>
        <v>2</v>
      </c>
      <c r="V409" s="324">
        <v>5000</v>
      </c>
      <c r="W409" s="326">
        <f t="shared" si="115"/>
        <v>8</v>
      </c>
      <c r="X409" s="326">
        <f t="shared" si="116"/>
        <v>4935</v>
      </c>
      <c r="Y409" s="327">
        <v>4900</v>
      </c>
      <c r="Z409" s="328">
        <f t="shared" si="113"/>
        <v>0.25</v>
      </c>
      <c r="AA409" s="392"/>
      <c r="AB409" s="329">
        <v>0.81</v>
      </c>
      <c r="AC409" s="329">
        <v>0.28999999999999998</v>
      </c>
      <c r="AE409" s="332">
        <f t="shared" si="105"/>
        <v>0.97199999999999998</v>
      </c>
      <c r="AF409" s="332">
        <f t="shared" si="106"/>
        <v>0.99225000000000019</v>
      </c>
      <c r="AG409" s="332">
        <f t="shared" si="103"/>
        <v>-2.0250000000000212E-2</v>
      </c>
      <c r="AH409" s="333">
        <f t="shared" si="104"/>
        <v>1.0208333333333335</v>
      </c>
      <c r="AI409" s="329">
        <f t="shared" si="110"/>
        <v>1.2</v>
      </c>
      <c r="AJ409" s="329">
        <f t="shared" si="117"/>
        <v>1.2250000000000001</v>
      </c>
      <c r="AK409" s="329">
        <f t="shared" si="111"/>
        <v>-2.5000000000000133E-2</v>
      </c>
      <c r="AL409" s="382">
        <f t="shared" si="112"/>
        <v>1.0208333333333335</v>
      </c>
    </row>
    <row r="410" spans="2:39" s="303" customFormat="1" ht="28.5" x14ac:dyDescent="0.2">
      <c r="B410" s="341">
        <f t="shared" si="119"/>
        <v>400</v>
      </c>
      <c r="C410" s="459" t="s">
        <v>200</v>
      </c>
      <c r="D410" s="342" t="s">
        <v>211</v>
      </c>
      <c r="E410" s="341" t="s">
        <v>212</v>
      </c>
      <c r="F410" s="341">
        <v>1</v>
      </c>
      <c r="G410" s="341">
        <v>26170</v>
      </c>
      <c r="H410" s="341" t="s">
        <v>173</v>
      </c>
      <c r="I410" s="341">
        <v>2400</v>
      </c>
      <c r="J410" s="2"/>
      <c r="K410" s="319">
        <v>126</v>
      </c>
      <c r="L410" s="321" t="s">
        <v>46</v>
      </c>
      <c r="M410" s="322" t="s">
        <v>47</v>
      </c>
      <c r="N410" s="321" t="s">
        <v>39</v>
      </c>
      <c r="O410" s="323" t="s">
        <v>188</v>
      </c>
      <c r="P410" s="321" t="s">
        <v>3</v>
      </c>
      <c r="Q410" s="2"/>
      <c r="R410" s="324">
        <f t="shared" si="120"/>
        <v>600</v>
      </c>
      <c r="S410" s="325">
        <v>2</v>
      </c>
      <c r="T410" s="325">
        <f t="shared" si="114"/>
        <v>2</v>
      </c>
      <c r="V410" s="324">
        <v>5000</v>
      </c>
      <c r="W410" s="326">
        <f t="shared" si="115"/>
        <v>8</v>
      </c>
      <c r="X410" s="326">
        <f t="shared" si="116"/>
        <v>4935</v>
      </c>
      <c r="Y410" s="327">
        <v>4900</v>
      </c>
      <c r="Z410" s="328">
        <f t="shared" si="113"/>
        <v>0.25</v>
      </c>
      <c r="AA410" s="387">
        <v>16</v>
      </c>
      <c r="AB410" s="329">
        <v>0.91600000000000004</v>
      </c>
      <c r="AC410" s="329">
        <v>0.33900000000000002</v>
      </c>
      <c r="AE410" s="332">
        <f t="shared" si="105"/>
        <v>1.0992</v>
      </c>
      <c r="AF410" s="332">
        <f t="shared" si="106"/>
        <v>1.1221000000000001</v>
      </c>
      <c r="AG410" s="332">
        <f t="shared" si="103"/>
        <v>-2.2900000000000142E-2</v>
      </c>
      <c r="AH410" s="333">
        <f t="shared" si="104"/>
        <v>1.0208333333333335</v>
      </c>
      <c r="AI410" s="329">
        <f t="shared" si="110"/>
        <v>1.2</v>
      </c>
      <c r="AJ410" s="329">
        <f t="shared" si="117"/>
        <v>1.2250000000000001</v>
      </c>
      <c r="AK410" s="329">
        <f t="shared" si="111"/>
        <v>-2.5000000000000133E-2</v>
      </c>
      <c r="AL410" s="382">
        <f t="shared" si="112"/>
        <v>1.0208333333333335</v>
      </c>
    </row>
    <row r="411" spans="2:39" s="303" customFormat="1" ht="28.5" x14ac:dyDescent="0.2">
      <c r="B411" s="341">
        <f t="shared" si="119"/>
        <v>401</v>
      </c>
      <c r="C411" s="459" t="s">
        <v>200</v>
      </c>
      <c r="D411" s="342" t="s">
        <v>211</v>
      </c>
      <c r="E411" s="341" t="s">
        <v>212</v>
      </c>
      <c r="F411" s="341">
        <v>1</v>
      </c>
      <c r="G411" s="341">
        <v>26170</v>
      </c>
      <c r="H411" s="341" t="s">
        <v>173</v>
      </c>
      <c r="I411" s="341">
        <v>2400</v>
      </c>
      <c r="J411" s="2"/>
      <c r="K411" s="468">
        <v>126</v>
      </c>
      <c r="L411" s="417">
        <v>21825</v>
      </c>
      <c r="M411" s="416" t="s">
        <v>45</v>
      </c>
      <c r="N411" s="417" t="s">
        <v>39</v>
      </c>
      <c r="O411" s="323" t="s">
        <v>188</v>
      </c>
      <c r="P411" s="321" t="s">
        <v>3</v>
      </c>
      <c r="Q411" s="2"/>
      <c r="R411" s="324">
        <f t="shared" si="120"/>
        <v>600</v>
      </c>
      <c r="S411" s="325">
        <v>2</v>
      </c>
      <c r="T411" s="325">
        <f t="shared" si="114"/>
        <v>2</v>
      </c>
      <c r="V411" s="324">
        <v>5000</v>
      </c>
      <c r="W411" s="326">
        <f t="shared" si="115"/>
        <v>8</v>
      </c>
      <c r="X411" s="326">
        <f t="shared" si="116"/>
        <v>4935</v>
      </c>
      <c r="Y411" s="327">
        <v>4900</v>
      </c>
      <c r="Z411" s="328">
        <f t="shared" si="113"/>
        <v>0.25</v>
      </c>
      <c r="AA411" s="387">
        <v>16</v>
      </c>
      <c r="AB411" s="329">
        <v>0.999</v>
      </c>
      <c r="AC411" s="329">
        <v>0.2382</v>
      </c>
      <c r="AE411" s="332">
        <f t="shared" si="105"/>
        <v>1.1987999999999999</v>
      </c>
      <c r="AF411" s="332">
        <f t="shared" si="106"/>
        <v>1.2237750000000001</v>
      </c>
      <c r="AG411" s="332">
        <f t="shared" si="103"/>
        <v>-2.4975000000000191E-2</v>
      </c>
      <c r="AH411" s="333">
        <f t="shared" si="104"/>
        <v>1.0208333333333335</v>
      </c>
      <c r="AI411" s="329">
        <f t="shared" si="110"/>
        <v>1.2</v>
      </c>
      <c r="AJ411" s="329">
        <f t="shared" si="117"/>
        <v>1.2250000000000001</v>
      </c>
      <c r="AK411" s="329">
        <f t="shared" si="111"/>
        <v>-2.5000000000000133E-2</v>
      </c>
      <c r="AL411" s="382">
        <f t="shared" si="112"/>
        <v>1.0208333333333335</v>
      </c>
    </row>
    <row r="412" spans="2:39" s="303" customFormat="1" ht="28.5" x14ac:dyDescent="0.2">
      <c r="B412" s="341">
        <f t="shared" si="119"/>
        <v>402</v>
      </c>
      <c r="C412" s="459" t="s">
        <v>200</v>
      </c>
      <c r="D412" s="342" t="s">
        <v>211</v>
      </c>
      <c r="E412" s="341" t="s">
        <v>212</v>
      </c>
      <c r="F412" s="341">
        <v>1</v>
      </c>
      <c r="G412" s="341">
        <v>26170</v>
      </c>
      <c r="H412" s="341" t="s">
        <v>173</v>
      </c>
      <c r="I412" s="341">
        <v>2400</v>
      </c>
      <c r="J412" s="2"/>
      <c r="K412" s="341">
        <v>126</v>
      </c>
      <c r="L412" s="342" t="s">
        <v>114</v>
      </c>
      <c r="M412" s="343" t="s">
        <v>115</v>
      </c>
      <c r="N412" s="342" t="s">
        <v>39</v>
      </c>
      <c r="O412" s="323" t="s">
        <v>188</v>
      </c>
      <c r="P412" s="342" t="s">
        <v>3</v>
      </c>
      <c r="Q412" s="2"/>
      <c r="R412" s="348">
        <f>ROUNDUP(600,0)</f>
        <v>600</v>
      </c>
      <c r="S412" s="349">
        <v>1</v>
      </c>
      <c r="T412" s="349">
        <f t="shared" si="114"/>
        <v>1</v>
      </c>
      <c r="V412" s="348">
        <v>6500</v>
      </c>
      <c r="W412" s="388">
        <f t="shared" si="115"/>
        <v>10</v>
      </c>
      <c r="X412" s="388">
        <f t="shared" si="116"/>
        <v>6145</v>
      </c>
      <c r="Y412" s="351">
        <v>6200</v>
      </c>
      <c r="Z412" s="389">
        <f t="shared" si="113"/>
        <v>0.1</v>
      </c>
      <c r="AA412" s="392"/>
      <c r="AB412" s="329">
        <v>0.83499999999999996</v>
      </c>
      <c r="AC412" s="329">
        <v>0.21299999999999999</v>
      </c>
      <c r="AE412" s="332">
        <f t="shared" si="105"/>
        <v>0.501</v>
      </c>
      <c r="AF412" s="332">
        <f t="shared" si="106"/>
        <v>0.51769999999999994</v>
      </c>
      <c r="AG412" s="332">
        <f t="shared" si="103"/>
        <v>-1.6699999999999937E-2</v>
      </c>
      <c r="AH412" s="333">
        <f t="shared" si="104"/>
        <v>1.0333333333333332</v>
      </c>
      <c r="AI412" s="332">
        <f t="shared" si="110"/>
        <v>0.6</v>
      </c>
      <c r="AJ412" s="332">
        <f t="shared" si="117"/>
        <v>0.62000000000000011</v>
      </c>
      <c r="AK412" s="332">
        <f t="shared" si="111"/>
        <v>-2.0000000000000129E-2</v>
      </c>
      <c r="AL412" s="333">
        <f t="shared" si="112"/>
        <v>1.0333333333333337</v>
      </c>
    </row>
    <row r="413" spans="2:39" s="303" customFormat="1" ht="28.5" x14ac:dyDescent="0.2">
      <c r="B413" s="341">
        <f t="shared" si="119"/>
        <v>403</v>
      </c>
      <c r="C413" s="459" t="s">
        <v>200</v>
      </c>
      <c r="D413" s="342" t="s">
        <v>211</v>
      </c>
      <c r="E413" s="341" t="s">
        <v>212</v>
      </c>
      <c r="F413" s="341">
        <v>1</v>
      </c>
      <c r="G413" s="341">
        <v>26170</v>
      </c>
      <c r="H413" s="341" t="s">
        <v>173</v>
      </c>
      <c r="I413" s="341">
        <v>2400</v>
      </c>
      <c r="J413" s="2"/>
      <c r="K413" s="341">
        <v>126</v>
      </c>
      <c r="L413" s="321" t="s">
        <v>50</v>
      </c>
      <c r="M413" s="322" t="s">
        <v>51</v>
      </c>
      <c r="N413" s="342" t="s">
        <v>39</v>
      </c>
      <c r="O413" s="323" t="s">
        <v>188</v>
      </c>
      <c r="P413" s="342" t="s">
        <v>3</v>
      </c>
      <c r="Q413" s="2"/>
      <c r="R413" s="348">
        <f>ROUNDUP(600,0)</f>
        <v>600</v>
      </c>
      <c r="S413" s="349">
        <v>1</v>
      </c>
      <c r="T413" s="349">
        <f t="shared" si="114"/>
        <v>1</v>
      </c>
      <c r="V413" s="348">
        <v>6500</v>
      </c>
      <c r="W413" s="388">
        <f t="shared" si="115"/>
        <v>10</v>
      </c>
      <c r="X413" s="388">
        <f t="shared" si="116"/>
        <v>6145</v>
      </c>
      <c r="Y413" s="351">
        <v>6200</v>
      </c>
      <c r="Z413" s="389">
        <f t="shared" si="113"/>
        <v>0.1</v>
      </c>
      <c r="AA413" s="406">
        <v>0</v>
      </c>
      <c r="AB413" s="395">
        <v>1.7110000000000001</v>
      </c>
      <c r="AC413" s="395">
        <v>0.34200000000000003</v>
      </c>
      <c r="AE413" s="332">
        <f t="shared" si="105"/>
        <v>1.0266</v>
      </c>
      <c r="AF413" s="332">
        <f t="shared" si="106"/>
        <v>1.0608200000000001</v>
      </c>
      <c r="AG413" s="332">
        <f t="shared" si="103"/>
        <v>-3.4220000000000139E-2</v>
      </c>
      <c r="AH413" s="333">
        <f t="shared" si="104"/>
        <v>1.0333333333333334</v>
      </c>
      <c r="AI413" s="332">
        <f t="shared" si="110"/>
        <v>0.6</v>
      </c>
      <c r="AJ413" s="332">
        <f t="shared" si="117"/>
        <v>0.62000000000000011</v>
      </c>
      <c r="AK413" s="332">
        <f t="shared" si="111"/>
        <v>-2.0000000000000129E-2</v>
      </c>
      <c r="AL413" s="333">
        <f t="shared" si="112"/>
        <v>1.0333333333333337</v>
      </c>
    </row>
    <row r="414" spans="2:39" s="303" customFormat="1" ht="28.5" x14ac:dyDescent="0.2">
      <c r="B414" s="341">
        <f t="shared" si="119"/>
        <v>404</v>
      </c>
      <c r="C414" s="459" t="s">
        <v>200</v>
      </c>
      <c r="D414" s="342" t="s">
        <v>211</v>
      </c>
      <c r="E414" s="341" t="s">
        <v>212</v>
      </c>
      <c r="F414" s="341">
        <v>1</v>
      </c>
      <c r="G414" s="341">
        <v>26170</v>
      </c>
      <c r="H414" s="341" t="s">
        <v>173</v>
      </c>
      <c r="I414" s="341">
        <v>2400</v>
      </c>
      <c r="J414" s="2"/>
      <c r="K414" s="345">
        <v>126</v>
      </c>
      <c r="L414" s="347">
        <v>10926</v>
      </c>
      <c r="M414" s="346" t="s">
        <v>36</v>
      </c>
      <c r="N414" s="347" t="s">
        <v>6</v>
      </c>
      <c r="O414" s="323" t="s">
        <v>188</v>
      </c>
      <c r="P414" s="347" t="s">
        <v>187</v>
      </c>
      <c r="Q414" s="2"/>
      <c r="R414" s="348">
        <f>ROUNDUP(600,0)</f>
        <v>600</v>
      </c>
      <c r="S414" s="349">
        <v>1</v>
      </c>
      <c r="T414" s="349">
        <f t="shared" si="114"/>
        <v>1</v>
      </c>
      <c r="V414" s="348">
        <v>6100</v>
      </c>
      <c r="W414" s="350">
        <f t="shared" si="115"/>
        <v>10</v>
      </c>
      <c r="X414" s="350">
        <f t="shared" si="116"/>
        <v>6145</v>
      </c>
      <c r="Y414" s="351">
        <v>6100</v>
      </c>
      <c r="Z414" s="389">
        <f t="shared" si="113"/>
        <v>0.1</v>
      </c>
      <c r="AA414" s="392"/>
      <c r="AB414" s="332">
        <v>0.76700000000000002</v>
      </c>
      <c r="AC414" s="332"/>
      <c r="AE414" s="332">
        <f t="shared" si="105"/>
        <v>0.4602</v>
      </c>
      <c r="AF414" s="332">
        <f t="shared" si="106"/>
        <v>0.46787000000000001</v>
      </c>
      <c r="AG414" s="332">
        <f t="shared" si="103"/>
        <v>-7.6700000000000101E-3</v>
      </c>
      <c r="AH414" s="333">
        <f t="shared" si="104"/>
        <v>1.0166666666666666</v>
      </c>
      <c r="AI414" s="332">
        <f t="shared" si="110"/>
        <v>0.6</v>
      </c>
      <c r="AJ414" s="332">
        <f t="shared" si="117"/>
        <v>0.61</v>
      </c>
      <c r="AK414" s="332">
        <f t="shared" si="111"/>
        <v>-1.0000000000000009E-2</v>
      </c>
      <c r="AL414" s="333">
        <f t="shared" si="112"/>
        <v>1.0166666666666666</v>
      </c>
    </row>
    <row r="415" spans="2:39" s="353" customFormat="1" ht="30" customHeight="1" thickBot="1" x14ac:dyDescent="0.3">
      <c r="B415" s="360">
        <f t="shared" si="119"/>
        <v>405</v>
      </c>
      <c r="C415" s="461" t="s">
        <v>200</v>
      </c>
      <c r="D415" s="362" t="s">
        <v>211</v>
      </c>
      <c r="E415" s="360" t="s">
        <v>212</v>
      </c>
      <c r="F415" s="360">
        <v>1</v>
      </c>
      <c r="G415" s="360">
        <v>26170</v>
      </c>
      <c r="H415" s="360" t="s">
        <v>173</v>
      </c>
      <c r="I415" s="360">
        <v>2400</v>
      </c>
      <c r="J415" s="2"/>
      <c r="K415" s="363"/>
      <c r="L415" s="364" t="s">
        <v>28</v>
      </c>
      <c r="M415" s="365" t="s">
        <v>29</v>
      </c>
      <c r="N415" s="470" t="s">
        <v>6</v>
      </c>
      <c r="O415" s="366" t="s">
        <v>189</v>
      </c>
      <c r="P415" s="367" t="s">
        <v>187</v>
      </c>
      <c r="Q415" s="2"/>
      <c r="R415" s="368">
        <v>51</v>
      </c>
      <c r="S415" s="369">
        <f>4*30</f>
        <v>120</v>
      </c>
      <c r="T415" s="369">
        <f t="shared" si="114"/>
        <v>120</v>
      </c>
      <c r="U415" s="303"/>
      <c r="V415" s="368">
        <v>3250</v>
      </c>
      <c r="W415" s="370">
        <f t="shared" si="115"/>
        <v>63</v>
      </c>
      <c r="X415" s="370">
        <f t="shared" si="116"/>
        <v>3623</v>
      </c>
      <c r="Y415" s="371">
        <v>3660</v>
      </c>
      <c r="Z415" s="372">
        <f t="shared" si="113"/>
        <v>1.9047619047619047</v>
      </c>
      <c r="AA415" s="392"/>
      <c r="AB415" s="373">
        <v>1.641</v>
      </c>
      <c r="AC415" s="373">
        <v>0.20319999999999999</v>
      </c>
      <c r="AD415" s="303"/>
      <c r="AE415" s="373">
        <f t="shared" si="105"/>
        <v>10.042919999999999</v>
      </c>
      <c r="AF415" s="373">
        <f t="shared" si="106"/>
        <v>11.440114285714284</v>
      </c>
      <c r="AG415" s="373">
        <f t="shared" si="103"/>
        <v>-1.3971942857142849</v>
      </c>
      <c r="AH415" s="374">
        <f t="shared" si="104"/>
        <v>1.1391223155929038</v>
      </c>
      <c r="AI415" s="476">
        <f>+AG415/AF415</f>
        <v>-0.12213114754098356</v>
      </c>
      <c r="AJ415" s="373">
        <f t="shared" si="117"/>
        <v>6.9714285714285715</v>
      </c>
      <c r="AK415" s="474">
        <f>($R415/1000)*$T415</f>
        <v>6.1199999999999992</v>
      </c>
      <c r="AL415" s="474">
        <f>($Y415/1000)*$Z415</f>
        <v>6.9714285714285715</v>
      </c>
      <c r="AM415" s="303"/>
    </row>
    <row r="416" spans="2:39" s="303" customFormat="1" ht="28.5" x14ac:dyDescent="0.2">
      <c r="B416" s="319">
        <f t="shared" si="119"/>
        <v>406</v>
      </c>
      <c r="C416" s="458" t="s">
        <v>200</v>
      </c>
      <c r="D416" s="398" t="s">
        <v>206</v>
      </c>
      <c r="E416" s="397" t="s">
        <v>213</v>
      </c>
      <c r="F416" s="397">
        <v>5</v>
      </c>
      <c r="G416" s="397">
        <v>26170</v>
      </c>
      <c r="H416" s="319" t="s">
        <v>173</v>
      </c>
      <c r="I416" s="319">
        <v>2400</v>
      </c>
      <c r="J416" s="2"/>
      <c r="K416" s="319">
        <v>127</v>
      </c>
      <c r="L416" s="321">
        <v>20626</v>
      </c>
      <c r="M416" s="322" t="s">
        <v>44</v>
      </c>
      <c r="N416" s="321" t="s">
        <v>39</v>
      </c>
      <c r="O416" s="378" t="s">
        <v>186</v>
      </c>
      <c r="P416" s="321" t="s">
        <v>3</v>
      </c>
      <c r="Q416" s="2"/>
      <c r="R416" s="324">
        <f t="shared" ref="R416:R439" si="121">ROUNDUP(I416,0)</f>
        <v>2400</v>
      </c>
      <c r="S416" s="325">
        <v>1</v>
      </c>
      <c r="T416" s="325">
        <f t="shared" si="114"/>
        <v>5</v>
      </c>
      <c r="V416" s="324">
        <v>7000</v>
      </c>
      <c r="W416" s="326">
        <f t="shared" si="115"/>
        <v>2</v>
      </c>
      <c r="X416" s="326">
        <f t="shared" si="116"/>
        <v>4905</v>
      </c>
      <c r="Y416" s="327">
        <v>4900</v>
      </c>
      <c r="Z416" s="328">
        <f t="shared" si="113"/>
        <v>2.5</v>
      </c>
      <c r="AA416" s="304"/>
      <c r="AB416" s="329">
        <v>2.7930000000000001</v>
      </c>
      <c r="AC416" s="329">
        <v>0.45068000000000003</v>
      </c>
      <c r="AE416" s="330">
        <f t="shared" si="105"/>
        <v>33.516000000000005</v>
      </c>
      <c r="AF416" s="330">
        <f t="shared" si="106"/>
        <v>34.21425</v>
      </c>
      <c r="AG416" s="330">
        <f t="shared" ref="AG416:AG483" si="122">+AE416-AF416</f>
        <v>-0.69824999999999449</v>
      </c>
      <c r="AH416" s="331">
        <f t="shared" ref="AH416:AH483" si="123">+AF416/AE416</f>
        <v>1.0208333333333333</v>
      </c>
      <c r="AI416" s="329">
        <f t="shared" ref="AI416:AI467" si="124">($R416/1000)*$T416</f>
        <v>12</v>
      </c>
      <c r="AJ416" s="329">
        <f t="shared" si="117"/>
        <v>12.25</v>
      </c>
      <c r="AK416" s="329">
        <f t="shared" ref="AK416:AK467" si="125">+AI416-AJ416</f>
        <v>-0.25</v>
      </c>
      <c r="AL416" s="382">
        <f t="shared" ref="AL416:AL467" si="126">+AJ416/AI416</f>
        <v>1.0208333333333333</v>
      </c>
    </row>
    <row r="417" spans="2:38" s="303" customFormat="1" ht="28.5" x14ac:dyDescent="0.2">
      <c r="B417" s="341">
        <f t="shared" si="119"/>
        <v>407</v>
      </c>
      <c r="C417" s="458" t="s">
        <v>200</v>
      </c>
      <c r="D417" s="342" t="s">
        <v>206</v>
      </c>
      <c r="E417" s="341" t="s">
        <v>213</v>
      </c>
      <c r="F417" s="341">
        <v>5</v>
      </c>
      <c r="G417" s="341">
        <v>26170</v>
      </c>
      <c r="H417" s="341" t="s">
        <v>173</v>
      </c>
      <c r="I417" s="341">
        <v>2400</v>
      </c>
      <c r="J417" s="2"/>
      <c r="K417" s="319">
        <v>127</v>
      </c>
      <c r="L417" s="321">
        <v>21825</v>
      </c>
      <c r="M417" s="322" t="s">
        <v>45</v>
      </c>
      <c r="N417" s="321" t="s">
        <v>39</v>
      </c>
      <c r="O417" s="323" t="s">
        <v>186</v>
      </c>
      <c r="P417" s="321" t="s">
        <v>3</v>
      </c>
      <c r="Q417" s="2"/>
      <c r="R417" s="324">
        <f t="shared" si="121"/>
        <v>2400</v>
      </c>
      <c r="S417" s="325">
        <v>1</v>
      </c>
      <c r="T417" s="325">
        <f t="shared" si="114"/>
        <v>5</v>
      </c>
      <c r="V417" s="324">
        <v>7000</v>
      </c>
      <c r="W417" s="326">
        <f t="shared" si="115"/>
        <v>2</v>
      </c>
      <c r="X417" s="326">
        <f t="shared" si="116"/>
        <v>4905</v>
      </c>
      <c r="Y417" s="327">
        <v>4900</v>
      </c>
      <c r="Z417" s="328">
        <f t="shared" si="113"/>
        <v>2.5</v>
      </c>
      <c r="AA417" s="392"/>
      <c r="AB417" s="329">
        <v>0.999</v>
      </c>
      <c r="AC417" s="329">
        <v>0.2382</v>
      </c>
      <c r="AE417" s="332">
        <f t="shared" si="105"/>
        <v>11.988</v>
      </c>
      <c r="AF417" s="332">
        <f t="shared" si="106"/>
        <v>12.23775</v>
      </c>
      <c r="AG417" s="332">
        <f t="shared" si="122"/>
        <v>-0.24975000000000058</v>
      </c>
      <c r="AH417" s="333">
        <f t="shared" si="123"/>
        <v>1.0208333333333335</v>
      </c>
      <c r="AI417" s="329">
        <f t="shared" si="124"/>
        <v>12</v>
      </c>
      <c r="AJ417" s="329">
        <f t="shared" si="117"/>
        <v>12.25</v>
      </c>
      <c r="AK417" s="329">
        <f t="shared" si="125"/>
        <v>-0.25</v>
      </c>
      <c r="AL417" s="382">
        <f t="shared" si="126"/>
        <v>1.0208333333333333</v>
      </c>
    </row>
    <row r="418" spans="2:38" s="303" customFormat="1" ht="28.5" x14ac:dyDescent="0.2">
      <c r="B418" s="319">
        <f t="shared" si="119"/>
        <v>408</v>
      </c>
      <c r="C418" s="458" t="s">
        <v>200</v>
      </c>
      <c r="D418" s="342" t="s">
        <v>206</v>
      </c>
      <c r="E418" s="341" t="s">
        <v>213</v>
      </c>
      <c r="F418" s="341">
        <v>5</v>
      </c>
      <c r="G418" s="341">
        <v>26170</v>
      </c>
      <c r="H418" s="341" t="s">
        <v>173</v>
      </c>
      <c r="I418" s="341">
        <v>2400</v>
      </c>
      <c r="J418" s="2"/>
      <c r="K418" s="319">
        <v>127</v>
      </c>
      <c r="L418" s="321" t="s">
        <v>48</v>
      </c>
      <c r="M418" s="322" t="s">
        <v>49</v>
      </c>
      <c r="N418" s="321" t="s">
        <v>39</v>
      </c>
      <c r="O418" s="323" t="s">
        <v>186</v>
      </c>
      <c r="P418" s="321" t="s">
        <v>3</v>
      </c>
      <c r="Q418" s="2"/>
      <c r="R418" s="324">
        <f t="shared" si="121"/>
        <v>2400</v>
      </c>
      <c r="S418" s="325">
        <v>1</v>
      </c>
      <c r="T418" s="325">
        <f t="shared" si="114"/>
        <v>5</v>
      </c>
      <c r="V418" s="324">
        <v>7000</v>
      </c>
      <c r="W418" s="326">
        <f t="shared" si="115"/>
        <v>2</v>
      </c>
      <c r="X418" s="326">
        <f t="shared" si="116"/>
        <v>4905</v>
      </c>
      <c r="Y418" s="327">
        <v>4900</v>
      </c>
      <c r="Z418" s="328">
        <f t="shared" si="113"/>
        <v>2.5</v>
      </c>
      <c r="AA418" s="392"/>
      <c r="AB418" s="329">
        <v>0.81</v>
      </c>
      <c r="AC418" s="329">
        <v>0.28999999999999998</v>
      </c>
      <c r="AE418" s="332">
        <f t="shared" si="105"/>
        <v>9.7200000000000006</v>
      </c>
      <c r="AF418" s="332">
        <f t="shared" si="106"/>
        <v>9.9225000000000012</v>
      </c>
      <c r="AG418" s="332">
        <f t="shared" si="122"/>
        <v>-0.20250000000000057</v>
      </c>
      <c r="AH418" s="333">
        <f t="shared" si="123"/>
        <v>1.0208333333333335</v>
      </c>
      <c r="AI418" s="329">
        <f t="shared" si="124"/>
        <v>12</v>
      </c>
      <c r="AJ418" s="329">
        <f t="shared" si="117"/>
        <v>12.25</v>
      </c>
      <c r="AK418" s="329">
        <f t="shared" si="125"/>
        <v>-0.25</v>
      </c>
      <c r="AL418" s="382">
        <f t="shared" si="126"/>
        <v>1.0208333333333333</v>
      </c>
    </row>
    <row r="419" spans="2:38" s="303" customFormat="1" ht="28.5" x14ac:dyDescent="0.2">
      <c r="B419" s="319">
        <f t="shared" si="119"/>
        <v>409</v>
      </c>
      <c r="C419" s="458" t="s">
        <v>200</v>
      </c>
      <c r="D419" s="342" t="s">
        <v>206</v>
      </c>
      <c r="E419" s="341" t="s">
        <v>213</v>
      </c>
      <c r="F419" s="341">
        <v>5</v>
      </c>
      <c r="G419" s="341">
        <v>26170</v>
      </c>
      <c r="H419" s="341" t="s">
        <v>173</v>
      </c>
      <c r="I419" s="341">
        <v>2400</v>
      </c>
      <c r="J419" s="2"/>
      <c r="K419" s="319">
        <v>127</v>
      </c>
      <c r="L419" s="321" t="s">
        <v>46</v>
      </c>
      <c r="M419" s="322" t="s">
        <v>47</v>
      </c>
      <c r="N419" s="321" t="s">
        <v>39</v>
      </c>
      <c r="O419" s="323" t="s">
        <v>186</v>
      </c>
      <c r="P419" s="321" t="s">
        <v>3</v>
      </c>
      <c r="Q419" s="2"/>
      <c r="R419" s="324">
        <f t="shared" si="121"/>
        <v>2400</v>
      </c>
      <c r="S419" s="325">
        <v>1</v>
      </c>
      <c r="T419" s="325">
        <f t="shared" si="114"/>
        <v>5</v>
      </c>
      <c r="V419" s="324">
        <v>7000</v>
      </c>
      <c r="W419" s="326">
        <f t="shared" si="115"/>
        <v>2</v>
      </c>
      <c r="X419" s="326">
        <f t="shared" si="116"/>
        <v>4905</v>
      </c>
      <c r="Y419" s="327">
        <v>4900</v>
      </c>
      <c r="Z419" s="328">
        <f t="shared" si="113"/>
        <v>2.5</v>
      </c>
      <c r="AA419" s="392"/>
      <c r="AB419" s="329">
        <v>0.91600000000000004</v>
      </c>
      <c r="AC419" s="329">
        <v>0.33900000000000002</v>
      </c>
      <c r="AE419" s="332">
        <f t="shared" ref="AE419:AE486" si="127">(($R419/1000)*$T419)*$AB419</f>
        <v>10.992000000000001</v>
      </c>
      <c r="AF419" s="332">
        <f t="shared" ref="AF419:AF486" si="128">(($Y419*$Z419)/1000)*$AB419</f>
        <v>11.221</v>
      </c>
      <c r="AG419" s="332">
        <f t="shared" si="122"/>
        <v>-0.2289999999999992</v>
      </c>
      <c r="AH419" s="333">
        <f t="shared" si="123"/>
        <v>1.0208333333333333</v>
      </c>
      <c r="AI419" s="329">
        <f t="shared" si="124"/>
        <v>12</v>
      </c>
      <c r="AJ419" s="329">
        <f t="shared" si="117"/>
        <v>12.25</v>
      </c>
      <c r="AK419" s="329">
        <f t="shared" si="125"/>
        <v>-0.25</v>
      </c>
      <c r="AL419" s="382">
        <f t="shared" si="126"/>
        <v>1.0208333333333333</v>
      </c>
    </row>
    <row r="420" spans="2:38" s="303" customFormat="1" ht="28.5" x14ac:dyDescent="0.2">
      <c r="B420" s="319">
        <f t="shared" si="119"/>
        <v>410</v>
      </c>
      <c r="C420" s="458" t="s">
        <v>200</v>
      </c>
      <c r="D420" s="342" t="s">
        <v>206</v>
      </c>
      <c r="E420" s="341" t="s">
        <v>213</v>
      </c>
      <c r="F420" s="341">
        <v>5</v>
      </c>
      <c r="G420" s="341">
        <v>26170</v>
      </c>
      <c r="H420" s="341" t="s">
        <v>173</v>
      </c>
      <c r="I420" s="341">
        <v>2400</v>
      </c>
      <c r="J420" s="2"/>
      <c r="K420" s="334">
        <v>127</v>
      </c>
      <c r="L420" s="335" t="s">
        <v>121</v>
      </c>
      <c r="M420" s="336" t="s">
        <v>203</v>
      </c>
      <c r="N420" s="337" t="s">
        <v>6</v>
      </c>
      <c r="O420" s="323" t="s">
        <v>186</v>
      </c>
      <c r="P420" s="337" t="s">
        <v>187</v>
      </c>
      <c r="Q420" s="2"/>
      <c r="R420" s="324">
        <f t="shared" si="121"/>
        <v>2400</v>
      </c>
      <c r="S420" s="325">
        <v>1</v>
      </c>
      <c r="T420" s="325">
        <f t="shared" si="114"/>
        <v>5</v>
      </c>
      <c r="V420" s="338">
        <v>3660</v>
      </c>
      <c r="W420" s="339">
        <f t="shared" si="115"/>
        <v>1</v>
      </c>
      <c r="X420" s="339">
        <f t="shared" si="116"/>
        <v>2500</v>
      </c>
      <c r="Y420" s="327">
        <v>3660</v>
      </c>
      <c r="Z420" s="340">
        <f>($R420*$T420)/$V420</f>
        <v>3.278688524590164</v>
      </c>
      <c r="AA420" s="392"/>
      <c r="AB420" s="329">
        <v>0.84899999999999998</v>
      </c>
      <c r="AC420" s="329">
        <v>0</v>
      </c>
      <c r="AE420" s="332">
        <f t="shared" si="127"/>
        <v>10.187999999999999</v>
      </c>
      <c r="AF420" s="332">
        <f t="shared" si="128"/>
        <v>10.187999999999999</v>
      </c>
      <c r="AG420" s="332">
        <f t="shared" si="122"/>
        <v>0</v>
      </c>
      <c r="AH420" s="333">
        <f t="shared" si="123"/>
        <v>1</v>
      </c>
      <c r="AI420" s="329">
        <f t="shared" si="124"/>
        <v>12</v>
      </c>
      <c r="AJ420" s="329">
        <f t="shared" si="117"/>
        <v>12</v>
      </c>
      <c r="AK420" s="329">
        <f t="shared" si="125"/>
        <v>0</v>
      </c>
      <c r="AL420" s="382">
        <f t="shared" si="126"/>
        <v>1</v>
      </c>
    </row>
    <row r="421" spans="2:38" s="303" customFormat="1" ht="28.5" x14ac:dyDescent="0.2">
      <c r="B421" s="319">
        <f t="shared" si="119"/>
        <v>411</v>
      </c>
      <c r="C421" s="458" t="s">
        <v>200</v>
      </c>
      <c r="D421" s="342" t="s">
        <v>206</v>
      </c>
      <c r="E421" s="341" t="s">
        <v>213</v>
      </c>
      <c r="F421" s="341">
        <v>5</v>
      </c>
      <c r="G421" s="341">
        <v>26170</v>
      </c>
      <c r="H421" s="341" t="s">
        <v>173</v>
      </c>
      <c r="I421" s="341">
        <v>2400</v>
      </c>
      <c r="J421" s="2"/>
      <c r="K421" s="334">
        <v>127</v>
      </c>
      <c r="L421" s="337">
        <v>10926</v>
      </c>
      <c r="M421" s="336" t="s">
        <v>36</v>
      </c>
      <c r="N421" s="337" t="s">
        <v>6</v>
      </c>
      <c r="O421" s="323" t="s">
        <v>186</v>
      </c>
      <c r="P421" s="337" t="s">
        <v>187</v>
      </c>
      <c r="Q421" s="2"/>
      <c r="R421" s="324">
        <f t="shared" si="121"/>
        <v>2400</v>
      </c>
      <c r="S421" s="325">
        <v>1</v>
      </c>
      <c r="T421" s="325">
        <f t="shared" si="114"/>
        <v>5</v>
      </c>
      <c r="V421" s="324">
        <v>6100</v>
      </c>
      <c r="W421" s="339">
        <f t="shared" si="115"/>
        <v>2</v>
      </c>
      <c r="X421" s="339">
        <f t="shared" si="116"/>
        <v>4905</v>
      </c>
      <c r="Y421" s="327">
        <v>6100</v>
      </c>
      <c r="Z421" s="328">
        <f t="shared" si="113"/>
        <v>2.5</v>
      </c>
      <c r="AA421" s="392"/>
      <c r="AB421" s="329">
        <v>0.76700000000000002</v>
      </c>
      <c r="AC421" s="329"/>
      <c r="AE421" s="332">
        <f t="shared" si="127"/>
        <v>9.2040000000000006</v>
      </c>
      <c r="AF421" s="332">
        <f t="shared" si="128"/>
        <v>11.69675</v>
      </c>
      <c r="AG421" s="332">
        <f t="shared" si="122"/>
        <v>-2.4927499999999991</v>
      </c>
      <c r="AH421" s="333">
        <f t="shared" si="123"/>
        <v>1.2708333333333333</v>
      </c>
      <c r="AI421" s="329">
        <f t="shared" si="124"/>
        <v>12</v>
      </c>
      <c r="AJ421" s="329">
        <f t="shared" si="117"/>
        <v>15.25</v>
      </c>
      <c r="AK421" s="329">
        <f t="shared" si="125"/>
        <v>-3.25</v>
      </c>
      <c r="AL421" s="382">
        <f t="shared" si="126"/>
        <v>1.2708333333333333</v>
      </c>
    </row>
    <row r="422" spans="2:38" s="303" customFormat="1" ht="28.5" x14ac:dyDescent="0.2">
      <c r="B422" s="319">
        <f t="shared" si="119"/>
        <v>412</v>
      </c>
      <c r="C422" s="458" t="s">
        <v>200</v>
      </c>
      <c r="D422" s="342" t="s">
        <v>206</v>
      </c>
      <c r="E422" s="341" t="s">
        <v>213</v>
      </c>
      <c r="F422" s="341">
        <v>5</v>
      </c>
      <c r="G422" s="341">
        <v>26170</v>
      </c>
      <c r="H422" s="341" t="s">
        <v>173</v>
      </c>
      <c r="I422" s="341">
        <v>2400</v>
      </c>
      <c r="J422" s="2"/>
      <c r="K422" s="319">
        <v>127</v>
      </c>
      <c r="L422" s="321" t="s">
        <v>114</v>
      </c>
      <c r="M422" s="322" t="s">
        <v>115</v>
      </c>
      <c r="N422" s="321" t="s">
        <v>39</v>
      </c>
      <c r="O422" s="323" t="s">
        <v>186</v>
      </c>
      <c r="P422" s="321" t="s">
        <v>3</v>
      </c>
      <c r="Q422" s="2"/>
      <c r="R422" s="324">
        <f t="shared" si="121"/>
        <v>2400</v>
      </c>
      <c r="S422" s="325">
        <v>1</v>
      </c>
      <c r="T422" s="325">
        <f t="shared" si="114"/>
        <v>5</v>
      </c>
      <c r="V422" s="324">
        <v>7000</v>
      </c>
      <c r="W422" s="326">
        <f t="shared" si="115"/>
        <v>2</v>
      </c>
      <c r="X422" s="326">
        <f t="shared" si="116"/>
        <v>4905</v>
      </c>
      <c r="Y422" s="327">
        <v>4900</v>
      </c>
      <c r="Z422" s="328">
        <f t="shared" si="113"/>
        <v>2.5</v>
      </c>
      <c r="AA422" s="304"/>
      <c r="AB422" s="329">
        <v>0.83499999999999996</v>
      </c>
      <c r="AC422" s="329">
        <v>0.21299999999999999</v>
      </c>
      <c r="AE422" s="332">
        <f t="shared" si="127"/>
        <v>10.02</v>
      </c>
      <c r="AF422" s="332">
        <f t="shared" si="128"/>
        <v>10.22875</v>
      </c>
      <c r="AG422" s="332">
        <f t="shared" si="122"/>
        <v>-0.20875000000000021</v>
      </c>
      <c r="AH422" s="333">
        <f t="shared" si="123"/>
        <v>1.0208333333333333</v>
      </c>
      <c r="AI422" s="329">
        <f t="shared" si="124"/>
        <v>12</v>
      </c>
      <c r="AJ422" s="329">
        <f t="shared" si="117"/>
        <v>12.25</v>
      </c>
      <c r="AK422" s="329">
        <f t="shared" si="125"/>
        <v>-0.25</v>
      </c>
      <c r="AL422" s="382">
        <f t="shared" si="126"/>
        <v>1.0208333333333333</v>
      </c>
    </row>
    <row r="423" spans="2:38" s="303" customFormat="1" ht="28.5" x14ac:dyDescent="0.2">
      <c r="B423" s="341">
        <f t="shared" si="119"/>
        <v>413</v>
      </c>
      <c r="C423" s="459" t="s">
        <v>200</v>
      </c>
      <c r="D423" s="342" t="s">
        <v>206</v>
      </c>
      <c r="E423" s="341" t="s">
        <v>213</v>
      </c>
      <c r="F423" s="341">
        <v>5</v>
      </c>
      <c r="G423" s="341">
        <v>26170</v>
      </c>
      <c r="H423" s="341" t="s">
        <v>173</v>
      </c>
      <c r="I423" s="341">
        <v>2400</v>
      </c>
      <c r="J423" s="2"/>
      <c r="K423" s="319">
        <v>127</v>
      </c>
      <c r="L423" s="321" t="s">
        <v>50</v>
      </c>
      <c r="M423" s="322" t="s">
        <v>51</v>
      </c>
      <c r="N423" s="321" t="s">
        <v>39</v>
      </c>
      <c r="O423" s="323" t="s">
        <v>186</v>
      </c>
      <c r="P423" s="321" t="s">
        <v>3</v>
      </c>
      <c r="Q423" s="2"/>
      <c r="R423" s="324">
        <f t="shared" si="121"/>
        <v>2400</v>
      </c>
      <c r="S423" s="325">
        <v>1</v>
      </c>
      <c r="T423" s="325">
        <f t="shared" si="114"/>
        <v>5</v>
      </c>
      <c r="V423" s="324">
        <v>6000</v>
      </c>
      <c r="W423" s="326">
        <f t="shared" si="115"/>
        <v>2</v>
      </c>
      <c r="X423" s="326">
        <f t="shared" si="116"/>
        <v>4905</v>
      </c>
      <c r="Y423" s="327">
        <v>4900</v>
      </c>
      <c r="Z423" s="328">
        <f t="shared" si="113"/>
        <v>2.5</v>
      </c>
      <c r="AA423" s="392"/>
      <c r="AB423" s="395">
        <v>1.7110000000000001</v>
      </c>
      <c r="AC423" s="395">
        <v>0.34200000000000003</v>
      </c>
      <c r="AE423" s="332">
        <f t="shared" si="127"/>
        <v>20.532</v>
      </c>
      <c r="AF423" s="332">
        <f t="shared" si="128"/>
        <v>20.95975</v>
      </c>
      <c r="AG423" s="332">
        <f t="shared" si="122"/>
        <v>-0.42774999999999963</v>
      </c>
      <c r="AH423" s="333">
        <f t="shared" si="123"/>
        <v>1.0208333333333333</v>
      </c>
      <c r="AI423" s="329">
        <f t="shared" si="124"/>
        <v>12</v>
      </c>
      <c r="AJ423" s="329">
        <f t="shared" si="117"/>
        <v>12.25</v>
      </c>
      <c r="AK423" s="329">
        <f t="shared" si="125"/>
        <v>-0.25</v>
      </c>
      <c r="AL423" s="382">
        <f t="shared" si="126"/>
        <v>1.0208333333333333</v>
      </c>
    </row>
    <row r="424" spans="2:38" s="303" customFormat="1" ht="28.5" x14ac:dyDescent="0.2">
      <c r="B424" s="341">
        <f t="shared" si="119"/>
        <v>414</v>
      </c>
      <c r="C424" s="459" t="s">
        <v>200</v>
      </c>
      <c r="D424" s="342" t="s">
        <v>206</v>
      </c>
      <c r="E424" s="341" t="s">
        <v>213</v>
      </c>
      <c r="F424" s="341">
        <v>5</v>
      </c>
      <c r="G424" s="341">
        <v>26170</v>
      </c>
      <c r="H424" s="341" t="s">
        <v>173</v>
      </c>
      <c r="I424" s="341">
        <v>2400</v>
      </c>
      <c r="J424" s="2"/>
      <c r="K424" s="319">
        <v>128</v>
      </c>
      <c r="L424" s="321">
        <v>20626</v>
      </c>
      <c r="M424" s="322" t="s">
        <v>44</v>
      </c>
      <c r="N424" s="321" t="s">
        <v>39</v>
      </c>
      <c r="O424" s="323" t="s">
        <v>186</v>
      </c>
      <c r="P424" s="321" t="s">
        <v>3</v>
      </c>
      <c r="Q424" s="2"/>
      <c r="R424" s="324">
        <f t="shared" si="121"/>
        <v>2400</v>
      </c>
      <c r="S424" s="325">
        <v>1</v>
      </c>
      <c r="T424" s="325">
        <f t="shared" si="114"/>
        <v>5</v>
      </c>
      <c r="V424" s="324">
        <v>7000</v>
      </c>
      <c r="W424" s="326">
        <f t="shared" si="115"/>
        <v>2</v>
      </c>
      <c r="X424" s="326">
        <f t="shared" si="116"/>
        <v>4905</v>
      </c>
      <c r="Y424" s="327">
        <v>4900</v>
      </c>
      <c r="Z424" s="328">
        <f t="shared" si="113"/>
        <v>2.5</v>
      </c>
      <c r="AA424" s="304"/>
      <c r="AB424" s="329">
        <v>2.7930000000000001</v>
      </c>
      <c r="AC424" s="329">
        <v>0.45068000000000003</v>
      </c>
      <c r="AE424" s="332">
        <f t="shared" si="127"/>
        <v>33.516000000000005</v>
      </c>
      <c r="AF424" s="332">
        <f t="shared" si="128"/>
        <v>34.21425</v>
      </c>
      <c r="AG424" s="332">
        <f t="shared" si="122"/>
        <v>-0.69824999999999449</v>
      </c>
      <c r="AH424" s="333">
        <f t="shared" si="123"/>
        <v>1.0208333333333333</v>
      </c>
      <c r="AI424" s="329">
        <f t="shared" si="124"/>
        <v>12</v>
      </c>
      <c r="AJ424" s="329">
        <f t="shared" si="117"/>
        <v>12.25</v>
      </c>
      <c r="AK424" s="329">
        <f t="shared" si="125"/>
        <v>-0.25</v>
      </c>
      <c r="AL424" s="382">
        <f t="shared" si="126"/>
        <v>1.0208333333333333</v>
      </c>
    </row>
    <row r="425" spans="2:38" s="303" customFormat="1" ht="28.5" x14ac:dyDescent="0.2">
      <c r="B425" s="319">
        <f t="shared" si="119"/>
        <v>415</v>
      </c>
      <c r="C425" s="458" t="s">
        <v>200</v>
      </c>
      <c r="D425" s="342" t="s">
        <v>206</v>
      </c>
      <c r="E425" s="341" t="s">
        <v>213</v>
      </c>
      <c r="F425" s="341">
        <v>5</v>
      </c>
      <c r="G425" s="341">
        <v>26170</v>
      </c>
      <c r="H425" s="341" t="s">
        <v>173</v>
      </c>
      <c r="I425" s="341">
        <v>2400</v>
      </c>
      <c r="J425" s="2"/>
      <c r="K425" s="319">
        <v>128</v>
      </c>
      <c r="L425" s="321">
        <v>21825</v>
      </c>
      <c r="M425" s="322" t="s">
        <v>45</v>
      </c>
      <c r="N425" s="321" t="s">
        <v>39</v>
      </c>
      <c r="O425" s="323" t="s">
        <v>186</v>
      </c>
      <c r="P425" s="321" t="s">
        <v>3</v>
      </c>
      <c r="Q425" s="2"/>
      <c r="R425" s="324">
        <f t="shared" si="121"/>
        <v>2400</v>
      </c>
      <c r="S425" s="325">
        <v>1</v>
      </c>
      <c r="T425" s="325">
        <f t="shared" si="114"/>
        <v>5</v>
      </c>
      <c r="V425" s="324">
        <v>7000</v>
      </c>
      <c r="W425" s="326">
        <f t="shared" si="115"/>
        <v>2</v>
      </c>
      <c r="X425" s="326">
        <f t="shared" si="116"/>
        <v>4905</v>
      </c>
      <c r="Y425" s="327">
        <v>4900</v>
      </c>
      <c r="Z425" s="328">
        <f t="shared" si="113"/>
        <v>2.5</v>
      </c>
      <c r="AA425" s="392"/>
      <c r="AB425" s="329">
        <v>0.999</v>
      </c>
      <c r="AC425" s="329">
        <v>0.2382</v>
      </c>
      <c r="AE425" s="332">
        <f t="shared" si="127"/>
        <v>11.988</v>
      </c>
      <c r="AF425" s="332">
        <f t="shared" si="128"/>
        <v>12.23775</v>
      </c>
      <c r="AG425" s="332">
        <f t="shared" si="122"/>
        <v>-0.24975000000000058</v>
      </c>
      <c r="AH425" s="333">
        <f t="shared" si="123"/>
        <v>1.0208333333333335</v>
      </c>
      <c r="AI425" s="329">
        <f t="shared" si="124"/>
        <v>12</v>
      </c>
      <c r="AJ425" s="329">
        <f t="shared" si="117"/>
        <v>12.25</v>
      </c>
      <c r="AK425" s="329">
        <f t="shared" si="125"/>
        <v>-0.25</v>
      </c>
      <c r="AL425" s="382">
        <f t="shared" si="126"/>
        <v>1.0208333333333333</v>
      </c>
    </row>
    <row r="426" spans="2:38" s="303" customFormat="1" ht="28.5" x14ac:dyDescent="0.2">
      <c r="B426" s="319">
        <f t="shared" si="119"/>
        <v>416</v>
      </c>
      <c r="C426" s="458" t="s">
        <v>200</v>
      </c>
      <c r="D426" s="342" t="s">
        <v>206</v>
      </c>
      <c r="E426" s="341" t="s">
        <v>213</v>
      </c>
      <c r="F426" s="341">
        <v>5</v>
      </c>
      <c r="G426" s="341">
        <v>26170</v>
      </c>
      <c r="H426" s="341" t="s">
        <v>173</v>
      </c>
      <c r="I426" s="341">
        <v>2400</v>
      </c>
      <c r="J426" s="2"/>
      <c r="K426" s="319">
        <v>128</v>
      </c>
      <c r="L426" s="321" t="s">
        <v>48</v>
      </c>
      <c r="M426" s="322" t="s">
        <v>49</v>
      </c>
      <c r="N426" s="321" t="s">
        <v>39</v>
      </c>
      <c r="O426" s="323" t="s">
        <v>186</v>
      </c>
      <c r="P426" s="321" t="s">
        <v>3</v>
      </c>
      <c r="Q426" s="2"/>
      <c r="R426" s="324">
        <f t="shared" si="121"/>
        <v>2400</v>
      </c>
      <c r="S426" s="325">
        <v>1</v>
      </c>
      <c r="T426" s="325">
        <f t="shared" si="114"/>
        <v>5</v>
      </c>
      <c r="V426" s="324">
        <v>7000</v>
      </c>
      <c r="W426" s="326">
        <f t="shared" si="115"/>
        <v>2</v>
      </c>
      <c r="X426" s="326">
        <f t="shared" si="116"/>
        <v>4905</v>
      </c>
      <c r="Y426" s="327">
        <v>4900</v>
      </c>
      <c r="Z426" s="328">
        <f t="shared" si="113"/>
        <v>2.5</v>
      </c>
      <c r="AA426" s="392"/>
      <c r="AB426" s="329">
        <v>0.81</v>
      </c>
      <c r="AC426" s="329">
        <v>0.28999999999999998</v>
      </c>
      <c r="AE426" s="332">
        <f t="shared" si="127"/>
        <v>9.7200000000000006</v>
      </c>
      <c r="AF426" s="332">
        <f t="shared" si="128"/>
        <v>9.9225000000000012</v>
      </c>
      <c r="AG426" s="332">
        <f t="shared" si="122"/>
        <v>-0.20250000000000057</v>
      </c>
      <c r="AH426" s="333">
        <f t="shared" si="123"/>
        <v>1.0208333333333335</v>
      </c>
      <c r="AI426" s="329">
        <f t="shared" si="124"/>
        <v>12</v>
      </c>
      <c r="AJ426" s="329">
        <f t="shared" si="117"/>
        <v>12.25</v>
      </c>
      <c r="AK426" s="329">
        <f t="shared" si="125"/>
        <v>-0.25</v>
      </c>
      <c r="AL426" s="382">
        <f t="shared" si="126"/>
        <v>1.0208333333333333</v>
      </c>
    </row>
    <row r="427" spans="2:38" s="303" customFormat="1" ht="28.5" x14ac:dyDescent="0.2">
      <c r="B427" s="319">
        <f t="shared" si="119"/>
        <v>417</v>
      </c>
      <c r="C427" s="458" t="s">
        <v>200</v>
      </c>
      <c r="D427" s="342" t="s">
        <v>206</v>
      </c>
      <c r="E427" s="341" t="s">
        <v>213</v>
      </c>
      <c r="F427" s="341">
        <v>5</v>
      </c>
      <c r="G427" s="341">
        <v>26170</v>
      </c>
      <c r="H427" s="341" t="s">
        <v>173</v>
      </c>
      <c r="I427" s="341">
        <v>2400</v>
      </c>
      <c r="J427" s="2"/>
      <c r="K427" s="319">
        <v>128</v>
      </c>
      <c r="L427" s="321" t="s">
        <v>46</v>
      </c>
      <c r="M427" s="322" t="s">
        <v>47</v>
      </c>
      <c r="N427" s="321" t="s">
        <v>39</v>
      </c>
      <c r="O427" s="323" t="s">
        <v>186</v>
      </c>
      <c r="P427" s="321" t="s">
        <v>3</v>
      </c>
      <c r="Q427" s="2"/>
      <c r="R427" s="324">
        <f t="shared" si="121"/>
        <v>2400</v>
      </c>
      <c r="S427" s="325">
        <v>1</v>
      </c>
      <c r="T427" s="325">
        <f t="shared" si="114"/>
        <v>5</v>
      </c>
      <c r="V427" s="324">
        <v>7000</v>
      </c>
      <c r="W427" s="326">
        <f t="shared" si="115"/>
        <v>2</v>
      </c>
      <c r="X427" s="326">
        <f t="shared" si="116"/>
        <v>4905</v>
      </c>
      <c r="Y427" s="327">
        <v>4900</v>
      </c>
      <c r="Z427" s="328">
        <f t="shared" si="113"/>
        <v>2.5</v>
      </c>
      <c r="AA427" s="392"/>
      <c r="AB427" s="329">
        <v>0.91600000000000004</v>
      </c>
      <c r="AC427" s="329">
        <v>0.33900000000000002</v>
      </c>
      <c r="AE427" s="332">
        <f t="shared" si="127"/>
        <v>10.992000000000001</v>
      </c>
      <c r="AF427" s="332">
        <f t="shared" si="128"/>
        <v>11.221</v>
      </c>
      <c r="AG427" s="332">
        <f t="shared" si="122"/>
        <v>-0.2289999999999992</v>
      </c>
      <c r="AH427" s="333">
        <f t="shared" si="123"/>
        <v>1.0208333333333333</v>
      </c>
      <c r="AI427" s="329">
        <f t="shared" si="124"/>
        <v>12</v>
      </c>
      <c r="AJ427" s="329">
        <f t="shared" si="117"/>
        <v>12.25</v>
      </c>
      <c r="AK427" s="329">
        <f t="shared" si="125"/>
        <v>-0.25</v>
      </c>
      <c r="AL427" s="382">
        <f t="shared" si="126"/>
        <v>1.0208333333333333</v>
      </c>
    </row>
    <row r="428" spans="2:38" s="303" customFormat="1" ht="28.5" x14ac:dyDescent="0.2">
      <c r="B428" s="319">
        <f t="shared" si="119"/>
        <v>418</v>
      </c>
      <c r="C428" s="458" t="s">
        <v>200</v>
      </c>
      <c r="D428" s="342" t="s">
        <v>206</v>
      </c>
      <c r="E428" s="341" t="s">
        <v>213</v>
      </c>
      <c r="F428" s="341">
        <v>5</v>
      </c>
      <c r="G428" s="341">
        <v>26170</v>
      </c>
      <c r="H428" s="341" t="s">
        <v>173</v>
      </c>
      <c r="I428" s="341">
        <v>2400</v>
      </c>
      <c r="J428" s="2"/>
      <c r="K428" s="334">
        <v>128</v>
      </c>
      <c r="L428" s="337">
        <v>10926</v>
      </c>
      <c r="M428" s="336" t="s">
        <v>36</v>
      </c>
      <c r="N428" s="337" t="s">
        <v>6</v>
      </c>
      <c r="O428" s="323" t="s">
        <v>186</v>
      </c>
      <c r="P428" s="337" t="s">
        <v>187</v>
      </c>
      <c r="Q428" s="2"/>
      <c r="R428" s="324">
        <f t="shared" si="121"/>
        <v>2400</v>
      </c>
      <c r="S428" s="325">
        <v>1</v>
      </c>
      <c r="T428" s="325">
        <f t="shared" si="114"/>
        <v>5</v>
      </c>
      <c r="V428" s="324">
        <v>6100</v>
      </c>
      <c r="W428" s="339">
        <f t="shared" si="115"/>
        <v>2</v>
      </c>
      <c r="X428" s="339">
        <f t="shared" si="116"/>
        <v>4905</v>
      </c>
      <c r="Y428" s="327">
        <v>6100</v>
      </c>
      <c r="Z428" s="328">
        <f t="shared" si="113"/>
        <v>2.5</v>
      </c>
      <c r="AA428" s="392"/>
      <c r="AB428" s="329">
        <v>0.76700000000000002</v>
      </c>
      <c r="AC428" s="329"/>
      <c r="AE428" s="332">
        <f t="shared" si="127"/>
        <v>9.2040000000000006</v>
      </c>
      <c r="AF428" s="332">
        <f t="shared" si="128"/>
        <v>11.69675</v>
      </c>
      <c r="AG428" s="332">
        <f t="shared" si="122"/>
        <v>-2.4927499999999991</v>
      </c>
      <c r="AH428" s="333">
        <f t="shared" si="123"/>
        <v>1.2708333333333333</v>
      </c>
      <c r="AI428" s="329">
        <f t="shared" si="124"/>
        <v>12</v>
      </c>
      <c r="AJ428" s="329">
        <f t="shared" si="117"/>
        <v>15.25</v>
      </c>
      <c r="AK428" s="329">
        <f t="shared" si="125"/>
        <v>-3.25</v>
      </c>
      <c r="AL428" s="382">
        <f t="shared" si="126"/>
        <v>1.2708333333333333</v>
      </c>
    </row>
    <row r="429" spans="2:38" s="303" customFormat="1" ht="28.5" x14ac:dyDescent="0.2">
      <c r="B429" s="319">
        <f t="shared" si="119"/>
        <v>419</v>
      </c>
      <c r="C429" s="458" t="s">
        <v>200</v>
      </c>
      <c r="D429" s="342" t="s">
        <v>206</v>
      </c>
      <c r="E429" s="341" t="s">
        <v>213</v>
      </c>
      <c r="F429" s="341">
        <v>5</v>
      </c>
      <c r="G429" s="341">
        <v>26170</v>
      </c>
      <c r="H429" s="341" t="s">
        <v>173</v>
      </c>
      <c r="I429" s="341">
        <v>2400</v>
      </c>
      <c r="J429" s="2"/>
      <c r="K429" s="319">
        <v>128</v>
      </c>
      <c r="L429" s="321" t="s">
        <v>114</v>
      </c>
      <c r="M429" s="322" t="s">
        <v>115</v>
      </c>
      <c r="N429" s="321" t="s">
        <v>39</v>
      </c>
      <c r="O429" s="323" t="s">
        <v>186</v>
      </c>
      <c r="P429" s="321" t="s">
        <v>3</v>
      </c>
      <c r="Q429" s="2"/>
      <c r="R429" s="324">
        <f t="shared" si="121"/>
        <v>2400</v>
      </c>
      <c r="S429" s="325">
        <v>1</v>
      </c>
      <c r="T429" s="325">
        <f t="shared" si="114"/>
        <v>5</v>
      </c>
      <c r="V429" s="324">
        <v>7000</v>
      </c>
      <c r="W429" s="326">
        <f t="shared" si="115"/>
        <v>2</v>
      </c>
      <c r="X429" s="326">
        <f t="shared" si="116"/>
        <v>4905</v>
      </c>
      <c r="Y429" s="327">
        <v>4900</v>
      </c>
      <c r="Z429" s="328">
        <f t="shared" si="113"/>
        <v>2.5</v>
      </c>
      <c r="AA429" s="392"/>
      <c r="AB429" s="329">
        <v>0.83499999999999996</v>
      </c>
      <c r="AC429" s="329">
        <v>0.21299999999999999</v>
      </c>
      <c r="AE429" s="332">
        <f t="shared" si="127"/>
        <v>10.02</v>
      </c>
      <c r="AF429" s="332">
        <f t="shared" si="128"/>
        <v>10.22875</v>
      </c>
      <c r="AG429" s="332">
        <f t="shared" si="122"/>
        <v>-0.20875000000000021</v>
      </c>
      <c r="AH429" s="333">
        <f t="shared" si="123"/>
        <v>1.0208333333333333</v>
      </c>
      <c r="AI429" s="329">
        <f t="shared" si="124"/>
        <v>12</v>
      </c>
      <c r="AJ429" s="329">
        <f t="shared" si="117"/>
        <v>12.25</v>
      </c>
      <c r="AK429" s="329">
        <f t="shared" si="125"/>
        <v>-0.25</v>
      </c>
      <c r="AL429" s="382">
        <f t="shared" si="126"/>
        <v>1.0208333333333333</v>
      </c>
    </row>
    <row r="430" spans="2:38" s="303" customFormat="1" ht="28.5" x14ac:dyDescent="0.2">
      <c r="B430" s="319">
        <f t="shared" si="119"/>
        <v>420</v>
      </c>
      <c r="C430" s="458" t="s">
        <v>200</v>
      </c>
      <c r="D430" s="342" t="s">
        <v>206</v>
      </c>
      <c r="E430" s="341" t="s">
        <v>213</v>
      </c>
      <c r="F430" s="341">
        <v>5</v>
      </c>
      <c r="G430" s="341">
        <v>26170</v>
      </c>
      <c r="H430" s="341" t="s">
        <v>173</v>
      </c>
      <c r="I430" s="341">
        <v>2400</v>
      </c>
      <c r="J430" s="2"/>
      <c r="K430" s="319">
        <v>128</v>
      </c>
      <c r="L430" s="321" t="s">
        <v>50</v>
      </c>
      <c r="M430" s="322" t="s">
        <v>51</v>
      </c>
      <c r="N430" s="321" t="s">
        <v>39</v>
      </c>
      <c r="O430" s="323" t="s">
        <v>186</v>
      </c>
      <c r="P430" s="321" t="s">
        <v>3</v>
      </c>
      <c r="Q430" s="2"/>
      <c r="R430" s="324">
        <f t="shared" si="121"/>
        <v>2400</v>
      </c>
      <c r="S430" s="325">
        <v>1</v>
      </c>
      <c r="T430" s="325">
        <f t="shared" si="114"/>
        <v>5</v>
      </c>
      <c r="V430" s="324">
        <v>7000</v>
      </c>
      <c r="W430" s="326">
        <f t="shared" si="115"/>
        <v>2</v>
      </c>
      <c r="X430" s="326">
        <f t="shared" si="116"/>
        <v>4905</v>
      </c>
      <c r="Y430" s="327">
        <v>4900</v>
      </c>
      <c r="Z430" s="328">
        <f t="shared" si="113"/>
        <v>2.5</v>
      </c>
      <c r="AA430" s="387">
        <v>5</v>
      </c>
      <c r="AB430" s="395">
        <v>1.7110000000000001</v>
      </c>
      <c r="AC430" s="395">
        <v>0.34200000000000003</v>
      </c>
      <c r="AE430" s="332">
        <f t="shared" si="127"/>
        <v>20.532</v>
      </c>
      <c r="AF430" s="332">
        <f t="shared" si="128"/>
        <v>20.95975</v>
      </c>
      <c r="AG430" s="332">
        <f t="shared" si="122"/>
        <v>-0.42774999999999963</v>
      </c>
      <c r="AH430" s="333">
        <f t="shared" si="123"/>
        <v>1.0208333333333333</v>
      </c>
      <c r="AI430" s="329">
        <f t="shared" si="124"/>
        <v>12</v>
      </c>
      <c r="AJ430" s="329">
        <f t="shared" si="117"/>
        <v>12.25</v>
      </c>
      <c r="AK430" s="329">
        <f t="shared" si="125"/>
        <v>-0.25</v>
      </c>
      <c r="AL430" s="382">
        <f t="shared" si="126"/>
        <v>1.0208333333333333</v>
      </c>
    </row>
    <row r="431" spans="2:38" s="303" customFormat="1" ht="28.5" x14ac:dyDescent="0.2">
      <c r="B431" s="341">
        <f t="shared" si="119"/>
        <v>421</v>
      </c>
      <c r="C431" s="459" t="s">
        <v>200</v>
      </c>
      <c r="D431" s="342" t="s">
        <v>206</v>
      </c>
      <c r="E431" s="341" t="s">
        <v>213</v>
      </c>
      <c r="F431" s="341">
        <v>5</v>
      </c>
      <c r="G431" s="341">
        <v>26170</v>
      </c>
      <c r="H431" s="341" t="s">
        <v>173</v>
      </c>
      <c r="I431" s="341">
        <v>2400</v>
      </c>
      <c r="J431" s="2"/>
      <c r="K431" s="319">
        <v>129</v>
      </c>
      <c r="L431" s="321">
        <v>20626</v>
      </c>
      <c r="M431" s="322" t="s">
        <v>44</v>
      </c>
      <c r="N431" s="321" t="s">
        <v>39</v>
      </c>
      <c r="O431" s="323" t="s">
        <v>186</v>
      </c>
      <c r="P431" s="321" t="s">
        <v>3</v>
      </c>
      <c r="Q431" s="2"/>
      <c r="R431" s="324">
        <f t="shared" si="121"/>
        <v>2400</v>
      </c>
      <c r="S431" s="325">
        <v>22</v>
      </c>
      <c r="T431" s="325">
        <f t="shared" si="114"/>
        <v>110</v>
      </c>
      <c r="V431" s="324">
        <v>7000</v>
      </c>
      <c r="W431" s="326">
        <f t="shared" si="115"/>
        <v>2</v>
      </c>
      <c r="X431" s="326">
        <f t="shared" si="116"/>
        <v>4905</v>
      </c>
      <c r="Y431" s="327">
        <v>4900</v>
      </c>
      <c r="Z431" s="328">
        <f t="shared" si="113"/>
        <v>55</v>
      </c>
      <c r="AA431" s="304"/>
      <c r="AB431" s="329">
        <v>2.7930000000000001</v>
      </c>
      <c r="AC431" s="329">
        <v>0.45068000000000003</v>
      </c>
      <c r="AE431" s="332">
        <f t="shared" si="127"/>
        <v>737.35200000000009</v>
      </c>
      <c r="AF431" s="332">
        <f t="shared" si="128"/>
        <v>752.71350000000007</v>
      </c>
      <c r="AG431" s="332">
        <f t="shared" si="122"/>
        <v>-15.361499999999978</v>
      </c>
      <c r="AH431" s="333">
        <f t="shared" si="123"/>
        <v>1.0208333333333333</v>
      </c>
      <c r="AI431" s="329">
        <f t="shared" si="124"/>
        <v>264</v>
      </c>
      <c r="AJ431" s="329">
        <f t="shared" si="117"/>
        <v>269.5</v>
      </c>
      <c r="AK431" s="329">
        <f t="shared" si="125"/>
        <v>-5.5</v>
      </c>
      <c r="AL431" s="382">
        <f t="shared" si="126"/>
        <v>1.0208333333333333</v>
      </c>
    </row>
    <row r="432" spans="2:38" s="303" customFormat="1" ht="28.5" x14ac:dyDescent="0.2">
      <c r="B432" s="319">
        <f t="shared" si="119"/>
        <v>422</v>
      </c>
      <c r="C432" s="458" t="s">
        <v>200</v>
      </c>
      <c r="D432" s="342" t="s">
        <v>206</v>
      </c>
      <c r="E432" s="341" t="s">
        <v>213</v>
      </c>
      <c r="F432" s="341">
        <v>5</v>
      </c>
      <c r="G432" s="341">
        <v>26170</v>
      </c>
      <c r="H432" s="341" t="s">
        <v>173</v>
      </c>
      <c r="I432" s="341">
        <v>2400</v>
      </c>
      <c r="J432" s="2"/>
      <c r="K432" s="319">
        <v>129</v>
      </c>
      <c r="L432" s="321">
        <v>21825</v>
      </c>
      <c r="M432" s="322" t="s">
        <v>45</v>
      </c>
      <c r="N432" s="321" t="s">
        <v>39</v>
      </c>
      <c r="O432" s="323" t="s">
        <v>186</v>
      </c>
      <c r="P432" s="321" t="s">
        <v>3</v>
      </c>
      <c r="Q432" s="2"/>
      <c r="R432" s="324">
        <f t="shared" si="121"/>
        <v>2400</v>
      </c>
      <c r="S432" s="325">
        <v>22</v>
      </c>
      <c r="T432" s="325">
        <f t="shared" si="114"/>
        <v>110</v>
      </c>
      <c r="V432" s="324">
        <v>7000</v>
      </c>
      <c r="W432" s="326">
        <f t="shared" si="115"/>
        <v>2</v>
      </c>
      <c r="X432" s="326">
        <f t="shared" si="116"/>
        <v>4905</v>
      </c>
      <c r="Y432" s="327">
        <v>4900</v>
      </c>
      <c r="Z432" s="328">
        <f t="shared" si="113"/>
        <v>55</v>
      </c>
      <c r="AA432" s="392"/>
      <c r="AB432" s="329">
        <v>0.999</v>
      </c>
      <c r="AC432" s="329">
        <v>0.2382</v>
      </c>
      <c r="AE432" s="332">
        <f t="shared" si="127"/>
        <v>263.73599999999999</v>
      </c>
      <c r="AF432" s="332">
        <f t="shared" si="128"/>
        <v>269.23050000000001</v>
      </c>
      <c r="AG432" s="332">
        <f t="shared" si="122"/>
        <v>-5.4945000000000164</v>
      </c>
      <c r="AH432" s="333">
        <f t="shared" si="123"/>
        <v>1.0208333333333335</v>
      </c>
      <c r="AI432" s="329">
        <f t="shared" si="124"/>
        <v>264</v>
      </c>
      <c r="AJ432" s="329">
        <f t="shared" si="117"/>
        <v>269.5</v>
      </c>
      <c r="AK432" s="329">
        <f t="shared" si="125"/>
        <v>-5.5</v>
      </c>
      <c r="AL432" s="382">
        <f t="shared" si="126"/>
        <v>1.0208333333333333</v>
      </c>
    </row>
    <row r="433" spans="2:38" s="303" customFormat="1" ht="28.5" x14ac:dyDescent="0.2">
      <c r="B433" s="319">
        <f t="shared" si="119"/>
        <v>423</v>
      </c>
      <c r="C433" s="458" t="s">
        <v>200</v>
      </c>
      <c r="D433" s="342" t="s">
        <v>206</v>
      </c>
      <c r="E433" s="341" t="s">
        <v>213</v>
      </c>
      <c r="F433" s="341">
        <v>5</v>
      </c>
      <c r="G433" s="341">
        <v>26170</v>
      </c>
      <c r="H433" s="341" t="s">
        <v>173</v>
      </c>
      <c r="I433" s="341">
        <v>2400</v>
      </c>
      <c r="J433" s="2"/>
      <c r="K433" s="319">
        <v>129</v>
      </c>
      <c r="L433" s="321" t="s">
        <v>48</v>
      </c>
      <c r="M433" s="322" t="s">
        <v>49</v>
      </c>
      <c r="N433" s="321" t="s">
        <v>39</v>
      </c>
      <c r="O433" s="323" t="s">
        <v>186</v>
      </c>
      <c r="P433" s="321" t="s">
        <v>3</v>
      </c>
      <c r="Q433" s="2"/>
      <c r="R433" s="324">
        <f t="shared" si="121"/>
        <v>2400</v>
      </c>
      <c r="S433" s="325">
        <v>22</v>
      </c>
      <c r="T433" s="325">
        <f t="shared" si="114"/>
        <v>110</v>
      </c>
      <c r="V433" s="324">
        <v>7000</v>
      </c>
      <c r="W433" s="326">
        <f t="shared" si="115"/>
        <v>2</v>
      </c>
      <c r="X433" s="326">
        <f t="shared" si="116"/>
        <v>4905</v>
      </c>
      <c r="Y433" s="327">
        <v>4900</v>
      </c>
      <c r="Z433" s="328">
        <f t="shared" si="113"/>
        <v>55</v>
      </c>
      <c r="AA433" s="392"/>
      <c r="AB433" s="329">
        <v>0.81</v>
      </c>
      <c r="AC433" s="329">
        <v>0.28999999999999998</v>
      </c>
      <c r="AE433" s="332">
        <f t="shared" si="127"/>
        <v>213.84</v>
      </c>
      <c r="AF433" s="332">
        <f t="shared" si="128"/>
        <v>218.29500000000002</v>
      </c>
      <c r="AG433" s="332">
        <f t="shared" si="122"/>
        <v>-4.4550000000000125</v>
      </c>
      <c r="AH433" s="333">
        <f t="shared" si="123"/>
        <v>1.0208333333333335</v>
      </c>
      <c r="AI433" s="329">
        <f t="shared" si="124"/>
        <v>264</v>
      </c>
      <c r="AJ433" s="329">
        <f t="shared" si="117"/>
        <v>269.5</v>
      </c>
      <c r="AK433" s="329">
        <f t="shared" si="125"/>
        <v>-5.5</v>
      </c>
      <c r="AL433" s="382">
        <f t="shared" si="126"/>
        <v>1.0208333333333333</v>
      </c>
    </row>
    <row r="434" spans="2:38" s="303" customFormat="1" ht="28.5" x14ac:dyDescent="0.2">
      <c r="B434" s="319">
        <f t="shared" si="119"/>
        <v>424</v>
      </c>
      <c r="C434" s="458" t="s">
        <v>200</v>
      </c>
      <c r="D434" s="342" t="s">
        <v>206</v>
      </c>
      <c r="E434" s="341" t="s">
        <v>213</v>
      </c>
      <c r="F434" s="341">
        <v>5</v>
      </c>
      <c r="G434" s="341">
        <v>26170</v>
      </c>
      <c r="H434" s="341" t="s">
        <v>173</v>
      </c>
      <c r="I434" s="341">
        <v>2400</v>
      </c>
      <c r="J434" s="2"/>
      <c r="K434" s="319">
        <v>129</v>
      </c>
      <c r="L434" s="321" t="s">
        <v>46</v>
      </c>
      <c r="M434" s="322" t="s">
        <v>47</v>
      </c>
      <c r="N434" s="321" t="s">
        <v>39</v>
      </c>
      <c r="O434" s="323" t="s">
        <v>186</v>
      </c>
      <c r="P434" s="321" t="s">
        <v>3</v>
      </c>
      <c r="Q434" s="2"/>
      <c r="R434" s="324">
        <f t="shared" si="121"/>
        <v>2400</v>
      </c>
      <c r="S434" s="325">
        <v>22</v>
      </c>
      <c r="T434" s="325">
        <f t="shared" si="114"/>
        <v>110</v>
      </c>
      <c r="V434" s="324">
        <v>7000</v>
      </c>
      <c r="W434" s="326">
        <f t="shared" si="115"/>
        <v>2</v>
      </c>
      <c r="X434" s="326">
        <f t="shared" si="116"/>
        <v>4905</v>
      </c>
      <c r="Y434" s="327">
        <v>4900</v>
      </c>
      <c r="Z434" s="328">
        <f t="shared" si="113"/>
        <v>55</v>
      </c>
      <c r="AA434" s="392"/>
      <c r="AB434" s="329">
        <v>0.91600000000000004</v>
      </c>
      <c r="AC434" s="329">
        <v>0.33900000000000002</v>
      </c>
      <c r="AE434" s="332">
        <f t="shared" si="127"/>
        <v>241.82400000000001</v>
      </c>
      <c r="AF434" s="332">
        <f t="shared" si="128"/>
        <v>246.86200000000002</v>
      </c>
      <c r="AG434" s="332">
        <f t="shared" si="122"/>
        <v>-5.0380000000000109</v>
      </c>
      <c r="AH434" s="333">
        <f t="shared" si="123"/>
        <v>1.0208333333333335</v>
      </c>
      <c r="AI434" s="329">
        <f t="shared" si="124"/>
        <v>264</v>
      </c>
      <c r="AJ434" s="329">
        <f t="shared" si="117"/>
        <v>269.5</v>
      </c>
      <c r="AK434" s="329">
        <f t="shared" si="125"/>
        <v>-5.5</v>
      </c>
      <c r="AL434" s="382">
        <f t="shared" si="126"/>
        <v>1.0208333333333333</v>
      </c>
    </row>
    <row r="435" spans="2:38" s="303" customFormat="1" ht="28.5" x14ac:dyDescent="0.2">
      <c r="B435" s="341">
        <f t="shared" si="119"/>
        <v>425</v>
      </c>
      <c r="C435" s="459" t="s">
        <v>200</v>
      </c>
      <c r="D435" s="342" t="s">
        <v>206</v>
      </c>
      <c r="E435" s="341" t="s">
        <v>213</v>
      </c>
      <c r="F435" s="341">
        <v>5</v>
      </c>
      <c r="G435" s="341">
        <v>26170</v>
      </c>
      <c r="H435" s="341" t="s">
        <v>173</v>
      </c>
      <c r="I435" s="341">
        <v>2400</v>
      </c>
      <c r="J435" s="2"/>
      <c r="K435" s="319">
        <v>130</v>
      </c>
      <c r="L435" s="321">
        <v>20626</v>
      </c>
      <c r="M435" s="322" t="s">
        <v>44</v>
      </c>
      <c r="N435" s="321" t="s">
        <v>39</v>
      </c>
      <c r="O435" s="323" t="s">
        <v>186</v>
      </c>
      <c r="P435" s="321" t="s">
        <v>3</v>
      </c>
      <c r="Q435" s="2"/>
      <c r="R435" s="324">
        <f t="shared" si="121"/>
        <v>2400</v>
      </c>
      <c r="S435" s="325">
        <v>1</v>
      </c>
      <c r="T435" s="325">
        <f t="shared" si="114"/>
        <v>5</v>
      </c>
      <c r="V435" s="324">
        <v>7000</v>
      </c>
      <c r="W435" s="326">
        <f t="shared" si="115"/>
        <v>2</v>
      </c>
      <c r="X435" s="326">
        <f t="shared" si="116"/>
        <v>4905</v>
      </c>
      <c r="Y435" s="327">
        <v>4900</v>
      </c>
      <c r="Z435" s="328">
        <f t="shared" si="113"/>
        <v>2.5</v>
      </c>
      <c r="AA435" s="387">
        <v>62.5</v>
      </c>
      <c r="AB435" s="329">
        <v>2.7930000000000001</v>
      </c>
      <c r="AC435" s="329">
        <v>0.45068000000000003</v>
      </c>
      <c r="AE435" s="332">
        <f t="shared" si="127"/>
        <v>33.516000000000005</v>
      </c>
      <c r="AF435" s="332">
        <f t="shared" si="128"/>
        <v>34.21425</v>
      </c>
      <c r="AG435" s="332">
        <f t="shared" si="122"/>
        <v>-0.69824999999999449</v>
      </c>
      <c r="AH435" s="333">
        <f t="shared" si="123"/>
        <v>1.0208333333333333</v>
      </c>
      <c r="AI435" s="329">
        <f t="shared" si="124"/>
        <v>12</v>
      </c>
      <c r="AJ435" s="329">
        <f t="shared" si="117"/>
        <v>12.25</v>
      </c>
      <c r="AK435" s="329">
        <f t="shared" si="125"/>
        <v>-0.25</v>
      </c>
      <c r="AL435" s="382">
        <f t="shared" si="126"/>
        <v>1.0208333333333333</v>
      </c>
    </row>
    <row r="436" spans="2:38" s="303" customFormat="1" ht="28.5" x14ac:dyDescent="0.2">
      <c r="B436" s="319">
        <f t="shared" si="119"/>
        <v>426</v>
      </c>
      <c r="C436" s="458" t="s">
        <v>200</v>
      </c>
      <c r="D436" s="342" t="s">
        <v>206</v>
      </c>
      <c r="E436" s="341" t="s">
        <v>213</v>
      </c>
      <c r="F436" s="341">
        <v>5</v>
      </c>
      <c r="G436" s="341">
        <v>26170</v>
      </c>
      <c r="H436" s="341" t="s">
        <v>173</v>
      </c>
      <c r="I436" s="341">
        <v>2400</v>
      </c>
      <c r="J436" s="2"/>
      <c r="K436" s="319">
        <v>130</v>
      </c>
      <c r="L436" s="321">
        <v>21825</v>
      </c>
      <c r="M436" s="322" t="s">
        <v>45</v>
      </c>
      <c r="N436" s="321" t="s">
        <v>39</v>
      </c>
      <c r="O436" s="323" t="s">
        <v>186</v>
      </c>
      <c r="P436" s="321" t="s">
        <v>3</v>
      </c>
      <c r="Q436" s="2"/>
      <c r="R436" s="324">
        <f t="shared" si="121"/>
        <v>2400</v>
      </c>
      <c r="S436" s="325">
        <v>1</v>
      </c>
      <c r="T436" s="325">
        <f t="shared" si="114"/>
        <v>5</v>
      </c>
      <c r="V436" s="324">
        <v>7000</v>
      </c>
      <c r="W436" s="326">
        <f t="shared" si="115"/>
        <v>2</v>
      </c>
      <c r="X436" s="326">
        <f t="shared" si="116"/>
        <v>4905</v>
      </c>
      <c r="Y436" s="327">
        <v>4900</v>
      </c>
      <c r="Z436" s="328">
        <f t="shared" si="113"/>
        <v>2.5</v>
      </c>
      <c r="AA436" s="392"/>
      <c r="AB436" s="329">
        <v>0.999</v>
      </c>
      <c r="AC436" s="329">
        <v>0.2382</v>
      </c>
      <c r="AE436" s="332">
        <f t="shared" si="127"/>
        <v>11.988</v>
      </c>
      <c r="AF436" s="332">
        <f t="shared" si="128"/>
        <v>12.23775</v>
      </c>
      <c r="AG436" s="332">
        <f t="shared" si="122"/>
        <v>-0.24975000000000058</v>
      </c>
      <c r="AH436" s="333">
        <f t="shared" si="123"/>
        <v>1.0208333333333335</v>
      </c>
      <c r="AI436" s="329">
        <f t="shared" si="124"/>
        <v>12</v>
      </c>
      <c r="AJ436" s="329">
        <f t="shared" si="117"/>
        <v>12.25</v>
      </c>
      <c r="AK436" s="329">
        <f t="shared" si="125"/>
        <v>-0.25</v>
      </c>
      <c r="AL436" s="382">
        <f t="shared" si="126"/>
        <v>1.0208333333333333</v>
      </c>
    </row>
    <row r="437" spans="2:38" s="303" customFormat="1" ht="28.5" x14ac:dyDescent="0.2">
      <c r="B437" s="319">
        <f t="shared" si="119"/>
        <v>427</v>
      </c>
      <c r="C437" s="458" t="s">
        <v>200</v>
      </c>
      <c r="D437" s="342" t="s">
        <v>206</v>
      </c>
      <c r="E437" s="341" t="s">
        <v>213</v>
      </c>
      <c r="F437" s="341">
        <v>5</v>
      </c>
      <c r="G437" s="341">
        <v>26170</v>
      </c>
      <c r="H437" s="341" t="s">
        <v>173</v>
      </c>
      <c r="I437" s="341">
        <v>2400</v>
      </c>
      <c r="J437" s="2"/>
      <c r="K437" s="319">
        <v>130</v>
      </c>
      <c r="L437" s="321" t="s">
        <v>48</v>
      </c>
      <c r="M437" s="322" t="s">
        <v>49</v>
      </c>
      <c r="N437" s="321" t="s">
        <v>39</v>
      </c>
      <c r="O437" s="323" t="s">
        <v>186</v>
      </c>
      <c r="P437" s="321" t="s">
        <v>3</v>
      </c>
      <c r="Q437" s="2"/>
      <c r="R437" s="324">
        <f t="shared" si="121"/>
        <v>2400</v>
      </c>
      <c r="S437" s="325">
        <v>1</v>
      </c>
      <c r="T437" s="325">
        <f t="shared" si="114"/>
        <v>5</v>
      </c>
      <c r="V437" s="324">
        <v>7000</v>
      </c>
      <c r="W437" s="326">
        <f t="shared" si="115"/>
        <v>2</v>
      </c>
      <c r="X437" s="326">
        <f t="shared" si="116"/>
        <v>4905</v>
      </c>
      <c r="Y437" s="327">
        <v>4900</v>
      </c>
      <c r="Z437" s="328">
        <f t="shared" si="113"/>
        <v>2.5</v>
      </c>
      <c r="AA437" s="392"/>
      <c r="AB437" s="329">
        <v>0.81</v>
      </c>
      <c r="AC437" s="329">
        <v>0.28999999999999998</v>
      </c>
      <c r="AE437" s="332">
        <f t="shared" si="127"/>
        <v>9.7200000000000006</v>
      </c>
      <c r="AF437" s="332">
        <f t="shared" si="128"/>
        <v>9.9225000000000012</v>
      </c>
      <c r="AG437" s="332">
        <f t="shared" si="122"/>
        <v>-0.20250000000000057</v>
      </c>
      <c r="AH437" s="333">
        <f t="shared" si="123"/>
        <v>1.0208333333333335</v>
      </c>
      <c r="AI437" s="329">
        <f t="shared" si="124"/>
        <v>12</v>
      </c>
      <c r="AJ437" s="329">
        <f t="shared" si="117"/>
        <v>12.25</v>
      </c>
      <c r="AK437" s="329">
        <f t="shared" si="125"/>
        <v>-0.25</v>
      </c>
      <c r="AL437" s="382">
        <f t="shared" si="126"/>
        <v>1.0208333333333333</v>
      </c>
    </row>
    <row r="438" spans="2:38" s="303" customFormat="1" ht="28.5" x14ac:dyDescent="0.2">
      <c r="B438" s="319">
        <f t="shared" si="119"/>
        <v>428</v>
      </c>
      <c r="C438" s="458" t="s">
        <v>200</v>
      </c>
      <c r="D438" s="342" t="s">
        <v>206</v>
      </c>
      <c r="E438" s="341" t="s">
        <v>213</v>
      </c>
      <c r="F438" s="341">
        <v>5</v>
      </c>
      <c r="G438" s="341">
        <v>26170</v>
      </c>
      <c r="H438" s="341" t="s">
        <v>173</v>
      </c>
      <c r="I438" s="341">
        <v>2400</v>
      </c>
      <c r="J438" s="2"/>
      <c r="K438" s="319">
        <v>130</v>
      </c>
      <c r="L438" s="321" t="s">
        <v>46</v>
      </c>
      <c r="M438" s="322" t="s">
        <v>47</v>
      </c>
      <c r="N438" s="321" t="s">
        <v>39</v>
      </c>
      <c r="O438" s="323" t="s">
        <v>186</v>
      </c>
      <c r="P438" s="321" t="s">
        <v>3</v>
      </c>
      <c r="Q438" s="2"/>
      <c r="R438" s="324">
        <f t="shared" si="121"/>
        <v>2400</v>
      </c>
      <c r="S438" s="325">
        <v>1</v>
      </c>
      <c r="T438" s="325">
        <f t="shared" si="114"/>
        <v>5</v>
      </c>
      <c r="V438" s="324">
        <v>7000</v>
      </c>
      <c r="W438" s="326">
        <f t="shared" si="115"/>
        <v>2</v>
      </c>
      <c r="X438" s="326">
        <f t="shared" si="116"/>
        <v>4905</v>
      </c>
      <c r="Y438" s="327">
        <v>4900</v>
      </c>
      <c r="Z438" s="328">
        <f t="shared" si="113"/>
        <v>2.5</v>
      </c>
      <c r="AA438" s="392"/>
      <c r="AB438" s="329">
        <v>0.91600000000000004</v>
      </c>
      <c r="AC438" s="329">
        <v>0.33900000000000002</v>
      </c>
      <c r="AE438" s="332">
        <f t="shared" si="127"/>
        <v>10.992000000000001</v>
      </c>
      <c r="AF438" s="332">
        <f t="shared" si="128"/>
        <v>11.221</v>
      </c>
      <c r="AG438" s="332">
        <f t="shared" si="122"/>
        <v>-0.2289999999999992</v>
      </c>
      <c r="AH438" s="333">
        <f t="shared" si="123"/>
        <v>1.0208333333333333</v>
      </c>
      <c r="AI438" s="329">
        <f t="shared" si="124"/>
        <v>12</v>
      </c>
      <c r="AJ438" s="329">
        <f t="shared" si="117"/>
        <v>12.25</v>
      </c>
      <c r="AK438" s="329">
        <f t="shared" si="125"/>
        <v>-0.25</v>
      </c>
      <c r="AL438" s="382">
        <f t="shared" si="126"/>
        <v>1.0208333333333333</v>
      </c>
    </row>
    <row r="439" spans="2:38" s="303" customFormat="1" ht="28.5" x14ac:dyDescent="0.2">
      <c r="B439" s="319">
        <f t="shared" si="119"/>
        <v>429</v>
      </c>
      <c r="C439" s="458" t="s">
        <v>200</v>
      </c>
      <c r="D439" s="342" t="s">
        <v>206</v>
      </c>
      <c r="E439" s="341" t="s">
        <v>213</v>
      </c>
      <c r="F439" s="341">
        <v>5</v>
      </c>
      <c r="G439" s="341">
        <v>26170</v>
      </c>
      <c r="H439" s="341" t="s">
        <v>173</v>
      </c>
      <c r="I439" s="341">
        <v>2400</v>
      </c>
      <c r="J439" s="2"/>
      <c r="K439" s="334">
        <v>130</v>
      </c>
      <c r="L439" s="335" t="s">
        <v>121</v>
      </c>
      <c r="M439" s="336" t="s">
        <v>203</v>
      </c>
      <c r="N439" s="337" t="s">
        <v>6</v>
      </c>
      <c r="O439" s="323" t="s">
        <v>186</v>
      </c>
      <c r="P439" s="337" t="s">
        <v>187</v>
      </c>
      <c r="Q439" s="2"/>
      <c r="R439" s="324">
        <f t="shared" si="121"/>
        <v>2400</v>
      </c>
      <c r="S439" s="325">
        <v>1</v>
      </c>
      <c r="T439" s="325">
        <f t="shared" si="114"/>
        <v>5</v>
      </c>
      <c r="V439" s="338">
        <v>3660</v>
      </c>
      <c r="W439" s="339">
        <f t="shared" si="115"/>
        <v>1</v>
      </c>
      <c r="X439" s="339">
        <f t="shared" si="116"/>
        <v>2500</v>
      </c>
      <c r="Y439" s="327">
        <v>3660</v>
      </c>
      <c r="Z439" s="340">
        <f>($R439*$T439)/$V439</f>
        <v>3.278688524590164</v>
      </c>
      <c r="AA439" s="392"/>
      <c r="AB439" s="329">
        <v>0.84899999999999998</v>
      </c>
      <c r="AC439" s="329">
        <v>0</v>
      </c>
      <c r="AE439" s="332">
        <f t="shared" si="127"/>
        <v>10.187999999999999</v>
      </c>
      <c r="AF439" s="332">
        <f t="shared" si="128"/>
        <v>10.187999999999999</v>
      </c>
      <c r="AG439" s="332">
        <f t="shared" si="122"/>
        <v>0</v>
      </c>
      <c r="AH439" s="333">
        <f t="shared" si="123"/>
        <v>1</v>
      </c>
      <c r="AI439" s="329">
        <f t="shared" si="124"/>
        <v>12</v>
      </c>
      <c r="AJ439" s="329">
        <f t="shared" si="117"/>
        <v>12</v>
      </c>
      <c r="AK439" s="329">
        <f t="shared" si="125"/>
        <v>0</v>
      </c>
      <c r="AL439" s="382">
        <f t="shared" si="126"/>
        <v>1</v>
      </c>
    </row>
    <row r="440" spans="2:38" s="303" customFormat="1" ht="28.5" x14ac:dyDescent="0.2">
      <c r="B440" s="341">
        <f t="shared" si="119"/>
        <v>430</v>
      </c>
      <c r="C440" s="459" t="s">
        <v>200</v>
      </c>
      <c r="D440" s="342" t="s">
        <v>206</v>
      </c>
      <c r="E440" s="341" t="s">
        <v>213</v>
      </c>
      <c r="F440" s="341">
        <v>5</v>
      </c>
      <c r="G440" s="341">
        <v>26170</v>
      </c>
      <c r="H440" s="341" t="s">
        <v>173</v>
      </c>
      <c r="I440" s="341">
        <v>2400</v>
      </c>
      <c r="J440" s="2"/>
      <c r="K440" s="319">
        <v>123</v>
      </c>
      <c r="L440" s="321" t="s">
        <v>124</v>
      </c>
      <c r="M440" s="322" t="s">
        <v>125</v>
      </c>
      <c r="N440" s="321" t="s">
        <v>39</v>
      </c>
      <c r="O440" s="323" t="s">
        <v>188</v>
      </c>
      <c r="P440" s="321" t="s">
        <v>3</v>
      </c>
      <c r="Q440" s="2"/>
      <c r="R440" s="324">
        <f>ROUNDUP(((G440-(600*2))/22),0)</f>
        <v>1135</v>
      </c>
      <c r="S440" s="325">
        <v>22</v>
      </c>
      <c r="T440" s="325">
        <f t="shared" si="114"/>
        <v>110</v>
      </c>
      <c r="V440" s="324">
        <v>6000</v>
      </c>
      <c r="W440" s="326">
        <f t="shared" si="115"/>
        <v>5</v>
      </c>
      <c r="X440" s="326">
        <f t="shared" si="116"/>
        <v>5795</v>
      </c>
      <c r="Y440" s="327">
        <v>5800</v>
      </c>
      <c r="Z440" s="328">
        <f t="shared" si="113"/>
        <v>22</v>
      </c>
      <c r="AA440" s="304"/>
      <c r="AB440" s="329">
        <v>2.109</v>
      </c>
      <c r="AC440" s="329">
        <v>0.70199999999999996</v>
      </c>
      <c r="AE440" s="332">
        <f t="shared" si="127"/>
        <v>263.30865</v>
      </c>
      <c r="AF440" s="332">
        <f t="shared" si="128"/>
        <v>269.10839999999996</v>
      </c>
      <c r="AG440" s="332">
        <f t="shared" si="122"/>
        <v>-5.7997499999999604</v>
      </c>
      <c r="AH440" s="333">
        <f t="shared" si="123"/>
        <v>1.0220264317180616</v>
      </c>
      <c r="AI440" s="329">
        <f t="shared" si="124"/>
        <v>124.85</v>
      </c>
      <c r="AJ440" s="329">
        <f t="shared" si="117"/>
        <v>127.6</v>
      </c>
      <c r="AK440" s="329">
        <f t="shared" si="125"/>
        <v>-2.75</v>
      </c>
      <c r="AL440" s="382">
        <f t="shared" si="126"/>
        <v>1.0220264317180616</v>
      </c>
    </row>
    <row r="441" spans="2:38" s="303" customFormat="1" ht="28.5" x14ac:dyDescent="0.2">
      <c r="B441" s="341">
        <f t="shared" si="119"/>
        <v>431</v>
      </c>
      <c r="C441" s="459" t="s">
        <v>200</v>
      </c>
      <c r="D441" s="342" t="s">
        <v>206</v>
      </c>
      <c r="E441" s="341" t="s">
        <v>213</v>
      </c>
      <c r="F441" s="341">
        <v>5</v>
      </c>
      <c r="G441" s="341">
        <v>26170</v>
      </c>
      <c r="H441" s="341" t="s">
        <v>173</v>
      </c>
      <c r="I441" s="341">
        <v>2400</v>
      </c>
      <c r="J441" s="2"/>
      <c r="K441" s="319">
        <v>123</v>
      </c>
      <c r="L441" s="321" t="s">
        <v>126</v>
      </c>
      <c r="M441" s="322" t="s">
        <v>127</v>
      </c>
      <c r="N441" s="321" t="s">
        <v>39</v>
      </c>
      <c r="O441" s="323" t="s">
        <v>188</v>
      </c>
      <c r="P441" s="321" t="s">
        <v>3</v>
      </c>
      <c r="Q441" s="2"/>
      <c r="R441" s="324">
        <f>ROUNDUP(((G441-(600*2))/22),0)</f>
        <v>1135</v>
      </c>
      <c r="S441" s="325">
        <v>22</v>
      </c>
      <c r="T441" s="325">
        <f t="shared" si="114"/>
        <v>110</v>
      </c>
      <c r="V441" s="324">
        <v>6000</v>
      </c>
      <c r="W441" s="326">
        <f t="shared" si="115"/>
        <v>5</v>
      </c>
      <c r="X441" s="326">
        <f t="shared" si="116"/>
        <v>5795</v>
      </c>
      <c r="Y441" s="327">
        <v>5800</v>
      </c>
      <c r="Z441" s="328">
        <f t="shared" si="113"/>
        <v>22</v>
      </c>
      <c r="AA441" s="392"/>
      <c r="AB441" s="329">
        <v>0.88800000000000001</v>
      </c>
      <c r="AC441" s="329">
        <v>0.34</v>
      </c>
      <c r="AE441" s="332">
        <f t="shared" si="127"/>
        <v>110.8668</v>
      </c>
      <c r="AF441" s="332">
        <f t="shared" si="128"/>
        <v>113.30879999999999</v>
      </c>
      <c r="AG441" s="332">
        <f t="shared" si="122"/>
        <v>-2.4419999999999931</v>
      </c>
      <c r="AH441" s="333">
        <f t="shared" si="123"/>
        <v>1.0220264317180616</v>
      </c>
      <c r="AI441" s="329">
        <f t="shared" si="124"/>
        <v>124.85</v>
      </c>
      <c r="AJ441" s="329">
        <f t="shared" si="117"/>
        <v>127.6</v>
      </c>
      <c r="AK441" s="329">
        <f t="shared" si="125"/>
        <v>-2.75</v>
      </c>
      <c r="AL441" s="382">
        <f t="shared" si="126"/>
        <v>1.0220264317180616</v>
      </c>
    </row>
    <row r="442" spans="2:38" s="303" customFormat="1" ht="28.5" x14ac:dyDescent="0.2">
      <c r="B442" s="341">
        <f t="shared" si="119"/>
        <v>432</v>
      </c>
      <c r="C442" s="459" t="s">
        <v>200</v>
      </c>
      <c r="D442" s="342" t="s">
        <v>206</v>
      </c>
      <c r="E442" s="341" t="s">
        <v>213</v>
      </c>
      <c r="F442" s="341">
        <v>5</v>
      </c>
      <c r="G442" s="341">
        <v>26170</v>
      </c>
      <c r="H442" s="341" t="s">
        <v>173</v>
      </c>
      <c r="I442" s="341">
        <v>2400</v>
      </c>
      <c r="J442" s="2"/>
      <c r="K442" s="319">
        <v>123</v>
      </c>
      <c r="L442" s="321" t="s">
        <v>48</v>
      </c>
      <c r="M442" s="322" t="s">
        <v>49</v>
      </c>
      <c r="N442" s="321" t="s">
        <v>39</v>
      </c>
      <c r="O442" s="323" t="s">
        <v>188</v>
      </c>
      <c r="P442" s="321" t="s">
        <v>3</v>
      </c>
      <c r="Q442" s="2"/>
      <c r="R442" s="324">
        <f>ROUNDUP(((G442-(600*2))/22),0)</f>
        <v>1135</v>
      </c>
      <c r="S442" s="325">
        <v>22</v>
      </c>
      <c r="T442" s="325">
        <f t="shared" si="114"/>
        <v>110</v>
      </c>
      <c r="V442" s="324">
        <v>6000</v>
      </c>
      <c r="W442" s="326">
        <f t="shared" si="115"/>
        <v>5</v>
      </c>
      <c r="X442" s="326">
        <f t="shared" si="116"/>
        <v>5795</v>
      </c>
      <c r="Y442" s="327">
        <v>5800</v>
      </c>
      <c r="Z442" s="328">
        <f t="shared" si="113"/>
        <v>22</v>
      </c>
      <c r="AA442" s="392"/>
      <c r="AB442" s="329">
        <v>0.81</v>
      </c>
      <c r="AC442" s="329">
        <v>0.28999999999999998</v>
      </c>
      <c r="AE442" s="332">
        <f t="shared" si="127"/>
        <v>101.1285</v>
      </c>
      <c r="AF442" s="332">
        <f t="shared" si="128"/>
        <v>103.35600000000001</v>
      </c>
      <c r="AG442" s="332">
        <f t="shared" si="122"/>
        <v>-2.2275000000000063</v>
      </c>
      <c r="AH442" s="333">
        <f t="shared" si="123"/>
        <v>1.0220264317180618</v>
      </c>
      <c r="AI442" s="329">
        <f t="shared" si="124"/>
        <v>124.85</v>
      </c>
      <c r="AJ442" s="329">
        <f t="shared" si="117"/>
        <v>127.6</v>
      </c>
      <c r="AK442" s="329">
        <f t="shared" si="125"/>
        <v>-2.75</v>
      </c>
      <c r="AL442" s="382">
        <f t="shared" si="126"/>
        <v>1.0220264317180616</v>
      </c>
    </row>
    <row r="443" spans="2:38" s="303" customFormat="1" ht="28.5" x14ac:dyDescent="0.2">
      <c r="B443" s="341">
        <f t="shared" si="119"/>
        <v>433</v>
      </c>
      <c r="C443" s="459" t="s">
        <v>200</v>
      </c>
      <c r="D443" s="342" t="s">
        <v>206</v>
      </c>
      <c r="E443" s="341" t="s">
        <v>213</v>
      </c>
      <c r="F443" s="341">
        <v>5</v>
      </c>
      <c r="G443" s="341">
        <v>26170</v>
      </c>
      <c r="H443" s="341" t="s">
        <v>173</v>
      </c>
      <c r="I443" s="341">
        <v>2400</v>
      </c>
      <c r="J443" s="2"/>
      <c r="K443" s="319">
        <v>123</v>
      </c>
      <c r="L443" s="321" t="s">
        <v>46</v>
      </c>
      <c r="M443" s="322" t="s">
        <v>47</v>
      </c>
      <c r="N443" s="321" t="s">
        <v>39</v>
      </c>
      <c r="O443" s="323" t="s">
        <v>188</v>
      </c>
      <c r="P443" s="321" t="s">
        <v>3</v>
      </c>
      <c r="Q443" s="2"/>
      <c r="R443" s="324">
        <f>ROUNDUP(((G443-(600*2))/22),0)</f>
        <v>1135</v>
      </c>
      <c r="S443" s="325">
        <v>22</v>
      </c>
      <c r="T443" s="325">
        <f t="shared" si="114"/>
        <v>110</v>
      </c>
      <c r="V443" s="324">
        <v>6000</v>
      </c>
      <c r="W443" s="326">
        <f t="shared" si="115"/>
        <v>5</v>
      </c>
      <c r="X443" s="326">
        <f t="shared" si="116"/>
        <v>5795</v>
      </c>
      <c r="Y443" s="327">
        <v>5800</v>
      </c>
      <c r="Z443" s="328">
        <f t="shared" si="113"/>
        <v>22</v>
      </c>
      <c r="AA443" s="392"/>
      <c r="AB443" s="329">
        <v>0.91600000000000004</v>
      </c>
      <c r="AC443" s="329">
        <v>0.33900000000000002</v>
      </c>
      <c r="AE443" s="332">
        <f t="shared" si="127"/>
        <v>114.3626</v>
      </c>
      <c r="AF443" s="332">
        <f t="shared" si="128"/>
        <v>116.88160000000001</v>
      </c>
      <c r="AG443" s="332">
        <f t="shared" si="122"/>
        <v>-2.5190000000000055</v>
      </c>
      <c r="AH443" s="333">
        <f t="shared" si="123"/>
        <v>1.0220264317180616</v>
      </c>
      <c r="AI443" s="329">
        <f t="shared" si="124"/>
        <v>124.85</v>
      </c>
      <c r="AJ443" s="329">
        <f t="shared" si="117"/>
        <v>127.6</v>
      </c>
      <c r="AK443" s="329">
        <f t="shared" si="125"/>
        <v>-2.75</v>
      </c>
      <c r="AL443" s="382">
        <f t="shared" si="126"/>
        <v>1.0220264317180616</v>
      </c>
    </row>
    <row r="444" spans="2:38" s="303" customFormat="1" ht="28.5" x14ac:dyDescent="0.2">
      <c r="B444" s="341">
        <f t="shared" si="119"/>
        <v>434</v>
      </c>
      <c r="C444" s="459" t="s">
        <v>200</v>
      </c>
      <c r="D444" s="342" t="s">
        <v>206</v>
      </c>
      <c r="E444" s="341" t="s">
        <v>213</v>
      </c>
      <c r="F444" s="341">
        <v>5</v>
      </c>
      <c r="G444" s="341">
        <v>26170</v>
      </c>
      <c r="H444" s="341" t="s">
        <v>173</v>
      </c>
      <c r="I444" s="341">
        <v>2400</v>
      </c>
      <c r="J444" s="2"/>
      <c r="K444" s="468">
        <v>123</v>
      </c>
      <c r="L444" s="417">
        <v>21825</v>
      </c>
      <c r="M444" s="416" t="s">
        <v>45</v>
      </c>
      <c r="N444" s="417" t="s">
        <v>39</v>
      </c>
      <c r="O444" s="323" t="s">
        <v>188</v>
      </c>
      <c r="P444" s="321" t="s">
        <v>3</v>
      </c>
      <c r="Q444" s="2"/>
      <c r="R444" s="324">
        <f>ROUNDUP(((G444-(600*2))/22),0)</f>
        <v>1135</v>
      </c>
      <c r="S444" s="325">
        <v>22</v>
      </c>
      <c r="T444" s="325">
        <f t="shared" si="114"/>
        <v>110</v>
      </c>
      <c r="V444" s="324">
        <v>6000</v>
      </c>
      <c r="W444" s="326">
        <f t="shared" si="115"/>
        <v>5</v>
      </c>
      <c r="X444" s="326">
        <f t="shared" si="116"/>
        <v>5795</v>
      </c>
      <c r="Y444" s="327">
        <v>5800</v>
      </c>
      <c r="Z444" s="328">
        <f t="shared" si="113"/>
        <v>22</v>
      </c>
      <c r="AA444" s="392"/>
      <c r="AB444" s="329">
        <v>0.999</v>
      </c>
      <c r="AC444" s="329">
        <v>0.2382</v>
      </c>
      <c r="AE444" s="332">
        <f t="shared" si="127"/>
        <v>124.72515</v>
      </c>
      <c r="AF444" s="332">
        <f t="shared" si="128"/>
        <v>127.47239999999999</v>
      </c>
      <c r="AG444" s="332">
        <f t="shared" si="122"/>
        <v>-2.747249999999994</v>
      </c>
      <c r="AH444" s="333">
        <f t="shared" si="123"/>
        <v>1.0220264317180616</v>
      </c>
      <c r="AI444" s="329">
        <f t="shared" si="124"/>
        <v>124.85</v>
      </c>
      <c r="AJ444" s="329">
        <f t="shared" si="117"/>
        <v>127.6</v>
      </c>
      <c r="AK444" s="329">
        <f t="shared" si="125"/>
        <v>-2.75</v>
      </c>
      <c r="AL444" s="382">
        <f t="shared" si="126"/>
        <v>1.0220264317180616</v>
      </c>
    </row>
    <row r="445" spans="2:38" s="303" customFormat="1" ht="28.5" x14ac:dyDescent="0.2">
      <c r="B445" s="341">
        <f t="shared" si="119"/>
        <v>435</v>
      </c>
      <c r="C445" s="459" t="s">
        <v>200</v>
      </c>
      <c r="D445" s="342" t="s">
        <v>206</v>
      </c>
      <c r="E445" s="341" t="s">
        <v>213</v>
      </c>
      <c r="F445" s="341">
        <v>5</v>
      </c>
      <c r="G445" s="341">
        <v>26170</v>
      </c>
      <c r="H445" s="341" t="s">
        <v>173</v>
      </c>
      <c r="I445" s="341">
        <v>2400</v>
      </c>
      <c r="J445" s="2"/>
      <c r="K445" s="334">
        <v>123</v>
      </c>
      <c r="L445" s="335" t="s">
        <v>121</v>
      </c>
      <c r="M445" s="336" t="s">
        <v>203</v>
      </c>
      <c r="N445" s="337" t="s">
        <v>6</v>
      </c>
      <c r="O445" s="323" t="s">
        <v>188</v>
      </c>
      <c r="P445" s="337" t="s">
        <v>187</v>
      </c>
      <c r="Q445" s="2"/>
      <c r="R445" s="324">
        <f>ROUNDUP((1135*5),0)</f>
        <v>5675</v>
      </c>
      <c r="S445" s="325">
        <v>5</v>
      </c>
      <c r="T445" s="325">
        <f t="shared" si="114"/>
        <v>25</v>
      </c>
      <c r="V445" s="338">
        <v>3660</v>
      </c>
      <c r="W445" s="339">
        <f t="shared" si="115"/>
        <v>0</v>
      </c>
      <c r="X445" s="339">
        <f t="shared" si="116"/>
        <v>95</v>
      </c>
      <c r="Y445" s="327">
        <v>3660</v>
      </c>
      <c r="Z445" s="340">
        <f>($R445*$T445)/$V445</f>
        <v>38.763661202185794</v>
      </c>
      <c r="AA445" s="392"/>
      <c r="AB445" s="329">
        <v>0.84899999999999998</v>
      </c>
      <c r="AC445" s="329">
        <v>0</v>
      </c>
      <c r="AE445" s="332">
        <f t="shared" si="127"/>
        <v>120.451875</v>
      </c>
      <c r="AF445" s="332">
        <f t="shared" si="128"/>
        <v>120.451875</v>
      </c>
      <c r="AG445" s="332">
        <f t="shared" si="122"/>
        <v>0</v>
      </c>
      <c r="AH445" s="333">
        <f t="shared" si="123"/>
        <v>1</v>
      </c>
      <c r="AI445" s="329">
        <f t="shared" si="124"/>
        <v>141.875</v>
      </c>
      <c r="AJ445" s="329">
        <f t="shared" si="117"/>
        <v>141.875</v>
      </c>
      <c r="AK445" s="329">
        <f t="shared" si="125"/>
        <v>0</v>
      </c>
      <c r="AL445" s="382">
        <f t="shared" si="126"/>
        <v>1</v>
      </c>
    </row>
    <row r="446" spans="2:38" s="303" customFormat="1" ht="28.5" x14ac:dyDescent="0.2">
      <c r="B446" s="341">
        <f t="shared" si="119"/>
        <v>436</v>
      </c>
      <c r="C446" s="459" t="s">
        <v>200</v>
      </c>
      <c r="D446" s="342" t="s">
        <v>206</v>
      </c>
      <c r="E446" s="341" t="s">
        <v>213</v>
      </c>
      <c r="F446" s="341">
        <v>5</v>
      </c>
      <c r="G446" s="341">
        <v>26170</v>
      </c>
      <c r="H446" s="341" t="s">
        <v>173</v>
      </c>
      <c r="I446" s="341">
        <v>2400</v>
      </c>
      <c r="J446" s="2"/>
      <c r="K446" s="319">
        <v>125</v>
      </c>
      <c r="L446" s="321" t="s">
        <v>124</v>
      </c>
      <c r="M446" s="322" t="s">
        <v>125</v>
      </c>
      <c r="N446" s="321" t="s">
        <v>39</v>
      </c>
      <c r="O446" s="323" t="s">
        <v>188</v>
      </c>
      <c r="P446" s="321" t="s">
        <v>3</v>
      </c>
      <c r="Q446" s="2"/>
      <c r="R446" s="324">
        <f>ROUNDUP(600,0)</f>
        <v>600</v>
      </c>
      <c r="S446" s="325">
        <v>2</v>
      </c>
      <c r="T446" s="325">
        <f t="shared" si="114"/>
        <v>10</v>
      </c>
      <c r="V446" s="324">
        <v>5000</v>
      </c>
      <c r="W446" s="326">
        <f t="shared" si="115"/>
        <v>8</v>
      </c>
      <c r="X446" s="326">
        <f t="shared" si="116"/>
        <v>4935</v>
      </c>
      <c r="Y446" s="327">
        <v>4900</v>
      </c>
      <c r="Z446" s="328">
        <f t="shared" si="113"/>
        <v>1.25</v>
      </c>
      <c r="AA446" s="304"/>
      <c r="AB446" s="329">
        <v>2.109</v>
      </c>
      <c r="AC446" s="329">
        <v>0.70199999999999996</v>
      </c>
      <c r="AE446" s="332">
        <f t="shared" si="127"/>
        <v>12.654</v>
      </c>
      <c r="AF446" s="332">
        <f t="shared" si="128"/>
        <v>12.917624999999999</v>
      </c>
      <c r="AG446" s="332">
        <f t="shared" si="122"/>
        <v>-0.26362499999999933</v>
      </c>
      <c r="AH446" s="333">
        <f t="shared" si="123"/>
        <v>1.0208333333333333</v>
      </c>
      <c r="AI446" s="332">
        <f t="shared" si="124"/>
        <v>6</v>
      </c>
      <c r="AJ446" s="332">
        <f t="shared" si="117"/>
        <v>6.125</v>
      </c>
      <c r="AK446" s="332">
        <f t="shared" si="125"/>
        <v>-0.125</v>
      </c>
      <c r="AL446" s="333">
        <f t="shared" si="126"/>
        <v>1.0208333333333333</v>
      </c>
    </row>
    <row r="447" spans="2:38" s="303" customFormat="1" ht="28.5" x14ac:dyDescent="0.2">
      <c r="B447" s="341">
        <f t="shared" si="119"/>
        <v>437</v>
      </c>
      <c r="C447" s="459" t="s">
        <v>200</v>
      </c>
      <c r="D447" s="342" t="s">
        <v>206</v>
      </c>
      <c r="E447" s="341" t="s">
        <v>213</v>
      </c>
      <c r="F447" s="341">
        <v>5</v>
      </c>
      <c r="G447" s="341">
        <v>26170</v>
      </c>
      <c r="H447" s="341" t="s">
        <v>173</v>
      </c>
      <c r="I447" s="341">
        <v>2400</v>
      </c>
      <c r="J447" s="2"/>
      <c r="K447" s="319">
        <v>125</v>
      </c>
      <c r="L447" s="321" t="s">
        <v>126</v>
      </c>
      <c r="M447" s="322" t="s">
        <v>127</v>
      </c>
      <c r="N447" s="321" t="s">
        <v>39</v>
      </c>
      <c r="O447" s="323" t="s">
        <v>188</v>
      </c>
      <c r="P447" s="321" t="s">
        <v>3</v>
      </c>
      <c r="Q447" s="2"/>
      <c r="R447" s="324">
        <f t="shared" ref="R447:R450" si="129">ROUNDUP(600,0)</f>
        <v>600</v>
      </c>
      <c r="S447" s="325">
        <v>2</v>
      </c>
      <c r="T447" s="325">
        <f t="shared" si="114"/>
        <v>10</v>
      </c>
      <c r="V447" s="324">
        <v>5000</v>
      </c>
      <c r="W447" s="326">
        <f t="shared" si="115"/>
        <v>8</v>
      </c>
      <c r="X447" s="326">
        <f t="shared" si="116"/>
        <v>4935</v>
      </c>
      <c r="Y447" s="327">
        <v>4900</v>
      </c>
      <c r="Z447" s="328">
        <f t="shared" si="113"/>
        <v>1.25</v>
      </c>
      <c r="AA447" s="392"/>
      <c r="AB447" s="329">
        <v>0.88800000000000001</v>
      </c>
      <c r="AC447" s="329">
        <v>0.34</v>
      </c>
      <c r="AE447" s="332">
        <f t="shared" si="127"/>
        <v>5.3280000000000003</v>
      </c>
      <c r="AF447" s="332">
        <f t="shared" si="128"/>
        <v>5.4390000000000001</v>
      </c>
      <c r="AG447" s="332">
        <f t="shared" si="122"/>
        <v>-0.11099999999999977</v>
      </c>
      <c r="AH447" s="333">
        <f t="shared" si="123"/>
        <v>1.0208333333333333</v>
      </c>
      <c r="AI447" s="329">
        <f t="shared" si="124"/>
        <v>6</v>
      </c>
      <c r="AJ447" s="329">
        <f t="shared" si="117"/>
        <v>6.125</v>
      </c>
      <c r="AK447" s="329">
        <f t="shared" si="125"/>
        <v>-0.125</v>
      </c>
      <c r="AL447" s="382">
        <f t="shared" si="126"/>
        <v>1.0208333333333333</v>
      </c>
    </row>
    <row r="448" spans="2:38" s="303" customFormat="1" ht="28.5" x14ac:dyDescent="0.2">
      <c r="B448" s="341">
        <f t="shared" si="119"/>
        <v>438</v>
      </c>
      <c r="C448" s="459" t="s">
        <v>200</v>
      </c>
      <c r="D448" s="342" t="s">
        <v>206</v>
      </c>
      <c r="E448" s="341" t="s">
        <v>213</v>
      </c>
      <c r="F448" s="341">
        <v>5</v>
      </c>
      <c r="G448" s="341">
        <v>26170</v>
      </c>
      <c r="H448" s="341" t="s">
        <v>173</v>
      </c>
      <c r="I448" s="341">
        <v>2400</v>
      </c>
      <c r="J448" s="2"/>
      <c r="K448" s="319">
        <v>125</v>
      </c>
      <c r="L448" s="321" t="s">
        <v>48</v>
      </c>
      <c r="M448" s="322" t="s">
        <v>49</v>
      </c>
      <c r="N448" s="321" t="s">
        <v>39</v>
      </c>
      <c r="O448" s="323" t="s">
        <v>188</v>
      </c>
      <c r="P448" s="321" t="s">
        <v>3</v>
      </c>
      <c r="Q448" s="2"/>
      <c r="R448" s="324">
        <f t="shared" si="129"/>
        <v>600</v>
      </c>
      <c r="S448" s="325">
        <v>2</v>
      </c>
      <c r="T448" s="325">
        <f t="shared" si="114"/>
        <v>10</v>
      </c>
      <c r="V448" s="324">
        <v>5000</v>
      </c>
      <c r="W448" s="326">
        <f t="shared" si="115"/>
        <v>8</v>
      </c>
      <c r="X448" s="326">
        <f t="shared" si="116"/>
        <v>4935</v>
      </c>
      <c r="Y448" s="327">
        <v>4900</v>
      </c>
      <c r="Z448" s="328">
        <f t="shared" si="113"/>
        <v>1.25</v>
      </c>
      <c r="AA448" s="392"/>
      <c r="AB448" s="329">
        <v>0.81</v>
      </c>
      <c r="AC448" s="329">
        <v>0.28999999999999998</v>
      </c>
      <c r="AE448" s="332">
        <f t="shared" si="127"/>
        <v>4.8600000000000003</v>
      </c>
      <c r="AF448" s="332">
        <f t="shared" si="128"/>
        <v>4.9612500000000006</v>
      </c>
      <c r="AG448" s="332">
        <f t="shared" si="122"/>
        <v>-0.10125000000000028</v>
      </c>
      <c r="AH448" s="333">
        <f t="shared" si="123"/>
        <v>1.0208333333333335</v>
      </c>
      <c r="AI448" s="329">
        <f t="shared" si="124"/>
        <v>6</v>
      </c>
      <c r="AJ448" s="329">
        <f t="shared" si="117"/>
        <v>6.125</v>
      </c>
      <c r="AK448" s="329">
        <f t="shared" si="125"/>
        <v>-0.125</v>
      </c>
      <c r="AL448" s="382">
        <f t="shared" si="126"/>
        <v>1.0208333333333333</v>
      </c>
    </row>
    <row r="449" spans="2:38" s="303" customFormat="1" ht="28.5" x14ac:dyDescent="0.2">
      <c r="B449" s="341">
        <f t="shared" si="119"/>
        <v>439</v>
      </c>
      <c r="C449" s="459" t="s">
        <v>200</v>
      </c>
      <c r="D449" s="342" t="s">
        <v>206</v>
      </c>
      <c r="E449" s="341" t="s">
        <v>213</v>
      </c>
      <c r="F449" s="341">
        <v>5</v>
      </c>
      <c r="G449" s="341">
        <v>26170</v>
      </c>
      <c r="H449" s="341" t="s">
        <v>173</v>
      </c>
      <c r="I449" s="341">
        <v>2400</v>
      </c>
      <c r="J449" s="2"/>
      <c r="K449" s="319">
        <v>125</v>
      </c>
      <c r="L449" s="321" t="s">
        <v>46</v>
      </c>
      <c r="M449" s="322" t="s">
        <v>47</v>
      </c>
      <c r="N449" s="321" t="s">
        <v>39</v>
      </c>
      <c r="O449" s="323" t="s">
        <v>188</v>
      </c>
      <c r="P449" s="321" t="s">
        <v>3</v>
      </c>
      <c r="Q449" s="2"/>
      <c r="R449" s="324">
        <f t="shared" si="129"/>
        <v>600</v>
      </c>
      <c r="S449" s="325">
        <v>2</v>
      </c>
      <c r="T449" s="325">
        <f t="shared" si="114"/>
        <v>10</v>
      </c>
      <c r="V449" s="324">
        <v>5000</v>
      </c>
      <c r="W449" s="326">
        <f t="shared" si="115"/>
        <v>8</v>
      </c>
      <c r="X449" s="326">
        <f t="shared" si="116"/>
        <v>4935</v>
      </c>
      <c r="Y449" s="327">
        <v>4900</v>
      </c>
      <c r="Z449" s="328">
        <f t="shared" si="113"/>
        <v>1.25</v>
      </c>
      <c r="AA449" s="392"/>
      <c r="AB449" s="329">
        <v>0.91600000000000004</v>
      </c>
      <c r="AC449" s="329">
        <v>0.33900000000000002</v>
      </c>
      <c r="AE449" s="332">
        <f t="shared" si="127"/>
        <v>5.4960000000000004</v>
      </c>
      <c r="AF449" s="332">
        <f t="shared" si="128"/>
        <v>5.6105</v>
      </c>
      <c r="AG449" s="332">
        <f t="shared" si="122"/>
        <v>-0.1144999999999996</v>
      </c>
      <c r="AH449" s="333">
        <f t="shared" si="123"/>
        <v>1.0208333333333333</v>
      </c>
      <c r="AI449" s="329">
        <f t="shared" si="124"/>
        <v>6</v>
      </c>
      <c r="AJ449" s="329">
        <f t="shared" si="117"/>
        <v>6.125</v>
      </c>
      <c r="AK449" s="329">
        <f t="shared" si="125"/>
        <v>-0.125</v>
      </c>
      <c r="AL449" s="382">
        <f t="shared" si="126"/>
        <v>1.0208333333333333</v>
      </c>
    </row>
    <row r="450" spans="2:38" s="303" customFormat="1" ht="28.5" x14ac:dyDescent="0.2">
      <c r="B450" s="341">
        <f t="shared" si="119"/>
        <v>440</v>
      </c>
      <c r="C450" s="459" t="s">
        <v>200</v>
      </c>
      <c r="D450" s="342" t="s">
        <v>206</v>
      </c>
      <c r="E450" s="341" t="s">
        <v>213</v>
      </c>
      <c r="F450" s="341">
        <v>5</v>
      </c>
      <c r="G450" s="341">
        <v>26170</v>
      </c>
      <c r="H450" s="341" t="s">
        <v>173</v>
      </c>
      <c r="I450" s="341">
        <v>2400</v>
      </c>
      <c r="J450" s="2"/>
      <c r="K450" s="468">
        <v>125</v>
      </c>
      <c r="L450" s="417">
        <v>21825</v>
      </c>
      <c r="M450" s="416" t="s">
        <v>45</v>
      </c>
      <c r="N450" s="417" t="s">
        <v>39</v>
      </c>
      <c r="O450" s="323" t="s">
        <v>188</v>
      </c>
      <c r="P450" s="321" t="s">
        <v>3</v>
      </c>
      <c r="Q450" s="2"/>
      <c r="R450" s="324">
        <f t="shared" si="129"/>
        <v>600</v>
      </c>
      <c r="S450" s="325">
        <v>2</v>
      </c>
      <c r="T450" s="325">
        <f t="shared" si="114"/>
        <v>10</v>
      </c>
      <c r="V450" s="324">
        <v>5000</v>
      </c>
      <c r="W450" s="326">
        <f t="shared" si="115"/>
        <v>8</v>
      </c>
      <c r="X450" s="326">
        <f t="shared" si="116"/>
        <v>4935</v>
      </c>
      <c r="Y450" s="327">
        <v>4900</v>
      </c>
      <c r="Z450" s="328">
        <f t="shared" si="113"/>
        <v>1.25</v>
      </c>
      <c r="AA450" s="392"/>
      <c r="AB450" s="329">
        <v>0.999</v>
      </c>
      <c r="AC450" s="329">
        <v>0.2382</v>
      </c>
      <c r="AE450" s="332">
        <f t="shared" si="127"/>
        <v>5.9939999999999998</v>
      </c>
      <c r="AF450" s="332">
        <f t="shared" si="128"/>
        <v>6.1188750000000001</v>
      </c>
      <c r="AG450" s="332">
        <f t="shared" si="122"/>
        <v>-0.12487500000000029</v>
      </c>
      <c r="AH450" s="333">
        <f t="shared" si="123"/>
        <v>1.0208333333333335</v>
      </c>
      <c r="AI450" s="329">
        <f t="shared" si="124"/>
        <v>6</v>
      </c>
      <c r="AJ450" s="329">
        <f t="shared" si="117"/>
        <v>6.125</v>
      </c>
      <c r="AK450" s="329">
        <f t="shared" si="125"/>
        <v>-0.125</v>
      </c>
      <c r="AL450" s="382">
        <f t="shared" si="126"/>
        <v>1.0208333333333333</v>
      </c>
    </row>
    <row r="451" spans="2:38" s="303" customFormat="1" ht="28.5" x14ac:dyDescent="0.2">
      <c r="B451" s="341">
        <f t="shared" si="119"/>
        <v>441</v>
      </c>
      <c r="C451" s="459" t="s">
        <v>200</v>
      </c>
      <c r="D451" s="342" t="s">
        <v>206</v>
      </c>
      <c r="E451" s="341" t="s">
        <v>213</v>
      </c>
      <c r="F451" s="341">
        <v>5</v>
      </c>
      <c r="G451" s="341">
        <v>26170</v>
      </c>
      <c r="H451" s="341" t="s">
        <v>173</v>
      </c>
      <c r="I451" s="341">
        <v>2400</v>
      </c>
      <c r="J451" s="2"/>
      <c r="K451" s="319">
        <v>125</v>
      </c>
      <c r="L451" s="321" t="s">
        <v>114</v>
      </c>
      <c r="M451" s="322" t="s">
        <v>115</v>
      </c>
      <c r="N451" s="321" t="s">
        <v>39</v>
      </c>
      <c r="O451" s="323" t="s">
        <v>188</v>
      </c>
      <c r="P451" s="321" t="s">
        <v>3</v>
      </c>
      <c r="Q451" s="2"/>
      <c r="R451" s="324">
        <f>ROUNDUP(600,0)</f>
        <v>600</v>
      </c>
      <c r="S451" s="325">
        <v>1</v>
      </c>
      <c r="T451" s="325">
        <f t="shared" si="114"/>
        <v>5</v>
      </c>
      <c r="V451" s="348">
        <v>6500</v>
      </c>
      <c r="W451" s="326">
        <f t="shared" si="115"/>
        <v>10</v>
      </c>
      <c r="X451" s="326">
        <f t="shared" si="116"/>
        <v>6145</v>
      </c>
      <c r="Y451" s="327">
        <v>6200</v>
      </c>
      <c r="Z451" s="328">
        <f t="shared" si="113"/>
        <v>0.5</v>
      </c>
      <c r="AA451" s="304"/>
      <c r="AB451" s="329">
        <v>0.83499999999999996</v>
      </c>
      <c r="AC451" s="329">
        <v>0.21299999999999999</v>
      </c>
      <c r="AE451" s="332">
        <f t="shared" si="127"/>
        <v>2.5049999999999999</v>
      </c>
      <c r="AF451" s="332">
        <f t="shared" si="128"/>
        <v>2.5884999999999998</v>
      </c>
      <c r="AG451" s="332">
        <f t="shared" si="122"/>
        <v>-8.3499999999999908E-2</v>
      </c>
      <c r="AH451" s="333">
        <f t="shared" si="123"/>
        <v>1.0333333333333332</v>
      </c>
      <c r="AI451" s="329">
        <f t="shared" si="124"/>
        <v>3</v>
      </c>
      <c r="AJ451" s="329">
        <f t="shared" si="117"/>
        <v>3.1</v>
      </c>
      <c r="AK451" s="329">
        <f t="shared" si="125"/>
        <v>-0.10000000000000009</v>
      </c>
      <c r="AL451" s="382">
        <f t="shared" si="126"/>
        <v>1.0333333333333334</v>
      </c>
    </row>
    <row r="452" spans="2:38" s="303" customFormat="1" ht="28.5" x14ac:dyDescent="0.2">
      <c r="B452" s="341">
        <f t="shared" si="119"/>
        <v>442</v>
      </c>
      <c r="C452" s="460" t="s">
        <v>200</v>
      </c>
      <c r="D452" s="342" t="s">
        <v>206</v>
      </c>
      <c r="E452" s="341" t="s">
        <v>213</v>
      </c>
      <c r="F452" s="341">
        <v>5</v>
      </c>
      <c r="G452" s="341">
        <v>26170</v>
      </c>
      <c r="H452" s="396" t="s">
        <v>173</v>
      </c>
      <c r="I452" s="396">
        <v>2400</v>
      </c>
      <c r="J452" s="2"/>
      <c r="K452" s="397">
        <v>125</v>
      </c>
      <c r="L452" s="321" t="s">
        <v>50</v>
      </c>
      <c r="M452" s="322" t="s">
        <v>51</v>
      </c>
      <c r="N452" s="398" t="s">
        <v>39</v>
      </c>
      <c r="O452" s="323" t="s">
        <v>188</v>
      </c>
      <c r="P452" s="398" t="s">
        <v>3</v>
      </c>
      <c r="Q452" s="2"/>
      <c r="R452" s="399">
        <f>ROUNDUP(600,0)</f>
        <v>600</v>
      </c>
      <c r="S452" s="400">
        <v>1</v>
      </c>
      <c r="T452" s="400">
        <f t="shared" si="114"/>
        <v>5</v>
      </c>
      <c r="V452" s="399">
        <v>6500</v>
      </c>
      <c r="W452" s="401">
        <f t="shared" si="115"/>
        <v>10</v>
      </c>
      <c r="X452" s="401">
        <f t="shared" si="116"/>
        <v>6145</v>
      </c>
      <c r="Y452" s="402">
        <v>6200</v>
      </c>
      <c r="Z452" s="403">
        <f t="shared" si="113"/>
        <v>0.5</v>
      </c>
      <c r="AA452" s="392"/>
      <c r="AB452" s="395">
        <v>1.7110000000000001</v>
      </c>
      <c r="AC452" s="395">
        <v>0.34200000000000003</v>
      </c>
      <c r="AE452" s="332">
        <f t="shared" si="127"/>
        <v>5.133</v>
      </c>
      <c r="AF452" s="332">
        <f t="shared" si="128"/>
        <v>5.3041</v>
      </c>
      <c r="AG452" s="332">
        <f t="shared" si="122"/>
        <v>-0.17110000000000003</v>
      </c>
      <c r="AH452" s="333">
        <f t="shared" si="123"/>
        <v>1.0333333333333334</v>
      </c>
      <c r="AI452" s="404">
        <f t="shared" si="124"/>
        <v>3</v>
      </c>
      <c r="AJ452" s="404">
        <f t="shared" si="117"/>
        <v>3.1</v>
      </c>
      <c r="AK452" s="404">
        <f t="shared" si="125"/>
        <v>-0.10000000000000009</v>
      </c>
      <c r="AL452" s="405">
        <f t="shared" si="126"/>
        <v>1.0333333333333334</v>
      </c>
    </row>
    <row r="453" spans="2:38" s="303" customFormat="1" ht="28.5" x14ac:dyDescent="0.2">
      <c r="B453" s="341">
        <f t="shared" si="119"/>
        <v>443</v>
      </c>
      <c r="C453" s="459" t="s">
        <v>200</v>
      </c>
      <c r="D453" s="342" t="s">
        <v>206</v>
      </c>
      <c r="E453" s="341" t="s">
        <v>213</v>
      </c>
      <c r="F453" s="341">
        <v>5</v>
      </c>
      <c r="G453" s="341">
        <v>26170</v>
      </c>
      <c r="H453" s="341" t="s">
        <v>173</v>
      </c>
      <c r="I453" s="341">
        <v>2400</v>
      </c>
      <c r="J453" s="2"/>
      <c r="K453" s="345">
        <v>125</v>
      </c>
      <c r="L453" s="347">
        <v>10926</v>
      </c>
      <c r="M453" s="346" t="s">
        <v>36</v>
      </c>
      <c r="N453" s="347" t="s">
        <v>6</v>
      </c>
      <c r="O453" s="323" t="s">
        <v>188</v>
      </c>
      <c r="P453" s="347" t="s">
        <v>187</v>
      </c>
      <c r="Q453" s="2"/>
      <c r="R453" s="348">
        <f>ROUNDUP(600,0)</f>
        <v>600</v>
      </c>
      <c r="S453" s="349">
        <v>1</v>
      </c>
      <c r="T453" s="349">
        <f t="shared" si="114"/>
        <v>5</v>
      </c>
      <c r="V453" s="348">
        <v>6100</v>
      </c>
      <c r="W453" s="350">
        <f t="shared" si="115"/>
        <v>10</v>
      </c>
      <c r="X453" s="350">
        <f t="shared" si="116"/>
        <v>6145</v>
      </c>
      <c r="Y453" s="351">
        <v>6100</v>
      </c>
      <c r="Z453" s="389">
        <f t="shared" si="113"/>
        <v>0.5</v>
      </c>
      <c r="AA453" s="392"/>
      <c r="AB453" s="329">
        <v>0.76700000000000002</v>
      </c>
      <c r="AC453" s="329"/>
      <c r="AE453" s="332">
        <f t="shared" si="127"/>
        <v>2.3010000000000002</v>
      </c>
      <c r="AF453" s="332">
        <f t="shared" si="128"/>
        <v>2.33935</v>
      </c>
      <c r="AG453" s="332">
        <f t="shared" si="122"/>
        <v>-3.8349999999999884E-2</v>
      </c>
      <c r="AH453" s="333">
        <f t="shared" si="123"/>
        <v>1.0166666666666666</v>
      </c>
      <c r="AI453" s="332">
        <f t="shared" si="124"/>
        <v>3</v>
      </c>
      <c r="AJ453" s="332">
        <f t="shared" si="117"/>
        <v>3.05</v>
      </c>
      <c r="AK453" s="332">
        <f t="shared" si="125"/>
        <v>-4.9999999999999822E-2</v>
      </c>
      <c r="AL453" s="333">
        <f t="shared" si="126"/>
        <v>1.0166666666666666</v>
      </c>
    </row>
    <row r="454" spans="2:38" s="303" customFormat="1" ht="28.5" x14ac:dyDescent="0.2">
      <c r="B454" s="341">
        <f t="shared" si="119"/>
        <v>444</v>
      </c>
      <c r="C454" s="459" t="s">
        <v>200</v>
      </c>
      <c r="D454" s="342" t="s">
        <v>206</v>
      </c>
      <c r="E454" s="341" t="s">
        <v>213</v>
      </c>
      <c r="F454" s="341">
        <v>5</v>
      </c>
      <c r="G454" s="341">
        <v>26170</v>
      </c>
      <c r="H454" s="341" t="s">
        <v>173</v>
      </c>
      <c r="I454" s="341">
        <v>2400</v>
      </c>
      <c r="J454" s="2"/>
      <c r="K454" s="341">
        <v>124</v>
      </c>
      <c r="L454" s="321" t="s">
        <v>124</v>
      </c>
      <c r="M454" s="322" t="s">
        <v>125</v>
      </c>
      <c r="N454" s="342" t="s">
        <v>39</v>
      </c>
      <c r="O454" s="323" t="s">
        <v>188</v>
      </c>
      <c r="P454" s="342" t="s">
        <v>3</v>
      </c>
      <c r="Q454" s="2"/>
      <c r="R454" s="324">
        <f>ROUNDUP(((G454-(600*2))/22),0)</f>
        <v>1135</v>
      </c>
      <c r="S454" s="325">
        <v>22</v>
      </c>
      <c r="T454" s="349">
        <f t="shared" si="114"/>
        <v>110</v>
      </c>
      <c r="V454" s="324">
        <v>6000</v>
      </c>
      <c r="W454" s="388">
        <f t="shared" si="115"/>
        <v>5</v>
      </c>
      <c r="X454" s="388">
        <f t="shared" si="116"/>
        <v>5795</v>
      </c>
      <c r="Y454" s="327">
        <v>5800</v>
      </c>
      <c r="Z454" s="389">
        <f t="shared" si="113"/>
        <v>22</v>
      </c>
      <c r="AA454" s="435">
        <v>44</v>
      </c>
      <c r="AB454" s="329">
        <v>2.109</v>
      </c>
      <c r="AC454" s="329">
        <v>0.70199999999999996</v>
      </c>
      <c r="AE454" s="332">
        <f t="shared" si="127"/>
        <v>263.30865</v>
      </c>
      <c r="AF454" s="332">
        <f t="shared" si="128"/>
        <v>269.10839999999996</v>
      </c>
      <c r="AG454" s="332">
        <f t="shared" si="122"/>
        <v>-5.7997499999999604</v>
      </c>
      <c r="AH454" s="333">
        <f t="shared" si="123"/>
        <v>1.0220264317180616</v>
      </c>
      <c r="AI454" s="332">
        <f t="shared" si="124"/>
        <v>124.85</v>
      </c>
      <c r="AJ454" s="332">
        <f t="shared" si="117"/>
        <v>127.6</v>
      </c>
      <c r="AK454" s="332">
        <f t="shared" si="125"/>
        <v>-2.75</v>
      </c>
      <c r="AL454" s="333">
        <f t="shared" si="126"/>
        <v>1.0220264317180616</v>
      </c>
    </row>
    <row r="455" spans="2:38" s="303" customFormat="1" ht="28.5" x14ac:dyDescent="0.2">
      <c r="B455" s="341">
        <f t="shared" si="119"/>
        <v>445</v>
      </c>
      <c r="C455" s="459" t="s">
        <v>200</v>
      </c>
      <c r="D455" s="342" t="s">
        <v>206</v>
      </c>
      <c r="E455" s="341" t="s">
        <v>213</v>
      </c>
      <c r="F455" s="341">
        <v>5</v>
      </c>
      <c r="G455" s="341">
        <v>26170</v>
      </c>
      <c r="H455" s="341" t="s">
        <v>173</v>
      </c>
      <c r="I455" s="341">
        <v>2400</v>
      </c>
      <c r="J455" s="2"/>
      <c r="K455" s="341">
        <v>124</v>
      </c>
      <c r="L455" s="321" t="s">
        <v>126</v>
      </c>
      <c r="M455" s="322" t="s">
        <v>127</v>
      </c>
      <c r="N455" s="342" t="s">
        <v>39</v>
      </c>
      <c r="O455" s="323" t="s">
        <v>188</v>
      </c>
      <c r="P455" s="342" t="s">
        <v>3</v>
      </c>
      <c r="Q455" s="2"/>
      <c r="R455" s="324">
        <f>ROUNDUP(((G455-(600*2))/22),0)</f>
        <v>1135</v>
      </c>
      <c r="S455" s="325">
        <v>22</v>
      </c>
      <c r="T455" s="349">
        <f t="shared" si="114"/>
        <v>110</v>
      </c>
      <c r="V455" s="324">
        <v>6000</v>
      </c>
      <c r="W455" s="388">
        <f t="shared" si="115"/>
        <v>5</v>
      </c>
      <c r="X455" s="388">
        <f t="shared" si="116"/>
        <v>5795</v>
      </c>
      <c r="Y455" s="327">
        <v>5800</v>
      </c>
      <c r="Z455" s="389">
        <f t="shared" si="113"/>
        <v>22</v>
      </c>
      <c r="AA455" s="392"/>
      <c r="AB455" s="329">
        <v>0.88800000000000001</v>
      </c>
      <c r="AC455" s="329">
        <v>0.34</v>
      </c>
      <c r="AE455" s="332">
        <f t="shared" si="127"/>
        <v>110.8668</v>
      </c>
      <c r="AF455" s="332">
        <f t="shared" si="128"/>
        <v>113.30879999999999</v>
      </c>
      <c r="AG455" s="332">
        <f t="shared" si="122"/>
        <v>-2.4419999999999931</v>
      </c>
      <c r="AH455" s="333">
        <f t="shared" si="123"/>
        <v>1.0220264317180616</v>
      </c>
      <c r="AI455" s="332">
        <f t="shared" si="124"/>
        <v>124.85</v>
      </c>
      <c r="AJ455" s="332">
        <f t="shared" si="117"/>
        <v>127.6</v>
      </c>
      <c r="AK455" s="332">
        <f t="shared" si="125"/>
        <v>-2.75</v>
      </c>
      <c r="AL455" s="333">
        <f t="shared" si="126"/>
        <v>1.0220264317180616</v>
      </c>
    </row>
    <row r="456" spans="2:38" s="303" customFormat="1" ht="28.5" x14ac:dyDescent="0.2">
      <c r="B456" s="341">
        <f t="shared" si="119"/>
        <v>446</v>
      </c>
      <c r="C456" s="459" t="s">
        <v>200</v>
      </c>
      <c r="D456" s="342" t="s">
        <v>206</v>
      </c>
      <c r="E456" s="341" t="s">
        <v>213</v>
      </c>
      <c r="F456" s="341">
        <v>5</v>
      </c>
      <c r="G456" s="341">
        <v>26170</v>
      </c>
      <c r="H456" s="341" t="s">
        <v>173</v>
      </c>
      <c r="I456" s="341">
        <v>2400</v>
      </c>
      <c r="J456" s="2"/>
      <c r="K456" s="341">
        <v>124</v>
      </c>
      <c r="L456" s="342" t="s">
        <v>48</v>
      </c>
      <c r="M456" s="343" t="s">
        <v>49</v>
      </c>
      <c r="N456" s="342" t="s">
        <v>39</v>
      </c>
      <c r="O456" s="323" t="s">
        <v>188</v>
      </c>
      <c r="P456" s="342" t="s">
        <v>3</v>
      </c>
      <c r="Q456" s="2"/>
      <c r="R456" s="324">
        <f>ROUNDUP(((G456-(600*2))/22),0)</f>
        <v>1135</v>
      </c>
      <c r="S456" s="325">
        <v>22</v>
      </c>
      <c r="T456" s="349">
        <f t="shared" si="114"/>
        <v>110</v>
      </c>
      <c r="V456" s="324">
        <v>6000</v>
      </c>
      <c r="W456" s="388">
        <f t="shared" si="115"/>
        <v>5</v>
      </c>
      <c r="X456" s="388">
        <f t="shared" si="116"/>
        <v>5795</v>
      </c>
      <c r="Y456" s="327">
        <v>5800</v>
      </c>
      <c r="Z456" s="389">
        <f t="shared" si="113"/>
        <v>22</v>
      </c>
      <c r="AA456" s="392"/>
      <c r="AB456" s="329">
        <v>0.81</v>
      </c>
      <c r="AC456" s="329">
        <v>0.28999999999999998</v>
      </c>
      <c r="AE456" s="332">
        <f t="shared" si="127"/>
        <v>101.1285</v>
      </c>
      <c r="AF456" s="332">
        <f t="shared" si="128"/>
        <v>103.35600000000001</v>
      </c>
      <c r="AG456" s="332">
        <f t="shared" si="122"/>
        <v>-2.2275000000000063</v>
      </c>
      <c r="AH456" s="333">
        <f t="shared" si="123"/>
        <v>1.0220264317180618</v>
      </c>
      <c r="AI456" s="332">
        <f t="shared" si="124"/>
        <v>124.85</v>
      </c>
      <c r="AJ456" s="332">
        <f t="shared" si="117"/>
        <v>127.6</v>
      </c>
      <c r="AK456" s="332">
        <f t="shared" si="125"/>
        <v>-2.75</v>
      </c>
      <c r="AL456" s="333">
        <f t="shared" si="126"/>
        <v>1.0220264317180616</v>
      </c>
    </row>
    <row r="457" spans="2:38" s="303" customFormat="1" ht="28.5" x14ac:dyDescent="0.2">
      <c r="B457" s="341">
        <f t="shared" si="119"/>
        <v>447</v>
      </c>
      <c r="C457" s="459" t="s">
        <v>200</v>
      </c>
      <c r="D457" s="342" t="s">
        <v>206</v>
      </c>
      <c r="E457" s="341" t="s">
        <v>213</v>
      </c>
      <c r="F457" s="341">
        <v>5</v>
      </c>
      <c r="G457" s="341">
        <v>26170</v>
      </c>
      <c r="H457" s="341" t="s">
        <v>173</v>
      </c>
      <c r="I457" s="341">
        <v>2400</v>
      </c>
      <c r="J457" s="2"/>
      <c r="K457" s="341">
        <v>124</v>
      </c>
      <c r="L457" s="342" t="s">
        <v>46</v>
      </c>
      <c r="M457" s="343" t="s">
        <v>47</v>
      </c>
      <c r="N457" s="342" t="s">
        <v>39</v>
      </c>
      <c r="O457" s="323" t="s">
        <v>188</v>
      </c>
      <c r="P457" s="342" t="s">
        <v>3</v>
      </c>
      <c r="Q457" s="2"/>
      <c r="R457" s="324">
        <f>ROUNDUP(((G457-(600*2))/22),0)</f>
        <v>1135</v>
      </c>
      <c r="S457" s="325">
        <v>22</v>
      </c>
      <c r="T457" s="349">
        <f t="shared" si="114"/>
        <v>110</v>
      </c>
      <c r="V457" s="324">
        <v>6000</v>
      </c>
      <c r="W457" s="388">
        <f t="shared" si="115"/>
        <v>5</v>
      </c>
      <c r="X457" s="388">
        <f t="shared" si="116"/>
        <v>5795</v>
      </c>
      <c r="Y457" s="327">
        <v>5800</v>
      </c>
      <c r="Z457" s="389">
        <f t="shared" si="113"/>
        <v>22</v>
      </c>
      <c r="AA457" s="435">
        <v>44</v>
      </c>
      <c r="AB457" s="329">
        <v>0.91600000000000004</v>
      </c>
      <c r="AC457" s="329">
        <v>0.33900000000000002</v>
      </c>
      <c r="AE457" s="332">
        <f t="shared" si="127"/>
        <v>114.3626</v>
      </c>
      <c r="AF457" s="332">
        <f t="shared" si="128"/>
        <v>116.88160000000001</v>
      </c>
      <c r="AG457" s="332">
        <f t="shared" si="122"/>
        <v>-2.5190000000000055</v>
      </c>
      <c r="AH457" s="333">
        <f t="shared" si="123"/>
        <v>1.0220264317180616</v>
      </c>
      <c r="AI457" s="332">
        <f t="shared" si="124"/>
        <v>124.85</v>
      </c>
      <c r="AJ457" s="332">
        <f t="shared" si="117"/>
        <v>127.6</v>
      </c>
      <c r="AK457" s="332">
        <f t="shared" si="125"/>
        <v>-2.75</v>
      </c>
      <c r="AL457" s="333">
        <f t="shared" si="126"/>
        <v>1.0220264317180616</v>
      </c>
    </row>
    <row r="458" spans="2:38" s="303" customFormat="1" ht="28.5" x14ac:dyDescent="0.2">
      <c r="B458" s="341">
        <f t="shared" si="119"/>
        <v>448</v>
      </c>
      <c r="C458" s="459" t="s">
        <v>200</v>
      </c>
      <c r="D458" s="342" t="s">
        <v>206</v>
      </c>
      <c r="E458" s="341" t="s">
        <v>213</v>
      </c>
      <c r="F458" s="341">
        <v>5</v>
      </c>
      <c r="G458" s="341">
        <v>26170</v>
      </c>
      <c r="H458" s="341" t="s">
        <v>173</v>
      </c>
      <c r="I458" s="341">
        <v>2400</v>
      </c>
      <c r="J458" s="2"/>
      <c r="K458" s="468">
        <v>124</v>
      </c>
      <c r="L458" s="417">
        <v>21825</v>
      </c>
      <c r="M458" s="416" t="s">
        <v>45</v>
      </c>
      <c r="N458" s="417" t="s">
        <v>39</v>
      </c>
      <c r="O458" s="323" t="s">
        <v>188</v>
      </c>
      <c r="P458" s="321" t="s">
        <v>3</v>
      </c>
      <c r="Q458" s="2"/>
      <c r="R458" s="324">
        <f>ROUNDUP(((G458-(600*2))/22),0)</f>
        <v>1135</v>
      </c>
      <c r="S458" s="325">
        <v>22</v>
      </c>
      <c r="T458" s="325">
        <f t="shared" si="114"/>
        <v>110</v>
      </c>
      <c r="V458" s="324">
        <v>6000</v>
      </c>
      <c r="W458" s="326">
        <f t="shared" si="115"/>
        <v>5</v>
      </c>
      <c r="X458" s="326">
        <f t="shared" si="116"/>
        <v>5795</v>
      </c>
      <c r="Y458" s="327">
        <v>5800</v>
      </c>
      <c r="Z458" s="328">
        <f t="shared" si="113"/>
        <v>22</v>
      </c>
      <c r="AA458" s="435">
        <v>44</v>
      </c>
      <c r="AB458" s="329">
        <v>0.999</v>
      </c>
      <c r="AC458" s="329">
        <v>0.2382</v>
      </c>
      <c r="AE458" s="332">
        <f t="shared" si="127"/>
        <v>124.72515</v>
      </c>
      <c r="AF458" s="332">
        <f t="shared" si="128"/>
        <v>127.47239999999999</v>
      </c>
      <c r="AG458" s="332">
        <f t="shared" si="122"/>
        <v>-2.747249999999994</v>
      </c>
      <c r="AH458" s="333">
        <f t="shared" si="123"/>
        <v>1.0220264317180616</v>
      </c>
      <c r="AI458" s="329">
        <f t="shared" si="124"/>
        <v>124.85</v>
      </c>
      <c r="AJ458" s="329">
        <f t="shared" si="117"/>
        <v>127.6</v>
      </c>
      <c r="AK458" s="329">
        <f t="shared" si="125"/>
        <v>-2.75</v>
      </c>
      <c r="AL458" s="382">
        <f t="shared" si="126"/>
        <v>1.0220264317180616</v>
      </c>
    </row>
    <row r="459" spans="2:38" s="303" customFormat="1" ht="28.5" x14ac:dyDescent="0.2">
      <c r="B459" s="341">
        <f t="shared" si="119"/>
        <v>449</v>
      </c>
      <c r="C459" s="459" t="s">
        <v>200</v>
      </c>
      <c r="D459" s="342" t="s">
        <v>206</v>
      </c>
      <c r="E459" s="341" t="s">
        <v>213</v>
      </c>
      <c r="F459" s="341">
        <v>5</v>
      </c>
      <c r="G459" s="341">
        <v>26170</v>
      </c>
      <c r="H459" s="341" t="s">
        <v>173</v>
      </c>
      <c r="I459" s="341">
        <v>2400</v>
      </c>
      <c r="J459" s="2"/>
      <c r="K459" s="345">
        <v>124</v>
      </c>
      <c r="L459" s="335" t="s">
        <v>121</v>
      </c>
      <c r="M459" s="336" t="s">
        <v>203</v>
      </c>
      <c r="N459" s="347" t="s">
        <v>6</v>
      </c>
      <c r="O459" s="323" t="s">
        <v>188</v>
      </c>
      <c r="P459" s="347" t="s">
        <v>187</v>
      </c>
      <c r="Q459" s="2"/>
      <c r="R459" s="324">
        <f>ROUNDUP((1135*5),0)</f>
        <v>5675</v>
      </c>
      <c r="S459" s="325">
        <v>5</v>
      </c>
      <c r="T459" s="349">
        <f t="shared" si="114"/>
        <v>25</v>
      </c>
      <c r="V459" s="338">
        <v>3660</v>
      </c>
      <c r="W459" s="350">
        <f t="shared" si="115"/>
        <v>0</v>
      </c>
      <c r="X459" s="350">
        <f t="shared" si="116"/>
        <v>95</v>
      </c>
      <c r="Y459" s="327">
        <v>3660</v>
      </c>
      <c r="Z459" s="340">
        <f>($R459*$T459)/$V459</f>
        <v>38.763661202185794</v>
      </c>
      <c r="AA459" s="392"/>
      <c r="AB459" s="329">
        <v>0.84899999999999998</v>
      </c>
      <c r="AC459" s="329">
        <v>0</v>
      </c>
      <c r="AE459" s="332">
        <f t="shared" si="127"/>
        <v>120.451875</v>
      </c>
      <c r="AF459" s="332">
        <f t="shared" si="128"/>
        <v>120.451875</v>
      </c>
      <c r="AG459" s="332">
        <f t="shared" si="122"/>
        <v>0</v>
      </c>
      <c r="AH459" s="333">
        <f t="shared" si="123"/>
        <v>1</v>
      </c>
      <c r="AI459" s="332">
        <f t="shared" si="124"/>
        <v>141.875</v>
      </c>
      <c r="AJ459" s="332">
        <f t="shared" si="117"/>
        <v>141.875</v>
      </c>
      <c r="AK459" s="332">
        <f t="shared" si="125"/>
        <v>0</v>
      </c>
      <c r="AL459" s="333">
        <f t="shared" si="126"/>
        <v>1</v>
      </c>
    </row>
    <row r="460" spans="2:38" s="303" customFormat="1" ht="28.5" x14ac:dyDescent="0.2">
      <c r="B460" s="341">
        <f t="shared" si="119"/>
        <v>450</v>
      </c>
      <c r="C460" s="459" t="s">
        <v>200</v>
      </c>
      <c r="D460" s="342" t="s">
        <v>206</v>
      </c>
      <c r="E460" s="341" t="s">
        <v>213</v>
      </c>
      <c r="F460" s="341">
        <v>5</v>
      </c>
      <c r="G460" s="341">
        <v>26170</v>
      </c>
      <c r="H460" s="341" t="s">
        <v>173</v>
      </c>
      <c r="I460" s="341">
        <v>2400</v>
      </c>
      <c r="J460" s="2"/>
      <c r="K460" s="319">
        <v>126</v>
      </c>
      <c r="L460" s="321" t="s">
        <v>124</v>
      </c>
      <c r="M460" s="322" t="s">
        <v>125</v>
      </c>
      <c r="N460" s="321" t="s">
        <v>39</v>
      </c>
      <c r="O460" s="323" t="s">
        <v>188</v>
      </c>
      <c r="P460" s="321" t="s">
        <v>3</v>
      </c>
      <c r="Q460" s="2"/>
      <c r="R460" s="324">
        <f>ROUNDUP(600,0)</f>
        <v>600</v>
      </c>
      <c r="S460" s="325">
        <v>2</v>
      </c>
      <c r="T460" s="325">
        <f t="shared" si="114"/>
        <v>10</v>
      </c>
      <c r="V460" s="324">
        <v>5000</v>
      </c>
      <c r="W460" s="326">
        <f t="shared" si="115"/>
        <v>8</v>
      </c>
      <c r="X460" s="326">
        <f t="shared" si="116"/>
        <v>4935</v>
      </c>
      <c r="Y460" s="327">
        <v>4900</v>
      </c>
      <c r="Z460" s="328">
        <f t="shared" si="113"/>
        <v>1.25</v>
      </c>
      <c r="AA460" s="387">
        <v>2.5</v>
      </c>
      <c r="AB460" s="329">
        <v>2.109</v>
      </c>
      <c r="AC460" s="329">
        <v>0.70199999999999996</v>
      </c>
      <c r="AE460" s="332">
        <f t="shared" si="127"/>
        <v>12.654</v>
      </c>
      <c r="AF460" s="332">
        <f t="shared" si="128"/>
        <v>12.917624999999999</v>
      </c>
      <c r="AG460" s="332">
        <f t="shared" si="122"/>
        <v>-0.26362499999999933</v>
      </c>
      <c r="AH460" s="333">
        <f t="shared" si="123"/>
        <v>1.0208333333333333</v>
      </c>
      <c r="AI460" s="332">
        <f t="shared" si="124"/>
        <v>6</v>
      </c>
      <c r="AJ460" s="332">
        <f t="shared" si="117"/>
        <v>6.125</v>
      </c>
      <c r="AK460" s="332">
        <f t="shared" si="125"/>
        <v>-0.125</v>
      </c>
      <c r="AL460" s="333">
        <f t="shared" si="126"/>
        <v>1.0208333333333333</v>
      </c>
    </row>
    <row r="461" spans="2:38" s="303" customFormat="1" ht="28.5" x14ac:dyDescent="0.2">
      <c r="B461" s="341">
        <f t="shared" ref="B461:B521" si="130">B460+1</f>
        <v>451</v>
      </c>
      <c r="C461" s="459" t="s">
        <v>200</v>
      </c>
      <c r="D461" s="342" t="s">
        <v>206</v>
      </c>
      <c r="E461" s="341" t="s">
        <v>213</v>
      </c>
      <c r="F461" s="341">
        <v>5</v>
      </c>
      <c r="G461" s="341">
        <v>26170</v>
      </c>
      <c r="H461" s="341" t="s">
        <v>173</v>
      </c>
      <c r="I461" s="341">
        <v>2400</v>
      </c>
      <c r="J461" s="2"/>
      <c r="K461" s="319">
        <v>126</v>
      </c>
      <c r="L461" s="321" t="s">
        <v>126</v>
      </c>
      <c r="M461" s="322" t="s">
        <v>127</v>
      </c>
      <c r="N461" s="321" t="s">
        <v>39</v>
      </c>
      <c r="O461" s="323" t="s">
        <v>188</v>
      </c>
      <c r="P461" s="321" t="s">
        <v>3</v>
      </c>
      <c r="Q461" s="2"/>
      <c r="R461" s="324">
        <f t="shared" ref="R461:R464" si="131">ROUNDUP(600,0)</f>
        <v>600</v>
      </c>
      <c r="S461" s="325">
        <v>2</v>
      </c>
      <c r="T461" s="325">
        <f t="shared" si="114"/>
        <v>10</v>
      </c>
      <c r="V461" s="324">
        <v>5000</v>
      </c>
      <c r="W461" s="326">
        <f t="shared" si="115"/>
        <v>8</v>
      </c>
      <c r="X461" s="326">
        <f t="shared" si="116"/>
        <v>4935</v>
      </c>
      <c r="Y461" s="327">
        <v>4900</v>
      </c>
      <c r="Z461" s="328">
        <f t="shared" ref="Z461:Z521" si="132">$T461/$W461</f>
        <v>1.25</v>
      </c>
      <c r="AA461" s="392"/>
      <c r="AB461" s="329">
        <v>0.88800000000000001</v>
      </c>
      <c r="AC461" s="329">
        <v>0.34</v>
      </c>
      <c r="AE461" s="332">
        <f t="shared" si="127"/>
        <v>5.3280000000000003</v>
      </c>
      <c r="AF461" s="332">
        <f t="shared" si="128"/>
        <v>5.4390000000000001</v>
      </c>
      <c r="AG461" s="332">
        <f t="shared" si="122"/>
        <v>-0.11099999999999977</v>
      </c>
      <c r="AH461" s="333">
        <f t="shared" si="123"/>
        <v>1.0208333333333333</v>
      </c>
      <c r="AI461" s="329">
        <f t="shared" si="124"/>
        <v>6</v>
      </c>
      <c r="AJ461" s="329">
        <f t="shared" si="117"/>
        <v>6.125</v>
      </c>
      <c r="AK461" s="329">
        <f t="shared" si="125"/>
        <v>-0.125</v>
      </c>
      <c r="AL461" s="382">
        <f t="shared" si="126"/>
        <v>1.0208333333333333</v>
      </c>
    </row>
    <row r="462" spans="2:38" s="303" customFormat="1" ht="28.5" x14ac:dyDescent="0.2">
      <c r="B462" s="341">
        <f t="shared" si="130"/>
        <v>452</v>
      </c>
      <c r="C462" s="459" t="s">
        <v>200</v>
      </c>
      <c r="D462" s="342" t="s">
        <v>206</v>
      </c>
      <c r="E462" s="341" t="s">
        <v>213</v>
      </c>
      <c r="F462" s="341">
        <v>5</v>
      </c>
      <c r="G462" s="341">
        <v>26170</v>
      </c>
      <c r="H462" s="341" t="s">
        <v>173</v>
      </c>
      <c r="I462" s="341">
        <v>2400</v>
      </c>
      <c r="J462" s="2"/>
      <c r="K462" s="319">
        <v>126</v>
      </c>
      <c r="L462" s="321" t="s">
        <v>48</v>
      </c>
      <c r="M462" s="322" t="s">
        <v>49</v>
      </c>
      <c r="N462" s="321" t="s">
        <v>39</v>
      </c>
      <c r="O462" s="323" t="s">
        <v>188</v>
      </c>
      <c r="P462" s="321" t="s">
        <v>3</v>
      </c>
      <c r="Q462" s="2"/>
      <c r="R462" s="324">
        <f t="shared" si="131"/>
        <v>600</v>
      </c>
      <c r="S462" s="325">
        <v>2</v>
      </c>
      <c r="T462" s="325">
        <f t="shared" si="114"/>
        <v>10</v>
      </c>
      <c r="V462" s="324">
        <v>5000</v>
      </c>
      <c r="W462" s="326">
        <f t="shared" si="115"/>
        <v>8</v>
      </c>
      <c r="X462" s="326">
        <f t="shared" si="116"/>
        <v>4935</v>
      </c>
      <c r="Y462" s="327">
        <v>4900</v>
      </c>
      <c r="Z462" s="328">
        <f t="shared" si="132"/>
        <v>1.25</v>
      </c>
      <c r="AA462" s="392"/>
      <c r="AB462" s="329">
        <v>0.81</v>
      </c>
      <c r="AC462" s="329">
        <v>0.28999999999999998</v>
      </c>
      <c r="AE462" s="332">
        <f t="shared" si="127"/>
        <v>4.8600000000000003</v>
      </c>
      <c r="AF462" s="332">
        <f t="shared" si="128"/>
        <v>4.9612500000000006</v>
      </c>
      <c r="AG462" s="332">
        <f t="shared" si="122"/>
        <v>-0.10125000000000028</v>
      </c>
      <c r="AH462" s="333">
        <f t="shared" si="123"/>
        <v>1.0208333333333335</v>
      </c>
      <c r="AI462" s="329">
        <f t="shared" si="124"/>
        <v>6</v>
      </c>
      <c r="AJ462" s="329">
        <f t="shared" si="117"/>
        <v>6.125</v>
      </c>
      <c r="AK462" s="329">
        <f t="shared" si="125"/>
        <v>-0.125</v>
      </c>
      <c r="AL462" s="382">
        <f t="shared" si="126"/>
        <v>1.0208333333333333</v>
      </c>
    </row>
    <row r="463" spans="2:38" s="303" customFormat="1" ht="28.5" x14ac:dyDescent="0.2">
      <c r="B463" s="341">
        <f t="shared" si="130"/>
        <v>453</v>
      </c>
      <c r="C463" s="459" t="s">
        <v>200</v>
      </c>
      <c r="D463" s="342" t="s">
        <v>206</v>
      </c>
      <c r="E463" s="341" t="s">
        <v>213</v>
      </c>
      <c r="F463" s="341">
        <v>5</v>
      </c>
      <c r="G463" s="341">
        <v>26170</v>
      </c>
      <c r="H463" s="341" t="s">
        <v>173</v>
      </c>
      <c r="I463" s="341">
        <v>2400</v>
      </c>
      <c r="J463" s="2"/>
      <c r="K463" s="319">
        <v>126</v>
      </c>
      <c r="L463" s="321" t="s">
        <v>46</v>
      </c>
      <c r="M463" s="322" t="s">
        <v>47</v>
      </c>
      <c r="N463" s="321" t="s">
        <v>39</v>
      </c>
      <c r="O463" s="323" t="s">
        <v>188</v>
      </c>
      <c r="P463" s="321" t="s">
        <v>3</v>
      </c>
      <c r="Q463" s="2"/>
      <c r="R463" s="324">
        <f t="shared" si="131"/>
        <v>600</v>
      </c>
      <c r="S463" s="325">
        <v>2</v>
      </c>
      <c r="T463" s="325">
        <f t="shared" si="114"/>
        <v>10</v>
      </c>
      <c r="V463" s="324">
        <v>5000</v>
      </c>
      <c r="W463" s="326">
        <f t="shared" si="115"/>
        <v>8</v>
      </c>
      <c r="X463" s="326">
        <f t="shared" si="116"/>
        <v>4935</v>
      </c>
      <c r="Y463" s="327">
        <v>4900</v>
      </c>
      <c r="Z463" s="328">
        <f t="shared" si="132"/>
        <v>1.25</v>
      </c>
      <c r="AA463" s="387">
        <v>65</v>
      </c>
      <c r="AB463" s="329">
        <v>0.91600000000000004</v>
      </c>
      <c r="AC463" s="329">
        <v>0.33900000000000002</v>
      </c>
      <c r="AE463" s="332">
        <f t="shared" si="127"/>
        <v>5.4960000000000004</v>
      </c>
      <c r="AF463" s="332">
        <f t="shared" si="128"/>
        <v>5.6105</v>
      </c>
      <c r="AG463" s="332">
        <f t="shared" si="122"/>
        <v>-0.1144999999999996</v>
      </c>
      <c r="AH463" s="333">
        <f t="shared" si="123"/>
        <v>1.0208333333333333</v>
      </c>
      <c r="AI463" s="329">
        <f t="shared" si="124"/>
        <v>6</v>
      </c>
      <c r="AJ463" s="329">
        <f t="shared" si="117"/>
        <v>6.125</v>
      </c>
      <c r="AK463" s="329">
        <f t="shared" si="125"/>
        <v>-0.125</v>
      </c>
      <c r="AL463" s="382">
        <f t="shared" si="126"/>
        <v>1.0208333333333333</v>
      </c>
    </row>
    <row r="464" spans="2:38" s="303" customFormat="1" ht="28.5" x14ac:dyDescent="0.2">
      <c r="B464" s="341">
        <f t="shared" si="130"/>
        <v>454</v>
      </c>
      <c r="C464" s="459" t="s">
        <v>200</v>
      </c>
      <c r="D464" s="342" t="s">
        <v>206</v>
      </c>
      <c r="E464" s="341" t="s">
        <v>213</v>
      </c>
      <c r="F464" s="341">
        <v>5</v>
      </c>
      <c r="G464" s="341">
        <v>26170</v>
      </c>
      <c r="H464" s="341" t="s">
        <v>173</v>
      </c>
      <c r="I464" s="341">
        <v>2400</v>
      </c>
      <c r="J464" s="2"/>
      <c r="K464" s="468">
        <v>126</v>
      </c>
      <c r="L464" s="417">
        <v>21825</v>
      </c>
      <c r="M464" s="416" t="s">
        <v>45</v>
      </c>
      <c r="N464" s="417" t="s">
        <v>39</v>
      </c>
      <c r="O464" s="323" t="s">
        <v>188</v>
      </c>
      <c r="P464" s="321" t="s">
        <v>3</v>
      </c>
      <c r="Q464" s="2"/>
      <c r="R464" s="324">
        <f t="shared" si="131"/>
        <v>600</v>
      </c>
      <c r="S464" s="325">
        <v>2</v>
      </c>
      <c r="T464" s="325">
        <f t="shared" ref="T464:T521" si="133">$F464*$S464</f>
        <v>10</v>
      </c>
      <c r="V464" s="324">
        <v>5000</v>
      </c>
      <c r="W464" s="326">
        <f t="shared" ref="W464:W521" si="134">ROUNDDOWN($V464/$R464,0)</f>
        <v>8</v>
      </c>
      <c r="X464" s="326">
        <f t="shared" ref="X464:X521" si="135">($R464*$W464)+(50*2)+(5*($W464-1))</f>
        <v>4935</v>
      </c>
      <c r="Y464" s="327">
        <v>4900</v>
      </c>
      <c r="Z464" s="328">
        <f t="shared" si="132"/>
        <v>1.25</v>
      </c>
      <c r="AA464" s="387">
        <v>65</v>
      </c>
      <c r="AB464" s="329">
        <v>0.999</v>
      </c>
      <c r="AC464" s="329">
        <v>0.2382</v>
      </c>
      <c r="AE464" s="332">
        <f t="shared" si="127"/>
        <v>5.9939999999999998</v>
      </c>
      <c r="AF464" s="332">
        <f t="shared" si="128"/>
        <v>6.1188750000000001</v>
      </c>
      <c r="AG464" s="332">
        <f t="shared" si="122"/>
        <v>-0.12487500000000029</v>
      </c>
      <c r="AH464" s="333">
        <f t="shared" si="123"/>
        <v>1.0208333333333335</v>
      </c>
      <c r="AI464" s="329">
        <f t="shared" si="124"/>
        <v>6</v>
      </c>
      <c r="AJ464" s="329">
        <f t="shared" ref="AJ464:AJ521" si="136">($Y464/1000)*$Z464</f>
        <v>6.125</v>
      </c>
      <c r="AK464" s="329">
        <f t="shared" si="125"/>
        <v>-0.125</v>
      </c>
      <c r="AL464" s="382">
        <f t="shared" si="126"/>
        <v>1.0208333333333333</v>
      </c>
    </row>
    <row r="465" spans="2:39" s="303" customFormat="1" ht="28.5" x14ac:dyDescent="0.2">
      <c r="B465" s="341">
        <f t="shared" si="130"/>
        <v>455</v>
      </c>
      <c r="C465" s="459" t="s">
        <v>200</v>
      </c>
      <c r="D465" s="342" t="s">
        <v>206</v>
      </c>
      <c r="E465" s="341" t="s">
        <v>213</v>
      </c>
      <c r="F465" s="341">
        <v>5</v>
      </c>
      <c r="G465" s="341">
        <v>26170</v>
      </c>
      <c r="H465" s="341" t="s">
        <v>173</v>
      </c>
      <c r="I465" s="341">
        <v>2400</v>
      </c>
      <c r="J465" s="2"/>
      <c r="K465" s="341">
        <v>126</v>
      </c>
      <c r="L465" s="342" t="s">
        <v>114</v>
      </c>
      <c r="M465" s="343" t="s">
        <v>115</v>
      </c>
      <c r="N465" s="342" t="s">
        <v>39</v>
      </c>
      <c r="O465" s="323" t="s">
        <v>188</v>
      </c>
      <c r="P465" s="342" t="s">
        <v>3</v>
      </c>
      <c r="Q465" s="2"/>
      <c r="R465" s="348">
        <f>ROUNDUP(600,0)</f>
        <v>600</v>
      </c>
      <c r="S465" s="349">
        <v>1</v>
      </c>
      <c r="T465" s="349">
        <f t="shared" si="133"/>
        <v>5</v>
      </c>
      <c r="V465" s="348">
        <v>6500</v>
      </c>
      <c r="W465" s="388">
        <f t="shared" si="134"/>
        <v>10</v>
      </c>
      <c r="X465" s="388">
        <f t="shared" si="135"/>
        <v>6145</v>
      </c>
      <c r="Y465" s="351">
        <v>6200</v>
      </c>
      <c r="Z465" s="389">
        <f t="shared" si="132"/>
        <v>0.5</v>
      </c>
      <c r="AA465" s="392"/>
      <c r="AB465" s="329">
        <v>0.83499999999999996</v>
      </c>
      <c r="AC465" s="329">
        <v>0.21299999999999999</v>
      </c>
      <c r="AE465" s="332">
        <f t="shared" si="127"/>
        <v>2.5049999999999999</v>
      </c>
      <c r="AF465" s="332">
        <f t="shared" si="128"/>
        <v>2.5884999999999998</v>
      </c>
      <c r="AG465" s="332">
        <f t="shared" si="122"/>
        <v>-8.3499999999999908E-2</v>
      </c>
      <c r="AH465" s="333">
        <f t="shared" si="123"/>
        <v>1.0333333333333332</v>
      </c>
      <c r="AI465" s="332">
        <f t="shared" si="124"/>
        <v>3</v>
      </c>
      <c r="AJ465" s="332">
        <f t="shared" si="136"/>
        <v>3.1</v>
      </c>
      <c r="AK465" s="332">
        <f t="shared" si="125"/>
        <v>-0.10000000000000009</v>
      </c>
      <c r="AL465" s="333">
        <f t="shared" si="126"/>
        <v>1.0333333333333334</v>
      </c>
    </row>
    <row r="466" spans="2:39" s="303" customFormat="1" ht="28.5" x14ac:dyDescent="0.2">
      <c r="B466" s="341">
        <f t="shared" si="130"/>
        <v>456</v>
      </c>
      <c r="C466" s="459" t="s">
        <v>200</v>
      </c>
      <c r="D466" s="342" t="s">
        <v>206</v>
      </c>
      <c r="E466" s="341" t="s">
        <v>213</v>
      </c>
      <c r="F466" s="341">
        <v>5</v>
      </c>
      <c r="G466" s="341">
        <v>26170</v>
      </c>
      <c r="H466" s="341" t="s">
        <v>173</v>
      </c>
      <c r="I466" s="341">
        <v>2400</v>
      </c>
      <c r="J466" s="2"/>
      <c r="K466" s="341">
        <v>126</v>
      </c>
      <c r="L466" s="321" t="s">
        <v>50</v>
      </c>
      <c r="M466" s="322" t="s">
        <v>51</v>
      </c>
      <c r="N466" s="342" t="s">
        <v>39</v>
      </c>
      <c r="O466" s="323" t="s">
        <v>188</v>
      </c>
      <c r="P466" s="342" t="s">
        <v>3</v>
      </c>
      <c r="Q466" s="2"/>
      <c r="R466" s="348">
        <f>ROUNDUP(600,0)</f>
        <v>600</v>
      </c>
      <c r="S466" s="349">
        <v>1</v>
      </c>
      <c r="T466" s="349">
        <f t="shared" si="133"/>
        <v>5</v>
      </c>
      <c r="V466" s="348">
        <v>6500</v>
      </c>
      <c r="W466" s="388">
        <f t="shared" si="134"/>
        <v>10</v>
      </c>
      <c r="X466" s="388">
        <f t="shared" si="135"/>
        <v>6145</v>
      </c>
      <c r="Y466" s="351">
        <v>6200</v>
      </c>
      <c r="Z466" s="389">
        <f t="shared" si="132"/>
        <v>0.5</v>
      </c>
      <c r="AA466" s="406">
        <v>1</v>
      </c>
      <c r="AB466" s="395">
        <v>1.7110000000000001</v>
      </c>
      <c r="AC466" s="395">
        <v>0.34200000000000003</v>
      </c>
      <c r="AE466" s="332">
        <f t="shared" si="127"/>
        <v>5.133</v>
      </c>
      <c r="AF466" s="332">
        <f t="shared" si="128"/>
        <v>5.3041</v>
      </c>
      <c r="AG466" s="332">
        <f t="shared" si="122"/>
        <v>-0.17110000000000003</v>
      </c>
      <c r="AH466" s="333">
        <f t="shared" si="123"/>
        <v>1.0333333333333334</v>
      </c>
      <c r="AI466" s="332">
        <f t="shared" si="124"/>
        <v>3</v>
      </c>
      <c r="AJ466" s="332">
        <f t="shared" si="136"/>
        <v>3.1</v>
      </c>
      <c r="AK466" s="332">
        <f t="shared" si="125"/>
        <v>-0.10000000000000009</v>
      </c>
      <c r="AL466" s="333">
        <f t="shared" si="126"/>
        <v>1.0333333333333334</v>
      </c>
    </row>
    <row r="467" spans="2:39" s="303" customFormat="1" ht="28.5" x14ac:dyDescent="0.2">
      <c r="B467" s="396">
        <f t="shared" si="130"/>
        <v>457</v>
      </c>
      <c r="C467" s="460" t="s">
        <v>200</v>
      </c>
      <c r="D467" s="407" t="s">
        <v>206</v>
      </c>
      <c r="E467" s="396" t="s">
        <v>213</v>
      </c>
      <c r="F467" s="396">
        <v>5</v>
      </c>
      <c r="G467" s="396">
        <v>26170</v>
      </c>
      <c r="H467" s="396" t="s">
        <v>173</v>
      </c>
      <c r="I467" s="396">
        <v>2400</v>
      </c>
      <c r="J467" s="2"/>
      <c r="K467" s="345">
        <v>126</v>
      </c>
      <c r="L467" s="347">
        <v>10926</v>
      </c>
      <c r="M467" s="346" t="s">
        <v>36</v>
      </c>
      <c r="N467" s="347" t="s">
        <v>6</v>
      </c>
      <c r="O467" s="323" t="s">
        <v>188</v>
      </c>
      <c r="P467" s="347" t="s">
        <v>187</v>
      </c>
      <c r="Q467" s="2"/>
      <c r="R467" s="348">
        <f>ROUNDUP(600,0)</f>
        <v>600</v>
      </c>
      <c r="S467" s="349">
        <v>1</v>
      </c>
      <c r="T467" s="349">
        <f t="shared" si="133"/>
        <v>5</v>
      </c>
      <c r="V467" s="348">
        <v>6100</v>
      </c>
      <c r="W467" s="350">
        <f t="shared" si="134"/>
        <v>10</v>
      </c>
      <c r="X467" s="350">
        <f t="shared" si="135"/>
        <v>6145</v>
      </c>
      <c r="Y467" s="351">
        <v>6100</v>
      </c>
      <c r="Z467" s="389">
        <f t="shared" si="132"/>
        <v>0.5</v>
      </c>
      <c r="AA467" s="392"/>
      <c r="AB467" s="329">
        <v>0.76700000000000002</v>
      </c>
      <c r="AC467" s="329"/>
      <c r="AE467" s="332">
        <f t="shared" si="127"/>
        <v>2.3010000000000002</v>
      </c>
      <c r="AF467" s="332">
        <f t="shared" si="128"/>
        <v>2.33935</v>
      </c>
      <c r="AG467" s="332">
        <f t="shared" si="122"/>
        <v>-3.8349999999999884E-2</v>
      </c>
      <c r="AH467" s="333">
        <f t="shared" si="123"/>
        <v>1.0166666666666666</v>
      </c>
      <c r="AI467" s="332">
        <f t="shared" si="124"/>
        <v>3</v>
      </c>
      <c r="AJ467" s="332">
        <f t="shared" si="136"/>
        <v>3.05</v>
      </c>
      <c r="AK467" s="332">
        <f t="shared" si="125"/>
        <v>-4.9999999999999822E-2</v>
      </c>
      <c r="AL467" s="333">
        <f t="shared" si="126"/>
        <v>1.0166666666666666</v>
      </c>
    </row>
    <row r="468" spans="2:39" s="353" customFormat="1" ht="30" customHeight="1" thickBot="1" x14ac:dyDescent="0.3">
      <c r="B468" s="360">
        <f t="shared" si="130"/>
        <v>458</v>
      </c>
      <c r="C468" s="459" t="s">
        <v>200</v>
      </c>
      <c r="D468" s="342" t="s">
        <v>206</v>
      </c>
      <c r="E468" s="341" t="s">
        <v>213</v>
      </c>
      <c r="F468" s="341">
        <v>5</v>
      </c>
      <c r="G468" s="341">
        <v>26170</v>
      </c>
      <c r="H468" s="341" t="s">
        <v>173</v>
      </c>
      <c r="I468" s="341">
        <v>2400</v>
      </c>
      <c r="J468" s="2"/>
      <c r="K468" s="363"/>
      <c r="L468" s="364" t="s">
        <v>28</v>
      </c>
      <c r="M468" s="365" t="s">
        <v>29</v>
      </c>
      <c r="N468" s="470" t="s">
        <v>6</v>
      </c>
      <c r="O468" s="366" t="s">
        <v>189</v>
      </c>
      <c r="P468" s="367" t="s">
        <v>187</v>
      </c>
      <c r="Q468" s="2"/>
      <c r="R468" s="368">
        <v>51</v>
      </c>
      <c r="S468" s="369">
        <f>4*24</f>
        <v>96</v>
      </c>
      <c r="T468" s="369">
        <f t="shared" si="133"/>
        <v>480</v>
      </c>
      <c r="U468" s="303"/>
      <c r="V468" s="368">
        <v>3250</v>
      </c>
      <c r="W468" s="370">
        <f t="shared" si="134"/>
        <v>63</v>
      </c>
      <c r="X468" s="370">
        <f t="shared" si="135"/>
        <v>3623</v>
      </c>
      <c r="Y468" s="371">
        <v>3660</v>
      </c>
      <c r="Z468" s="372">
        <f t="shared" si="132"/>
        <v>7.6190476190476186</v>
      </c>
      <c r="AA468" s="392"/>
      <c r="AB468" s="373">
        <v>1.641</v>
      </c>
      <c r="AC468" s="373">
        <v>0.20319999999999999</v>
      </c>
      <c r="AD468" s="303"/>
      <c r="AE468" s="373">
        <f t="shared" si="127"/>
        <v>40.171679999999995</v>
      </c>
      <c r="AF468" s="373">
        <f t="shared" si="128"/>
        <v>45.760457142857135</v>
      </c>
      <c r="AG468" s="373">
        <f t="shared" si="122"/>
        <v>-5.5887771428571398</v>
      </c>
      <c r="AH468" s="374">
        <f t="shared" si="123"/>
        <v>1.1391223155929038</v>
      </c>
      <c r="AI468" s="476">
        <f>+AG468/AF468</f>
        <v>-0.12213114754098356</v>
      </c>
      <c r="AJ468" s="373">
        <f t="shared" si="136"/>
        <v>27.885714285714286</v>
      </c>
      <c r="AK468" s="474">
        <f>($R468/1000)*$T468</f>
        <v>24.479999999999997</v>
      </c>
      <c r="AL468" s="474">
        <f>($Y468/1000)*$Z468</f>
        <v>27.885714285714286</v>
      </c>
      <c r="AM468" s="303"/>
    </row>
    <row r="469" spans="2:39" s="303" customFormat="1" ht="28.5" x14ac:dyDescent="0.2">
      <c r="B469" s="375">
        <f t="shared" si="130"/>
        <v>459</v>
      </c>
      <c r="C469" s="457" t="s">
        <v>200</v>
      </c>
      <c r="D469" s="394" t="s">
        <v>208</v>
      </c>
      <c r="E469" s="408" t="s">
        <v>214</v>
      </c>
      <c r="F469" s="408">
        <v>7</v>
      </c>
      <c r="G469" s="408">
        <v>26170</v>
      </c>
      <c r="H469" s="375" t="s">
        <v>173</v>
      </c>
      <c r="I469" s="375">
        <v>2400</v>
      </c>
      <c r="J469" s="2"/>
      <c r="K469" s="319">
        <v>127</v>
      </c>
      <c r="L469" s="321">
        <v>20626</v>
      </c>
      <c r="M469" s="322" t="s">
        <v>44</v>
      </c>
      <c r="N469" s="321" t="s">
        <v>39</v>
      </c>
      <c r="O469" s="378" t="s">
        <v>186</v>
      </c>
      <c r="P469" s="321" t="s">
        <v>3</v>
      </c>
      <c r="Q469" s="2"/>
      <c r="R469" s="324">
        <f t="shared" ref="R469:R492" si="137">ROUNDUP(I469,0)</f>
        <v>2400</v>
      </c>
      <c r="S469" s="325">
        <v>1</v>
      </c>
      <c r="T469" s="325">
        <f t="shared" si="133"/>
        <v>7</v>
      </c>
      <c r="V469" s="324">
        <v>7000</v>
      </c>
      <c r="W469" s="326">
        <f t="shared" si="134"/>
        <v>2</v>
      </c>
      <c r="X469" s="326">
        <f t="shared" si="135"/>
        <v>4905</v>
      </c>
      <c r="Y469" s="327">
        <v>4900</v>
      </c>
      <c r="Z469" s="328">
        <f t="shared" si="132"/>
        <v>3.5</v>
      </c>
      <c r="AA469" s="304"/>
      <c r="AB469" s="329">
        <v>2.7930000000000001</v>
      </c>
      <c r="AC469" s="329">
        <v>0.45068000000000003</v>
      </c>
      <c r="AE469" s="330">
        <f t="shared" si="127"/>
        <v>46.922400000000003</v>
      </c>
      <c r="AF469" s="330">
        <f t="shared" si="128"/>
        <v>47.899949999999997</v>
      </c>
      <c r="AG469" s="330">
        <f t="shared" si="122"/>
        <v>-0.9775499999999937</v>
      </c>
      <c r="AH469" s="331">
        <f t="shared" si="123"/>
        <v>1.0208333333333333</v>
      </c>
      <c r="AI469" s="329">
        <f t="shared" ref="AI469:AI520" si="138">($R469/1000)*$T469</f>
        <v>16.8</v>
      </c>
      <c r="AJ469" s="329">
        <f t="shared" si="136"/>
        <v>17.150000000000002</v>
      </c>
      <c r="AK469" s="329">
        <f t="shared" ref="AK469:AK520" si="139">+AI469-AJ469</f>
        <v>-0.35000000000000142</v>
      </c>
      <c r="AL469" s="382">
        <f t="shared" ref="AL469:AL520" si="140">+AJ469/AI469</f>
        <v>1.0208333333333335</v>
      </c>
    </row>
    <row r="470" spans="2:39" s="303" customFormat="1" ht="28.5" x14ac:dyDescent="0.2">
      <c r="B470" s="341">
        <f t="shared" si="130"/>
        <v>460</v>
      </c>
      <c r="C470" s="458" t="s">
        <v>200</v>
      </c>
      <c r="D470" s="342" t="s">
        <v>208</v>
      </c>
      <c r="E470" s="341" t="s">
        <v>214</v>
      </c>
      <c r="F470" s="341">
        <v>7</v>
      </c>
      <c r="G470" s="341">
        <v>26170</v>
      </c>
      <c r="H470" s="341" t="s">
        <v>173</v>
      </c>
      <c r="I470" s="341">
        <v>2400</v>
      </c>
      <c r="J470" s="2"/>
      <c r="K470" s="319">
        <v>127</v>
      </c>
      <c r="L470" s="321">
        <v>21825</v>
      </c>
      <c r="M470" s="322" t="s">
        <v>45</v>
      </c>
      <c r="N470" s="321" t="s">
        <v>39</v>
      </c>
      <c r="O470" s="323" t="s">
        <v>186</v>
      </c>
      <c r="P470" s="321" t="s">
        <v>3</v>
      </c>
      <c r="Q470" s="2"/>
      <c r="R470" s="324">
        <f t="shared" si="137"/>
        <v>2400</v>
      </c>
      <c r="S470" s="325">
        <v>1</v>
      </c>
      <c r="T470" s="325">
        <f t="shared" si="133"/>
        <v>7</v>
      </c>
      <c r="V470" s="324">
        <v>7000</v>
      </c>
      <c r="W470" s="326">
        <f t="shared" si="134"/>
        <v>2</v>
      </c>
      <c r="X470" s="326">
        <f t="shared" si="135"/>
        <v>4905</v>
      </c>
      <c r="Y470" s="327">
        <v>4900</v>
      </c>
      <c r="Z470" s="328">
        <f t="shared" si="132"/>
        <v>3.5</v>
      </c>
      <c r="AA470" s="392"/>
      <c r="AB470" s="329">
        <v>0.999</v>
      </c>
      <c r="AC470" s="329">
        <v>0.2382</v>
      </c>
      <c r="AE470" s="332">
        <f t="shared" si="127"/>
        <v>16.783200000000001</v>
      </c>
      <c r="AF470" s="332">
        <f t="shared" si="128"/>
        <v>17.132849999999998</v>
      </c>
      <c r="AG470" s="332">
        <f t="shared" si="122"/>
        <v>-0.34964999999999691</v>
      </c>
      <c r="AH470" s="333">
        <f t="shared" si="123"/>
        <v>1.020833333333333</v>
      </c>
      <c r="AI470" s="329">
        <f t="shared" si="138"/>
        <v>16.8</v>
      </c>
      <c r="AJ470" s="329">
        <f t="shared" si="136"/>
        <v>17.150000000000002</v>
      </c>
      <c r="AK470" s="329">
        <f t="shared" si="139"/>
        <v>-0.35000000000000142</v>
      </c>
      <c r="AL470" s="382">
        <f t="shared" si="140"/>
        <v>1.0208333333333335</v>
      </c>
    </row>
    <row r="471" spans="2:39" s="303" customFormat="1" ht="28.5" x14ac:dyDescent="0.2">
      <c r="B471" s="341">
        <f t="shared" si="130"/>
        <v>461</v>
      </c>
      <c r="C471" s="458" t="s">
        <v>200</v>
      </c>
      <c r="D471" s="342" t="s">
        <v>208</v>
      </c>
      <c r="E471" s="341" t="s">
        <v>214</v>
      </c>
      <c r="F471" s="341">
        <v>7</v>
      </c>
      <c r="G471" s="341">
        <v>26170</v>
      </c>
      <c r="H471" s="341" t="s">
        <v>173</v>
      </c>
      <c r="I471" s="341">
        <v>2400</v>
      </c>
      <c r="J471" s="2"/>
      <c r="K471" s="319">
        <v>127</v>
      </c>
      <c r="L471" s="321" t="s">
        <v>48</v>
      </c>
      <c r="M471" s="322" t="s">
        <v>49</v>
      </c>
      <c r="N471" s="321" t="s">
        <v>39</v>
      </c>
      <c r="O471" s="323" t="s">
        <v>186</v>
      </c>
      <c r="P471" s="321" t="s">
        <v>3</v>
      </c>
      <c r="Q471" s="2"/>
      <c r="R471" s="324">
        <f t="shared" si="137"/>
        <v>2400</v>
      </c>
      <c r="S471" s="325">
        <v>1</v>
      </c>
      <c r="T471" s="325">
        <f t="shared" si="133"/>
        <v>7</v>
      </c>
      <c r="V471" s="324">
        <v>7000</v>
      </c>
      <c r="W471" s="326">
        <f t="shared" si="134"/>
        <v>2</v>
      </c>
      <c r="X471" s="326">
        <f t="shared" si="135"/>
        <v>4905</v>
      </c>
      <c r="Y471" s="327">
        <v>4900</v>
      </c>
      <c r="Z471" s="328">
        <f t="shared" si="132"/>
        <v>3.5</v>
      </c>
      <c r="AA471" s="392"/>
      <c r="AB471" s="329">
        <v>0.81</v>
      </c>
      <c r="AC471" s="329">
        <v>0.28999999999999998</v>
      </c>
      <c r="AE471" s="332">
        <f t="shared" si="127"/>
        <v>13.608000000000002</v>
      </c>
      <c r="AF471" s="332">
        <f t="shared" si="128"/>
        <v>13.891500000000001</v>
      </c>
      <c r="AG471" s="332">
        <f t="shared" si="122"/>
        <v>-0.28349999999999831</v>
      </c>
      <c r="AH471" s="333">
        <f t="shared" si="123"/>
        <v>1.0208333333333333</v>
      </c>
      <c r="AI471" s="329">
        <f t="shared" si="138"/>
        <v>16.8</v>
      </c>
      <c r="AJ471" s="329">
        <f t="shared" si="136"/>
        <v>17.150000000000002</v>
      </c>
      <c r="AK471" s="329">
        <f t="shared" si="139"/>
        <v>-0.35000000000000142</v>
      </c>
      <c r="AL471" s="382">
        <f t="shared" si="140"/>
        <v>1.0208333333333335</v>
      </c>
    </row>
    <row r="472" spans="2:39" s="303" customFormat="1" ht="28.5" x14ac:dyDescent="0.2">
      <c r="B472" s="319">
        <f t="shared" si="130"/>
        <v>462</v>
      </c>
      <c r="C472" s="458" t="s">
        <v>200</v>
      </c>
      <c r="D472" s="342" t="s">
        <v>208</v>
      </c>
      <c r="E472" s="341" t="s">
        <v>214</v>
      </c>
      <c r="F472" s="341">
        <v>7</v>
      </c>
      <c r="G472" s="341">
        <v>26170</v>
      </c>
      <c r="H472" s="341" t="s">
        <v>173</v>
      </c>
      <c r="I472" s="341">
        <v>2400</v>
      </c>
      <c r="J472" s="2"/>
      <c r="K472" s="319">
        <v>127</v>
      </c>
      <c r="L472" s="321" t="s">
        <v>46</v>
      </c>
      <c r="M472" s="322" t="s">
        <v>47</v>
      </c>
      <c r="N472" s="321" t="s">
        <v>39</v>
      </c>
      <c r="O472" s="323" t="s">
        <v>186</v>
      </c>
      <c r="P472" s="321" t="s">
        <v>3</v>
      </c>
      <c r="Q472" s="2"/>
      <c r="R472" s="324">
        <f t="shared" si="137"/>
        <v>2400</v>
      </c>
      <c r="S472" s="325">
        <v>1</v>
      </c>
      <c r="T472" s="325">
        <f t="shared" si="133"/>
        <v>7</v>
      </c>
      <c r="V472" s="324">
        <v>7000</v>
      </c>
      <c r="W472" s="326">
        <f t="shared" si="134"/>
        <v>2</v>
      </c>
      <c r="X472" s="326">
        <f t="shared" si="135"/>
        <v>4905</v>
      </c>
      <c r="Y472" s="327">
        <v>4900</v>
      </c>
      <c r="Z472" s="328">
        <f t="shared" si="132"/>
        <v>3.5</v>
      </c>
      <c r="AA472" s="392"/>
      <c r="AB472" s="329">
        <v>0.91600000000000004</v>
      </c>
      <c r="AC472" s="329">
        <v>0.33900000000000002</v>
      </c>
      <c r="AE472" s="332">
        <f t="shared" si="127"/>
        <v>15.388800000000002</v>
      </c>
      <c r="AF472" s="332">
        <f t="shared" si="128"/>
        <v>15.709399999999999</v>
      </c>
      <c r="AG472" s="332">
        <f t="shared" si="122"/>
        <v>-0.32059999999999711</v>
      </c>
      <c r="AH472" s="333">
        <f t="shared" si="123"/>
        <v>1.020833333333333</v>
      </c>
      <c r="AI472" s="329">
        <f t="shared" si="138"/>
        <v>16.8</v>
      </c>
      <c r="AJ472" s="329">
        <f t="shared" si="136"/>
        <v>17.150000000000002</v>
      </c>
      <c r="AK472" s="329">
        <f t="shared" si="139"/>
        <v>-0.35000000000000142</v>
      </c>
      <c r="AL472" s="382">
        <f t="shared" si="140"/>
        <v>1.0208333333333335</v>
      </c>
    </row>
    <row r="473" spans="2:39" s="303" customFormat="1" ht="28.5" x14ac:dyDescent="0.2">
      <c r="B473" s="319">
        <f t="shared" si="130"/>
        <v>463</v>
      </c>
      <c r="C473" s="458" t="s">
        <v>200</v>
      </c>
      <c r="D473" s="342" t="s">
        <v>208</v>
      </c>
      <c r="E473" s="341" t="s">
        <v>214</v>
      </c>
      <c r="F473" s="341">
        <v>7</v>
      </c>
      <c r="G473" s="341">
        <v>26170</v>
      </c>
      <c r="H473" s="341" t="s">
        <v>173</v>
      </c>
      <c r="I473" s="341">
        <v>2400</v>
      </c>
      <c r="J473" s="2"/>
      <c r="K473" s="334">
        <v>127</v>
      </c>
      <c r="L473" s="335" t="s">
        <v>121</v>
      </c>
      <c r="M473" s="336" t="s">
        <v>203</v>
      </c>
      <c r="N473" s="337" t="s">
        <v>6</v>
      </c>
      <c r="O473" s="323" t="s">
        <v>186</v>
      </c>
      <c r="P473" s="337" t="s">
        <v>187</v>
      </c>
      <c r="Q473" s="2"/>
      <c r="R473" s="324">
        <f t="shared" si="137"/>
        <v>2400</v>
      </c>
      <c r="S473" s="325">
        <v>1</v>
      </c>
      <c r="T473" s="325">
        <f t="shared" si="133"/>
        <v>7</v>
      </c>
      <c r="V473" s="338">
        <v>3660</v>
      </c>
      <c r="W473" s="339">
        <f t="shared" si="134"/>
        <v>1</v>
      </c>
      <c r="X473" s="339">
        <f t="shared" si="135"/>
        <v>2500</v>
      </c>
      <c r="Y473" s="327">
        <v>3660</v>
      </c>
      <c r="Z473" s="340">
        <f>($R473*$T473)/$V473</f>
        <v>4.5901639344262293</v>
      </c>
      <c r="AA473" s="392"/>
      <c r="AB473" s="329">
        <v>0.84899999999999998</v>
      </c>
      <c r="AC473" s="329">
        <v>0</v>
      </c>
      <c r="AE473" s="332">
        <f t="shared" si="127"/>
        <v>14.263199999999999</v>
      </c>
      <c r="AF473" s="332">
        <f t="shared" si="128"/>
        <v>14.263199999999999</v>
      </c>
      <c r="AG473" s="332">
        <f t="shared" si="122"/>
        <v>0</v>
      </c>
      <c r="AH473" s="333">
        <f t="shared" si="123"/>
        <v>1</v>
      </c>
      <c r="AI473" s="329">
        <f t="shared" si="138"/>
        <v>16.8</v>
      </c>
      <c r="AJ473" s="329">
        <f t="shared" si="136"/>
        <v>16.8</v>
      </c>
      <c r="AK473" s="329">
        <f t="shared" si="139"/>
        <v>0</v>
      </c>
      <c r="AL473" s="382">
        <f t="shared" si="140"/>
        <v>1</v>
      </c>
    </row>
    <row r="474" spans="2:39" s="303" customFormat="1" ht="28.5" x14ac:dyDescent="0.2">
      <c r="B474" s="319">
        <f t="shared" si="130"/>
        <v>464</v>
      </c>
      <c r="C474" s="458" t="s">
        <v>200</v>
      </c>
      <c r="D474" s="342" t="s">
        <v>208</v>
      </c>
      <c r="E474" s="341" t="s">
        <v>214</v>
      </c>
      <c r="F474" s="341">
        <v>7</v>
      </c>
      <c r="G474" s="341">
        <v>26170</v>
      </c>
      <c r="H474" s="341" t="s">
        <v>173</v>
      </c>
      <c r="I474" s="341">
        <v>2400</v>
      </c>
      <c r="J474" s="2"/>
      <c r="K474" s="334">
        <v>127</v>
      </c>
      <c r="L474" s="337">
        <v>10926</v>
      </c>
      <c r="M474" s="336" t="s">
        <v>36</v>
      </c>
      <c r="N474" s="337" t="s">
        <v>6</v>
      </c>
      <c r="O474" s="323" t="s">
        <v>186</v>
      </c>
      <c r="P474" s="337" t="s">
        <v>187</v>
      </c>
      <c r="Q474" s="2"/>
      <c r="R474" s="324">
        <f t="shared" si="137"/>
        <v>2400</v>
      </c>
      <c r="S474" s="325">
        <v>1</v>
      </c>
      <c r="T474" s="325">
        <f t="shared" si="133"/>
        <v>7</v>
      </c>
      <c r="V474" s="324">
        <v>6100</v>
      </c>
      <c r="W474" s="339">
        <f t="shared" si="134"/>
        <v>2</v>
      </c>
      <c r="X474" s="339">
        <f t="shared" si="135"/>
        <v>4905</v>
      </c>
      <c r="Y474" s="327">
        <v>6100</v>
      </c>
      <c r="Z474" s="328">
        <f t="shared" si="132"/>
        <v>3.5</v>
      </c>
      <c r="AA474" s="392"/>
      <c r="AB474" s="329">
        <v>0.76700000000000002</v>
      </c>
      <c r="AC474" s="329"/>
      <c r="AE474" s="332">
        <f t="shared" si="127"/>
        <v>12.8856</v>
      </c>
      <c r="AF474" s="332">
        <f t="shared" si="128"/>
        <v>16.375450000000001</v>
      </c>
      <c r="AG474" s="332">
        <f t="shared" si="122"/>
        <v>-3.4898500000000006</v>
      </c>
      <c r="AH474" s="333">
        <f t="shared" si="123"/>
        <v>1.2708333333333335</v>
      </c>
      <c r="AI474" s="329">
        <f t="shared" si="138"/>
        <v>16.8</v>
      </c>
      <c r="AJ474" s="329">
        <f t="shared" si="136"/>
        <v>21.349999999999998</v>
      </c>
      <c r="AK474" s="329">
        <f t="shared" si="139"/>
        <v>-4.5499999999999972</v>
      </c>
      <c r="AL474" s="382">
        <f t="shared" si="140"/>
        <v>1.2708333333333333</v>
      </c>
    </row>
    <row r="475" spans="2:39" s="303" customFormat="1" ht="28.5" x14ac:dyDescent="0.2">
      <c r="B475" s="319">
        <f t="shared" si="130"/>
        <v>465</v>
      </c>
      <c r="C475" s="458" t="s">
        <v>200</v>
      </c>
      <c r="D475" s="342" t="s">
        <v>208</v>
      </c>
      <c r="E475" s="341" t="s">
        <v>214</v>
      </c>
      <c r="F475" s="341">
        <v>7</v>
      </c>
      <c r="G475" s="341">
        <v>26170</v>
      </c>
      <c r="H475" s="341" t="s">
        <v>173</v>
      </c>
      <c r="I475" s="341">
        <v>2400</v>
      </c>
      <c r="J475" s="2"/>
      <c r="K475" s="319">
        <v>127</v>
      </c>
      <c r="L475" s="321" t="s">
        <v>114</v>
      </c>
      <c r="M475" s="322" t="s">
        <v>115</v>
      </c>
      <c r="N475" s="321" t="s">
        <v>39</v>
      </c>
      <c r="O475" s="323" t="s">
        <v>186</v>
      </c>
      <c r="P475" s="321" t="s">
        <v>3</v>
      </c>
      <c r="Q475" s="2"/>
      <c r="R475" s="324">
        <f t="shared" si="137"/>
        <v>2400</v>
      </c>
      <c r="S475" s="325">
        <v>1</v>
      </c>
      <c r="T475" s="325">
        <f t="shared" si="133"/>
        <v>7</v>
      </c>
      <c r="V475" s="324">
        <v>7000</v>
      </c>
      <c r="W475" s="326">
        <f t="shared" si="134"/>
        <v>2</v>
      </c>
      <c r="X475" s="326">
        <f t="shared" si="135"/>
        <v>4905</v>
      </c>
      <c r="Y475" s="327">
        <v>4900</v>
      </c>
      <c r="Z475" s="328">
        <f t="shared" si="132"/>
        <v>3.5</v>
      </c>
      <c r="AA475" s="304"/>
      <c r="AB475" s="329">
        <v>0.83499999999999996</v>
      </c>
      <c r="AC475" s="329">
        <v>0.21299999999999999</v>
      </c>
      <c r="AE475" s="332">
        <f t="shared" si="127"/>
        <v>14.028</v>
      </c>
      <c r="AF475" s="332">
        <f t="shared" si="128"/>
        <v>14.320249999999998</v>
      </c>
      <c r="AG475" s="332">
        <f t="shared" si="122"/>
        <v>-0.29224999999999746</v>
      </c>
      <c r="AH475" s="333">
        <f t="shared" si="123"/>
        <v>1.0208333333333333</v>
      </c>
      <c r="AI475" s="329">
        <f t="shared" si="138"/>
        <v>16.8</v>
      </c>
      <c r="AJ475" s="329">
        <f t="shared" si="136"/>
        <v>17.150000000000002</v>
      </c>
      <c r="AK475" s="329">
        <f t="shared" si="139"/>
        <v>-0.35000000000000142</v>
      </c>
      <c r="AL475" s="382">
        <f t="shared" si="140"/>
        <v>1.0208333333333335</v>
      </c>
    </row>
    <row r="476" spans="2:39" s="303" customFormat="1" ht="28.5" x14ac:dyDescent="0.2">
      <c r="B476" s="341">
        <f t="shared" si="130"/>
        <v>466</v>
      </c>
      <c r="C476" s="459" t="s">
        <v>200</v>
      </c>
      <c r="D476" s="342" t="s">
        <v>208</v>
      </c>
      <c r="E476" s="341" t="s">
        <v>214</v>
      </c>
      <c r="F476" s="341">
        <v>7</v>
      </c>
      <c r="G476" s="341">
        <v>26170</v>
      </c>
      <c r="H476" s="341" t="s">
        <v>173</v>
      </c>
      <c r="I476" s="341">
        <v>2400</v>
      </c>
      <c r="J476" s="2"/>
      <c r="K476" s="319">
        <v>127</v>
      </c>
      <c r="L476" s="321" t="s">
        <v>50</v>
      </c>
      <c r="M476" s="322" t="s">
        <v>51</v>
      </c>
      <c r="N476" s="321" t="s">
        <v>39</v>
      </c>
      <c r="O476" s="323" t="s">
        <v>186</v>
      </c>
      <c r="P476" s="321" t="s">
        <v>3</v>
      </c>
      <c r="Q476" s="2"/>
      <c r="R476" s="324">
        <f t="shared" si="137"/>
        <v>2400</v>
      </c>
      <c r="S476" s="325">
        <v>1</v>
      </c>
      <c r="T476" s="325">
        <f t="shared" si="133"/>
        <v>7</v>
      </c>
      <c r="V476" s="324">
        <v>6000</v>
      </c>
      <c r="W476" s="326">
        <f t="shared" si="134"/>
        <v>2</v>
      </c>
      <c r="X476" s="326">
        <f t="shared" si="135"/>
        <v>4905</v>
      </c>
      <c r="Y476" s="327">
        <v>4900</v>
      </c>
      <c r="Z476" s="328">
        <f t="shared" si="132"/>
        <v>3.5</v>
      </c>
      <c r="AA476" s="392"/>
      <c r="AB476" s="395">
        <v>1.7110000000000001</v>
      </c>
      <c r="AC476" s="395">
        <v>0.34200000000000003</v>
      </c>
      <c r="AE476" s="332">
        <f t="shared" si="127"/>
        <v>28.744800000000001</v>
      </c>
      <c r="AF476" s="332">
        <f t="shared" si="128"/>
        <v>29.34365</v>
      </c>
      <c r="AG476" s="332">
        <f t="shared" si="122"/>
        <v>-0.59884999999999877</v>
      </c>
      <c r="AH476" s="333">
        <f t="shared" si="123"/>
        <v>1.0208333333333333</v>
      </c>
      <c r="AI476" s="329">
        <f t="shared" si="138"/>
        <v>16.8</v>
      </c>
      <c r="AJ476" s="329">
        <f t="shared" si="136"/>
        <v>17.150000000000002</v>
      </c>
      <c r="AK476" s="329">
        <f t="shared" si="139"/>
        <v>-0.35000000000000142</v>
      </c>
      <c r="AL476" s="382">
        <f t="shared" si="140"/>
        <v>1.0208333333333335</v>
      </c>
    </row>
    <row r="477" spans="2:39" s="303" customFormat="1" ht="28.5" x14ac:dyDescent="0.2">
      <c r="B477" s="341">
        <f t="shared" si="130"/>
        <v>467</v>
      </c>
      <c r="C477" s="459" t="s">
        <v>200</v>
      </c>
      <c r="D477" s="342" t="s">
        <v>208</v>
      </c>
      <c r="E477" s="341" t="s">
        <v>214</v>
      </c>
      <c r="F477" s="341">
        <v>7</v>
      </c>
      <c r="G477" s="341">
        <v>26170</v>
      </c>
      <c r="H477" s="341" t="s">
        <v>173</v>
      </c>
      <c r="I477" s="341">
        <v>2400</v>
      </c>
      <c r="J477" s="2"/>
      <c r="K477" s="319">
        <v>128</v>
      </c>
      <c r="L477" s="321">
        <v>20626</v>
      </c>
      <c r="M477" s="322" t="s">
        <v>44</v>
      </c>
      <c r="N477" s="321" t="s">
        <v>39</v>
      </c>
      <c r="O477" s="323" t="s">
        <v>186</v>
      </c>
      <c r="P477" s="321" t="s">
        <v>3</v>
      </c>
      <c r="Q477" s="2"/>
      <c r="R477" s="324">
        <f t="shared" si="137"/>
        <v>2400</v>
      </c>
      <c r="S477" s="325">
        <v>1</v>
      </c>
      <c r="T477" s="325">
        <f t="shared" si="133"/>
        <v>7</v>
      </c>
      <c r="V477" s="324">
        <v>7000</v>
      </c>
      <c r="W477" s="326">
        <f t="shared" si="134"/>
        <v>2</v>
      </c>
      <c r="X477" s="326">
        <f t="shared" si="135"/>
        <v>4905</v>
      </c>
      <c r="Y477" s="327">
        <v>4900</v>
      </c>
      <c r="Z477" s="328">
        <f t="shared" si="132"/>
        <v>3.5</v>
      </c>
      <c r="AA477" s="304"/>
      <c r="AB477" s="329">
        <v>2.7930000000000001</v>
      </c>
      <c r="AC477" s="329">
        <v>0.45068000000000003</v>
      </c>
      <c r="AE477" s="332">
        <f t="shared" si="127"/>
        <v>46.922400000000003</v>
      </c>
      <c r="AF477" s="332">
        <f t="shared" si="128"/>
        <v>47.899949999999997</v>
      </c>
      <c r="AG477" s="332">
        <f t="shared" si="122"/>
        <v>-0.9775499999999937</v>
      </c>
      <c r="AH477" s="333">
        <f t="shared" si="123"/>
        <v>1.0208333333333333</v>
      </c>
      <c r="AI477" s="329">
        <f t="shared" si="138"/>
        <v>16.8</v>
      </c>
      <c r="AJ477" s="329">
        <f t="shared" si="136"/>
        <v>17.150000000000002</v>
      </c>
      <c r="AK477" s="329">
        <f t="shared" si="139"/>
        <v>-0.35000000000000142</v>
      </c>
      <c r="AL477" s="382">
        <f t="shared" si="140"/>
        <v>1.0208333333333335</v>
      </c>
    </row>
    <row r="478" spans="2:39" s="303" customFormat="1" ht="28.5" x14ac:dyDescent="0.2">
      <c r="B478" s="319">
        <f t="shared" si="130"/>
        <v>468</v>
      </c>
      <c r="C478" s="458" t="s">
        <v>200</v>
      </c>
      <c r="D478" s="342" t="s">
        <v>208</v>
      </c>
      <c r="E478" s="341" t="s">
        <v>214</v>
      </c>
      <c r="F478" s="341">
        <v>7</v>
      </c>
      <c r="G478" s="341">
        <v>26170</v>
      </c>
      <c r="H478" s="341" t="s">
        <v>173</v>
      </c>
      <c r="I478" s="341">
        <v>2400</v>
      </c>
      <c r="J478" s="2"/>
      <c r="K478" s="319">
        <v>128</v>
      </c>
      <c r="L478" s="321">
        <v>21825</v>
      </c>
      <c r="M478" s="322" t="s">
        <v>45</v>
      </c>
      <c r="N478" s="321" t="s">
        <v>39</v>
      </c>
      <c r="O478" s="323" t="s">
        <v>186</v>
      </c>
      <c r="P478" s="321" t="s">
        <v>3</v>
      </c>
      <c r="Q478" s="2"/>
      <c r="R478" s="324">
        <f t="shared" si="137"/>
        <v>2400</v>
      </c>
      <c r="S478" s="325">
        <v>1</v>
      </c>
      <c r="T478" s="325">
        <f t="shared" si="133"/>
        <v>7</v>
      </c>
      <c r="V478" s="324">
        <v>7000</v>
      </c>
      <c r="W478" s="326">
        <f t="shared" si="134"/>
        <v>2</v>
      </c>
      <c r="X478" s="326">
        <f t="shared" si="135"/>
        <v>4905</v>
      </c>
      <c r="Y478" s="327">
        <v>4900</v>
      </c>
      <c r="Z478" s="328">
        <f t="shared" si="132"/>
        <v>3.5</v>
      </c>
      <c r="AA478" s="392"/>
      <c r="AB478" s="329">
        <v>0.999</v>
      </c>
      <c r="AC478" s="329">
        <v>0.2382</v>
      </c>
      <c r="AE478" s="332">
        <f t="shared" si="127"/>
        <v>16.783200000000001</v>
      </c>
      <c r="AF478" s="332">
        <f t="shared" si="128"/>
        <v>17.132849999999998</v>
      </c>
      <c r="AG478" s="332">
        <f t="shared" si="122"/>
        <v>-0.34964999999999691</v>
      </c>
      <c r="AH478" s="333">
        <f t="shared" si="123"/>
        <v>1.020833333333333</v>
      </c>
      <c r="AI478" s="329">
        <f t="shared" si="138"/>
        <v>16.8</v>
      </c>
      <c r="AJ478" s="329">
        <f t="shared" si="136"/>
        <v>17.150000000000002</v>
      </c>
      <c r="AK478" s="329">
        <f t="shared" si="139"/>
        <v>-0.35000000000000142</v>
      </c>
      <c r="AL478" s="382">
        <f t="shared" si="140"/>
        <v>1.0208333333333335</v>
      </c>
    </row>
    <row r="479" spans="2:39" s="303" customFormat="1" ht="28.5" x14ac:dyDescent="0.2">
      <c r="B479" s="319">
        <f t="shared" si="130"/>
        <v>469</v>
      </c>
      <c r="C479" s="458" t="s">
        <v>200</v>
      </c>
      <c r="D479" s="342" t="s">
        <v>208</v>
      </c>
      <c r="E479" s="341" t="s">
        <v>214</v>
      </c>
      <c r="F479" s="341">
        <v>7</v>
      </c>
      <c r="G479" s="341">
        <v>26170</v>
      </c>
      <c r="H479" s="341" t="s">
        <v>173</v>
      </c>
      <c r="I479" s="341">
        <v>2400</v>
      </c>
      <c r="J479" s="2"/>
      <c r="K479" s="319">
        <v>128</v>
      </c>
      <c r="L479" s="321" t="s">
        <v>48</v>
      </c>
      <c r="M479" s="322" t="s">
        <v>49</v>
      </c>
      <c r="N479" s="321" t="s">
        <v>39</v>
      </c>
      <c r="O479" s="323" t="s">
        <v>186</v>
      </c>
      <c r="P479" s="321" t="s">
        <v>3</v>
      </c>
      <c r="Q479" s="2"/>
      <c r="R479" s="324">
        <f t="shared" si="137"/>
        <v>2400</v>
      </c>
      <c r="S479" s="325">
        <v>1</v>
      </c>
      <c r="T479" s="325">
        <f t="shared" si="133"/>
        <v>7</v>
      </c>
      <c r="V479" s="324">
        <v>7000</v>
      </c>
      <c r="W479" s="326">
        <f t="shared" si="134"/>
        <v>2</v>
      </c>
      <c r="X479" s="326">
        <f t="shared" si="135"/>
        <v>4905</v>
      </c>
      <c r="Y479" s="327">
        <v>4900</v>
      </c>
      <c r="Z479" s="328">
        <f t="shared" si="132"/>
        <v>3.5</v>
      </c>
      <c r="AA479" s="392"/>
      <c r="AB479" s="329">
        <v>0.81</v>
      </c>
      <c r="AC479" s="329">
        <v>0.28999999999999998</v>
      </c>
      <c r="AE479" s="332">
        <f t="shared" si="127"/>
        <v>13.608000000000002</v>
      </c>
      <c r="AF479" s="332">
        <f t="shared" si="128"/>
        <v>13.891500000000001</v>
      </c>
      <c r="AG479" s="332">
        <f t="shared" si="122"/>
        <v>-0.28349999999999831</v>
      </c>
      <c r="AH479" s="333">
        <f t="shared" si="123"/>
        <v>1.0208333333333333</v>
      </c>
      <c r="AI479" s="329">
        <f t="shared" si="138"/>
        <v>16.8</v>
      </c>
      <c r="AJ479" s="329">
        <f t="shared" si="136"/>
        <v>17.150000000000002</v>
      </c>
      <c r="AK479" s="329">
        <f t="shared" si="139"/>
        <v>-0.35000000000000142</v>
      </c>
      <c r="AL479" s="382">
        <f t="shared" si="140"/>
        <v>1.0208333333333335</v>
      </c>
    </row>
    <row r="480" spans="2:39" s="303" customFormat="1" ht="28.5" x14ac:dyDescent="0.2">
      <c r="B480" s="319">
        <f t="shared" si="130"/>
        <v>470</v>
      </c>
      <c r="C480" s="458" t="s">
        <v>200</v>
      </c>
      <c r="D480" s="342" t="s">
        <v>208</v>
      </c>
      <c r="E480" s="341" t="s">
        <v>214</v>
      </c>
      <c r="F480" s="341">
        <v>7</v>
      </c>
      <c r="G480" s="341">
        <v>26170</v>
      </c>
      <c r="H480" s="341" t="s">
        <v>173</v>
      </c>
      <c r="I480" s="341">
        <v>2400</v>
      </c>
      <c r="J480" s="2"/>
      <c r="K480" s="319">
        <v>128</v>
      </c>
      <c r="L480" s="321" t="s">
        <v>46</v>
      </c>
      <c r="M480" s="322" t="s">
        <v>47</v>
      </c>
      <c r="N480" s="321" t="s">
        <v>39</v>
      </c>
      <c r="O480" s="323" t="s">
        <v>186</v>
      </c>
      <c r="P480" s="321" t="s">
        <v>3</v>
      </c>
      <c r="Q480" s="2"/>
      <c r="R480" s="324">
        <f t="shared" si="137"/>
        <v>2400</v>
      </c>
      <c r="S480" s="325">
        <v>1</v>
      </c>
      <c r="T480" s="325">
        <f t="shared" si="133"/>
        <v>7</v>
      </c>
      <c r="V480" s="324">
        <v>7000</v>
      </c>
      <c r="W480" s="326">
        <f t="shared" si="134"/>
        <v>2</v>
      </c>
      <c r="X480" s="326">
        <f t="shared" si="135"/>
        <v>4905</v>
      </c>
      <c r="Y480" s="327">
        <v>4900</v>
      </c>
      <c r="Z480" s="328">
        <f t="shared" si="132"/>
        <v>3.5</v>
      </c>
      <c r="AA480" s="392"/>
      <c r="AB480" s="329">
        <v>0.91600000000000004</v>
      </c>
      <c r="AC480" s="329">
        <v>0.33900000000000002</v>
      </c>
      <c r="AE480" s="332">
        <f t="shared" si="127"/>
        <v>15.388800000000002</v>
      </c>
      <c r="AF480" s="332">
        <f t="shared" si="128"/>
        <v>15.709399999999999</v>
      </c>
      <c r="AG480" s="332">
        <f t="shared" si="122"/>
        <v>-0.32059999999999711</v>
      </c>
      <c r="AH480" s="333">
        <f t="shared" si="123"/>
        <v>1.020833333333333</v>
      </c>
      <c r="AI480" s="329">
        <f t="shared" si="138"/>
        <v>16.8</v>
      </c>
      <c r="AJ480" s="329">
        <f t="shared" si="136"/>
        <v>17.150000000000002</v>
      </c>
      <c r="AK480" s="329">
        <f t="shared" si="139"/>
        <v>-0.35000000000000142</v>
      </c>
      <c r="AL480" s="382">
        <f t="shared" si="140"/>
        <v>1.0208333333333335</v>
      </c>
    </row>
    <row r="481" spans="2:38" s="303" customFormat="1" ht="28.5" x14ac:dyDescent="0.2">
      <c r="B481" s="319">
        <f t="shared" si="130"/>
        <v>471</v>
      </c>
      <c r="C481" s="458" t="s">
        <v>200</v>
      </c>
      <c r="D481" s="342" t="s">
        <v>208</v>
      </c>
      <c r="E481" s="341" t="s">
        <v>214</v>
      </c>
      <c r="F481" s="341">
        <v>7</v>
      </c>
      <c r="G481" s="341">
        <v>26170</v>
      </c>
      <c r="H481" s="341" t="s">
        <v>173</v>
      </c>
      <c r="I481" s="341">
        <v>2400</v>
      </c>
      <c r="J481" s="2"/>
      <c r="K481" s="334">
        <v>128</v>
      </c>
      <c r="L481" s="337">
        <v>10926</v>
      </c>
      <c r="M481" s="336" t="s">
        <v>36</v>
      </c>
      <c r="N481" s="337" t="s">
        <v>6</v>
      </c>
      <c r="O481" s="323" t="s">
        <v>186</v>
      </c>
      <c r="P481" s="337" t="s">
        <v>187</v>
      </c>
      <c r="Q481" s="2"/>
      <c r="R481" s="324">
        <f t="shared" si="137"/>
        <v>2400</v>
      </c>
      <c r="S481" s="325">
        <v>1</v>
      </c>
      <c r="T481" s="325">
        <f t="shared" si="133"/>
        <v>7</v>
      </c>
      <c r="V481" s="324">
        <v>6100</v>
      </c>
      <c r="W481" s="339">
        <f t="shared" si="134"/>
        <v>2</v>
      </c>
      <c r="X481" s="339">
        <f t="shared" si="135"/>
        <v>4905</v>
      </c>
      <c r="Y481" s="327">
        <v>6100</v>
      </c>
      <c r="Z481" s="328">
        <f t="shared" si="132"/>
        <v>3.5</v>
      </c>
      <c r="AA481" s="392"/>
      <c r="AB481" s="329">
        <v>0.76700000000000002</v>
      </c>
      <c r="AC481" s="329"/>
      <c r="AE481" s="332">
        <f t="shared" si="127"/>
        <v>12.8856</v>
      </c>
      <c r="AF481" s="332">
        <f t="shared" si="128"/>
        <v>16.375450000000001</v>
      </c>
      <c r="AG481" s="332">
        <f t="shared" si="122"/>
        <v>-3.4898500000000006</v>
      </c>
      <c r="AH481" s="333">
        <f t="shared" si="123"/>
        <v>1.2708333333333335</v>
      </c>
      <c r="AI481" s="329">
        <f t="shared" si="138"/>
        <v>16.8</v>
      </c>
      <c r="AJ481" s="329">
        <f t="shared" si="136"/>
        <v>21.349999999999998</v>
      </c>
      <c r="AK481" s="329">
        <f t="shared" si="139"/>
        <v>-4.5499999999999972</v>
      </c>
      <c r="AL481" s="382">
        <f t="shared" si="140"/>
        <v>1.2708333333333333</v>
      </c>
    </row>
    <row r="482" spans="2:38" s="303" customFormat="1" ht="28.5" x14ac:dyDescent="0.2">
      <c r="B482" s="319">
        <f t="shared" si="130"/>
        <v>472</v>
      </c>
      <c r="C482" s="458" t="s">
        <v>200</v>
      </c>
      <c r="D482" s="342" t="s">
        <v>208</v>
      </c>
      <c r="E482" s="341" t="s">
        <v>214</v>
      </c>
      <c r="F482" s="341">
        <v>7</v>
      </c>
      <c r="G482" s="341">
        <v>26170</v>
      </c>
      <c r="H482" s="341" t="s">
        <v>173</v>
      </c>
      <c r="I482" s="341">
        <v>2400</v>
      </c>
      <c r="J482" s="2"/>
      <c r="K482" s="319">
        <v>128</v>
      </c>
      <c r="L482" s="321" t="s">
        <v>114</v>
      </c>
      <c r="M482" s="322" t="s">
        <v>115</v>
      </c>
      <c r="N482" s="321" t="s">
        <v>39</v>
      </c>
      <c r="O482" s="323" t="s">
        <v>186</v>
      </c>
      <c r="P482" s="321" t="s">
        <v>3</v>
      </c>
      <c r="Q482" s="2"/>
      <c r="R482" s="324">
        <f t="shared" si="137"/>
        <v>2400</v>
      </c>
      <c r="S482" s="325">
        <v>1</v>
      </c>
      <c r="T482" s="325">
        <f t="shared" si="133"/>
        <v>7</v>
      </c>
      <c r="V482" s="324">
        <v>7000</v>
      </c>
      <c r="W482" s="326">
        <f t="shared" si="134"/>
        <v>2</v>
      </c>
      <c r="X482" s="326">
        <f t="shared" si="135"/>
        <v>4905</v>
      </c>
      <c r="Y482" s="327">
        <v>4900</v>
      </c>
      <c r="Z482" s="328">
        <f t="shared" si="132"/>
        <v>3.5</v>
      </c>
      <c r="AA482" s="392"/>
      <c r="AB482" s="329">
        <v>0.83499999999999996</v>
      </c>
      <c r="AC482" s="329">
        <v>0.21299999999999999</v>
      </c>
      <c r="AE482" s="332">
        <f t="shared" si="127"/>
        <v>14.028</v>
      </c>
      <c r="AF482" s="332">
        <f t="shared" si="128"/>
        <v>14.320249999999998</v>
      </c>
      <c r="AG482" s="332">
        <f t="shared" si="122"/>
        <v>-0.29224999999999746</v>
      </c>
      <c r="AH482" s="333">
        <f t="shared" si="123"/>
        <v>1.0208333333333333</v>
      </c>
      <c r="AI482" s="329">
        <f t="shared" si="138"/>
        <v>16.8</v>
      </c>
      <c r="AJ482" s="329">
        <f t="shared" si="136"/>
        <v>17.150000000000002</v>
      </c>
      <c r="AK482" s="329">
        <f t="shared" si="139"/>
        <v>-0.35000000000000142</v>
      </c>
      <c r="AL482" s="382">
        <f t="shared" si="140"/>
        <v>1.0208333333333335</v>
      </c>
    </row>
    <row r="483" spans="2:38" s="303" customFormat="1" ht="28.5" x14ac:dyDescent="0.2">
      <c r="B483" s="319">
        <f t="shared" si="130"/>
        <v>473</v>
      </c>
      <c r="C483" s="458" t="s">
        <v>200</v>
      </c>
      <c r="D483" s="342" t="s">
        <v>208</v>
      </c>
      <c r="E483" s="341" t="s">
        <v>214</v>
      </c>
      <c r="F483" s="341">
        <v>7</v>
      </c>
      <c r="G483" s="341">
        <v>26170</v>
      </c>
      <c r="H483" s="341" t="s">
        <v>173</v>
      </c>
      <c r="I483" s="341">
        <v>2400</v>
      </c>
      <c r="J483" s="2"/>
      <c r="K483" s="319">
        <v>128</v>
      </c>
      <c r="L483" s="321" t="s">
        <v>50</v>
      </c>
      <c r="M483" s="322" t="s">
        <v>51</v>
      </c>
      <c r="N483" s="321" t="s">
        <v>39</v>
      </c>
      <c r="O483" s="323" t="s">
        <v>186</v>
      </c>
      <c r="P483" s="321" t="s">
        <v>3</v>
      </c>
      <c r="Q483" s="2"/>
      <c r="R483" s="324">
        <f t="shared" si="137"/>
        <v>2400</v>
      </c>
      <c r="S483" s="325">
        <v>1</v>
      </c>
      <c r="T483" s="325">
        <f t="shared" si="133"/>
        <v>7</v>
      </c>
      <c r="V483" s="324">
        <v>7000</v>
      </c>
      <c r="W483" s="326">
        <f t="shared" si="134"/>
        <v>2</v>
      </c>
      <c r="X483" s="326">
        <f t="shared" si="135"/>
        <v>4905</v>
      </c>
      <c r="Y483" s="327">
        <v>4900</v>
      </c>
      <c r="Z483" s="328">
        <f t="shared" si="132"/>
        <v>3.5</v>
      </c>
      <c r="AA483" s="387">
        <v>7</v>
      </c>
      <c r="AB483" s="395">
        <v>1.7110000000000001</v>
      </c>
      <c r="AC483" s="395">
        <v>0.34200000000000003</v>
      </c>
      <c r="AE483" s="332">
        <f t="shared" si="127"/>
        <v>28.744800000000001</v>
      </c>
      <c r="AF483" s="332">
        <f t="shared" si="128"/>
        <v>29.34365</v>
      </c>
      <c r="AG483" s="332">
        <f t="shared" si="122"/>
        <v>-0.59884999999999877</v>
      </c>
      <c r="AH483" s="333">
        <f t="shared" si="123"/>
        <v>1.0208333333333333</v>
      </c>
      <c r="AI483" s="329">
        <f t="shared" si="138"/>
        <v>16.8</v>
      </c>
      <c r="AJ483" s="329">
        <f t="shared" si="136"/>
        <v>17.150000000000002</v>
      </c>
      <c r="AK483" s="329">
        <f t="shared" si="139"/>
        <v>-0.35000000000000142</v>
      </c>
      <c r="AL483" s="382">
        <f t="shared" si="140"/>
        <v>1.0208333333333335</v>
      </c>
    </row>
    <row r="484" spans="2:38" s="303" customFormat="1" ht="28.5" x14ac:dyDescent="0.2">
      <c r="B484" s="319">
        <f t="shared" si="130"/>
        <v>474</v>
      </c>
      <c r="C484" s="459" t="s">
        <v>200</v>
      </c>
      <c r="D484" s="342" t="s">
        <v>208</v>
      </c>
      <c r="E484" s="341" t="s">
        <v>214</v>
      </c>
      <c r="F484" s="341">
        <v>7</v>
      </c>
      <c r="G484" s="341">
        <v>26170</v>
      </c>
      <c r="H484" s="341" t="s">
        <v>173</v>
      </c>
      <c r="I484" s="341">
        <v>2400</v>
      </c>
      <c r="J484" s="2"/>
      <c r="K484" s="319">
        <v>129</v>
      </c>
      <c r="L484" s="321">
        <v>20626</v>
      </c>
      <c r="M484" s="322" t="s">
        <v>44</v>
      </c>
      <c r="N484" s="321" t="s">
        <v>39</v>
      </c>
      <c r="O484" s="323" t="s">
        <v>186</v>
      </c>
      <c r="P484" s="321" t="s">
        <v>3</v>
      </c>
      <c r="Q484" s="2"/>
      <c r="R484" s="324">
        <f t="shared" si="137"/>
        <v>2400</v>
      </c>
      <c r="S484" s="325">
        <v>20</v>
      </c>
      <c r="T484" s="325">
        <f t="shared" si="133"/>
        <v>140</v>
      </c>
      <c r="V484" s="324">
        <v>7000</v>
      </c>
      <c r="W484" s="326">
        <f t="shared" si="134"/>
        <v>2</v>
      </c>
      <c r="X484" s="326">
        <f t="shared" si="135"/>
        <v>4905</v>
      </c>
      <c r="Y484" s="327">
        <v>4900</v>
      </c>
      <c r="Z484" s="328">
        <f t="shared" si="132"/>
        <v>70</v>
      </c>
      <c r="AA484" s="304"/>
      <c r="AB484" s="329">
        <v>2.7930000000000001</v>
      </c>
      <c r="AC484" s="329">
        <v>0.45068000000000003</v>
      </c>
      <c r="AE484" s="332">
        <f t="shared" si="127"/>
        <v>938.44800000000009</v>
      </c>
      <c r="AF484" s="332">
        <f t="shared" si="128"/>
        <v>957.99900000000002</v>
      </c>
      <c r="AG484" s="332">
        <f t="shared" ref="AG484:AG521" si="141">+AE484-AF484</f>
        <v>-19.550999999999931</v>
      </c>
      <c r="AH484" s="333">
        <f t="shared" ref="AH484:AH521" si="142">+AF484/AE484</f>
        <v>1.0208333333333333</v>
      </c>
      <c r="AI484" s="329">
        <f t="shared" si="138"/>
        <v>336</v>
      </c>
      <c r="AJ484" s="329">
        <f t="shared" si="136"/>
        <v>343</v>
      </c>
      <c r="AK484" s="329">
        <f t="shared" si="139"/>
        <v>-7</v>
      </c>
      <c r="AL484" s="382">
        <f t="shared" si="140"/>
        <v>1.0208333333333333</v>
      </c>
    </row>
    <row r="485" spans="2:38" s="303" customFormat="1" ht="28.5" x14ac:dyDescent="0.2">
      <c r="B485" s="319">
        <f t="shared" si="130"/>
        <v>475</v>
      </c>
      <c r="C485" s="458" t="s">
        <v>200</v>
      </c>
      <c r="D485" s="342" t="s">
        <v>208</v>
      </c>
      <c r="E485" s="341" t="s">
        <v>214</v>
      </c>
      <c r="F485" s="341">
        <v>7</v>
      </c>
      <c r="G485" s="341">
        <v>26170</v>
      </c>
      <c r="H485" s="341" t="s">
        <v>173</v>
      </c>
      <c r="I485" s="341">
        <v>2400</v>
      </c>
      <c r="J485" s="2"/>
      <c r="K485" s="319">
        <v>129</v>
      </c>
      <c r="L485" s="321">
        <v>21825</v>
      </c>
      <c r="M485" s="322" t="s">
        <v>45</v>
      </c>
      <c r="N485" s="321" t="s">
        <v>39</v>
      </c>
      <c r="O485" s="323" t="s">
        <v>186</v>
      </c>
      <c r="P485" s="321" t="s">
        <v>3</v>
      </c>
      <c r="Q485" s="2"/>
      <c r="R485" s="324">
        <f t="shared" si="137"/>
        <v>2400</v>
      </c>
      <c r="S485" s="325">
        <v>20</v>
      </c>
      <c r="T485" s="325">
        <f t="shared" si="133"/>
        <v>140</v>
      </c>
      <c r="V485" s="324">
        <v>7000</v>
      </c>
      <c r="W485" s="326">
        <f t="shared" si="134"/>
        <v>2</v>
      </c>
      <c r="X485" s="326">
        <f t="shared" si="135"/>
        <v>4905</v>
      </c>
      <c r="Y485" s="327">
        <v>4900</v>
      </c>
      <c r="Z485" s="328">
        <f t="shared" si="132"/>
        <v>70</v>
      </c>
      <c r="AA485" s="392"/>
      <c r="AB485" s="329">
        <v>0.999</v>
      </c>
      <c r="AC485" s="329">
        <v>0.2382</v>
      </c>
      <c r="AE485" s="332">
        <f t="shared" si="127"/>
        <v>335.66399999999999</v>
      </c>
      <c r="AF485" s="332">
        <f t="shared" si="128"/>
        <v>342.65699999999998</v>
      </c>
      <c r="AG485" s="332">
        <f t="shared" si="141"/>
        <v>-6.992999999999995</v>
      </c>
      <c r="AH485" s="333">
        <f t="shared" si="142"/>
        <v>1.0208333333333333</v>
      </c>
      <c r="AI485" s="329">
        <f t="shared" si="138"/>
        <v>336</v>
      </c>
      <c r="AJ485" s="329">
        <f t="shared" si="136"/>
        <v>343</v>
      </c>
      <c r="AK485" s="329">
        <f t="shared" si="139"/>
        <v>-7</v>
      </c>
      <c r="AL485" s="382">
        <f t="shared" si="140"/>
        <v>1.0208333333333333</v>
      </c>
    </row>
    <row r="486" spans="2:38" s="303" customFormat="1" ht="28.5" x14ac:dyDescent="0.2">
      <c r="B486" s="319">
        <f t="shared" si="130"/>
        <v>476</v>
      </c>
      <c r="C486" s="458" t="s">
        <v>200</v>
      </c>
      <c r="D486" s="342" t="s">
        <v>208</v>
      </c>
      <c r="E486" s="341" t="s">
        <v>214</v>
      </c>
      <c r="F486" s="341">
        <v>7</v>
      </c>
      <c r="G486" s="341">
        <v>26170</v>
      </c>
      <c r="H486" s="341" t="s">
        <v>173</v>
      </c>
      <c r="I486" s="341">
        <v>2400</v>
      </c>
      <c r="J486" s="2"/>
      <c r="K486" s="319">
        <v>129</v>
      </c>
      <c r="L486" s="321" t="s">
        <v>48</v>
      </c>
      <c r="M486" s="322" t="s">
        <v>49</v>
      </c>
      <c r="N486" s="321" t="s">
        <v>39</v>
      </c>
      <c r="O486" s="323" t="s">
        <v>186</v>
      </c>
      <c r="P486" s="321" t="s">
        <v>3</v>
      </c>
      <c r="Q486" s="2"/>
      <c r="R486" s="324">
        <f t="shared" si="137"/>
        <v>2400</v>
      </c>
      <c r="S486" s="325">
        <v>20</v>
      </c>
      <c r="T486" s="325">
        <f t="shared" si="133"/>
        <v>140</v>
      </c>
      <c r="V486" s="324">
        <v>7000</v>
      </c>
      <c r="W486" s="326">
        <f t="shared" si="134"/>
        <v>2</v>
      </c>
      <c r="X486" s="326">
        <f t="shared" si="135"/>
        <v>4905</v>
      </c>
      <c r="Y486" s="327">
        <v>4900</v>
      </c>
      <c r="Z486" s="328">
        <f t="shared" si="132"/>
        <v>70</v>
      </c>
      <c r="AA486" s="392"/>
      <c r="AB486" s="329">
        <v>0.81</v>
      </c>
      <c r="AC486" s="329">
        <v>0.28999999999999998</v>
      </c>
      <c r="AE486" s="332">
        <f t="shared" si="127"/>
        <v>272.16000000000003</v>
      </c>
      <c r="AF486" s="332">
        <f t="shared" si="128"/>
        <v>277.83000000000004</v>
      </c>
      <c r="AG486" s="332">
        <f t="shared" si="141"/>
        <v>-5.6700000000000159</v>
      </c>
      <c r="AH486" s="333">
        <f t="shared" si="142"/>
        <v>1.0208333333333335</v>
      </c>
      <c r="AI486" s="329">
        <f t="shared" si="138"/>
        <v>336</v>
      </c>
      <c r="AJ486" s="329">
        <f t="shared" si="136"/>
        <v>343</v>
      </c>
      <c r="AK486" s="329">
        <f t="shared" si="139"/>
        <v>-7</v>
      </c>
      <c r="AL486" s="382">
        <f t="shared" si="140"/>
        <v>1.0208333333333333</v>
      </c>
    </row>
    <row r="487" spans="2:38" s="303" customFormat="1" ht="28.5" x14ac:dyDescent="0.2">
      <c r="B487" s="319">
        <f t="shared" si="130"/>
        <v>477</v>
      </c>
      <c r="C487" s="458" t="s">
        <v>200</v>
      </c>
      <c r="D487" s="342" t="s">
        <v>208</v>
      </c>
      <c r="E487" s="341" t="s">
        <v>214</v>
      </c>
      <c r="F487" s="341">
        <v>7</v>
      </c>
      <c r="G487" s="341">
        <v>26170</v>
      </c>
      <c r="H487" s="341" t="s">
        <v>173</v>
      </c>
      <c r="I487" s="341">
        <v>2400</v>
      </c>
      <c r="J487" s="2"/>
      <c r="K487" s="319">
        <v>129</v>
      </c>
      <c r="L487" s="321" t="s">
        <v>46</v>
      </c>
      <c r="M487" s="322" t="s">
        <v>47</v>
      </c>
      <c r="N487" s="321" t="s">
        <v>39</v>
      </c>
      <c r="O487" s="323" t="s">
        <v>186</v>
      </c>
      <c r="P487" s="321" t="s">
        <v>3</v>
      </c>
      <c r="Q487" s="2"/>
      <c r="R487" s="324">
        <f t="shared" si="137"/>
        <v>2400</v>
      </c>
      <c r="S487" s="325">
        <v>20</v>
      </c>
      <c r="T487" s="325">
        <f t="shared" si="133"/>
        <v>140</v>
      </c>
      <c r="V487" s="324">
        <v>7000</v>
      </c>
      <c r="W487" s="326">
        <f t="shared" si="134"/>
        <v>2</v>
      </c>
      <c r="X487" s="326">
        <f t="shared" si="135"/>
        <v>4905</v>
      </c>
      <c r="Y487" s="327">
        <v>4900</v>
      </c>
      <c r="Z487" s="328">
        <f t="shared" si="132"/>
        <v>70</v>
      </c>
      <c r="AA487" s="392"/>
      <c r="AB487" s="329">
        <v>0.91600000000000004</v>
      </c>
      <c r="AC487" s="329">
        <v>0.33900000000000002</v>
      </c>
      <c r="AE487" s="332">
        <f t="shared" ref="AE487:AE521" si="143">(($R487/1000)*$T487)*$AB487</f>
        <v>307.77600000000001</v>
      </c>
      <c r="AF487" s="332">
        <f t="shared" ref="AF487:AF521" si="144">(($Y487*$Z487)/1000)*$AB487</f>
        <v>314.18799999999999</v>
      </c>
      <c r="AG487" s="332">
        <f t="shared" si="141"/>
        <v>-6.4119999999999777</v>
      </c>
      <c r="AH487" s="333">
        <f t="shared" si="142"/>
        <v>1.0208333333333333</v>
      </c>
      <c r="AI487" s="329">
        <f t="shared" si="138"/>
        <v>336</v>
      </c>
      <c r="AJ487" s="329">
        <f t="shared" si="136"/>
        <v>343</v>
      </c>
      <c r="AK487" s="329">
        <f t="shared" si="139"/>
        <v>-7</v>
      </c>
      <c r="AL487" s="382">
        <f t="shared" si="140"/>
        <v>1.0208333333333333</v>
      </c>
    </row>
    <row r="488" spans="2:38" s="303" customFormat="1" ht="28.5" x14ac:dyDescent="0.2">
      <c r="B488" s="319">
        <f t="shared" si="130"/>
        <v>478</v>
      </c>
      <c r="C488" s="459" t="s">
        <v>200</v>
      </c>
      <c r="D488" s="342" t="s">
        <v>208</v>
      </c>
      <c r="E488" s="341" t="s">
        <v>214</v>
      </c>
      <c r="F488" s="341">
        <v>7</v>
      </c>
      <c r="G488" s="341">
        <v>26170</v>
      </c>
      <c r="H488" s="341" t="s">
        <v>173</v>
      </c>
      <c r="I488" s="341">
        <v>2400</v>
      </c>
      <c r="J488" s="2"/>
      <c r="K488" s="319">
        <v>130</v>
      </c>
      <c r="L488" s="321">
        <v>20626</v>
      </c>
      <c r="M488" s="322" t="s">
        <v>44</v>
      </c>
      <c r="N488" s="321" t="s">
        <v>39</v>
      </c>
      <c r="O488" s="323" t="s">
        <v>186</v>
      </c>
      <c r="P488" s="321" t="s">
        <v>3</v>
      </c>
      <c r="Q488" s="2"/>
      <c r="R488" s="324">
        <f t="shared" si="137"/>
        <v>2400</v>
      </c>
      <c r="S488" s="325">
        <v>1</v>
      </c>
      <c r="T488" s="325">
        <f t="shared" si="133"/>
        <v>7</v>
      </c>
      <c r="V488" s="324">
        <v>7000</v>
      </c>
      <c r="W488" s="326">
        <f t="shared" si="134"/>
        <v>2</v>
      </c>
      <c r="X488" s="326">
        <f t="shared" si="135"/>
        <v>4905</v>
      </c>
      <c r="Y488" s="327">
        <v>4900</v>
      </c>
      <c r="Z488" s="328">
        <f t="shared" si="132"/>
        <v>3.5</v>
      </c>
      <c r="AA488" s="387">
        <v>80.5</v>
      </c>
      <c r="AB488" s="329">
        <v>2.7930000000000001</v>
      </c>
      <c r="AC488" s="329">
        <v>0.45068000000000003</v>
      </c>
      <c r="AE488" s="332">
        <f t="shared" si="143"/>
        <v>46.922400000000003</v>
      </c>
      <c r="AF488" s="332">
        <f t="shared" si="144"/>
        <v>47.899949999999997</v>
      </c>
      <c r="AG488" s="332">
        <f t="shared" si="141"/>
        <v>-0.9775499999999937</v>
      </c>
      <c r="AH488" s="333">
        <f t="shared" si="142"/>
        <v>1.0208333333333333</v>
      </c>
      <c r="AI488" s="329">
        <f t="shared" si="138"/>
        <v>16.8</v>
      </c>
      <c r="AJ488" s="329">
        <f t="shared" si="136"/>
        <v>17.150000000000002</v>
      </c>
      <c r="AK488" s="329">
        <f t="shared" si="139"/>
        <v>-0.35000000000000142</v>
      </c>
      <c r="AL488" s="382">
        <f t="shared" si="140"/>
        <v>1.0208333333333335</v>
      </c>
    </row>
    <row r="489" spans="2:38" s="303" customFormat="1" ht="28.5" x14ac:dyDescent="0.2">
      <c r="B489" s="319">
        <f t="shared" si="130"/>
        <v>479</v>
      </c>
      <c r="C489" s="458" t="s">
        <v>200</v>
      </c>
      <c r="D489" s="342" t="s">
        <v>208</v>
      </c>
      <c r="E489" s="341" t="s">
        <v>214</v>
      </c>
      <c r="F489" s="341">
        <v>7</v>
      </c>
      <c r="G489" s="341">
        <v>26170</v>
      </c>
      <c r="H489" s="341" t="s">
        <v>173</v>
      </c>
      <c r="I489" s="341">
        <v>2400</v>
      </c>
      <c r="J489" s="2"/>
      <c r="K489" s="319">
        <v>130</v>
      </c>
      <c r="L489" s="321">
        <v>21825</v>
      </c>
      <c r="M489" s="322" t="s">
        <v>45</v>
      </c>
      <c r="N489" s="321" t="s">
        <v>39</v>
      </c>
      <c r="O489" s="323" t="s">
        <v>186</v>
      </c>
      <c r="P489" s="321" t="s">
        <v>3</v>
      </c>
      <c r="Q489" s="2"/>
      <c r="R489" s="324">
        <f t="shared" si="137"/>
        <v>2400</v>
      </c>
      <c r="S489" s="325">
        <v>1</v>
      </c>
      <c r="T489" s="325">
        <f t="shared" si="133"/>
        <v>7</v>
      </c>
      <c r="V489" s="324">
        <v>7000</v>
      </c>
      <c r="W489" s="326">
        <f t="shared" si="134"/>
        <v>2</v>
      </c>
      <c r="X489" s="326">
        <f t="shared" si="135"/>
        <v>4905</v>
      </c>
      <c r="Y489" s="327">
        <v>4900</v>
      </c>
      <c r="Z489" s="328">
        <f t="shared" si="132"/>
        <v>3.5</v>
      </c>
      <c r="AA489" s="392"/>
      <c r="AB489" s="329">
        <v>0.999</v>
      </c>
      <c r="AC489" s="329">
        <v>0.2382</v>
      </c>
      <c r="AE489" s="332">
        <f t="shared" si="143"/>
        <v>16.783200000000001</v>
      </c>
      <c r="AF489" s="332">
        <f t="shared" si="144"/>
        <v>17.132849999999998</v>
      </c>
      <c r="AG489" s="332">
        <f t="shared" si="141"/>
        <v>-0.34964999999999691</v>
      </c>
      <c r="AH489" s="333">
        <f t="shared" si="142"/>
        <v>1.020833333333333</v>
      </c>
      <c r="AI489" s="329">
        <f t="shared" si="138"/>
        <v>16.8</v>
      </c>
      <c r="AJ489" s="329">
        <f t="shared" si="136"/>
        <v>17.150000000000002</v>
      </c>
      <c r="AK489" s="329">
        <f t="shared" si="139"/>
        <v>-0.35000000000000142</v>
      </c>
      <c r="AL489" s="382">
        <f t="shared" si="140"/>
        <v>1.0208333333333335</v>
      </c>
    </row>
    <row r="490" spans="2:38" s="303" customFormat="1" ht="28.5" x14ac:dyDescent="0.2">
      <c r="B490" s="319">
        <f t="shared" si="130"/>
        <v>480</v>
      </c>
      <c r="C490" s="458" t="s">
        <v>200</v>
      </c>
      <c r="D490" s="342" t="s">
        <v>208</v>
      </c>
      <c r="E490" s="341" t="s">
        <v>214</v>
      </c>
      <c r="F490" s="341">
        <v>7</v>
      </c>
      <c r="G490" s="341">
        <v>26170</v>
      </c>
      <c r="H490" s="341" t="s">
        <v>173</v>
      </c>
      <c r="I490" s="341">
        <v>2400</v>
      </c>
      <c r="J490" s="2"/>
      <c r="K490" s="319">
        <v>130</v>
      </c>
      <c r="L490" s="321" t="s">
        <v>48</v>
      </c>
      <c r="M490" s="322" t="s">
        <v>49</v>
      </c>
      <c r="N490" s="321" t="s">
        <v>39</v>
      </c>
      <c r="O490" s="323" t="s">
        <v>186</v>
      </c>
      <c r="P490" s="321" t="s">
        <v>3</v>
      </c>
      <c r="Q490" s="2"/>
      <c r="R490" s="324">
        <f t="shared" si="137"/>
        <v>2400</v>
      </c>
      <c r="S490" s="325">
        <v>1</v>
      </c>
      <c r="T490" s="325">
        <f t="shared" si="133"/>
        <v>7</v>
      </c>
      <c r="V490" s="324">
        <v>7000</v>
      </c>
      <c r="W490" s="326">
        <f t="shared" si="134"/>
        <v>2</v>
      </c>
      <c r="X490" s="326">
        <f t="shared" si="135"/>
        <v>4905</v>
      </c>
      <c r="Y490" s="327">
        <v>4900</v>
      </c>
      <c r="Z490" s="328">
        <f t="shared" si="132"/>
        <v>3.5</v>
      </c>
      <c r="AA490" s="392"/>
      <c r="AB490" s="329">
        <v>0.81</v>
      </c>
      <c r="AC490" s="329">
        <v>0.28999999999999998</v>
      </c>
      <c r="AE490" s="332">
        <f t="shared" si="143"/>
        <v>13.608000000000002</v>
      </c>
      <c r="AF490" s="332">
        <f t="shared" si="144"/>
        <v>13.891500000000001</v>
      </c>
      <c r="AG490" s="332">
        <f t="shared" si="141"/>
        <v>-0.28349999999999831</v>
      </c>
      <c r="AH490" s="333">
        <f t="shared" si="142"/>
        <v>1.0208333333333333</v>
      </c>
      <c r="AI490" s="329">
        <f t="shared" si="138"/>
        <v>16.8</v>
      </c>
      <c r="AJ490" s="329">
        <f t="shared" si="136"/>
        <v>17.150000000000002</v>
      </c>
      <c r="AK490" s="329">
        <f t="shared" si="139"/>
        <v>-0.35000000000000142</v>
      </c>
      <c r="AL490" s="382">
        <f t="shared" si="140"/>
        <v>1.0208333333333335</v>
      </c>
    </row>
    <row r="491" spans="2:38" s="303" customFormat="1" ht="28.5" x14ac:dyDescent="0.2">
      <c r="B491" s="319">
        <f t="shared" si="130"/>
        <v>481</v>
      </c>
      <c r="C491" s="458" t="s">
        <v>200</v>
      </c>
      <c r="D491" s="342" t="s">
        <v>208</v>
      </c>
      <c r="E491" s="341" t="s">
        <v>214</v>
      </c>
      <c r="F491" s="341">
        <v>7</v>
      </c>
      <c r="G491" s="341">
        <v>26170</v>
      </c>
      <c r="H491" s="341" t="s">
        <v>173</v>
      </c>
      <c r="I491" s="341">
        <v>2400</v>
      </c>
      <c r="J491" s="2"/>
      <c r="K491" s="319">
        <v>130</v>
      </c>
      <c r="L491" s="321" t="s">
        <v>46</v>
      </c>
      <c r="M491" s="322" t="s">
        <v>47</v>
      </c>
      <c r="N491" s="321" t="s">
        <v>39</v>
      </c>
      <c r="O491" s="323" t="s">
        <v>186</v>
      </c>
      <c r="P491" s="321" t="s">
        <v>3</v>
      </c>
      <c r="Q491" s="2"/>
      <c r="R491" s="324">
        <f t="shared" si="137"/>
        <v>2400</v>
      </c>
      <c r="S491" s="325">
        <v>1</v>
      </c>
      <c r="T491" s="325">
        <f t="shared" si="133"/>
        <v>7</v>
      </c>
      <c r="V491" s="324">
        <v>7000</v>
      </c>
      <c r="W491" s="326">
        <f t="shared" si="134"/>
        <v>2</v>
      </c>
      <c r="X491" s="326">
        <f t="shared" si="135"/>
        <v>4905</v>
      </c>
      <c r="Y491" s="327">
        <v>4900</v>
      </c>
      <c r="Z491" s="328">
        <f t="shared" si="132"/>
        <v>3.5</v>
      </c>
      <c r="AA491" s="392"/>
      <c r="AB491" s="329">
        <v>0.91600000000000004</v>
      </c>
      <c r="AC491" s="329">
        <v>0.33900000000000002</v>
      </c>
      <c r="AE491" s="332">
        <f t="shared" si="143"/>
        <v>15.388800000000002</v>
      </c>
      <c r="AF491" s="332">
        <f t="shared" si="144"/>
        <v>15.709399999999999</v>
      </c>
      <c r="AG491" s="332">
        <f t="shared" si="141"/>
        <v>-0.32059999999999711</v>
      </c>
      <c r="AH491" s="333">
        <f t="shared" si="142"/>
        <v>1.020833333333333</v>
      </c>
      <c r="AI491" s="329">
        <f t="shared" si="138"/>
        <v>16.8</v>
      </c>
      <c r="AJ491" s="329">
        <f t="shared" si="136"/>
        <v>17.150000000000002</v>
      </c>
      <c r="AK491" s="329">
        <f t="shared" si="139"/>
        <v>-0.35000000000000142</v>
      </c>
      <c r="AL491" s="382">
        <f t="shared" si="140"/>
        <v>1.0208333333333335</v>
      </c>
    </row>
    <row r="492" spans="2:38" s="303" customFormat="1" ht="28.5" x14ac:dyDescent="0.2">
      <c r="B492" s="319">
        <f t="shared" si="130"/>
        <v>482</v>
      </c>
      <c r="C492" s="458" t="s">
        <v>200</v>
      </c>
      <c r="D492" s="342" t="s">
        <v>208</v>
      </c>
      <c r="E492" s="341" t="s">
        <v>214</v>
      </c>
      <c r="F492" s="341">
        <v>7</v>
      </c>
      <c r="G492" s="341">
        <v>26170</v>
      </c>
      <c r="H492" s="341" t="s">
        <v>173</v>
      </c>
      <c r="I492" s="341">
        <v>2400</v>
      </c>
      <c r="J492" s="2"/>
      <c r="K492" s="334">
        <v>130</v>
      </c>
      <c r="L492" s="335" t="s">
        <v>121</v>
      </c>
      <c r="M492" s="336" t="s">
        <v>203</v>
      </c>
      <c r="N492" s="337" t="s">
        <v>6</v>
      </c>
      <c r="O492" s="323" t="s">
        <v>186</v>
      </c>
      <c r="P492" s="337" t="s">
        <v>187</v>
      </c>
      <c r="Q492" s="2"/>
      <c r="R492" s="324">
        <f t="shared" si="137"/>
        <v>2400</v>
      </c>
      <c r="S492" s="325">
        <v>1</v>
      </c>
      <c r="T492" s="325">
        <f t="shared" si="133"/>
        <v>7</v>
      </c>
      <c r="V492" s="338">
        <v>3660</v>
      </c>
      <c r="W492" s="339">
        <f t="shared" si="134"/>
        <v>1</v>
      </c>
      <c r="X492" s="339">
        <f t="shared" si="135"/>
        <v>2500</v>
      </c>
      <c r="Y492" s="327">
        <v>3660</v>
      </c>
      <c r="Z492" s="340">
        <f>($R492*$T492)/$V492</f>
        <v>4.5901639344262293</v>
      </c>
      <c r="AA492" s="392"/>
      <c r="AB492" s="329">
        <v>0.84899999999999998</v>
      </c>
      <c r="AC492" s="329">
        <v>0</v>
      </c>
      <c r="AE492" s="332">
        <f t="shared" si="143"/>
        <v>14.263199999999999</v>
      </c>
      <c r="AF492" s="332">
        <f t="shared" si="144"/>
        <v>14.263199999999999</v>
      </c>
      <c r="AG492" s="332">
        <f t="shared" si="141"/>
        <v>0</v>
      </c>
      <c r="AH492" s="333">
        <f t="shared" si="142"/>
        <v>1</v>
      </c>
      <c r="AI492" s="329">
        <f t="shared" si="138"/>
        <v>16.8</v>
      </c>
      <c r="AJ492" s="329">
        <f t="shared" si="136"/>
        <v>16.8</v>
      </c>
      <c r="AK492" s="329">
        <f t="shared" si="139"/>
        <v>0</v>
      </c>
      <c r="AL492" s="382">
        <f t="shared" si="140"/>
        <v>1</v>
      </c>
    </row>
    <row r="493" spans="2:38" s="303" customFormat="1" ht="28.5" x14ac:dyDescent="0.2">
      <c r="B493" s="319">
        <f t="shared" si="130"/>
        <v>483</v>
      </c>
      <c r="C493" s="459" t="s">
        <v>200</v>
      </c>
      <c r="D493" s="342" t="s">
        <v>208</v>
      </c>
      <c r="E493" s="341" t="s">
        <v>214</v>
      </c>
      <c r="F493" s="341">
        <v>7</v>
      </c>
      <c r="G493" s="341">
        <v>26170</v>
      </c>
      <c r="H493" s="341" t="s">
        <v>173</v>
      </c>
      <c r="I493" s="341">
        <v>2400</v>
      </c>
      <c r="J493" s="2"/>
      <c r="K493" s="319">
        <v>123</v>
      </c>
      <c r="L493" s="321" t="s">
        <v>124</v>
      </c>
      <c r="M493" s="322" t="s">
        <v>125</v>
      </c>
      <c r="N493" s="321" t="s">
        <v>39</v>
      </c>
      <c r="O493" s="323" t="s">
        <v>188</v>
      </c>
      <c r="P493" s="321" t="s">
        <v>3</v>
      </c>
      <c r="Q493" s="2"/>
      <c r="R493" s="324">
        <f>ROUNDUP(((G493-(600*2))/20),0)</f>
        <v>1249</v>
      </c>
      <c r="S493" s="325">
        <v>20</v>
      </c>
      <c r="T493" s="325">
        <f t="shared" si="133"/>
        <v>140</v>
      </c>
      <c r="V493" s="324">
        <v>7000</v>
      </c>
      <c r="W493" s="326">
        <f t="shared" si="134"/>
        <v>5</v>
      </c>
      <c r="X493" s="326">
        <f t="shared" si="135"/>
        <v>6365</v>
      </c>
      <c r="Y493" s="327">
        <v>6400</v>
      </c>
      <c r="Z493" s="328">
        <f t="shared" si="132"/>
        <v>28</v>
      </c>
      <c r="AA493" s="304"/>
      <c r="AB493" s="329">
        <v>2.109</v>
      </c>
      <c r="AC493" s="329">
        <v>0.70199999999999996</v>
      </c>
      <c r="AE493" s="332">
        <f t="shared" si="143"/>
        <v>368.77974</v>
      </c>
      <c r="AF493" s="332">
        <f t="shared" si="144"/>
        <v>377.93279999999999</v>
      </c>
      <c r="AG493" s="332">
        <f t="shared" si="141"/>
        <v>-9.1530599999999822</v>
      </c>
      <c r="AH493" s="333">
        <f t="shared" si="142"/>
        <v>1.0248198558847077</v>
      </c>
      <c r="AI493" s="329">
        <f t="shared" si="138"/>
        <v>174.86</v>
      </c>
      <c r="AJ493" s="329">
        <f t="shared" si="136"/>
        <v>179.20000000000002</v>
      </c>
      <c r="AK493" s="329">
        <f t="shared" si="139"/>
        <v>-4.3400000000000034</v>
      </c>
      <c r="AL493" s="382">
        <f t="shared" si="140"/>
        <v>1.0248198558847077</v>
      </c>
    </row>
    <row r="494" spans="2:38" s="303" customFormat="1" ht="28.5" x14ac:dyDescent="0.2">
      <c r="B494" s="319">
        <f t="shared" si="130"/>
        <v>484</v>
      </c>
      <c r="C494" s="459" t="s">
        <v>200</v>
      </c>
      <c r="D494" s="342" t="s">
        <v>208</v>
      </c>
      <c r="E494" s="341" t="s">
        <v>214</v>
      </c>
      <c r="F494" s="341">
        <v>7</v>
      </c>
      <c r="G494" s="341">
        <v>26170</v>
      </c>
      <c r="H494" s="341" t="s">
        <v>173</v>
      </c>
      <c r="I494" s="341">
        <v>2400</v>
      </c>
      <c r="J494" s="2"/>
      <c r="K494" s="319">
        <v>123</v>
      </c>
      <c r="L494" s="321" t="s">
        <v>126</v>
      </c>
      <c r="M494" s="322" t="s">
        <v>127</v>
      </c>
      <c r="N494" s="321" t="s">
        <v>39</v>
      </c>
      <c r="O494" s="323" t="s">
        <v>188</v>
      </c>
      <c r="P494" s="321" t="s">
        <v>3</v>
      </c>
      <c r="Q494" s="2"/>
      <c r="R494" s="324">
        <f>ROUNDUP(((G494-(600*2))/20),0)</f>
        <v>1249</v>
      </c>
      <c r="S494" s="325">
        <v>20</v>
      </c>
      <c r="T494" s="325">
        <f t="shared" si="133"/>
        <v>140</v>
      </c>
      <c r="V494" s="324">
        <v>7000</v>
      </c>
      <c r="W494" s="326">
        <f t="shared" si="134"/>
        <v>5</v>
      </c>
      <c r="X494" s="326">
        <f t="shared" si="135"/>
        <v>6365</v>
      </c>
      <c r="Y494" s="327">
        <v>6400</v>
      </c>
      <c r="Z494" s="328">
        <f t="shared" si="132"/>
        <v>28</v>
      </c>
      <c r="AA494" s="392"/>
      <c r="AB494" s="329">
        <v>0.88800000000000001</v>
      </c>
      <c r="AC494" s="329">
        <v>0.34</v>
      </c>
      <c r="AE494" s="332">
        <f t="shared" si="143"/>
        <v>155.27568000000002</v>
      </c>
      <c r="AF494" s="332">
        <f t="shared" si="144"/>
        <v>159.12959999999998</v>
      </c>
      <c r="AG494" s="332">
        <f t="shared" si="141"/>
        <v>-3.8539199999999596</v>
      </c>
      <c r="AH494" s="333">
        <f t="shared" si="142"/>
        <v>1.0248198558847075</v>
      </c>
      <c r="AI494" s="329">
        <f t="shared" si="138"/>
        <v>174.86</v>
      </c>
      <c r="AJ494" s="329">
        <f t="shared" si="136"/>
        <v>179.20000000000002</v>
      </c>
      <c r="AK494" s="329">
        <f t="shared" si="139"/>
        <v>-4.3400000000000034</v>
      </c>
      <c r="AL494" s="382">
        <f t="shared" si="140"/>
        <v>1.0248198558847077</v>
      </c>
    </row>
    <row r="495" spans="2:38" s="303" customFormat="1" ht="28.5" x14ac:dyDescent="0.2">
      <c r="B495" s="319">
        <f t="shared" si="130"/>
        <v>485</v>
      </c>
      <c r="C495" s="459" t="s">
        <v>200</v>
      </c>
      <c r="D495" s="342" t="s">
        <v>208</v>
      </c>
      <c r="E495" s="341" t="s">
        <v>214</v>
      </c>
      <c r="F495" s="341">
        <v>7</v>
      </c>
      <c r="G495" s="341">
        <v>26170</v>
      </c>
      <c r="H495" s="341" t="s">
        <v>173</v>
      </c>
      <c r="I495" s="341">
        <v>2400</v>
      </c>
      <c r="J495" s="2"/>
      <c r="K495" s="319">
        <v>123</v>
      </c>
      <c r="L495" s="321" t="s">
        <v>48</v>
      </c>
      <c r="M495" s="322" t="s">
        <v>49</v>
      </c>
      <c r="N495" s="321" t="s">
        <v>39</v>
      </c>
      <c r="O495" s="323" t="s">
        <v>188</v>
      </c>
      <c r="P495" s="321" t="s">
        <v>3</v>
      </c>
      <c r="Q495" s="2"/>
      <c r="R495" s="324">
        <f>ROUNDUP(((G495-(600*2))/20),0)</f>
        <v>1249</v>
      </c>
      <c r="S495" s="325">
        <v>20</v>
      </c>
      <c r="T495" s="325">
        <f t="shared" si="133"/>
        <v>140</v>
      </c>
      <c r="V495" s="324">
        <v>7000</v>
      </c>
      <c r="W495" s="326">
        <f t="shared" si="134"/>
        <v>5</v>
      </c>
      <c r="X495" s="326">
        <f t="shared" si="135"/>
        <v>6365</v>
      </c>
      <c r="Y495" s="327">
        <v>6400</v>
      </c>
      <c r="Z495" s="328">
        <f t="shared" si="132"/>
        <v>28</v>
      </c>
      <c r="AA495" s="392"/>
      <c r="AB495" s="329">
        <v>0.81</v>
      </c>
      <c r="AC495" s="329">
        <v>0.28999999999999998</v>
      </c>
      <c r="AE495" s="332">
        <f t="shared" si="143"/>
        <v>141.63660000000002</v>
      </c>
      <c r="AF495" s="332">
        <f t="shared" si="144"/>
        <v>145.15199999999999</v>
      </c>
      <c r="AG495" s="332">
        <f t="shared" si="141"/>
        <v>-3.5153999999999712</v>
      </c>
      <c r="AH495" s="333">
        <f t="shared" si="142"/>
        <v>1.0248198558847075</v>
      </c>
      <c r="AI495" s="329">
        <f t="shared" si="138"/>
        <v>174.86</v>
      </c>
      <c r="AJ495" s="329">
        <f t="shared" si="136"/>
        <v>179.20000000000002</v>
      </c>
      <c r="AK495" s="329">
        <f t="shared" si="139"/>
        <v>-4.3400000000000034</v>
      </c>
      <c r="AL495" s="382">
        <f t="shared" si="140"/>
        <v>1.0248198558847077</v>
      </c>
    </row>
    <row r="496" spans="2:38" s="303" customFormat="1" ht="28.5" x14ac:dyDescent="0.2">
      <c r="B496" s="319">
        <f t="shared" si="130"/>
        <v>486</v>
      </c>
      <c r="C496" s="459" t="s">
        <v>200</v>
      </c>
      <c r="D496" s="342" t="s">
        <v>208</v>
      </c>
      <c r="E496" s="341" t="s">
        <v>214</v>
      </c>
      <c r="F496" s="341">
        <v>7</v>
      </c>
      <c r="G496" s="341">
        <v>26170</v>
      </c>
      <c r="H496" s="341" t="s">
        <v>173</v>
      </c>
      <c r="I496" s="341">
        <v>2400</v>
      </c>
      <c r="J496" s="2"/>
      <c r="K496" s="319">
        <v>123</v>
      </c>
      <c r="L496" s="321" t="s">
        <v>46</v>
      </c>
      <c r="M496" s="322" t="s">
        <v>47</v>
      </c>
      <c r="N496" s="321" t="s">
        <v>39</v>
      </c>
      <c r="O496" s="323" t="s">
        <v>188</v>
      </c>
      <c r="P496" s="321" t="s">
        <v>3</v>
      </c>
      <c r="Q496" s="2"/>
      <c r="R496" s="324">
        <f>ROUNDUP(((G496-(600*2))/20),0)</f>
        <v>1249</v>
      </c>
      <c r="S496" s="325">
        <v>20</v>
      </c>
      <c r="T496" s="325">
        <f t="shared" si="133"/>
        <v>140</v>
      </c>
      <c r="V496" s="324">
        <v>7000</v>
      </c>
      <c r="W496" s="326">
        <f t="shared" si="134"/>
        <v>5</v>
      </c>
      <c r="X496" s="326">
        <f t="shared" si="135"/>
        <v>6365</v>
      </c>
      <c r="Y496" s="327">
        <v>6400</v>
      </c>
      <c r="Z496" s="328">
        <f t="shared" si="132"/>
        <v>28</v>
      </c>
      <c r="AA496" s="392"/>
      <c r="AB496" s="329">
        <v>0.91600000000000004</v>
      </c>
      <c r="AC496" s="329">
        <v>0.33900000000000002</v>
      </c>
      <c r="AE496" s="332">
        <f t="shared" si="143"/>
        <v>160.17176000000001</v>
      </c>
      <c r="AF496" s="332">
        <f t="shared" si="144"/>
        <v>164.1472</v>
      </c>
      <c r="AG496" s="332">
        <f t="shared" si="141"/>
        <v>-3.9754399999999919</v>
      </c>
      <c r="AH496" s="333">
        <f t="shared" si="142"/>
        <v>1.0248198558847077</v>
      </c>
      <c r="AI496" s="329">
        <f t="shared" si="138"/>
        <v>174.86</v>
      </c>
      <c r="AJ496" s="329">
        <f t="shared" si="136"/>
        <v>179.20000000000002</v>
      </c>
      <c r="AK496" s="329">
        <f t="shared" si="139"/>
        <v>-4.3400000000000034</v>
      </c>
      <c r="AL496" s="382">
        <f t="shared" si="140"/>
        <v>1.0248198558847077</v>
      </c>
    </row>
    <row r="497" spans="2:38" s="303" customFormat="1" ht="28.5" x14ac:dyDescent="0.2">
      <c r="B497" s="319">
        <f t="shared" si="130"/>
        <v>487</v>
      </c>
      <c r="C497" s="459" t="s">
        <v>200</v>
      </c>
      <c r="D497" s="342" t="s">
        <v>208</v>
      </c>
      <c r="E497" s="341" t="s">
        <v>214</v>
      </c>
      <c r="F497" s="341">
        <v>7</v>
      </c>
      <c r="G497" s="341">
        <v>26170</v>
      </c>
      <c r="H497" s="341" t="s">
        <v>173</v>
      </c>
      <c r="I497" s="341">
        <v>2400</v>
      </c>
      <c r="J497" s="2"/>
      <c r="K497" s="468">
        <v>123</v>
      </c>
      <c r="L497" s="417">
        <v>21825</v>
      </c>
      <c r="M497" s="416" t="s">
        <v>45</v>
      </c>
      <c r="N497" s="417" t="s">
        <v>39</v>
      </c>
      <c r="O497" s="323" t="s">
        <v>188</v>
      </c>
      <c r="P497" s="321" t="s">
        <v>3</v>
      </c>
      <c r="Q497" s="2"/>
      <c r="R497" s="324">
        <f>ROUNDUP(((G497-(600*2))/20),0)</f>
        <v>1249</v>
      </c>
      <c r="S497" s="325">
        <v>20</v>
      </c>
      <c r="T497" s="325">
        <f t="shared" si="133"/>
        <v>140</v>
      </c>
      <c r="V497" s="324">
        <v>7000</v>
      </c>
      <c r="W497" s="326">
        <f t="shared" si="134"/>
        <v>5</v>
      </c>
      <c r="X497" s="326">
        <f t="shared" si="135"/>
        <v>6365</v>
      </c>
      <c r="Y497" s="327">
        <v>6400</v>
      </c>
      <c r="Z497" s="328">
        <f t="shared" si="132"/>
        <v>28</v>
      </c>
      <c r="AA497" s="392"/>
      <c r="AB497" s="329">
        <v>0.999</v>
      </c>
      <c r="AC497" s="329">
        <v>0.2382</v>
      </c>
      <c r="AE497" s="332">
        <f t="shared" si="143"/>
        <v>174.68514000000002</v>
      </c>
      <c r="AF497" s="332">
        <f t="shared" si="144"/>
        <v>179.02079999999998</v>
      </c>
      <c r="AG497" s="332">
        <f t="shared" si="141"/>
        <v>-4.3356599999999617</v>
      </c>
      <c r="AH497" s="333">
        <f t="shared" si="142"/>
        <v>1.0248198558847075</v>
      </c>
      <c r="AI497" s="329">
        <f t="shared" si="138"/>
        <v>174.86</v>
      </c>
      <c r="AJ497" s="329">
        <f t="shared" si="136"/>
        <v>179.20000000000002</v>
      </c>
      <c r="AK497" s="329">
        <f t="shared" si="139"/>
        <v>-4.3400000000000034</v>
      </c>
      <c r="AL497" s="382">
        <f t="shared" si="140"/>
        <v>1.0248198558847077</v>
      </c>
    </row>
    <row r="498" spans="2:38" s="303" customFormat="1" ht="28.5" x14ac:dyDescent="0.2">
      <c r="B498" s="319">
        <f t="shared" si="130"/>
        <v>488</v>
      </c>
      <c r="C498" s="459" t="s">
        <v>200</v>
      </c>
      <c r="D498" s="342" t="s">
        <v>208</v>
      </c>
      <c r="E498" s="341" t="s">
        <v>214</v>
      </c>
      <c r="F498" s="341">
        <v>7</v>
      </c>
      <c r="G498" s="341">
        <v>26170</v>
      </c>
      <c r="H498" s="341" t="s">
        <v>173</v>
      </c>
      <c r="I498" s="341">
        <v>2400</v>
      </c>
      <c r="J498" s="2"/>
      <c r="K498" s="334">
        <v>123</v>
      </c>
      <c r="L498" s="335" t="s">
        <v>121</v>
      </c>
      <c r="M498" s="336" t="s">
        <v>203</v>
      </c>
      <c r="N498" s="337" t="s">
        <v>6</v>
      </c>
      <c r="O498" s="323" t="s">
        <v>188</v>
      </c>
      <c r="P498" s="337" t="s">
        <v>187</v>
      </c>
      <c r="Q498" s="2"/>
      <c r="R498" s="324">
        <f>ROUNDUP((2270*2),0)</f>
        <v>4540</v>
      </c>
      <c r="S498" s="325">
        <v>6</v>
      </c>
      <c r="T498" s="325">
        <f t="shared" si="133"/>
        <v>42</v>
      </c>
      <c r="V498" s="338">
        <v>3660</v>
      </c>
      <c r="W498" s="339">
        <f t="shared" si="134"/>
        <v>0</v>
      </c>
      <c r="X498" s="339">
        <f t="shared" si="135"/>
        <v>95</v>
      </c>
      <c r="Y498" s="327">
        <v>3660</v>
      </c>
      <c r="Z498" s="340">
        <f>($R498*$T498)/$V498</f>
        <v>52.098360655737707</v>
      </c>
      <c r="AA498" s="392"/>
      <c r="AB498" s="329">
        <v>0.84899999999999998</v>
      </c>
      <c r="AC498" s="329">
        <v>0</v>
      </c>
      <c r="AE498" s="332">
        <f t="shared" si="143"/>
        <v>161.88731999999999</v>
      </c>
      <c r="AF498" s="332">
        <f t="shared" si="144"/>
        <v>161.88731999999999</v>
      </c>
      <c r="AG498" s="332">
        <f t="shared" si="141"/>
        <v>0</v>
      </c>
      <c r="AH498" s="333">
        <f t="shared" si="142"/>
        <v>1</v>
      </c>
      <c r="AI498" s="329">
        <f t="shared" si="138"/>
        <v>190.68</v>
      </c>
      <c r="AJ498" s="329">
        <f t="shared" si="136"/>
        <v>190.68</v>
      </c>
      <c r="AK498" s="329">
        <f t="shared" si="139"/>
        <v>0</v>
      </c>
      <c r="AL498" s="382">
        <f t="shared" si="140"/>
        <v>1</v>
      </c>
    </row>
    <row r="499" spans="2:38" s="303" customFormat="1" ht="28.5" x14ac:dyDescent="0.2">
      <c r="B499" s="319">
        <f t="shared" si="130"/>
        <v>489</v>
      </c>
      <c r="C499" s="459" t="s">
        <v>200</v>
      </c>
      <c r="D499" s="342" t="s">
        <v>208</v>
      </c>
      <c r="E499" s="341" t="s">
        <v>214</v>
      </c>
      <c r="F499" s="341">
        <v>7</v>
      </c>
      <c r="G499" s="341">
        <v>26170</v>
      </c>
      <c r="H499" s="341" t="s">
        <v>173</v>
      </c>
      <c r="I499" s="341">
        <v>2400</v>
      </c>
      <c r="J499" s="2"/>
      <c r="K499" s="319">
        <v>125</v>
      </c>
      <c r="L499" s="321" t="s">
        <v>124</v>
      </c>
      <c r="M499" s="322" t="s">
        <v>125</v>
      </c>
      <c r="N499" s="321" t="s">
        <v>39</v>
      </c>
      <c r="O499" s="323" t="s">
        <v>188</v>
      </c>
      <c r="P499" s="321" t="s">
        <v>3</v>
      </c>
      <c r="Q499" s="2"/>
      <c r="R499" s="324">
        <f>ROUNDUP(600,0)</f>
        <v>600</v>
      </c>
      <c r="S499" s="325">
        <v>2</v>
      </c>
      <c r="T499" s="325">
        <f t="shared" si="133"/>
        <v>14</v>
      </c>
      <c r="V499" s="324">
        <v>5000</v>
      </c>
      <c r="W499" s="326">
        <f t="shared" si="134"/>
        <v>8</v>
      </c>
      <c r="X499" s="326">
        <f t="shared" si="135"/>
        <v>4935</v>
      </c>
      <c r="Y499" s="327">
        <v>4900</v>
      </c>
      <c r="Z499" s="328">
        <f t="shared" si="132"/>
        <v>1.75</v>
      </c>
      <c r="AA499" s="304"/>
      <c r="AB499" s="329">
        <v>2.109</v>
      </c>
      <c r="AC499" s="329">
        <v>0.70199999999999996</v>
      </c>
      <c r="AE499" s="332">
        <f t="shared" si="143"/>
        <v>17.715600000000002</v>
      </c>
      <c r="AF499" s="332">
        <f t="shared" si="144"/>
        <v>18.084674999999997</v>
      </c>
      <c r="AG499" s="332">
        <f t="shared" si="141"/>
        <v>-0.36907499999999516</v>
      </c>
      <c r="AH499" s="333">
        <f t="shared" si="142"/>
        <v>1.020833333333333</v>
      </c>
      <c r="AI499" s="332">
        <f t="shared" si="138"/>
        <v>8.4</v>
      </c>
      <c r="AJ499" s="332">
        <f t="shared" si="136"/>
        <v>8.5750000000000011</v>
      </c>
      <c r="AK499" s="332">
        <f t="shared" si="139"/>
        <v>-0.17500000000000071</v>
      </c>
      <c r="AL499" s="333">
        <f t="shared" si="140"/>
        <v>1.0208333333333335</v>
      </c>
    </row>
    <row r="500" spans="2:38" s="303" customFormat="1" ht="28.5" x14ac:dyDescent="0.2">
      <c r="B500" s="319">
        <f t="shared" si="130"/>
        <v>490</v>
      </c>
      <c r="C500" s="459" t="s">
        <v>200</v>
      </c>
      <c r="D500" s="342" t="s">
        <v>208</v>
      </c>
      <c r="E500" s="341" t="s">
        <v>214</v>
      </c>
      <c r="F500" s="341">
        <v>7</v>
      </c>
      <c r="G500" s="341">
        <v>26170</v>
      </c>
      <c r="H500" s="341" t="s">
        <v>173</v>
      </c>
      <c r="I500" s="341">
        <v>2400</v>
      </c>
      <c r="J500" s="2"/>
      <c r="K500" s="319">
        <v>125</v>
      </c>
      <c r="L500" s="321" t="s">
        <v>126</v>
      </c>
      <c r="M500" s="322" t="s">
        <v>127</v>
      </c>
      <c r="N500" s="321" t="s">
        <v>39</v>
      </c>
      <c r="O500" s="323" t="s">
        <v>188</v>
      </c>
      <c r="P500" s="321" t="s">
        <v>3</v>
      </c>
      <c r="Q500" s="2"/>
      <c r="R500" s="324">
        <f t="shared" ref="R500:R503" si="145">ROUNDUP(600,0)</f>
        <v>600</v>
      </c>
      <c r="S500" s="325">
        <v>2</v>
      </c>
      <c r="T500" s="325">
        <f t="shared" si="133"/>
        <v>14</v>
      </c>
      <c r="V500" s="324">
        <v>5000</v>
      </c>
      <c r="W500" s="326">
        <f t="shared" si="134"/>
        <v>8</v>
      </c>
      <c r="X500" s="326">
        <f t="shared" si="135"/>
        <v>4935</v>
      </c>
      <c r="Y500" s="327">
        <v>4900</v>
      </c>
      <c r="Z500" s="328">
        <f t="shared" si="132"/>
        <v>1.75</v>
      </c>
      <c r="AA500" s="392"/>
      <c r="AB500" s="329">
        <v>0.88800000000000001</v>
      </c>
      <c r="AC500" s="329">
        <v>0.34</v>
      </c>
      <c r="AE500" s="332">
        <f t="shared" si="143"/>
        <v>7.4592000000000001</v>
      </c>
      <c r="AF500" s="332">
        <f t="shared" si="144"/>
        <v>7.6145999999999994</v>
      </c>
      <c r="AG500" s="332">
        <f t="shared" si="141"/>
        <v>-0.15539999999999932</v>
      </c>
      <c r="AH500" s="333">
        <f t="shared" si="142"/>
        <v>1.0208333333333333</v>
      </c>
      <c r="AI500" s="329">
        <f t="shared" si="138"/>
        <v>8.4</v>
      </c>
      <c r="AJ500" s="329">
        <f t="shared" si="136"/>
        <v>8.5750000000000011</v>
      </c>
      <c r="AK500" s="329">
        <f t="shared" si="139"/>
        <v>-0.17500000000000071</v>
      </c>
      <c r="AL500" s="382">
        <f t="shared" si="140"/>
        <v>1.0208333333333335</v>
      </c>
    </row>
    <row r="501" spans="2:38" s="303" customFormat="1" ht="28.5" x14ac:dyDescent="0.2">
      <c r="B501" s="319">
        <f t="shared" si="130"/>
        <v>491</v>
      </c>
      <c r="C501" s="459" t="s">
        <v>200</v>
      </c>
      <c r="D501" s="342" t="s">
        <v>208</v>
      </c>
      <c r="E501" s="341" t="s">
        <v>214</v>
      </c>
      <c r="F501" s="341">
        <v>7</v>
      </c>
      <c r="G501" s="341">
        <v>26170</v>
      </c>
      <c r="H501" s="341" t="s">
        <v>173</v>
      </c>
      <c r="I501" s="341">
        <v>2400</v>
      </c>
      <c r="J501" s="2"/>
      <c r="K501" s="319">
        <v>125</v>
      </c>
      <c r="L501" s="321" t="s">
        <v>48</v>
      </c>
      <c r="M501" s="322" t="s">
        <v>49</v>
      </c>
      <c r="N501" s="321" t="s">
        <v>39</v>
      </c>
      <c r="O501" s="323" t="s">
        <v>188</v>
      </c>
      <c r="P501" s="321" t="s">
        <v>3</v>
      </c>
      <c r="Q501" s="2"/>
      <c r="R501" s="324">
        <f t="shared" si="145"/>
        <v>600</v>
      </c>
      <c r="S501" s="325">
        <v>2</v>
      </c>
      <c r="T501" s="325">
        <f t="shared" si="133"/>
        <v>14</v>
      </c>
      <c r="V501" s="324">
        <v>5000</v>
      </c>
      <c r="W501" s="326">
        <f t="shared" si="134"/>
        <v>8</v>
      </c>
      <c r="X501" s="326">
        <f t="shared" si="135"/>
        <v>4935</v>
      </c>
      <c r="Y501" s="327">
        <v>4900</v>
      </c>
      <c r="Z501" s="328">
        <f t="shared" si="132"/>
        <v>1.75</v>
      </c>
      <c r="AA501" s="392"/>
      <c r="AB501" s="329">
        <v>0.81</v>
      </c>
      <c r="AC501" s="329">
        <v>0.28999999999999998</v>
      </c>
      <c r="AE501" s="332">
        <f t="shared" si="143"/>
        <v>6.8040000000000012</v>
      </c>
      <c r="AF501" s="332">
        <f t="shared" si="144"/>
        <v>6.9457500000000003</v>
      </c>
      <c r="AG501" s="332">
        <f t="shared" si="141"/>
        <v>-0.14174999999999915</v>
      </c>
      <c r="AH501" s="333">
        <f t="shared" si="142"/>
        <v>1.0208333333333333</v>
      </c>
      <c r="AI501" s="329">
        <f t="shared" si="138"/>
        <v>8.4</v>
      </c>
      <c r="AJ501" s="329">
        <f t="shared" si="136"/>
        <v>8.5750000000000011</v>
      </c>
      <c r="AK501" s="329">
        <f t="shared" si="139"/>
        <v>-0.17500000000000071</v>
      </c>
      <c r="AL501" s="382">
        <f t="shared" si="140"/>
        <v>1.0208333333333335</v>
      </c>
    </row>
    <row r="502" spans="2:38" s="303" customFormat="1" ht="28.5" x14ac:dyDescent="0.2">
      <c r="B502" s="319">
        <f t="shared" si="130"/>
        <v>492</v>
      </c>
      <c r="C502" s="459" t="s">
        <v>200</v>
      </c>
      <c r="D502" s="342" t="s">
        <v>208</v>
      </c>
      <c r="E502" s="341" t="s">
        <v>214</v>
      </c>
      <c r="F502" s="341">
        <v>7</v>
      </c>
      <c r="G502" s="341">
        <v>26170</v>
      </c>
      <c r="H502" s="341" t="s">
        <v>173</v>
      </c>
      <c r="I502" s="341">
        <v>2400</v>
      </c>
      <c r="J502" s="2"/>
      <c r="K502" s="319">
        <v>125</v>
      </c>
      <c r="L502" s="321" t="s">
        <v>46</v>
      </c>
      <c r="M502" s="322" t="s">
        <v>47</v>
      </c>
      <c r="N502" s="321" t="s">
        <v>39</v>
      </c>
      <c r="O502" s="323" t="s">
        <v>188</v>
      </c>
      <c r="P502" s="321" t="s">
        <v>3</v>
      </c>
      <c r="Q502" s="2"/>
      <c r="R502" s="324">
        <f t="shared" si="145"/>
        <v>600</v>
      </c>
      <c r="S502" s="325">
        <v>2</v>
      </c>
      <c r="T502" s="325">
        <f t="shared" si="133"/>
        <v>14</v>
      </c>
      <c r="V502" s="324">
        <v>5000</v>
      </c>
      <c r="W502" s="326">
        <f t="shared" si="134"/>
        <v>8</v>
      </c>
      <c r="X502" s="326">
        <f t="shared" si="135"/>
        <v>4935</v>
      </c>
      <c r="Y502" s="327">
        <v>4900</v>
      </c>
      <c r="Z502" s="328">
        <f t="shared" si="132"/>
        <v>1.75</v>
      </c>
      <c r="AA502" s="392"/>
      <c r="AB502" s="329">
        <v>0.91600000000000004</v>
      </c>
      <c r="AC502" s="329">
        <v>0.33900000000000002</v>
      </c>
      <c r="AE502" s="332">
        <f t="shared" si="143"/>
        <v>7.6944000000000008</v>
      </c>
      <c r="AF502" s="332">
        <f t="shared" si="144"/>
        <v>7.8546999999999993</v>
      </c>
      <c r="AG502" s="332">
        <f t="shared" si="141"/>
        <v>-0.16029999999999855</v>
      </c>
      <c r="AH502" s="333">
        <f t="shared" si="142"/>
        <v>1.020833333333333</v>
      </c>
      <c r="AI502" s="329">
        <f t="shared" si="138"/>
        <v>8.4</v>
      </c>
      <c r="AJ502" s="329">
        <f t="shared" si="136"/>
        <v>8.5750000000000011</v>
      </c>
      <c r="AK502" s="329">
        <f t="shared" si="139"/>
        <v>-0.17500000000000071</v>
      </c>
      <c r="AL502" s="382">
        <f t="shared" si="140"/>
        <v>1.0208333333333335</v>
      </c>
    </row>
    <row r="503" spans="2:38" s="303" customFormat="1" ht="28.5" x14ac:dyDescent="0.2">
      <c r="B503" s="319">
        <f t="shared" si="130"/>
        <v>493</v>
      </c>
      <c r="C503" s="459" t="s">
        <v>200</v>
      </c>
      <c r="D503" s="342" t="s">
        <v>208</v>
      </c>
      <c r="E503" s="341" t="s">
        <v>214</v>
      </c>
      <c r="F503" s="341">
        <v>7</v>
      </c>
      <c r="G503" s="341">
        <v>26170</v>
      </c>
      <c r="H503" s="341" t="s">
        <v>173</v>
      </c>
      <c r="I503" s="341">
        <v>2400</v>
      </c>
      <c r="J503" s="2"/>
      <c r="K503" s="468">
        <v>125</v>
      </c>
      <c r="L503" s="417">
        <v>21825</v>
      </c>
      <c r="M503" s="416" t="s">
        <v>45</v>
      </c>
      <c r="N503" s="417" t="s">
        <v>39</v>
      </c>
      <c r="O503" s="323" t="s">
        <v>188</v>
      </c>
      <c r="P503" s="321" t="s">
        <v>3</v>
      </c>
      <c r="Q503" s="2"/>
      <c r="R503" s="324">
        <f t="shared" si="145"/>
        <v>600</v>
      </c>
      <c r="S503" s="325">
        <v>2</v>
      </c>
      <c r="T503" s="325">
        <f t="shared" si="133"/>
        <v>14</v>
      </c>
      <c r="V503" s="324">
        <v>5000</v>
      </c>
      <c r="W503" s="326">
        <f t="shared" si="134"/>
        <v>8</v>
      </c>
      <c r="X503" s="326">
        <f t="shared" si="135"/>
        <v>4935</v>
      </c>
      <c r="Y503" s="327">
        <v>4900</v>
      </c>
      <c r="Z503" s="328">
        <f t="shared" si="132"/>
        <v>1.75</v>
      </c>
      <c r="AA503" s="392"/>
      <c r="AB503" s="329">
        <v>0.999</v>
      </c>
      <c r="AC503" s="329">
        <v>0.2382</v>
      </c>
      <c r="AE503" s="332">
        <f t="shared" si="143"/>
        <v>8.3916000000000004</v>
      </c>
      <c r="AF503" s="332">
        <f t="shared" si="144"/>
        <v>8.5664249999999988</v>
      </c>
      <c r="AG503" s="332">
        <f t="shared" si="141"/>
        <v>-0.17482499999999845</v>
      </c>
      <c r="AH503" s="333">
        <f t="shared" si="142"/>
        <v>1.020833333333333</v>
      </c>
      <c r="AI503" s="329">
        <f t="shared" si="138"/>
        <v>8.4</v>
      </c>
      <c r="AJ503" s="329">
        <f t="shared" si="136"/>
        <v>8.5750000000000011</v>
      </c>
      <c r="AK503" s="329">
        <f t="shared" si="139"/>
        <v>-0.17500000000000071</v>
      </c>
      <c r="AL503" s="382">
        <f t="shared" si="140"/>
        <v>1.0208333333333335</v>
      </c>
    </row>
    <row r="504" spans="2:38" s="303" customFormat="1" ht="28.5" x14ac:dyDescent="0.2">
      <c r="B504" s="319">
        <f t="shared" si="130"/>
        <v>494</v>
      </c>
      <c r="C504" s="459" t="s">
        <v>200</v>
      </c>
      <c r="D504" s="342" t="s">
        <v>208</v>
      </c>
      <c r="E504" s="341" t="s">
        <v>214</v>
      </c>
      <c r="F504" s="341">
        <v>7</v>
      </c>
      <c r="G504" s="341">
        <v>26170</v>
      </c>
      <c r="H504" s="341" t="s">
        <v>173</v>
      </c>
      <c r="I504" s="341">
        <v>2400</v>
      </c>
      <c r="J504" s="2"/>
      <c r="K504" s="319">
        <v>125</v>
      </c>
      <c r="L504" s="321" t="s">
        <v>114</v>
      </c>
      <c r="M504" s="322" t="s">
        <v>115</v>
      </c>
      <c r="N504" s="321" t="s">
        <v>39</v>
      </c>
      <c r="O504" s="323" t="s">
        <v>188</v>
      </c>
      <c r="P504" s="321" t="s">
        <v>3</v>
      </c>
      <c r="Q504" s="2"/>
      <c r="R504" s="324">
        <f>ROUNDUP(600,0)</f>
        <v>600</v>
      </c>
      <c r="S504" s="325">
        <v>1</v>
      </c>
      <c r="T504" s="325">
        <f t="shared" si="133"/>
        <v>7</v>
      </c>
      <c r="V504" s="348">
        <v>6500</v>
      </c>
      <c r="W504" s="326">
        <f t="shared" si="134"/>
        <v>10</v>
      </c>
      <c r="X504" s="326">
        <f t="shared" si="135"/>
        <v>6145</v>
      </c>
      <c r="Y504" s="327">
        <v>6200</v>
      </c>
      <c r="Z504" s="328">
        <f t="shared" si="132"/>
        <v>0.7</v>
      </c>
      <c r="AA504" s="304"/>
      <c r="AB504" s="329">
        <v>0.83499999999999996</v>
      </c>
      <c r="AC504" s="329">
        <v>0.21299999999999999</v>
      </c>
      <c r="AE504" s="332">
        <f t="shared" si="143"/>
        <v>3.5070000000000001</v>
      </c>
      <c r="AF504" s="332">
        <f t="shared" si="144"/>
        <v>3.6238999999999999</v>
      </c>
      <c r="AG504" s="332">
        <f t="shared" si="141"/>
        <v>-0.11689999999999978</v>
      </c>
      <c r="AH504" s="333">
        <f t="shared" si="142"/>
        <v>1.0333333333333332</v>
      </c>
      <c r="AI504" s="329">
        <f t="shared" si="138"/>
        <v>4.2</v>
      </c>
      <c r="AJ504" s="329">
        <f t="shared" si="136"/>
        <v>4.34</v>
      </c>
      <c r="AK504" s="329">
        <f t="shared" si="139"/>
        <v>-0.13999999999999968</v>
      </c>
      <c r="AL504" s="382">
        <f t="shared" si="140"/>
        <v>1.0333333333333332</v>
      </c>
    </row>
    <row r="505" spans="2:38" s="303" customFormat="1" ht="28.5" x14ac:dyDescent="0.2">
      <c r="B505" s="319">
        <f t="shared" si="130"/>
        <v>495</v>
      </c>
      <c r="C505" s="460" t="s">
        <v>200</v>
      </c>
      <c r="D505" s="342" t="s">
        <v>208</v>
      </c>
      <c r="E505" s="341" t="s">
        <v>214</v>
      </c>
      <c r="F505" s="341">
        <v>7</v>
      </c>
      <c r="G505" s="341">
        <v>26170</v>
      </c>
      <c r="H505" s="396" t="s">
        <v>173</v>
      </c>
      <c r="I505" s="396">
        <v>2400</v>
      </c>
      <c r="J505" s="2"/>
      <c r="K505" s="397">
        <v>125</v>
      </c>
      <c r="L505" s="321" t="s">
        <v>50</v>
      </c>
      <c r="M505" s="322" t="s">
        <v>51</v>
      </c>
      <c r="N505" s="398" t="s">
        <v>39</v>
      </c>
      <c r="O505" s="323" t="s">
        <v>188</v>
      </c>
      <c r="P505" s="398" t="s">
        <v>3</v>
      </c>
      <c r="Q505" s="2"/>
      <c r="R505" s="399">
        <f>ROUNDUP(600,0)</f>
        <v>600</v>
      </c>
      <c r="S505" s="400">
        <v>1</v>
      </c>
      <c r="T505" s="400">
        <f t="shared" si="133"/>
        <v>7</v>
      </c>
      <c r="V505" s="399">
        <v>6500</v>
      </c>
      <c r="W505" s="401">
        <f t="shared" si="134"/>
        <v>10</v>
      </c>
      <c r="X505" s="401">
        <f t="shared" si="135"/>
        <v>6145</v>
      </c>
      <c r="Y505" s="402">
        <v>6200</v>
      </c>
      <c r="Z505" s="403">
        <f t="shared" si="132"/>
        <v>0.7</v>
      </c>
      <c r="AA505" s="392"/>
      <c r="AB505" s="395">
        <v>1.7110000000000001</v>
      </c>
      <c r="AC505" s="395">
        <v>0.34200000000000003</v>
      </c>
      <c r="AE505" s="332">
        <f t="shared" si="143"/>
        <v>7.1862000000000004</v>
      </c>
      <c r="AF505" s="332">
        <f t="shared" si="144"/>
        <v>7.4257400000000002</v>
      </c>
      <c r="AG505" s="332">
        <f t="shared" si="141"/>
        <v>-0.23953999999999986</v>
      </c>
      <c r="AH505" s="333">
        <f t="shared" si="142"/>
        <v>1.0333333333333332</v>
      </c>
      <c r="AI505" s="404">
        <f t="shared" si="138"/>
        <v>4.2</v>
      </c>
      <c r="AJ505" s="404">
        <f t="shared" si="136"/>
        <v>4.34</v>
      </c>
      <c r="AK505" s="404">
        <f t="shared" si="139"/>
        <v>-0.13999999999999968</v>
      </c>
      <c r="AL505" s="405">
        <f t="shared" si="140"/>
        <v>1.0333333333333332</v>
      </c>
    </row>
    <row r="506" spans="2:38" s="303" customFormat="1" ht="28.5" x14ac:dyDescent="0.2">
      <c r="B506" s="319">
        <f t="shared" si="130"/>
        <v>496</v>
      </c>
      <c r="C506" s="459" t="s">
        <v>200</v>
      </c>
      <c r="D506" s="342" t="s">
        <v>208</v>
      </c>
      <c r="E506" s="341" t="s">
        <v>214</v>
      </c>
      <c r="F506" s="341">
        <v>7</v>
      </c>
      <c r="G506" s="341">
        <v>26170</v>
      </c>
      <c r="H506" s="341" t="s">
        <v>173</v>
      </c>
      <c r="I506" s="341">
        <v>2400</v>
      </c>
      <c r="J506" s="2"/>
      <c r="K506" s="345">
        <v>125</v>
      </c>
      <c r="L506" s="347">
        <v>10926</v>
      </c>
      <c r="M506" s="346" t="s">
        <v>36</v>
      </c>
      <c r="N506" s="347" t="s">
        <v>6</v>
      </c>
      <c r="O506" s="323" t="s">
        <v>188</v>
      </c>
      <c r="P506" s="347" t="s">
        <v>187</v>
      </c>
      <c r="Q506" s="2"/>
      <c r="R506" s="348">
        <f>ROUNDUP(600,0)</f>
        <v>600</v>
      </c>
      <c r="S506" s="349">
        <v>1</v>
      </c>
      <c r="T506" s="349">
        <f t="shared" si="133"/>
        <v>7</v>
      </c>
      <c r="V506" s="348">
        <v>6100</v>
      </c>
      <c r="W506" s="350">
        <f t="shared" si="134"/>
        <v>10</v>
      </c>
      <c r="X506" s="350">
        <f t="shared" si="135"/>
        <v>6145</v>
      </c>
      <c r="Y506" s="351">
        <v>6100</v>
      </c>
      <c r="Z506" s="389">
        <f t="shared" si="132"/>
        <v>0.7</v>
      </c>
      <c r="AA506" s="392"/>
      <c r="AB506" s="329">
        <v>0.76700000000000002</v>
      </c>
      <c r="AC506" s="329"/>
      <c r="AE506" s="332">
        <f t="shared" si="143"/>
        <v>3.2214</v>
      </c>
      <c r="AF506" s="332">
        <f t="shared" si="144"/>
        <v>3.2750899999999996</v>
      </c>
      <c r="AG506" s="332">
        <f t="shared" si="141"/>
        <v>-5.3689999999999571E-2</v>
      </c>
      <c r="AH506" s="333">
        <f t="shared" si="142"/>
        <v>1.0166666666666666</v>
      </c>
      <c r="AI506" s="332">
        <f t="shared" si="138"/>
        <v>4.2</v>
      </c>
      <c r="AJ506" s="332">
        <f t="shared" si="136"/>
        <v>4.2699999999999996</v>
      </c>
      <c r="AK506" s="332">
        <f t="shared" si="139"/>
        <v>-6.9999999999999396E-2</v>
      </c>
      <c r="AL506" s="333">
        <f t="shared" si="140"/>
        <v>1.0166666666666666</v>
      </c>
    </row>
    <row r="507" spans="2:38" s="303" customFormat="1" ht="28.5" x14ac:dyDescent="0.2">
      <c r="B507" s="319">
        <f t="shared" si="130"/>
        <v>497</v>
      </c>
      <c r="C507" s="459" t="s">
        <v>200</v>
      </c>
      <c r="D507" s="342" t="s">
        <v>208</v>
      </c>
      <c r="E507" s="341" t="s">
        <v>214</v>
      </c>
      <c r="F507" s="341">
        <v>7</v>
      </c>
      <c r="G507" s="341">
        <v>26170</v>
      </c>
      <c r="H507" s="341" t="s">
        <v>173</v>
      </c>
      <c r="I507" s="341">
        <v>2400</v>
      </c>
      <c r="J507" s="2"/>
      <c r="K507" s="341">
        <v>124</v>
      </c>
      <c r="L507" s="321" t="s">
        <v>124</v>
      </c>
      <c r="M507" s="322" t="s">
        <v>125</v>
      </c>
      <c r="N507" s="342" t="s">
        <v>39</v>
      </c>
      <c r="O507" s="323" t="s">
        <v>188</v>
      </c>
      <c r="P507" s="342" t="s">
        <v>3</v>
      </c>
      <c r="Q507" s="2"/>
      <c r="R507" s="324">
        <f>ROUNDUP(((G507-(600*2))/20),0)</f>
        <v>1249</v>
      </c>
      <c r="S507" s="325">
        <v>20</v>
      </c>
      <c r="T507" s="349">
        <f t="shared" si="133"/>
        <v>140</v>
      </c>
      <c r="V507" s="348">
        <v>7000</v>
      </c>
      <c r="W507" s="388">
        <f t="shared" si="134"/>
        <v>5</v>
      </c>
      <c r="X507" s="388">
        <f t="shared" si="135"/>
        <v>6365</v>
      </c>
      <c r="Y507" s="327">
        <v>6400</v>
      </c>
      <c r="Z507" s="389">
        <f t="shared" si="132"/>
        <v>28</v>
      </c>
      <c r="AA507" s="406">
        <v>56</v>
      </c>
      <c r="AB507" s="329">
        <v>2.109</v>
      </c>
      <c r="AC507" s="329">
        <v>0.70199999999999996</v>
      </c>
      <c r="AE507" s="332">
        <f t="shared" si="143"/>
        <v>368.77974</v>
      </c>
      <c r="AF507" s="332">
        <f t="shared" si="144"/>
        <v>377.93279999999999</v>
      </c>
      <c r="AG507" s="332">
        <f t="shared" si="141"/>
        <v>-9.1530599999999822</v>
      </c>
      <c r="AH507" s="333">
        <f t="shared" si="142"/>
        <v>1.0248198558847077</v>
      </c>
      <c r="AI507" s="332">
        <f t="shared" si="138"/>
        <v>174.86</v>
      </c>
      <c r="AJ507" s="332">
        <f t="shared" si="136"/>
        <v>179.20000000000002</v>
      </c>
      <c r="AK507" s="332">
        <f t="shared" si="139"/>
        <v>-4.3400000000000034</v>
      </c>
      <c r="AL507" s="333">
        <f t="shared" si="140"/>
        <v>1.0248198558847077</v>
      </c>
    </row>
    <row r="508" spans="2:38" s="303" customFormat="1" ht="28.5" x14ac:dyDescent="0.2">
      <c r="B508" s="319">
        <f t="shared" si="130"/>
        <v>498</v>
      </c>
      <c r="C508" s="459" t="s">
        <v>200</v>
      </c>
      <c r="D508" s="342" t="s">
        <v>208</v>
      </c>
      <c r="E508" s="341" t="s">
        <v>214</v>
      </c>
      <c r="F508" s="341">
        <v>7</v>
      </c>
      <c r="G508" s="341">
        <v>26170</v>
      </c>
      <c r="H508" s="341" t="s">
        <v>173</v>
      </c>
      <c r="I508" s="341">
        <v>2400</v>
      </c>
      <c r="J508" s="2"/>
      <c r="K508" s="341">
        <v>124</v>
      </c>
      <c r="L508" s="321" t="s">
        <v>126</v>
      </c>
      <c r="M508" s="322" t="s">
        <v>127</v>
      </c>
      <c r="N508" s="342" t="s">
        <v>39</v>
      </c>
      <c r="O508" s="323" t="s">
        <v>188</v>
      </c>
      <c r="P508" s="342" t="s">
        <v>3</v>
      </c>
      <c r="Q508" s="2"/>
      <c r="R508" s="324">
        <f>ROUNDUP(((G508-(600*2))/20),0)</f>
        <v>1249</v>
      </c>
      <c r="S508" s="325">
        <v>20</v>
      </c>
      <c r="T508" s="349">
        <f t="shared" si="133"/>
        <v>140</v>
      </c>
      <c r="V508" s="348">
        <v>7000</v>
      </c>
      <c r="W508" s="388">
        <f t="shared" si="134"/>
        <v>5</v>
      </c>
      <c r="X508" s="388">
        <f t="shared" si="135"/>
        <v>6365</v>
      </c>
      <c r="Y508" s="327">
        <v>6400</v>
      </c>
      <c r="Z508" s="389">
        <f t="shared" si="132"/>
        <v>28</v>
      </c>
      <c r="AA508" s="392"/>
      <c r="AB508" s="329">
        <v>0.88800000000000001</v>
      </c>
      <c r="AC508" s="329">
        <v>0.34</v>
      </c>
      <c r="AE508" s="332">
        <f t="shared" si="143"/>
        <v>155.27568000000002</v>
      </c>
      <c r="AF508" s="332">
        <f t="shared" si="144"/>
        <v>159.12959999999998</v>
      </c>
      <c r="AG508" s="332">
        <f t="shared" si="141"/>
        <v>-3.8539199999999596</v>
      </c>
      <c r="AH508" s="333">
        <f t="shared" si="142"/>
        <v>1.0248198558847075</v>
      </c>
      <c r="AI508" s="332">
        <f t="shared" si="138"/>
        <v>174.86</v>
      </c>
      <c r="AJ508" s="332">
        <f t="shared" si="136"/>
        <v>179.20000000000002</v>
      </c>
      <c r="AK508" s="332">
        <f t="shared" si="139"/>
        <v>-4.3400000000000034</v>
      </c>
      <c r="AL508" s="333">
        <f t="shared" si="140"/>
        <v>1.0248198558847077</v>
      </c>
    </row>
    <row r="509" spans="2:38" s="303" customFormat="1" ht="28.5" x14ac:dyDescent="0.2">
      <c r="B509" s="319">
        <f t="shared" si="130"/>
        <v>499</v>
      </c>
      <c r="C509" s="459" t="s">
        <v>200</v>
      </c>
      <c r="D509" s="342" t="s">
        <v>208</v>
      </c>
      <c r="E509" s="341" t="s">
        <v>214</v>
      </c>
      <c r="F509" s="341">
        <v>7</v>
      </c>
      <c r="G509" s="341">
        <v>26170</v>
      </c>
      <c r="H509" s="341" t="s">
        <v>173</v>
      </c>
      <c r="I509" s="341">
        <v>2400</v>
      </c>
      <c r="J509" s="2"/>
      <c r="K509" s="341">
        <v>124</v>
      </c>
      <c r="L509" s="342" t="s">
        <v>48</v>
      </c>
      <c r="M509" s="343" t="s">
        <v>49</v>
      </c>
      <c r="N509" s="342" t="s">
        <v>39</v>
      </c>
      <c r="O509" s="323" t="s">
        <v>188</v>
      </c>
      <c r="P509" s="342" t="s">
        <v>3</v>
      </c>
      <c r="Q509" s="2"/>
      <c r="R509" s="324">
        <f>ROUNDUP(((G509-(600*2))/20),0)</f>
        <v>1249</v>
      </c>
      <c r="S509" s="325">
        <v>20</v>
      </c>
      <c r="T509" s="349">
        <f t="shared" si="133"/>
        <v>140</v>
      </c>
      <c r="V509" s="348">
        <v>7000</v>
      </c>
      <c r="W509" s="388">
        <f t="shared" si="134"/>
        <v>5</v>
      </c>
      <c r="X509" s="388">
        <f t="shared" si="135"/>
        <v>6365</v>
      </c>
      <c r="Y509" s="327">
        <v>6400</v>
      </c>
      <c r="Z509" s="389">
        <f t="shared" si="132"/>
        <v>28</v>
      </c>
      <c r="AA509" s="392"/>
      <c r="AB509" s="329">
        <v>0.81</v>
      </c>
      <c r="AC509" s="329">
        <v>0.28999999999999998</v>
      </c>
      <c r="AE509" s="332">
        <f t="shared" si="143"/>
        <v>141.63660000000002</v>
      </c>
      <c r="AF509" s="332">
        <f t="shared" si="144"/>
        <v>145.15199999999999</v>
      </c>
      <c r="AG509" s="332">
        <f t="shared" si="141"/>
        <v>-3.5153999999999712</v>
      </c>
      <c r="AH509" s="333">
        <f t="shared" si="142"/>
        <v>1.0248198558847075</v>
      </c>
      <c r="AI509" s="332">
        <f t="shared" si="138"/>
        <v>174.86</v>
      </c>
      <c r="AJ509" s="332">
        <f t="shared" si="136"/>
        <v>179.20000000000002</v>
      </c>
      <c r="AK509" s="332">
        <f t="shared" si="139"/>
        <v>-4.3400000000000034</v>
      </c>
      <c r="AL509" s="333">
        <f t="shared" si="140"/>
        <v>1.0248198558847077</v>
      </c>
    </row>
    <row r="510" spans="2:38" s="303" customFormat="1" ht="28.5" x14ac:dyDescent="0.2">
      <c r="B510" s="319">
        <f t="shared" si="130"/>
        <v>500</v>
      </c>
      <c r="C510" s="459" t="s">
        <v>200</v>
      </c>
      <c r="D510" s="342" t="s">
        <v>208</v>
      </c>
      <c r="E510" s="341" t="s">
        <v>214</v>
      </c>
      <c r="F510" s="341">
        <v>7</v>
      </c>
      <c r="G510" s="341">
        <v>26170</v>
      </c>
      <c r="H510" s="341" t="s">
        <v>173</v>
      </c>
      <c r="I510" s="341">
        <v>2400</v>
      </c>
      <c r="J510" s="2"/>
      <c r="K510" s="341">
        <v>124</v>
      </c>
      <c r="L510" s="342" t="s">
        <v>46</v>
      </c>
      <c r="M510" s="343" t="s">
        <v>47</v>
      </c>
      <c r="N510" s="342" t="s">
        <v>39</v>
      </c>
      <c r="O510" s="323" t="s">
        <v>188</v>
      </c>
      <c r="P510" s="342" t="s">
        <v>3</v>
      </c>
      <c r="Q510" s="2"/>
      <c r="R510" s="324">
        <f>ROUNDUP(((G510-(600*2))/20),0)</f>
        <v>1249</v>
      </c>
      <c r="S510" s="325">
        <v>20</v>
      </c>
      <c r="T510" s="349">
        <f t="shared" si="133"/>
        <v>140</v>
      </c>
      <c r="V510" s="348">
        <v>7000</v>
      </c>
      <c r="W510" s="388">
        <f t="shared" si="134"/>
        <v>5</v>
      </c>
      <c r="X510" s="388">
        <f t="shared" si="135"/>
        <v>6365</v>
      </c>
      <c r="Y510" s="327">
        <v>6400</v>
      </c>
      <c r="Z510" s="389">
        <f t="shared" si="132"/>
        <v>28</v>
      </c>
      <c r="AA510" s="406">
        <v>56</v>
      </c>
      <c r="AB510" s="329">
        <v>0.91600000000000004</v>
      </c>
      <c r="AC510" s="329">
        <v>0.33900000000000002</v>
      </c>
      <c r="AE510" s="332">
        <f t="shared" si="143"/>
        <v>160.17176000000001</v>
      </c>
      <c r="AF510" s="332">
        <f t="shared" si="144"/>
        <v>164.1472</v>
      </c>
      <c r="AG510" s="332">
        <f t="shared" si="141"/>
        <v>-3.9754399999999919</v>
      </c>
      <c r="AH510" s="333">
        <f t="shared" si="142"/>
        <v>1.0248198558847077</v>
      </c>
      <c r="AI510" s="332">
        <f t="shared" si="138"/>
        <v>174.86</v>
      </c>
      <c r="AJ510" s="332">
        <f t="shared" si="136"/>
        <v>179.20000000000002</v>
      </c>
      <c r="AK510" s="332">
        <f t="shared" si="139"/>
        <v>-4.3400000000000034</v>
      </c>
      <c r="AL510" s="333">
        <f t="shared" si="140"/>
        <v>1.0248198558847077</v>
      </c>
    </row>
    <row r="511" spans="2:38" s="303" customFormat="1" ht="28.5" x14ac:dyDescent="0.2">
      <c r="B511" s="319">
        <f t="shared" si="130"/>
        <v>501</v>
      </c>
      <c r="C511" s="459" t="s">
        <v>200</v>
      </c>
      <c r="D511" s="342" t="s">
        <v>208</v>
      </c>
      <c r="E511" s="341" t="s">
        <v>214</v>
      </c>
      <c r="F511" s="341">
        <v>7</v>
      </c>
      <c r="G511" s="341">
        <v>26170</v>
      </c>
      <c r="H511" s="341" t="s">
        <v>173</v>
      </c>
      <c r="I511" s="341">
        <v>2400</v>
      </c>
      <c r="J511" s="2"/>
      <c r="K511" s="468">
        <v>124</v>
      </c>
      <c r="L511" s="417">
        <v>21825</v>
      </c>
      <c r="M511" s="416" t="s">
        <v>45</v>
      </c>
      <c r="N511" s="417" t="s">
        <v>39</v>
      </c>
      <c r="O511" s="323" t="s">
        <v>188</v>
      </c>
      <c r="P511" s="321" t="s">
        <v>3</v>
      </c>
      <c r="Q511" s="2"/>
      <c r="R511" s="324">
        <f>ROUNDUP(((G511-(600*2))/20),0)</f>
        <v>1249</v>
      </c>
      <c r="S511" s="325">
        <v>20</v>
      </c>
      <c r="T511" s="325">
        <f t="shared" si="133"/>
        <v>140</v>
      </c>
      <c r="V511" s="324">
        <v>7000</v>
      </c>
      <c r="W511" s="326">
        <f t="shared" si="134"/>
        <v>5</v>
      </c>
      <c r="X511" s="326">
        <f t="shared" si="135"/>
        <v>6365</v>
      </c>
      <c r="Y511" s="327">
        <v>6400</v>
      </c>
      <c r="Z511" s="328">
        <f t="shared" si="132"/>
        <v>28</v>
      </c>
      <c r="AA511" s="406">
        <v>56</v>
      </c>
      <c r="AB511" s="329">
        <v>0.999</v>
      </c>
      <c r="AC511" s="329">
        <v>0.2382</v>
      </c>
      <c r="AE511" s="332">
        <f t="shared" si="143"/>
        <v>174.68514000000002</v>
      </c>
      <c r="AF511" s="332">
        <f t="shared" si="144"/>
        <v>179.02079999999998</v>
      </c>
      <c r="AG511" s="332">
        <f t="shared" si="141"/>
        <v>-4.3356599999999617</v>
      </c>
      <c r="AH511" s="333">
        <f t="shared" si="142"/>
        <v>1.0248198558847075</v>
      </c>
      <c r="AI511" s="329">
        <f t="shared" si="138"/>
        <v>174.86</v>
      </c>
      <c r="AJ511" s="329">
        <f t="shared" si="136"/>
        <v>179.20000000000002</v>
      </c>
      <c r="AK511" s="329">
        <f t="shared" si="139"/>
        <v>-4.3400000000000034</v>
      </c>
      <c r="AL511" s="382">
        <f t="shared" si="140"/>
        <v>1.0248198558847077</v>
      </c>
    </row>
    <row r="512" spans="2:38" s="303" customFormat="1" ht="28.5" x14ac:dyDescent="0.2">
      <c r="B512" s="319">
        <f t="shared" si="130"/>
        <v>502</v>
      </c>
      <c r="C512" s="459" t="s">
        <v>200</v>
      </c>
      <c r="D512" s="342" t="s">
        <v>208</v>
      </c>
      <c r="E512" s="341" t="s">
        <v>214</v>
      </c>
      <c r="F512" s="341">
        <v>7</v>
      </c>
      <c r="G512" s="341">
        <v>26170</v>
      </c>
      <c r="H512" s="341" t="s">
        <v>173</v>
      </c>
      <c r="I512" s="341">
        <v>2400</v>
      </c>
      <c r="J512" s="2"/>
      <c r="K512" s="345">
        <v>124</v>
      </c>
      <c r="L512" s="335" t="s">
        <v>121</v>
      </c>
      <c r="M512" s="336" t="s">
        <v>203</v>
      </c>
      <c r="N512" s="347" t="s">
        <v>6</v>
      </c>
      <c r="O512" s="323" t="s">
        <v>188</v>
      </c>
      <c r="P512" s="347" t="s">
        <v>187</v>
      </c>
      <c r="Q512" s="2"/>
      <c r="R512" s="324">
        <f>ROUNDUP((2270*2),0)</f>
        <v>4540</v>
      </c>
      <c r="S512" s="325">
        <v>6</v>
      </c>
      <c r="T512" s="349">
        <f t="shared" si="133"/>
        <v>42</v>
      </c>
      <c r="V512" s="338">
        <v>3660</v>
      </c>
      <c r="W512" s="350">
        <f t="shared" si="134"/>
        <v>0</v>
      </c>
      <c r="X512" s="350">
        <f t="shared" si="135"/>
        <v>95</v>
      </c>
      <c r="Y512" s="327">
        <v>3660</v>
      </c>
      <c r="Z512" s="340">
        <f>($R512*$T512)/$V512</f>
        <v>52.098360655737707</v>
      </c>
      <c r="AA512" s="392"/>
      <c r="AB512" s="329">
        <v>0.84899999999999998</v>
      </c>
      <c r="AC512" s="329">
        <v>0</v>
      </c>
      <c r="AE512" s="332">
        <f t="shared" si="143"/>
        <v>161.88731999999999</v>
      </c>
      <c r="AF512" s="332">
        <f t="shared" si="144"/>
        <v>161.88731999999999</v>
      </c>
      <c r="AG512" s="332">
        <f t="shared" si="141"/>
        <v>0</v>
      </c>
      <c r="AH512" s="333">
        <f t="shared" si="142"/>
        <v>1</v>
      </c>
      <c r="AI512" s="332">
        <f t="shared" si="138"/>
        <v>190.68</v>
      </c>
      <c r="AJ512" s="332">
        <f t="shared" si="136"/>
        <v>190.68</v>
      </c>
      <c r="AK512" s="332">
        <f t="shared" si="139"/>
        <v>0</v>
      </c>
      <c r="AL512" s="333">
        <f t="shared" si="140"/>
        <v>1</v>
      </c>
    </row>
    <row r="513" spans="2:45" s="303" customFormat="1" ht="28.5" x14ac:dyDescent="0.2">
      <c r="B513" s="319">
        <f t="shared" si="130"/>
        <v>503</v>
      </c>
      <c r="C513" s="459" t="s">
        <v>200</v>
      </c>
      <c r="D513" s="342" t="s">
        <v>208</v>
      </c>
      <c r="E513" s="341" t="s">
        <v>214</v>
      </c>
      <c r="F513" s="341">
        <v>7</v>
      </c>
      <c r="G513" s="341">
        <v>26170</v>
      </c>
      <c r="H513" s="341" t="s">
        <v>173</v>
      </c>
      <c r="I513" s="341">
        <v>2400</v>
      </c>
      <c r="J513" s="2"/>
      <c r="K513" s="319">
        <v>126</v>
      </c>
      <c r="L513" s="321" t="s">
        <v>124</v>
      </c>
      <c r="M513" s="322" t="s">
        <v>125</v>
      </c>
      <c r="N513" s="321" t="s">
        <v>39</v>
      </c>
      <c r="O513" s="323" t="s">
        <v>188</v>
      </c>
      <c r="P513" s="321" t="s">
        <v>3</v>
      </c>
      <c r="Q513" s="2"/>
      <c r="R513" s="324">
        <f>ROUNDUP(600,0)</f>
        <v>600</v>
      </c>
      <c r="S513" s="325">
        <v>2</v>
      </c>
      <c r="T513" s="325">
        <f t="shared" si="133"/>
        <v>14</v>
      </c>
      <c r="V513" s="324">
        <v>5000</v>
      </c>
      <c r="W513" s="326">
        <f t="shared" si="134"/>
        <v>8</v>
      </c>
      <c r="X513" s="326">
        <f t="shared" si="135"/>
        <v>4935</v>
      </c>
      <c r="Y513" s="327">
        <v>4900</v>
      </c>
      <c r="Z513" s="328">
        <f t="shared" si="132"/>
        <v>1.75</v>
      </c>
      <c r="AA513" s="387">
        <v>3.5</v>
      </c>
      <c r="AB513" s="329">
        <v>2.109</v>
      </c>
      <c r="AC513" s="329">
        <v>0.70199999999999996</v>
      </c>
      <c r="AE513" s="332">
        <f t="shared" si="143"/>
        <v>17.715600000000002</v>
      </c>
      <c r="AF513" s="332">
        <f t="shared" si="144"/>
        <v>18.084674999999997</v>
      </c>
      <c r="AG513" s="332">
        <f t="shared" si="141"/>
        <v>-0.36907499999999516</v>
      </c>
      <c r="AH513" s="333">
        <f t="shared" si="142"/>
        <v>1.020833333333333</v>
      </c>
      <c r="AI513" s="332">
        <f t="shared" si="138"/>
        <v>8.4</v>
      </c>
      <c r="AJ513" s="332">
        <f t="shared" si="136"/>
        <v>8.5750000000000011</v>
      </c>
      <c r="AK513" s="332">
        <f t="shared" si="139"/>
        <v>-0.17500000000000071</v>
      </c>
      <c r="AL513" s="333">
        <f t="shared" si="140"/>
        <v>1.0208333333333335</v>
      </c>
    </row>
    <row r="514" spans="2:45" s="303" customFormat="1" ht="28.5" x14ac:dyDescent="0.2">
      <c r="B514" s="319">
        <f t="shared" si="130"/>
        <v>504</v>
      </c>
      <c r="C514" s="459" t="s">
        <v>200</v>
      </c>
      <c r="D514" s="342" t="s">
        <v>208</v>
      </c>
      <c r="E514" s="341" t="s">
        <v>214</v>
      </c>
      <c r="F514" s="341">
        <v>7</v>
      </c>
      <c r="G514" s="341">
        <v>26170</v>
      </c>
      <c r="H514" s="341" t="s">
        <v>173</v>
      </c>
      <c r="I514" s="341">
        <v>2400</v>
      </c>
      <c r="J514" s="2"/>
      <c r="K514" s="319">
        <v>126</v>
      </c>
      <c r="L514" s="321" t="s">
        <v>126</v>
      </c>
      <c r="M514" s="322" t="s">
        <v>127</v>
      </c>
      <c r="N514" s="321" t="s">
        <v>39</v>
      </c>
      <c r="O514" s="323" t="s">
        <v>188</v>
      </c>
      <c r="P514" s="321" t="s">
        <v>3</v>
      </c>
      <c r="Q514" s="2"/>
      <c r="R514" s="324">
        <f t="shared" ref="R514:R517" si="146">ROUNDUP(600,0)</f>
        <v>600</v>
      </c>
      <c r="S514" s="325">
        <v>2</v>
      </c>
      <c r="T514" s="325">
        <f t="shared" si="133"/>
        <v>14</v>
      </c>
      <c r="V514" s="324">
        <v>5000</v>
      </c>
      <c r="W514" s="326">
        <f t="shared" si="134"/>
        <v>8</v>
      </c>
      <c r="X514" s="326">
        <f t="shared" si="135"/>
        <v>4935</v>
      </c>
      <c r="Y514" s="327">
        <v>4900</v>
      </c>
      <c r="Z514" s="328">
        <f t="shared" si="132"/>
        <v>1.75</v>
      </c>
      <c r="AA514" s="392"/>
      <c r="AB514" s="329">
        <v>0.88800000000000001</v>
      </c>
      <c r="AC514" s="329">
        <v>0.34</v>
      </c>
      <c r="AE514" s="332">
        <f t="shared" si="143"/>
        <v>7.4592000000000001</v>
      </c>
      <c r="AF514" s="332">
        <f t="shared" si="144"/>
        <v>7.6145999999999994</v>
      </c>
      <c r="AG514" s="332">
        <f t="shared" si="141"/>
        <v>-0.15539999999999932</v>
      </c>
      <c r="AH514" s="333">
        <f t="shared" si="142"/>
        <v>1.0208333333333333</v>
      </c>
      <c r="AI514" s="329">
        <f t="shared" si="138"/>
        <v>8.4</v>
      </c>
      <c r="AJ514" s="329">
        <f t="shared" si="136"/>
        <v>8.5750000000000011</v>
      </c>
      <c r="AK514" s="329">
        <f t="shared" si="139"/>
        <v>-0.17500000000000071</v>
      </c>
      <c r="AL514" s="382">
        <f t="shared" si="140"/>
        <v>1.0208333333333335</v>
      </c>
    </row>
    <row r="515" spans="2:45" s="303" customFormat="1" ht="28.5" x14ac:dyDescent="0.2">
      <c r="B515" s="319">
        <f t="shared" si="130"/>
        <v>505</v>
      </c>
      <c r="C515" s="459" t="s">
        <v>200</v>
      </c>
      <c r="D515" s="342" t="s">
        <v>208</v>
      </c>
      <c r="E515" s="341" t="s">
        <v>214</v>
      </c>
      <c r="F515" s="341">
        <v>7</v>
      </c>
      <c r="G515" s="341">
        <v>26170</v>
      </c>
      <c r="H515" s="341" t="s">
        <v>173</v>
      </c>
      <c r="I515" s="341">
        <v>2400</v>
      </c>
      <c r="J515" s="2"/>
      <c r="K515" s="319">
        <v>126</v>
      </c>
      <c r="L515" s="321" t="s">
        <v>48</v>
      </c>
      <c r="M515" s="322" t="s">
        <v>49</v>
      </c>
      <c r="N515" s="321" t="s">
        <v>39</v>
      </c>
      <c r="O515" s="323" t="s">
        <v>188</v>
      </c>
      <c r="P515" s="321" t="s">
        <v>3</v>
      </c>
      <c r="Q515" s="2"/>
      <c r="R515" s="324">
        <f t="shared" si="146"/>
        <v>600</v>
      </c>
      <c r="S515" s="325">
        <v>2</v>
      </c>
      <c r="T515" s="325">
        <f t="shared" si="133"/>
        <v>14</v>
      </c>
      <c r="V515" s="324">
        <v>5000</v>
      </c>
      <c r="W515" s="326">
        <f t="shared" si="134"/>
        <v>8</v>
      </c>
      <c r="X515" s="326">
        <f t="shared" si="135"/>
        <v>4935</v>
      </c>
      <c r="Y515" s="327">
        <v>4900</v>
      </c>
      <c r="Z515" s="328">
        <f t="shared" si="132"/>
        <v>1.75</v>
      </c>
      <c r="AA515" s="392"/>
      <c r="AB515" s="329">
        <v>0.81</v>
      </c>
      <c r="AC515" s="329">
        <v>0.28999999999999998</v>
      </c>
      <c r="AE515" s="332">
        <f t="shared" si="143"/>
        <v>6.8040000000000012</v>
      </c>
      <c r="AF515" s="332">
        <f t="shared" si="144"/>
        <v>6.9457500000000003</v>
      </c>
      <c r="AG515" s="332">
        <f t="shared" si="141"/>
        <v>-0.14174999999999915</v>
      </c>
      <c r="AH515" s="333">
        <f t="shared" si="142"/>
        <v>1.0208333333333333</v>
      </c>
      <c r="AI515" s="329">
        <f t="shared" si="138"/>
        <v>8.4</v>
      </c>
      <c r="AJ515" s="329">
        <f t="shared" si="136"/>
        <v>8.5750000000000011</v>
      </c>
      <c r="AK515" s="329">
        <f t="shared" si="139"/>
        <v>-0.17500000000000071</v>
      </c>
      <c r="AL515" s="382">
        <f t="shared" si="140"/>
        <v>1.0208333333333335</v>
      </c>
    </row>
    <row r="516" spans="2:45" s="303" customFormat="1" ht="28.5" x14ac:dyDescent="0.2">
      <c r="B516" s="319">
        <f t="shared" si="130"/>
        <v>506</v>
      </c>
      <c r="C516" s="459" t="s">
        <v>200</v>
      </c>
      <c r="D516" s="342" t="s">
        <v>208</v>
      </c>
      <c r="E516" s="341" t="s">
        <v>214</v>
      </c>
      <c r="F516" s="341">
        <v>7</v>
      </c>
      <c r="G516" s="341">
        <v>26170</v>
      </c>
      <c r="H516" s="341" t="s">
        <v>173</v>
      </c>
      <c r="I516" s="341">
        <v>2400</v>
      </c>
      <c r="J516" s="2"/>
      <c r="K516" s="319">
        <v>126</v>
      </c>
      <c r="L516" s="321" t="s">
        <v>46</v>
      </c>
      <c r="M516" s="322" t="s">
        <v>47</v>
      </c>
      <c r="N516" s="321" t="s">
        <v>39</v>
      </c>
      <c r="O516" s="323" t="s">
        <v>188</v>
      </c>
      <c r="P516" s="321" t="s">
        <v>3</v>
      </c>
      <c r="Q516" s="2"/>
      <c r="R516" s="324">
        <f t="shared" si="146"/>
        <v>600</v>
      </c>
      <c r="S516" s="325">
        <v>2</v>
      </c>
      <c r="T516" s="325">
        <f t="shared" si="133"/>
        <v>14</v>
      </c>
      <c r="V516" s="324">
        <v>5000</v>
      </c>
      <c r="W516" s="326">
        <f t="shared" si="134"/>
        <v>8</v>
      </c>
      <c r="X516" s="326">
        <f t="shared" si="135"/>
        <v>4935</v>
      </c>
      <c r="Y516" s="327">
        <v>4900</v>
      </c>
      <c r="Z516" s="328">
        <f t="shared" si="132"/>
        <v>1.75</v>
      </c>
      <c r="AA516" s="387">
        <v>84</v>
      </c>
      <c r="AB516" s="329">
        <v>0.91600000000000004</v>
      </c>
      <c r="AC516" s="329">
        <v>0.33900000000000002</v>
      </c>
      <c r="AE516" s="332">
        <f t="shared" si="143"/>
        <v>7.6944000000000008</v>
      </c>
      <c r="AF516" s="332">
        <f t="shared" si="144"/>
        <v>7.8546999999999993</v>
      </c>
      <c r="AG516" s="332">
        <f t="shared" si="141"/>
        <v>-0.16029999999999855</v>
      </c>
      <c r="AH516" s="333">
        <f t="shared" si="142"/>
        <v>1.020833333333333</v>
      </c>
      <c r="AI516" s="329">
        <f t="shared" si="138"/>
        <v>8.4</v>
      </c>
      <c r="AJ516" s="329">
        <f t="shared" si="136"/>
        <v>8.5750000000000011</v>
      </c>
      <c r="AK516" s="329">
        <f t="shared" si="139"/>
        <v>-0.17500000000000071</v>
      </c>
      <c r="AL516" s="382">
        <f t="shared" si="140"/>
        <v>1.0208333333333335</v>
      </c>
    </row>
    <row r="517" spans="2:45" s="303" customFormat="1" ht="28.5" x14ac:dyDescent="0.2">
      <c r="B517" s="319">
        <f t="shared" si="130"/>
        <v>507</v>
      </c>
      <c r="C517" s="459" t="s">
        <v>200</v>
      </c>
      <c r="D517" s="342" t="s">
        <v>208</v>
      </c>
      <c r="E517" s="341" t="s">
        <v>214</v>
      </c>
      <c r="F517" s="341">
        <v>7</v>
      </c>
      <c r="G517" s="341">
        <v>26170</v>
      </c>
      <c r="H517" s="341" t="s">
        <v>173</v>
      </c>
      <c r="I517" s="341">
        <v>2400</v>
      </c>
      <c r="J517" s="2"/>
      <c r="K517" s="468">
        <v>126</v>
      </c>
      <c r="L517" s="417">
        <v>21825</v>
      </c>
      <c r="M517" s="416" t="s">
        <v>45</v>
      </c>
      <c r="N517" s="417" t="s">
        <v>39</v>
      </c>
      <c r="O517" s="323" t="s">
        <v>188</v>
      </c>
      <c r="P517" s="321" t="s">
        <v>3</v>
      </c>
      <c r="Q517" s="2"/>
      <c r="R517" s="324">
        <f t="shared" si="146"/>
        <v>600</v>
      </c>
      <c r="S517" s="325">
        <v>2</v>
      </c>
      <c r="T517" s="325">
        <f t="shared" si="133"/>
        <v>14</v>
      </c>
      <c r="V517" s="324">
        <v>5000</v>
      </c>
      <c r="W517" s="326">
        <f t="shared" si="134"/>
        <v>8</v>
      </c>
      <c r="X517" s="326">
        <f t="shared" si="135"/>
        <v>4935</v>
      </c>
      <c r="Y517" s="327">
        <v>4900</v>
      </c>
      <c r="Z517" s="328">
        <f t="shared" si="132"/>
        <v>1.75</v>
      </c>
      <c r="AA517" s="387">
        <v>84</v>
      </c>
      <c r="AB517" s="329">
        <v>0.999</v>
      </c>
      <c r="AC517" s="329">
        <v>0.2382</v>
      </c>
      <c r="AE517" s="332">
        <f t="shared" si="143"/>
        <v>8.3916000000000004</v>
      </c>
      <c r="AF517" s="332">
        <f t="shared" si="144"/>
        <v>8.5664249999999988</v>
      </c>
      <c r="AG517" s="332">
        <f t="shared" si="141"/>
        <v>-0.17482499999999845</v>
      </c>
      <c r="AH517" s="333">
        <f t="shared" si="142"/>
        <v>1.020833333333333</v>
      </c>
      <c r="AI517" s="329">
        <f t="shared" si="138"/>
        <v>8.4</v>
      </c>
      <c r="AJ517" s="329">
        <f t="shared" si="136"/>
        <v>8.5750000000000011</v>
      </c>
      <c r="AK517" s="329">
        <f t="shared" si="139"/>
        <v>-0.17500000000000071</v>
      </c>
      <c r="AL517" s="382">
        <f t="shared" si="140"/>
        <v>1.0208333333333335</v>
      </c>
    </row>
    <row r="518" spans="2:45" s="303" customFormat="1" ht="28.5" x14ac:dyDescent="0.2">
      <c r="B518" s="319">
        <f t="shared" si="130"/>
        <v>508</v>
      </c>
      <c r="C518" s="459" t="s">
        <v>200</v>
      </c>
      <c r="D518" s="342" t="s">
        <v>208</v>
      </c>
      <c r="E518" s="341" t="s">
        <v>214</v>
      </c>
      <c r="F518" s="341">
        <v>7</v>
      </c>
      <c r="G518" s="341">
        <v>26170</v>
      </c>
      <c r="H518" s="341" t="s">
        <v>173</v>
      </c>
      <c r="I518" s="341">
        <v>2400</v>
      </c>
      <c r="J518" s="2"/>
      <c r="K518" s="341">
        <v>126</v>
      </c>
      <c r="L518" s="342" t="s">
        <v>114</v>
      </c>
      <c r="M518" s="343" t="s">
        <v>115</v>
      </c>
      <c r="N518" s="342" t="s">
        <v>39</v>
      </c>
      <c r="O518" s="323" t="s">
        <v>188</v>
      </c>
      <c r="P518" s="342" t="s">
        <v>3</v>
      </c>
      <c r="Q518" s="2"/>
      <c r="R518" s="348">
        <f>ROUNDUP(600,0)</f>
        <v>600</v>
      </c>
      <c r="S518" s="349">
        <v>1</v>
      </c>
      <c r="T518" s="349">
        <f t="shared" si="133"/>
        <v>7</v>
      </c>
      <c r="V518" s="348">
        <v>6500</v>
      </c>
      <c r="W518" s="388">
        <f t="shared" si="134"/>
        <v>10</v>
      </c>
      <c r="X518" s="388">
        <f t="shared" si="135"/>
        <v>6145</v>
      </c>
      <c r="Y518" s="351">
        <v>6200</v>
      </c>
      <c r="Z518" s="389">
        <f t="shared" si="132"/>
        <v>0.7</v>
      </c>
      <c r="AA518" s="392"/>
      <c r="AB518" s="329">
        <v>0.83499999999999996</v>
      </c>
      <c r="AC518" s="329">
        <v>0.21299999999999999</v>
      </c>
      <c r="AE518" s="332">
        <f t="shared" si="143"/>
        <v>3.5070000000000001</v>
      </c>
      <c r="AF518" s="332">
        <f t="shared" si="144"/>
        <v>3.6238999999999999</v>
      </c>
      <c r="AG518" s="332">
        <f t="shared" si="141"/>
        <v>-0.11689999999999978</v>
      </c>
      <c r="AH518" s="333">
        <f t="shared" si="142"/>
        <v>1.0333333333333332</v>
      </c>
      <c r="AI518" s="332">
        <f t="shared" si="138"/>
        <v>4.2</v>
      </c>
      <c r="AJ518" s="332">
        <f t="shared" si="136"/>
        <v>4.34</v>
      </c>
      <c r="AK518" s="332">
        <f t="shared" si="139"/>
        <v>-0.13999999999999968</v>
      </c>
      <c r="AL518" s="333">
        <f t="shared" si="140"/>
        <v>1.0333333333333332</v>
      </c>
    </row>
    <row r="519" spans="2:45" s="303" customFormat="1" ht="28.5" x14ac:dyDescent="0.2">
      <c r="B519" s="319">
        <f t="shared" si="130"/>
        <v>509</v>
      </c>
      <c r="C519" s="459" t="s">
        <v>200</v>
      </c>
      <c r="D519" s="342" t="s">
        <v>208</v>
      </c>
      <c r="E519" s="341" t="s">
        <v>214</v>
      </c>
      <c r="F519" s="341">
        <v>7</v>
      </c>
      <c r="G519" s="341">
        <v>26170</v>
      </c>
      <c r="H519" s="341" t="s">
        <v>173</v>
      </c>
      <c r="I519" s="341">
        <v>2400</v>
      </c>
      <c r="J519" s="2"/>
      <c r="K519" s="341">
        <v>126</v>
      </c>
      <c r="L519" s="321" t="s">
        <v>50</v>
      </c>
      <c r="M519" s="322" t="s">
        <v>51</v>
      </c>
      <c r="N519" s="342" t="s">
        <v>39</v>
      </c>
      <c r="O519" s="323" t="s">
        <v>188</v>
      </c>
      <c r="P519" s="342" t="s">
        <v>3</v>
      </c>
      <c r="Q519" s="2"/>
      <c r="R519" s="348">
        <f>ROUNDUP(600,0)</f>
        <v>600</v>
      </c>
      <c r="S519" s="349">
        <v>1</v>
      </c>
      <c r="T519" s="349">
        <f t="shared" si="133"/>
        <v>7</v>
      </c>
      <c r="V519" s="348">
        <v>6500</v>
      </c>
      <c r="W519" s="388">
        <f t="shared" si="134"/>
        <v>10</v>
      </c>
      <c r="X519" s="388">
        <f t="shared" si="135"/>
        <v>6145</v>
      </c>
      <c r="Y519" s="351">
        <v>6200</v>
      </c>
      <c r="Z519" s="389">
        <f t="shared" si="132"/>
        <v>0.7</v>
      </c>
      <c r="AA519" s="406">
        <v>1.5</v>
      </c>
      <c r="AB519" s="395">
        <v>1.7110000000000001</v>
      </c>
      <c r="AC519" s="395">
        <v>0.34200000000000003</v>
      </c>
      <c r="AE519" s="332">
        <f t="shared" si="143"/>
        <v>7.1862000000000004</v>
      </c>
      <c r="AF519" s="332">
        <f t="shared" si="144"/>
        <v>7.4257400000000002</v>
      </c>
      <c r="AG519" s="332">
        <f t="shared" si="141"/>
        <v>-0.23953999999999986</v>
      </c>
      <c r="AH519" s="333">
        <f t="shared" si="142"/>
        <v>1.0333333333333332</v>
      </c>
      <c r="AI519" s="332">
        <f t="shared" si="138"/>
        <v>4.2</v>
      </c>
      <c r="AJ519" s="332">
        <f t="shared" si="136"/>
        <v>4.34</v>
      </c>
      <c r="AK519" s="332">
        <f t="shared" si="139"/>
        <v>-0.13999999999999968</v>
      </c>
      <c r="AL519" s="333">
        <f t="shared" si="140"/>
        <v>1.0333333333333332</v>
      </c>
    </row>
    <row r="520" spans="2:45" s="303" customFormat="1" ht="28.5" x14ac:dyDescent="0.2">
      <c r="B520" s="319">
        <f t="shared" si="130"/>
        <v>510</v>
      </c>
      <c r="C520" s="459" t="s">
        <v>200</v>
      </c>
      <c r="D520" s="342" t="s">
        <v>208</v>
      </c>
      <c r="E520" s="341" t="s">
        <v>214</v>
      </c>
      <c r="F520" s="341">
        <v>7</v>
      </c>
      <c r="G520" s="341">
        <v>26170</v>
      </c>
      <c r="H520" s="341" t="s">
        <v>173</v>
      </c>
      <c r="I520" s="341">
        <v>2400</v>
      </c>
      <c r="J520" s="2"/>
      <c r="K520" s="345">
        <v>126</v>
      </c>
      <c r="L520" s="347">
        <v>10926</v>
      </c>
      <c r="M520" s="346" t="s">
        <v>36</v>
      </c>
      <c r="N520" s="347" t="s">
        <v>6</v>
      </c>
      <c r="O520" s="323" t="s">
        <v>188</v>
      </c>
      <c r="P520" s="347" t="s">
        <v>187</v>
      </c>
      <c r="Q520" s="2"/>
      <c r="R520" s="348">
        <f>ROUNDUP(600,0)</f>
        <v>600</v>
      </c>
      <c r="S520" s="349">
        <v>1</v>
      </c>
      <c r="T520" s="349">
        <f t="shared" si="133"/>
        <v>7</v>
      </c>
      <c r="V520" s="348">
        <v>6100</v>
      </c>
      <c r="W520" s="350">
        <f t="shared" si="134"/>
        <v>10</v>
      </c>
      <c r="X520" s="350">
        <f t="shared" si="135"/>
        <v>6145</v>
      </c>
      <c r="Y520" s="351">
        <v>6100</v>
      </c>
      <c r="Z520" s="389">
        <f t="shared" si="132"/>
        <v>0.7</v>
      </c>
      <c r="AA520" s="392"/>
      <c r="AB520" s="332">
        <v>0.76700000000000002</v>
      </c>
      <c r="AC520" s="332"/>
      <c r="AE520" s="332">
        <f t="shared" si="143"/>
        <v>3.2214</v>
      </c>
      <c r="AF520" s="332">
        <f t="shared" si="144"/>
        <v>3.2750899999999996</v>
      </c>
      <c r="AG520" s="332">
        <f t="shared" si="141"/>
        <v>-5.3689999999999571E-2</v>
      </c>
      <c r="AH520" s="333">
        <f t="shared" si="142"/>
        <v>1.0166666666666666</v>
      </c>
      <c r="AI520" s="332">
        <f t="shared" si="138"/>
        <v>4.2</v>
      </c>
      <c r="AJ520" s="332">
        <f t="shared" si="136"/>
        <v>4.2699999999999996</v>
      </c>
      <c r="AK520" s="332">
        <f t="shared" si="139"/>
        <v>-6.9999999999999396E-2</v>
      </c>
      <c r="AL520" s="333">
        <f t="shared" si="140"/>
        <v>1.0166666666666666</v>
      </c>
    </row>
    <row r="521" spans="2:45" s="353" customFormat="1" ht="30" customHeight="1" thickBot="1" x14ac:dyDescent="0.3">
      <c r="B521" s="360">
        <f t="shared" si="130"/>
        <v>511</v>
      </c>
      <c r="C521" s="461" t="s">
        <v>200</v>
      </c>
      <c r="D521" s="362" t="s">
        <v>208</v>
      </c>
      <c r="E521" s="360" t="s">
        <v>214</v>
      </c>
      <c r="F521" s="360">
        <v>7</v>
      </c>
      <c r="G521" s="360">
        <v>26170</v>
      </c>
      <c r="H521" s="360" t="s">
        <v>173</v>
      </c>
      <c r="I521" s="360">
        <v>2400</v>
      </c>
      <c r="J521" s="2"/>
      <c r="K521" s="363"/>
      <c r="L521" s="364" t="s">
        <v>28</v>
      </c>
      <c r="M521" s="365" t="s">
        <v>29</v>
      </c>
      <c r="N521" s="470" t="s">
        <v>6</v>
      </c>
      <c r="O521" s="366" t="s">
        <v>189</v>
      </c>
      <c r="P521" s="367" t="s">
        <v>187</v>
      </c>
      <c r="Q521" s="2"/>
      <c r="R521" s="368">
        <v>51</v>
      </c>
      <c r="S521" s="369">
        <f>4*13</f>
        <v>52</v>
      </c>
      <c r="T521" s="369">
        <f t="shared" si="133"/>
        <v>364</v>
      </c>
      <c r="U521" s="303"/>
      <c r="V521" s="368">
        <v>3250</v>
      </c>
      <c r="W521" s="370">
        <f t="shared" si="134"/>
        <v>63</v>
      </c>
      <c r="X521" s="370">
        <f t="shared" si="135"/>
        <v>3623</v>
      </c>
      <c r="Y521" s="371">
        <v>3660</v>
      </c>
      <c r="Z521" s="372">
        <f t="shared" si="132"/>
        <v>5.7777777777777777</v>
      </c>
      <c r="AA521" s="392"/>
      <c r="AB521" s="373">
        <v>1.641</v>
      </c>
      <c r="AC521" s="373">
        <v>0.20319999999999999</v>
      </c>
      <c r="AD521" s="303"/>
      <c r="AE521" s="373">
        <f t="shared" si="143"/>
        <v>30.463524</v>
      </c>
      <c r="AF521" s="373">
        <f t="shared" si="144"/>
        <v>34.701680000000003</v>
      </c>
      <c r="AG521" s="373">
        <f t="shared" si="141"/>
        <v>-4.2381560000000036</v>
      </c>
      <c r="AH521" s="374">
        <f t="shared" si="142"/>
        <v>1.139122315592904</v>
      </c>
      <c r="AI521" s="476">
        <f>+AG521/AF521</f>
        <v>-0.1221311475409837</v>
      </c>
      <c r="AJ521" s="373">
        <f t="shared" si="136"/>
        <v>21.146666666666668</v>
      </c>
      <c r="AK521" s="474">
        <f>($R521/1000)*$T521</f>
        <v>18.564</v>
      </c>
      <c r="AL521" s="474">
        <f>($Y521/1000)*$Z521</f>
        <v>21.146666666666668</v>
      </c>
      <c r="AM521" s="303"/>
    </row>
    <row r="522" spans="2:45" s="303" customFormat="1" x14ac:dyDescent="0.25">
      <c r="B522" s="2"/>
      <c r="C522" s="2"/>
      <c r="D522" s="7"/>
      <c r="E522" s="2"/>
      <c r="F522" s="2"/>
      <c r="G522" s="2"/>
      <c r="H522" s="2"/>
      <c r="I522" s="2"/>
      <c r="J522" s="2"/>
      <c r="K522" s="2"/>
      <c r="L522" s="409"/>
      <c r="M522" s="2"/>
      <c r="N522" s="2"/>
      <c r="O522" s="2"/>
      <c r="P522" s="2"/>
      <c r="Q522" s="2"/>
      <c r="R522" s="2"/>
      <c r="S522" s="2"/>
      <c r="T522" s="2"/>
      <c r="V522" s="2"/>
      <c r="W522" s="2"/>
      <c r="X522" s="2"/>
      <c r="Y522" s="2"/>
      <c r="AA522" s="304"/>
      <c r="AB522" s="2"/>
      <c r="AC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2:45" s="303" customFormat="1" ht="15" customHeight="1" x14ac:dyDescent="0.25">
      <c r="D523" s="7"/>
      <c r="G523" s="2"/>
      <c r="H523" s="2"/>
      <c r="I523" s="2"/>
      <c r="J523" s="2"/>
      <c r="K523" s="2"/>
      <c r="N523" s="2"/>
      <c r="O523" s="2"/>
      <c r="P523" s="2"/>
      <c r="Q523" s="2"/>
      <c r="Z523" s="410">
        <f>SUM(Z11:Z522)</f>
        <v>3977.4751236013522</v>
      </c>
      <c r="AA523" s="304"/>
      <c r="AE523" s="411">
        <f>SUM(AE11:AE522)</f>
        <v>21835.240070000047</v>
      </c>
      <c r="AF523" s="411">
        <f>SUM(AF11:AF522)</f>
        <v>22483.685297142842</v>
      </c>
      <c r="AG523" s="412"/>
      <c r="AH523" s="412"/>
      <c r="AI523" s="411">
        <f>SUM(AI11:AI522)</f>
        <v>18694.205213114776</v>
      </c>
      <c r="AJ523" s="411">
        <f>SUM(AJ11:AJ522)</f>
        <v>19388.635952380999</v>
      </c>
    </row>
    <row r="524" spans="2:45" s="303" customFormat="1" ht="15" customHeight="1" thickBot="1" x14ac:dyDescent="0.3">
      <c r="D524" s="7"/>
      <c r="G524" s="2"/>
      <c r="H524" s="2"/>
      <c r="I524" s="2"/>
      <c r="J524" s="2"/>
      <c r="K524" s="2"/>
      <c r="N524" s="2"/>
      <c r="O524" s="2"/>
      <c r="P524" s="2"/>
      <c r="Q524" s="2"/>
      <c r="Z524" s="410">
        <f>SUBTOTAL(9,Z9:Z522)</f>
        <v>3977.4751236013522</v>
      </c>
      <c r="AA524" s="304"/>
      <c r="AD524" s="411">
        <f>SUBTOTAL(9,AD265:AD522)</f>
        <v>0</v>
      </c>
      <c r="AE524" s="411">
        <f>SUBTOTAL(9,AE10:AE522)</f>
        <v>21835.240070000047</v>
      </c>
      <c r="AF524" s="411">
        <f>SUBTOTAL(9,AF10:AF522)</f>
        <v>22483.685297142842</v>
      </c>
      <c r="AG524" s="413">
        <f>AF524-AE524</f>
        <v>648.44522714279447</v>
      </c>
      <c r="AI524" s="411">
        <f>SUBTOTAL(9,AI10:AI522)</f>
        <v>18694.205213114776</v>
      </c>
      <c r="AJ524" s="411">
        <f>SUBTOTAL(9,AJ10:AJ522)</f>
        <v>19388.635952380999</v>
      </c>
    </row>
    <row r="525" spans="2:45" s="303" customFormat="1" ht="15" customHeight="1" thickBot="1" x14ac:dyDescent="0.3">
      <c r="D525" s="7"/>
      <c r="G525" s="2"/>
      <c r="H525" s="2"/>
      <c r="I525" s="2"/>
      <c r="J525" s="2"/>
      <c r="K525" s="2"/>
      <c r="L525" s="678" t="s">
        <v>59</v>
      </c>
      <c r="M525" s="680"/>
      <c r="N525" s="679"/>
      <c r="O525" s="2"/>
      <c r="P525" s="2"/>
      <c r="Q525" s="2"/>
      <c r="Y525" s="678" t="s">
        <v>59</v>
      </c>
      <c r="Z525" s="679"/>
      <c r="AA525" s="304"/>
      <c r="AB525" s="678" t="s">
        <v>149</v>
      </c>
      <c r="AC525" s="679"/>
      <c r="AE525" s="411"/>
      <c r="AF525" s="411"/>
    </row>
    <row r="526" spans="2:45" s="303" customFormat="1" x14ac:dyDescent="0.25">
      <c r="B526" s="414"/>
      <c r="C526" s="414"/>
      <c r="D526" s="7"/>
      <c r="E526" s="414"/>
      <c r="F526" s="414"/>
      <c r="G526" s="2"/>
      <c r="H526" s="2"/>
      <c r="I526" s="2"/>
      <c r="J526" s="2"/>
      <c r="K526" s="2"/>
      <c r="L526" s="310" t="s">
        <v>158</v>
      </c>
      <c r="M526" s="310" t="s">
        <v>159</v>
      </c>
      <c r="N526" s="310" t="s">
        <v>17</v>
      </c>
      <c r="Q526" s="2"/>
      <c r="Y526" s="311" t="s">
        <v>167</v>
      </c>
      <c r="Z526" s="311" t="s">
        <v>148</v>
      </c>
      <c r="AA526" s="304"/>
      <c r="AB526" s="684" t="s">
        <v>168</v>
      </c>
      <c r="AC526" s="684" t="s">
        <v>169</v>
      </c>
      <c r="AE526" s="686" t="s">
        <v>170</v>
      </c>
      <c r="AF526" s="688"/>
      <c r="AI526" s="686" t="s">
        <v>171</v>
      </c>
      <c r="AJ526" s="688"/>
      <c r="AK526" s="2"/>
      <c r="AL526" s="2"/>
      <c r="AM526" s="2"/>
      <c r="AN526" s="2"/>
      <c r="AO526" s="2"/>
      <c r="AP526" s="2"/>
      <c r="AQ526" s="2"/>
    </row>
    <row r="527" spans="2:45" s="303" customFormat="1" ht="15.75" thickBot="1" x14ac:dyDescent="0.3">
      <c r="D527" s="7"/>
      <c r="G527" s="2"/>
      <c r="H527" s="2"/>
      <c r="I527" s="2"/>
      <c r="J527" s="2"/>
      <c r="K527" s="2"/>
      <c r="L527" s="313"/>
      <c r="M527" s="313"/>
      <c r="N527" s="313"/>
      <c r="Q527" s="2"/>
      <c r="Y527" s="318" t="s">
        <v>179</v>
      </c>
      <c r="Z527" s="313" t="s">
        <v>180</v>
      </c>
      <c r="AA527" s="304"/>
      <c r="AB527" s="685"/>
      <c r="AC527" s="685"/>
      <c r="AE527" s="314" t="s">
        <v>181</v>
      </c>
      <c r="AF527" s="316" t="s">
        <v>60</v>
      </c>
      <c r="AI527" s="314" t="s">
        <v>180</v>
      </c>
      <c r="AJ527" s="316" t="s">
        <v>215</v>
      </c>
    </row>
    <row r="528" spans="2:45" s="303" customFormat="1" x14ac:dyDescent="0.25">
      <c r="D528" s="7"/>
      <c r="G528" s="2"/>
      <c r="H528" s="2"/>
      <c r="I528" s="2"/>
      <c r="J528" s="2"/>
      <c r="K528" s="2"/>
      <c r="L528" s="415" t="s">
        <v>121</v>
      </c>
      <c r="M528" s="416" t="s">
        <v>203</v>
      </c>
      <c r="N528" s="417" t="s">
        <v>6</v>
      </c>
      <c r="Q528" s="2"/>
      <c r="T528" s="2"/>
      <c r="U528" s="2"/>
      <c r="V528" s="2"/>
      <c r="W528" s="2"/>
      <c r="X528" s="2"/>
      <c r="Y528" s="418">
        <v>3660</v>
      </c>
      <c r="Z528" s="352">
        <f>SUMIFS($Z$11:$Z$522,$Y$11:$Y$522,$Y528,$M$11:$M$522,$M528,$L$11:$L$522,$L528,$N$11:$N$522,$N528)</f>
        <v>422.98633879781426</v>
      </c>
      <c r="AA528" s="387">
        <v>423</v>
      </c>
      <c r="AB528" s="329">
        <v>0.84899999999999998</v>
      </c>
      <c r="AC528" s="329">
        <v>0</v>
      </c>
      <c r="AD528" s="413"/>
      <c r="AE528" s="389">
        <f t="shared" ref="AE528:AE562" si="147">SUMIFS($AE$11:$AE$522,$Y$11:$Y$522,$Y528,$M$11:$M$522,$M528,$L$11:$L$522,$L528)</f>
        <v>1314.3623699999998</v>
      </c>
      <c r="AF528" s="389">
        <f t="shared" ref="AF528:AF562" si="148">SUMIFS($AF$11:$AF$522,$Y$11:$Y$522,$Y528,$M$11:$M$522,$M528,$L$11:$L$522,$L528)</f>
        <v>1314.3623699999998</v>
      </c>
      <c r="AG528" s="413">
        <f t="shared" ref="AG528:AG562" si="149">AF528-AE528</f>
        <v>0</v>
      </c>
      <c r="AH528" s="413"/>
      <c r="AI528" s="389">
        <f t="shared" ref="AI528:AI562" si="150">SUMIFS($AI$11:$AI$522,$Y$11:$Y$522,$Y528,$M$11:$M$522,$M528,$L$11:$L$522,$L528)</f>
        <v>1548.1299999999999</v>
      </c>
      <c r="AJ528" s="389">
        <f t="shared" ref="AJ528:AJ562" si="151">SUMIFS($AJ$11:$AJ$522,$Y$11:$Y$522,$Y528,$M$11:$M$522,$M528,$L$11:$L$522,$L528)</f>
        <v>1548.13</v>
      </c>
    </row>
    <row r="529" spans="4:39" s="303" customFormat="1" x14ac:dyDescent="0.25">
      <c r="D529" s="7"/>
      <c r="G529" s="2"/>
      <c r="H529" s="2"/>
      <c r="I529" s="2"/>
      <c r="J529" s="2"/>
      <c r="K529" s="2"/>
      <c r="L529" s="419" t="s">
        <v>28</v>
      </c>
      <c r="M529" s="416" t="s">
        <v>118</v>
      </c>
      <c r="N529" s="417" t="s">
        <v>6</v>
      </c>
      <c r="Q529" s="2"/>
      <c r="T529" s="2"/>
      <c r="U529" s="2"/>
      <c r="V529" s="2"/>
      <c r="W529" s="2"/>
      <c r="X529" s="2"/>
      <c r="Y529" s="418">
        <v>3660</v>
      </c>
      <c r="Z529" s="352">
        <f t="shared" ref="Z529:Z562" si="152">SUMIFS($Z$11:$Z$522,$Y$11:$Y$522,$Y529,$M$11:$M$522,$M529,$L$11:$L$522,$L529,$N$11:$N$522,$N529)</f>
        <v>281.69672131147536</v>
      </c>
      <c r="AA529" s="387">
        <v>280</v>
      </c>
      <c r="AB529" s="329">
        <v>1.641</v>
      </c>
      <c r="AC529" s="329">
        <v>0</v>
      </c>
      <c r="AD529" s="413"/>
      <c r="AE529" s="389">
        <f t="shared" si="147"/>
        <v>1691.88741</v>
      </c>
      <c r="AF529" s="389">
        <f t="shared" si="148"/>
        <v>1691.88741</v>
      </c>
      <c r="AG529" s="413">
        <f t="shared" si="149"/>
        <v>0</v>
      </c>
      <c r="AH529" s="413"/>
      <c r="AI529" s="389">
        <f t="shared" si="150"/>
        <v>1031.0100000000002</v>
      </c>
      <c r="AJ529" s="389">
        <f t="shared" si="151"/>
        <v>1031.0100000000002</v>
      </c>
    </row>
    <row r="530" spans="4:39" s="303" customFormat="1" x14ac:dyDescent="0.25">
      <c r="D530" s="7"/>
      <c r="G530" s="2"/>
      <c r="H530" s="2"/>
      <c r="I530" s="2"/>
      <c r="J530" s="2"/>
      <c r="K530" s="2"/>
      <c r="L530" s="355" t="s">
        <v>28</v>
      </c>
      <c r="M530" s="356" t="s">
        <v>29</v>
      </c>
      <c r="N530" s="469" t="s">
        <v>6</v>
      </c>
      <c r="Q530" s="2"/>
      <c r="T530" s="2"/>
      <c r="U530" s="2"/>
      <c r="V530" s="2"/>
      <c r="W530" s="2"/>
      <c r="X530" s="2"/>
      <c r="Y530" s="420">
        <v>3660</v>
      </c>
      <c r="Z530" s="421">
        <f t="shared" si="152"/>
        <v>57.30158730158729</v>
      </c>
      <c r="AA530" s="304">
        <v>58</v>
      </c>
      <c r="AB530" s="332">
        <v>1.641</v>
      </c>
      <c r="AC530" s="332">
        <v>0</v>
      </c>
      <c r="AD530" s="413"/>
      <c r="AE530" s="389">
        <f t="shared" si="147"/>
        <v>302.12450999999999</v>
      </c>
      <c r="AF530" s="389">
        <f t="shared" si="148"/>
        <v>344.15677142857146</v>
      </c>
      <c r="AG530" s="413">
        <f t="shared" si="149"/>
        <v>42.032261428571474</v>
      </c>
      <c r="AH530" s="413"/>
      <c r="AI530" s="389">
        <f t="shared" si="150"/>
        <v>85.253213114754089</v>
      </c>
      <c r="AJ530" s="389">
        <f t="shared" si="151"/>
        <v>209.72380952380954</v>
      </c>
    </row>
    <row r="531" spans="4:39" s="303" customFormat="1" x14ac:dyDescent="0.25">
      <c r="D531" s="7"/>
      <c r="G531" s="2"/>
      <c r="H531" s="2"/>
      <c r="I531" s="2"/>
      <c r="J531" s="2"/>
      <c r="K531" s="2"/>
      <c r="L531" s="355" t="s">
        <v>31</v>
      </c>
      <c r="M531" s="356" t="s">
        <v>32</v>
      </c>
      <c r="N531" s="469" t="s">
        <v>6</v>
      </c>
      <c r="Q531" s="2"/>
      <c r="T531" s="2"/>
      <c r="U531" s="2"/>
      <c r="V531" s="2"/>
      <c r="W531" s="2"/>
      <c r="X531" s="2"/>
      <c r="Y531" s="420">
        <v>3660</v>
      </c>
      <c r="Z531" s="421">
        <f t="shared" si="152"/>
        <v>0.19047619047619047</v>
      </c>
      <c r="AA531" s="304">
        <v>1</v>
      </c>
      <c r="AB531" s="332">
        <v>3.3929999999999998</v>
      </c>
      <c r="AC531" s="332">
        <v>0</v>
      </c>
      <c r="AD531" s="413"/>
      <c r="AE531" s="389">
        <f t="shared" si="147"/>
        <v>2.0765159999999998</v>
      </c>
      <c r="AF531" s="389">
        <f t="shared" si="148"/>
        <v>2.3654057142857141</v>
      </c>
      <c r="AG531" s="413">
        <f t="shared" si="149"/>
        <v>0.28888971428571431</v>
      </c>
      <c r="AH531" s="413"/>
      <c r="AI531" s="389">
        <f t="shared" si="150"/>
        <v>0.61199999999999999</v>
      </c>
      <c r="AJ531" s="389">
        <f t="shared" si="151"/>
        <v>0.69714285714285718</v>
      </c>
    </row>
    <row r="532" spans="4:39" s="303" customFormat="1" x14ac:dyDescent="0.25">
      <c r="D532" s="7"/>
      <c r="G532" s="2"/>
      <c r="H532" s="2"/>
      <c r="I532" s="2"/>
      <c r="J532" s="2"/>
      <c r="K532" s="2"/>
      <c r="L532" s="345" t="s">
        <v>34</v>
      </c>
      <c r="M532" s="346" t="s">
        <v>35</v>
      </c>
      <c r="N532" s="347" t="s">
        <v>6</v>
      </c>
      <c r="Q532" s="2"/>
      <c r="T532" s="2"/>
      <c r="U532" s="2"/>
      <c r="V532" s="2"/>
      <c r="W532" s="2"/>
      <c r="X532" s="2"/>
      <c r="Y532" s="420">
        <v>6100</v>
      </c>
      <c r="Z532" s="421">
        <f t="shared" si="152"/>
        <v>1.5</v>
      </c>
      <c r="AA532" s="304">
        <v>2</v>
      </c>
      <c r="AB532" s="332">
        <v>0.438</v>
      </c>
      <c r="AC532" s="332">
        <v>0</v>
      </c>
      <c r="AD532" s="413"/>
      <c r="AE532" s="389">
        <f t="shared" si="147"/>
        <v>3.2061599999999997</v>
      </c>
      <c r="AF532" s="389">
        <f t="shared" si="148"/>
        <v>4.0076999999999998</v>
      </c>
      <c r="AG532" s="413">
        <f t="shared" si="149"/>
        <v>0.80154000000000014</v>
      </c>
      <c r="AH532" s="413"/>
      <c r="AI532" s="389">
        <f t="shared" si="150"/>
        <v>7.32</v>
      </c>
      <c r="AJ532" s="389">
        <f t="shared" si="151"/>
        <v>9.1499999999999986</v>
      </c>
    </row>
    <row r="533" spans="4:39" s="303" customFormat="1" x14ac:dyDescent="0.25">
      <c r="D533" s="7"/>
      <c r="G533" s="2"/>
      <c r="H533" s="2"/>
      <c r="I533" s="2"/>
      <c r="J533" s="2"/>
      <c r="K533" s="2"/>
      <c r="L533" s="337">
        <v>10926</v>
      </c>
      <c r="M533" s="336" t="s">
        <v>36</v>
      </c>
      <c r="N533" s="337" t="s">
        <v>6</v>
      </c>
      <c r="Q533" s="2"/>
      <c r="T533" s="2"/>
      <c r="U533" s="2"/>
      <c r="V533" s="2"/>
      <c r="W533" s="2"/>
      <c r="X533" s="2"/>
      <c r="Y533" s="420">
        <v>6100</v>
      </c>
      <c r="Z533" s="421">
        <f t="shared" si="152"/>
        <v>51.600000000000009</v>
      </c>
      <c r="AA533" s="304">
        <v>51</v>
      </c>
      <c r="AB533" s="329">
        <v>0.76700000000000002</v>
      </c>
      <c r="AC533" s="329">
        <v>0</v>
      </c>
      <c r="AD533" s="413"/>
      <c r="AE533" s="389">
        <f t="shared" si="147"/>
        <v>197.88599999999997</v>
      </c>
      <c r="AF533" s="389">
        <f t="shared" si="148"/>
        <v>241.42092000000008</v>
      </c>
      <c r="AG533" s="413">
        <f t="shared" si="149"/>
        <v>43.534920000000113</v>
      </c>
      <c r="AH533" s="413"/>
      <c r="AI533" s="389">
        <f t="shared" si="150"/>
        <v>258</v>
      </c>
      <c r="AJ533" s="389">
        <f t="shared" si="151"/>
        <v>314.76</v>
      </c>
    </row>
    <row r="534" spans="4:39" s="303" customFormat="1" ht="28.5" x14ac:dyDescent="0.25">
      <c r="D534" s="7"/>
      <c r="G534" s="2"/>
      <c r="H534" s="2"/>
      <c r="I534" s="2"/>
      <c r="J534" s="2"/>
      <c r="L534" s="422" t="s">
        <v>37</v>
      </c>
      <c r="M534" s="423" t="s">
        <v>38</v>
      </c>
      <c r="N534" s="422" t="s">
        <v>39</v>
      </c>
      <c r="Q534" s="2"/>
      <c r="T534" s="2"/>
      <c r="U534" s="2"/>
      <c r="V534" s="2"/>
      <c r="W534" s="2"/>
      <c r="X534" s="2"/>
      <c r="Y534" s="424">
        <v>4600</v>
      </c>
      <c r="Z534" s="425">
        <f t="shared" si="152"/>
        <v>49.500000000000014</v>
      </c>
      <c r="AA534" s="426">
        <f>AA43+AA79+AA97+AA118+AA135+AA180</f>
        <v>51</v>
      </c>
      <c r="AB534" s="329">
        <v>0.29899999999999999</v>
      </c>
      <c r="AC534" s="329">
        <v>0.13900000000000001</v>
      </c>
      <c r="AD534" s="413"/>
      <c r="AE534" s="389">
        <f t="shared" si="147"/>
        <v>63.695969999999988</v>
      </c>
      <c r="AF534" s="389">
        <f t="shared" si="148"/>
        <v>68.082300000000004</v>
      </c>
      <c r="AG534" s="413">
        <f t="shared" si="149"/>
        <v>4.3863300000000152</v>
      </c>
      <c r="AH534" s="413"/>
      <c r="AI534" s="389">
        <f t="shared" si="150"/>
        <v>213.02999999999997</v>
      </c>
      <c r="AJ534" s="389">
        <f t="shared" si="151"/>
        <v>227.69999999999996</v>
      </c>
    </row>
    <row r="535" spans="4:39" s="303" customFormat="1" ht="28.5" x14ac:dyDescent="0.25">
      <c r="D535" s="7"/>
      <c r="G535" s="2"/>
      <c r="H535" s="2"/>
      <c r="I535" s="2"/>
      <c r="J535" s="2"/>
      <c r="L535" s="422" t="s">
        <v>37</v>
      </c>
      <c r="M535" s="423" t="s">
        <v>38</v>
      </c>
      <c r="N535" s="422" t="s">
        <v>39</v>
      </c>
      <c r="Q535" s="2"/>
      <c r="T535" s="2"/>
      <c r="U535" s="2"/>
      <c r="V535" s="2"/>
      <c r="W535" s="2"/>
      <c r="X535" s="2"/>
      <c r="Y535" s="424">
        <v>4900</v>
      </c>
      <c r="Z535" s="425">
        <f t="shared" si="152"/>
        <v>177.75</v>
      </c>
      <c r="AA535" s="387">
        <f>AA25+AA35+AA61+AA71+AA89+AA150</f>
        <v>178</v>
      </c>
      <c r="AB535" s="329">
        <v>0.29899999999999999</v>
      </c>
      <c r="AC535" s="329">
        <v>0.13900000000000001</v>
      </c>
      <c r="AD535" s="413"/>
      <c r="AE535" s="389">
        <f t="shared" si="147"/>
        <v>249.75469999999996</v>
      </c>
      <c r="AF535" s="389">
        <f t="shared" si="148"/>
        <v>260.42152499999992</v>
      </c>
      <c r="AG535" s="413">
        <f t="shared" si="149"/>
        <v>10.66682499999996</v>
      </c>
      <c r="AH535" s="413"/>
      <c r="AI535" s="389">
        <f t="shared" si="150"/>
        <v>835.3</v>
      </c>
      <c r="AJ535" s="389">
        <f t="shared" si="151"/>
        <v>870.97500000000014</v>
      </c>
    </row>
    <row r="536" spans="4:39" s="303" customFormat="1" ht="28.5" x14ac:dyDescent="0.25">
      <c r="D536" s="7"/>
      <c r="G536" s="2"/>
      <c r="H536" s="2"/>
      <c r="I536" s="2"/>
      <c r="J536" s="2"/>
      <c r="L536" s="422" t="s">
        <v>40</v>
      </c>
      <c r="M536" s="423" t="s">
        <v>41</v>
      </c>
      <c r="N536" s="422" t="s">
        <v>39</v>
      </c>
      <c r="Q536" s="2"/>
      <c r="T536" s="2"/>
      <c r="U536" s="2"/>
      <c r="V536" s="2"/>
      <c r="W536" s="2"/>
      <c r="X536" s="2"/>
      <c r="Y536" s="424">
        <v>4600</v>
      </c>
      <c r="Z536" s="425">
        <f t="shared" si="152"/>
        <v>49.500000000000014</v>
      </c>
      <c r="AA536" s="304"/>
      <c r="AB536" s="329">
        <v>0.27700000000000002</v>
      </c>
      <c r="AC536" s="329">
        <v>0.114</v>
      </c>
      <c r="AD536" s="413"/>
      <c r="AE536" s="389">
        <f t="shared" si="147"/>
        <v>59.009310000000006</v>
      </c>
      <c r="AF536" s="389">
        <f t="shared" si="148"/>
        <v>63.072900000000025</v>
      </c>
      <c r="AG536" s="413">
        <f t="shared" si="149"/>
        <v>4.0635900000000191</v>
      </c>
      <c r="AH536" s="413"/>
      <c r="AI536" s="389">
        <f t="shared" si="150"/>
        <v>213.02999999999997</v>
      </c>
      <c r="AJ536" s="389">
        <f t="shared" si="151"/>
        <v>227.69999999999996</v>
      </c>
    </row>
    <row r="537" spans="4:39" s="303" customFormat="1" ht="28.5" x14ac:dyDescent="0.25">
      <c r="D537" s="7"/>
      <c r="G537" s="2"/>
      <c r="H537" s="2"/>
      <c r="I537" s="2"/>
      <c r="J537" s="2"/>
      <c r="L537" s="422" t="s">
        <v>40</v>
      </c>
      <c r="M537" s="423" t="s">
        <v>41</v>
      </c>
      <c r="N537" s="422" t="s">
        <v>39</v>
      </c>
      <c r="Q537" s="2"/>
      <c r="T537" s="2"/>
      <c r="U537" s="2"/>
      <c r="V537" s="2"/>
      <c r="W537" s="2"/>
      <c r="X537" s="2"/>
      <c r="Y537" s="424">
        <v>4900</v>
      </c>
      <c r="Z537" s="425">
        <f t="shared" si="152"/>
        <v>177.75</v>
      </c>
      <c r="AA537" s="304"/>
      <c r="AB537" s="329">
        <v>0.27700000000000002</v>
      </c>
      <c r="AC537" s="329">
        <v>0.114</v>
      </c>
      <c r="AD537" s="413"/>
      <c r="AE537" s="389">
        <f t="shared" si="147"/>
        <v>231.37810000000007</v>
      </c>
      <c r="AF537" s="389">
        <f t="shared" si="148"/>
        <v>241.26007500000003</v>
      </c>
      <c r="AG537" s="413">
        <f t="shared" si="149"/>
        <v>9.8819749999999544</v>
      </c>
      <c r="AH537" s="413"/>
      <c r="AI537" s="389">
        <f t="shared" si="150"/>
        <v>835.3</v>
      </c>
      <c r="AJ537" s="389">
        <f t="shared" si="151"/>
        <v>870.97500000000014</v>
      </c>
      <c r="AK537" s="2"/>
      <c r="AL537" s="2"/>
      <c r="AM537" s="2"/>
    </row>
    <row r="538" spans="4:39" s="303" customFormat="1" ht="28.5" x14ac:dyDescent="0.25">
      <c r="D538" s="7"/>
      <c r="G538" s="2"/>
      <c r="H538" s="2"/>
      <c r="I538" s="2"/>
      <c r="J538" s="2"/>
      <c r="L538" s="422" t="s">
        <v>42</v>
      </c>
      <c r="M538" s="423" t="s">
        <v>43</v>
      </c>
      <c r="N538" s="422" t="s">
        <v>39</v>
      </c>
      <c r="Q538" s="2"/>
      <c r="T538" s="2"/>
      <c r="U538" s="2"/>
      <c r="V538" s="2"/>
      <c r="W538" s="2"/>
      <c r="X538" s="2"/>
      <c r="Y538" s="424">
        <v>4600</v>
      </c>
      <c r="Z538" s="425">
        <f t="shared" si="152"/>
        <v>49.500000000000014</v>
      </c>
      <c r="AA538" s="304"/>
      <c r="AB538" s="329">
        <v>1.72</v>
      </c>
      <c r="AC538" s="329">
        <v>0.32400000000000001</v>
      </c>
      <c r="AD538" s="413"/>
      <c r="AE538" s="389">
        <f t="shared" si="147"/>
        <v>366.41159999999985</v>
      </c>
      <c r="AF538" s="389">
        <f t="shared" si="148"/>
        <v>391.64400000000012</v>
      </c>
      <c r="AG538" s="413">
        <f t="shared" si="149"/>
        <v>25.232400000000268</v>
      </c>
      <c r="AH538" s="413"/>
      <c r="AI538" s="389">
        <f t="shared" si="150"/>
        <v>213.02999999999997</v>
      </c>
      <c r="AJ538" s="389">
        <f t="shared" si="151"/>
        <v>227.69999999999996</v>
      </c>
    </row>
    <row r="539" spans="4:39" s="303" customFormat="1" ht="28.5" x14ac:dyDescent="0.25">
      <c r="D539" s="7"/>
      <c r="G539" s="2"/>
      <c r="H539" s="2"/>
      <c r="I539" s="2"/>
      <c r="J539" s="2"/>
      <c r="L539" s="422" t="s">
        <v>42</v>
      </c>
      <c r="M539" s="423" t="s">
        <v>43</v>
      </c>
      <c r="N539" s="422" t="s">
        <v>39</v>
      </c>
      <c r="Q539" s="2"/>
      <c r="T539" s="2"/>
      <c r="U539" s="2"/>
      <c r="V539" s="2"/>
      <c r="W539" s="2"/>
      <c r="X539" s="2"/>
      <c r="Y539" s="424">
        <v>4900</v>
      </c>
      <c r="Z539" s="425">
        <f t="shared" si="152"/>
        <v>177.75</v>
      </c>
      <c r="AA539" s="304"/>
      <c r="AB539" s="329">
        <v>1.72</v>
      </c>
      <c r="AC539" s="329">
        <v>0.32400000000000001</v>
      </c>
      <c r="AD539" s="413"/>
      <c r="AE539" s="389">
        <f t="shared" si="147"/>
        <v>1436.7159999999994</v>
      </c>
      <c r="AF539" s="389">
        <f t="shared" si="148"/>
        <v>1498.077</v>
      </c>
      <c r="AG539" s="413">
        <f t="shared" si="149"/>
        <v>61.361000000000558</v>
      </c>
      <c r="AH539" s="413"/>
      <c r="AI539" s="389">
        <f t="shared" si="150"/>
        <v>835.3</v>
      </c>
      <c r="AJ539" s="389">
        <f t="shared" si="151"/>
        <v>870.97500000000014</v>
      </c>
      <c r="AK539" s="2"/>
      <c r="AL539" s="2"/>
      <c r="AM539" s="2"/>
    </row>
    <row r="540" spans="4:39" s="303" customFormat="1" ht="28.5" x14ac:dyDescent="0.25">
      <c r="D540" s="7"/>
      <c r="G540" s="2"/>
      <c r="H540" s="2"/>
      <c r="I540" s="2"/>
      <c r="J540" s="2"/>
      <c r="L540" s="427">
        <v>20626</v>
      </c>
      <c r="M540" s="428" t="s">
        <v>44</v>
      </c>
      <c r="N540" s="427" t="s">
        <v>39</v>
      </c>
      <c r="Q540" s="2"/>
      <c r="T540" s="2"/>
      <c r="U540" s="2"/>
      <c r="V540" s="2"/>
      <c r="W540" s="2"/>
      <c r="X540" s="2"/>
      <c r="Y540" s="429">
        <v>4900</v>
      </c>
      <c r="Z540" s="430">
        <f t="shared" si="152"/>
        <v>293.5</v>
      </c>
      <c r="AA540" s="387">
        <f>AA223+AA276+AA329+AA382+AA435+AA488</f>
        <v>293.5</v>
      </c>
      <c r="AB540" s="329">
        <v>2.7930000000000001</v>
      </c>
      <c r="AC540" s="329">
        <v>0.45068000000000003</v>
      </c>
      <c r="AD540" s="413"/>
      <c r="AE540" s="389">
        <f t="shared" si="147"/>
        <v>3934.7783999999997</v>
      </c>
      <c r="AF540" s="389">
        <f t="shared" si="148"/>
        <v>4016.7529500000001</v>
      </c>
      <c r="AG540" s="431">
        <f t="shared" si="149"/>
        <v>81.974550000000363</v>
      </c>
      <c r="AH540" s="413"/>
      <c r="AI540" s="389">
        <f t="shared" si="150"/>
        <v>1408.8</v>
      </c>
      <c r="AJ540" s="389">
        <f t="shared" si="151"/>
        <v>1438.1500000000005</v>
      </c>
    </row>
    <row r="541" spans="4:39" s="303" customFormat="1" ht="28.5" x14ac:dyDescent="0.25">
      <c r="D541" s="7"/>
      <c r="G541" s="2"/>
      <c r="H541" s="2"/>
      <c r="I541" s="2"/>
      <c r="J541" s="2"/>
      <c r="L541" s="427">
        <v>20626</v>
      </c>
      <c r="M541" s="428" t="s">
        <v>44</v>
      </c>
      <c r="N541" s="427" t="s">
        <v>39</v>
      </c>
      <c r="Q541" s="2"/>
      <c r="T541" s="2"/>
      <c r="U541" s="2"/>
      <c r="V541" s="2"/>
      <c r="W541" s="2"/>
      <c r="X541" s="2"/>
      <c r="Y541" s="429">
        <v>6400</v>
      </c>
      <c r="Z541" s="430">
        <f t="shared" si="152"/>
        <v>15</v>
      </c>
      <c r="AA541" s="406">
        <f>AA186</f>
        <v>15</v>
      </c>
      <c r="AB541" s="329">
        <v>2.7930000000000001</v>
      </c>
      <c r="AC541" s="329">
        <v>0.45068000000000003</v>
      </c>
      <c r="AD541" s="413"/>
      <c r="AE541" s="389">
        <f t="shared" si="147"/>
        <v>253.88369999999998</v>
      </c>
      <c r="AF541" s="389">
        <f t="shared" si="148"/>
        <v>268.12800000000004</v>
      </c>
      <c r="AG541" s="413">
        <f t="shared" si="149"/>
        <v>14.244300000000067</v>
      </c>
      <c r="AH541" s="413"/>
      <c r="AI541" s="389">
        <f t="shared" si="150"/>
        <v>90.899999999999991</v>
      </c>
      <c r="AJ541" s="389">
        <f t="shared" si="151"/>
        <v>96</v>
      </c>
      <c r="AK541" s="2"/>
      <c r="AL541" s="2"/>
      <c r="AM541" s="2"/>
    </row>
    <row r="542" spans="4:39" s="303" customFormat="1" ht="28.5" x14ac:dyDescent="0.25">
      <c r="D542" s="7"/>
      <c r="G542" s="2"/>
      <c r="H542" s="2"/>
      <c r="I542" s="2"/>
      <c r="J542" s="2"/>
      <c r="L542" s="432">
        <v>21825</v>
      </c>
      <c r="M542" s="433" t="s">
        <v>45</v>
      </c>
      <c r="N542" s="432" t="s">
        <v>39</v>
      </c>
      <c r="P542" s="2"/>
      <c r="Q542" s="2"/>
      <c r="Y542" s="429">
        <v>4900</v>
      </c>
      <c r="Z542" s="430">
        <f t="shared" si="152"/>
        <v>405</v>
      </c>
      <c r="AA542" s="387">
        <f>AA252+AA305+AA358+AA411+AA464+AA517</f>
        <v>405</v>
      </c>
      <c r="AB542" s="329">
        <v>0.999</v>
      </c>
      <c r="AC542" s="329">
        <v>0.2382</v>
      </c>
      <c r="AD542" s="413"/>
      <c r="AE542" s="389">
        <f t="shared" si="147"/>
        <v>1928.38968</v>
      </c>
      <c r="AF542" s="389">
        <f t="shared" si="148"/>
        <v>1982.5155</v>
      </c>
      <c r="AG542" s="413">
        <f>AF542-AE542</f>
        <v>54.125819999999976</v>
      </c>
      <c r="AH542" s="413"/>
      <c r="AI542" s="389">
        <f t="shared" si="150"/>
        <v>1930.3200000000004</v>
      </c>
      <c r="AJ542" s="389">
        <f t="shared" si="151"/>
        <v>1984.5000000000005</v>
      </c>
    </row>
    <row r="543" spans="4:39" s="303" customFormat="1" ht="28.5" x14ac:dyDescent="0.25">
      <c r="D543" s="7"/>
      <c r="G543" s="2"/>
      <c r="H543" s="2"/>
      <c r="I543" s="2"/>
      <c r="J543" s="2"/>
      <c r="L543" s="432">
        <v>21825</v>
      </c>
      <c r="M543" s="433" t="s">
        <v>45</v>
      </c>
      <c r="N543" s="432" t="s">
        <v>39</v>
      </c>
      <c r="O543" s="2"/>
      <c r="P543" s="2"/>
      <c r="Q543" s="2"/>
      <c r="Y543" s="429">
        <v>5800</v>
      </c>
      <c r="Z543" s="430">
        <f t="shared" si="152"/>
        <v>51.5</v>
      </c>
      <c r="AA543" s="435">
        <f>AA201+AA458</f>
        <v>51.5</v>
      </c>
      <c r="AB543" s="329">
        <v>0.999</v>
      </c>
      <c r="AC543" s="329">
        <v>0.2382</v>
      </c>
      <c r="AD543" s="413"/>
      <c r="AE543" s="389">
        <f t="shared" si="147"/>
        <v>291.4083</v>
      </c>
      <c r="AF543" s="389">
        <f t="shared" si="148"/>
        <v>298.40129999999999</v>
      </c>
      <c r="AG543" s="413">
        <f>AF543-AE543</f>
        <v>6.992999999999995</v>
      </c>
      <c r="AH543" s="413"/>
      <c r="AI543" s="389">
        <f t="shared" si="150"/>
        <v>291.7</v>
      </c>
      <c r="AJ543" s="389">
        <f t="shared" si="151"/>
        <v>298.7</v>
      </c>
      <c r="AK543" s="2"/>
      <c r="AL543" s="2"/>
      <c r="AM543" s="2"/>
    </row>
    <row r="544" spans="4:39" s="303" customFormat="1" ht="28.5" x14ac:dyDescent="0.25">
      <c r="D544" s="7"/>
      <c r="G544" s="2"/>
      <c r="H544" s="2"/>
      <c r="I544" s="2"/>
      <c r="J544" s="2"/>
      <c r="L544" s="432">
        <v>21825</v>
      </c>
      <c r="M544" s="433" t="s">
        <v>45</v>
      </c>
      <c r="N544" s="432" t="s">
        <v>39</v>
      </c>
      <c r="O544" s="2"/>
      <c r="P544" s="2"/>
      <c r="Q544" s="2"/>
      <c r="Y544" s="429">
        <v>6400</v>
      </c>
      <c r="Z544" s="430">
        <f t="shared" si="152"/>
        <v>79</v>
      </c>
      <c r="AA544" s="406">
        <f>AA187+AA405+AA511</f>
        <v>79</v>
      </c>
      <c r="AB544" s="329">
        <v>0.999</v>
      </c>
      <c r="AC544" s="329">
        <v>0.2382</v>
      </c>
      <c r="AD544" s="413"/>
      <c r="AE544" s="389">
        <f t="shared" si="147"/>
        <v>490.08142800000007</v>
      </c>
      <c r="AF544" s="389">
        <f t="shared" si="148"/>
        <v>505.09439999999995</v>
      </c>
      <c r="AG544" s="413">
        <f>AF544-AE544</f>
        <v>15.012971999999877</v>
      </c>
      <c r="AH544" s="413"/>
      <c r="AI544" s="389">
        <f t="shared" si="150"/>
        <v>490.572</v>
      </c>
      <c r="AJ544" s="389">
        <f t="shared" si="151"/>
        <v>505.6</v>
      </c>
      <c r="AK544" s="2"/>
      <c r="AL544" s="2"/>
      <c r="AM544" s="2"/>
    </row>
    <row r="545" spans="4:39" s="303" customFormat="1" ht="28.5" x14ac:dyDescent="0.25">
      <c r="D545" s="7"/>
      <c r="G545" s="2"/>
      <c r="H545" s="2"/>
      <c r="I545" s="2"/>
      <c r="J545" s="2"/>
      <c r="L545" s="432" t="s">
        <v>124</v>
      </c>
      <c r="M545" s="433" t="s">
        <v>125</v>
      </c>
      <c r="N545" s="432" t="s">
        <v>39</v>
      </c>
      <c r="Q545" s="2"/>
      <c r="T545" s="2"/>
      <c r="U545" s="2"/>
      <c r="V545" s="2"/>
      <c r="X545" s="2"/>
      <c r="Y545" s="429">
        <v>4900</v>
      </c>
      <c r="Z545" s="430">
        <f t="shared" si="152"/>
        <v>111.5</v>
      </c>
      <c r="AA545" s="387">
        <f>AA248+AA301+AA407+AA354+AA460+AA513</f>
        <v>111.5</v>
      </c>
      <c r="AB545" s="329">
        <v>2.109</v>
      </c>
      <c r="AC545" s="329">
        <v>0.70199999999999996</v>
      </c>
      <c r="AD545" s="413"/>
      <c r="AE545" s="389">
        <f t="shared" si="147"/>
        <v>1099.8856800000001</v>
      </c>
      <c r="AF545" s="389">
        <f t="shared" si="148"/>
        <v>1152.2521500000003</v>
      </c>
      <c r="AG545" s="431">
        <f t="shared" ref="AG545:AG550" si="153">AF545-AE545</f>
        <v>52.366470000000163</v>
      </c>
      <c r="AH545" s="413"/>
      <c r="AI545" s="389">
        <f t="shared" si="150"/>
        <v>521.52</v>
      </c>
      <c r="AJ545" s="389">
        <f t="shared" si="151"/>
        <v>546.35</v>
      </c>
    </row>
    <row r="546" spans="4:39" s="303" customFormat="1" ht="28.5" x14ac:dyDescent="0.25">
      <c r="D546" s="7"/>
      <c r="G546" s="2"/>
      <c r="H546" s="2"/>
      <c r="I546" s="2"/>
      <c r="J546" s="2"/>
      <c r="L546" s="432" t="s">
        <v>124</v>
      </c>
      <c r="M546" s="433" t="s">
        <v>125</v>
      </c>
      <c r="N546" s="432" t="s">
        <v>39</v>
      </c>
      <c r="Q546" s="2"/>
      <c r="T546" s="2"/>
      <c r="U546" s="2"/>
      <c r="V546" s="2"/>
      <c r="X546" s="2"/>
      <c r="Y546" s="429">
        <v>5800</v>
      </c>
      <c r="Z546" s="430">
        <f t="shared" si="152"/>
        <v>51.5</v>
      </c>
      <c r="AA546" s="435">
        <f>AA197+AA454</f>
        <v>51.5</v>
      </c>
      <c r="AB546" s="329">
        <v>2.109</v>
      </c>
      <c r="AC546" s="329">
        <v>0.70199999999999996</v>
      </c>
      <c r="AD546" s="413"/>
      <c r="AE546" s="389">
        <f t="shared" si="147"/>
        <v>615.19530000000009</v>
      </c>
      <c r="AF546" s="389">
        <f t="shared" si="148"/>
        <v>629.95829999999989</v>
      </c>
      <c r="AG546" s="413">
        <f t="shared" si="153"/>
        <v>14.762999999999806</v>
      </c>
      <c r="AH546" s="413"/>
      <c r="AI546" s="389">
        <f t="shared" si="150"/>
        <v>291.7</v>
      </c>
      <c r="AJ546" s="389">
        <f t="shared" si="151"/>
        <v>298.7</v>
      </c>
      <c r="AK546" s="2"/>
      <c r="AL546" s="2"/>
      <c r="AM546" s="2"/>
    </row>
    <row r="547" spans="4:39" s="303" customFormat="1" ht="28.5" x14ac:dyDescent="0.25">
      <c r="D547" s="7"/>
      <c r="G547" s="2"/>
      <c r="H547" s="2"/>
      <c r="I547" s="2"/>
      <c r="J547" s="2"/>
      <c r="L547" s="432" t="s">
        <v>124</v>
      </c>
      <c r="M547" s="433" t="s">
        <v>125</v>
      </c>
      <c r="N547" s="432" t="s">
        <v>39</v>
      </c>
      <c r="Q547" s="2"/>
      <c r="T547" s="2"/>
      <c r="U547" s="2"/>
      <c r="V547" s="2"/>
      <c r="X547" s="2"/>
      <c r="Y547" s="429">
        <v>6400</v>
      </c>
      <c r="Z547" s="430">
        <f t="shared" si="152"/>
        <v>64</v>
      </c>
      <c r="AA547" s="406">
        <f>AA401+AA507</f>
        <v>64</v>
      </c>
      <c r="AB547" s="329">
        <v>2.109</v>
      </c>
      <c r="AC547" s="329">
        <v>0.70199999999999996</v>
      </c>
      <c r="AD547" s="413"/>
      <c r="AE547" s="389">
        <f t="shared" si="147"/>
        <v>842.90824799999996</v>
      </c>
      <c r="AF547" s="389">
        <f t="shared" si="148"/>
        <v>863.8463999999999</v>
      </c>
      <c r="AG547" s="413">
        <f t="shared" si="153"/>
        <v>20.938151999999945</v>
      </c>
      <c r="AH547" s="413"/>
      <c r="AI547" s="389">
        <f t="shared" si="150"/>
        <v>399.67200000000003</v>
      </c>
      <c r="AJ547" s="389">
        <f t="shared" si="151"/>
        <v>409.6</v>
      </c>
      <c r="AK547" s="2"/>
      <c r="AL547" s="2"/>
      <c r="AM547" s="2"/>
    </row>
    <row r="548" spans="4:39" s="303" customFormat="1" ht="28.5" x14ac:dyDescent="0.25">
      <c r="D548" s="7"/>
      <c r="G548" s="2"/>
      <c r="H548" s="2"/>
      <c r="I548" s="2"/>
      <c r="J548" s="2"/>
      <c r="L548" s="432" t="s">
        <v>126</v>
      </c>
      <c r="M548" s="433" t="s">
        <v>127</v>
      </c>
      <c r="N548" s="432" t="s">
        <v>39</v>
      </c>
      <c r="Q548" s="2"/>
      <c r="T548" s="2"/>
      <c r="U548" s="2"/>
      <c r="V548" s="2"/>
      <c r="W548" s="2"/>
      <c r="X548" s="2"/>
      <c r="Y548" s="429">
        <v>4900</v>
      </c>
      <c r="Z548" s="430">
        <f t="shared" si="152"/>
        <v>111.5</v>
      </c>
      <c r="AA548" s="434"/>
      <c r="AB548" s="329">
        <v>0.88800000000000001</v>
      </c>
      <c r="AC548" s="329">
        <v>0.34</v>
      </c>
      <c r="AD548" s="413"/>
      <c r="AE548" s="389">
        <f t="shared" si="147"/>
        <v>463.10976000000005</v>
      </c>
      <c r="AF548" s="389">
        <f t="shared" si="148"/>
        <v>485.15880000000004</v>
      </c>
      <c r="AG548" s="431">
        <f t="shared" si="153"/>
        <v>22.049039999999991</v>
      </c>
      <c r="AH548" s="413"/>
      <c r="AI548" s="389">
        <f t="shared" si="150"/>
        <v>521.52</v>
      </c>
      <c r="AJ548" s="389">
        <f t="shared" si="151"/>
        <v>546.35</v>
      </c>
    </row>
    <row r="549" spans="4:39" s="303" customFormat="1" ht="28.5" x14ac:dyDescent="0.25">
      <c r="D549" s="7"/>
      <c r="G549" s="2"/>
      <c r="H549" s="2"/>
      <c r="I549" s="2"/>
      <c r="J549" s="2"/>
      <c r="L549" s="432" t="s">
        <v>126</v>
      </c>
      <c r="M549" s="433" t="s">
        <v>127</v>
      </c>
      <c r="N549" s="432" t="s">
        <v>39</v>
      </c>
      <c r="Q549" s="2"/>
      <c r="T549" s="2"/>
      <c r="U549" s="2"/>
      <c r="V549" s="2"/>
      <c r="W549" s="2"/>
      <c r="X549" s="2"/>
      <c r="Y549" s="429">
        <v>5800</v>
      </c>
      <c r="Z549" s="430">
        <f t="shared" si="152"/>
        <v>51.5</v>
      </c>
      <c r="AA549" s="434"/>
      <c r="AB549" s="329">
        <v>0.88800000000000001</v>
      </c>
      <c r="AC549" s="329">
        <v>0.34</v>
      </c>
      <c r="AD549" s="413"/>
      <c r="AE549" s="389">
        <f t="shared" si="147"/>
        <v>259.02960000000002</v>
      </c>
      <c r="AF549" s="389">
        <f t="shared" si="148"/>
        <v>265.24559999999997</v>
      </c>
      <c r="AG549" s="413">
        <f t="shared" si="153"/>
        <v>6.2159999999999513</v>
      </c>
      <c r="AH549" s="413"/>
      <c r="AI549" s="389">
        <f t="shared" si="150"/>
        <v>291.7</v>
      </c>
      <c r="AJ549" s="389">
        <f t="shared" si="151"/>
        <v>298.7</v>
      </c>
      <c r="AK549" s="2"/>
      <c r="AL549" s="2"/>
      <c r="AM549" s="2"/>
    </row>
    <row r="550" spans="4:39" s="303" customFormat="1" ht="28.5" x14ac:dyDescent="0.25">
      <c r="D550" s="7"/>
      <c r="G550" s="2"/>
      <c r="H550" s="2"/>
      <c r="I550" s="2"/>
      <c r="J550" s="2"/>
      <c r="L550" s="432" t="s">
        <v>126</v>
      </c>
      <c r="M550" s="433" t="s">
        <v>127</v>
      </c>
      <c r="N550" s="432" t="s">
        <v>39</v>
      </c>
      <c r="Q550" s="2"/>
      <c r="T550" s="2"/>
      <c r="U550" s="2"/>
      <c r="V550" s="2"/>
      <c r="W550" s="2"/>
      <c r="X550" s="2"/>
      <c r="Y550" s="429">
        <v>6400</v>
      </c>
      <c r="Z550" s="430">
        <f t="shared" si="152"/>
        <v>64</v>
      </c>
      <c r="AA550" s="434"/>
      <c r="AB550" s="329">
        <v>0.88800000000000001</v>
      </c>
      <c r="AC550" s="329">
        <v>0.34</v>
      </c>
      <c r="AD550" s="413"/>
      <c r="AE550" s="389">
        <f t="shared" si="147"/>
        <v>354.90873600000003</v>
      </c>
      <c r="AF550" s="389">
        <f t="shared" si="148"/>
        <v>363.72479999999996</v>
      </c>
      <c r="AG550" s="413">
        <f t="shared" si="153"/>
        <v>8.8160639999999262</v>
      </c>
      <c r="AH550" s="413"/>
      <c r="AI550" s="389">
        <f t="shared" si="150"/>
        <v>399.67200000000003</v>
      </c>
      <c r="AJ550" s="389">
        <f t="shared" si="151"/>
        <v>409.6</v>
      </c>
      <c r="AK550" s="2"/>
      <c r="AL550" s="2"/>
      <c r="AM550" s="2"/>
    </row>
    <row r="551" spans="4:39" s="7" customFormat="1" ht="28.5" x14ac:dyDescent="0.25">
      <c r="G551" s="1"/>
      <c r="H551" s="1"/>
      <c r="I551" s="1"/>
      <c r="J551" s="2"/>
      <c r="K551" s="1"/>
      <c r="L551" s="432" t="s">
        <v>46</v>
      </c>
      <c r="M551" s="433" t="s">
        <v>47</v>
      </c>
      <c r="N551" s="432" t="s">
        <v>39</v>
      </c>
      <c r="X551" s="2">
        <f>AA545+AA540</f>
        <v>405</v>
      </c>
      <c r="Y551" s="429">
        <v>4900</v>
      </c>
      <c r="Z551" s="430">
        <f t="shared" si="152"/>
        <v>405</v>
      </c>
      <c r="AA551" s="387">
        <f>AA251+AA304+AA357+AA410+AA463+AA516</f>
        <v>405</v>
      </c>
      <c r="AB551" s="329">
        <v>0.91600000000000004</v>
      </c>
      <c r="AC551" s="329">
        <v>0.33900000000000002</v>
      </c>
      <c r="AD551" s="413"/>
      <c r="AE551" s="389">
        <f t="shared" si="147"/>
        <v>1768.1731200000004</v>
      </c>
      <c r="AF551" s="389">
        <f t="shared" si="148"/>
        <v>1817.8020000000008</v>
      </c>
      <c r="AG551" s="413">
        <f t="shared" si="149"/>
        <v>49.628880000000436</v>
      </c>
      <c r="AH551" s="436"/>
      <c r="AI551" s="389">
        <f t="shared" si="150"/>
        <v>1930.3200000000004</v>
      </c>
      <c r="AJ551" s="389">
        <f t="shared" si="151"/>
        <v>1984.5000000000005</v>
      </c>
      <c r="AK551" s="437"/>
      <c r="AL551" s="437"/>
      <c r="AM551" s="437"/>
    </row>
    <row r="552" spans="4:39" s="7" customFormat="1" ht="28.5" x14ac:dyDescent="0.25">
      <c r="G552" s="1"/>
      <c r="H552" s="1"/>
      <c r="I552" s="1"/>
      <c r="J552" s="2"/>
      <c r="K552" s="1"/>
      <c r="L552" s="432" t="s">
        <v>46</v>
      </c>
      <c r="M552" s="433" t="s">
        <v>47</v>
      </c>
      <c r="N552" s="432" t="s">
        <v>39</v>
      </c>
      <c r="X552" s="438">
        <f>AA546</f>
        <v>51.5</v>
      </c>
      <c r="Y552" s="429">
        <v>5800</v>
      </c>
      <c r="Z552" s="430">
        <f t="shared" si="152"/>
        <v>51.5</v>
      </c>
      <c r="AA552" s="435">
        <f>AA200+AA457</f>
        <v>51.5</v>
      </c>
      <c r="AB552" s="329">
        <v>0.91600000000000004</v>
      </c>
      <c r="AC552" s="329">
        <v>0.33900000000000002</v>
      </c>
      <c r="AD552" s="413"/>
      <c r="AE552" s="389">
        <f t="shared" si="147"/>
        <v>267.19720000000001</v>
      </c>
      <c r="AF552" s="389">
        <f t="shared" si="148"/>
        <v>273.60919999999999</v>
      </c>
      <c r="AG552" s="413">
        <f t="shared" si="149"/>
        <v>6.4119999999999777</v>
      </c>
      <c r="AH552" s="436"/>
      <c r="AI552" s="389">
        <f t="shared" si="150"/>
        <v>291.7</v>
      </c>
      <c r="AJ552" s="389">
        <f t="shared" si="151"/>
        <v>298.7</v>
      </c>
      <c r="AK552" s="437"/>
      <c r="AL552" s="437"/>
      <c r="AM552" s="437"/>
    </row>
    <row r="553" spans="4:39" s="7" customFormat="1" ht="28.5" x14ac:dyDescent="0.25">
      <c r="G553" s="1"/>
      <c r="H553" s="1"/>
      <c r="I553" s="1"/>
      <c r="J553" s="2"/>
      <c r="K553" s="1"/>
      <c r="L553" s="432" t="s">
        <v>46</v>
      </c>
      <c r="M553" s="433" t="s">
        <v>47</v>
      </c>
      <c r="N553" s="432" t="s">
        <v>39</v>
      </c>
      <c r="X553" s="2">
        <f>AA547+AA541</f>
        <v>79</v>
      </c>
      <c r="Y553" s="429">
        <v>6400</v>
      </c>
      <c r="Z553" s="430">
        <f t="shared" si="152"/>
        <v>79</v>
      </c>
      <c r="AA553" s="406">
        <f>AA189+AA404+AA510</f>
        <v>79</v>
      </c>
      <c r="AB553" s="329">
        <v>0.91600000000000004</v>
      </c>
      <c r="AC553" s="329">
        <v>0.33900000000000002</v>
      </c>
      <c r="AD553" s="413"/>
      <c r="AE553" s="389">
        <f t="shared" si="147"/>
        <v>449.36395199999998</v>
      </c>
      <c r="AF553" s="389">
        <f t="shared" si="148"/>
        <v>463.12959999999998</v>
      </c>
      <c r="AG553" s="413">
        <f t="shared" si="149"/>
        <v>13.765647999999999</v>
      </c>
      <c r="AH553" s="436"/>
      <c r="AI553" s="389">
        <f t="shared" si="150"/>
        <v>490.572</v>
      </c>
      <c r="AJ553" s="389">
        <f t="shared" si="151"/>
        <v>505.6</v>
      </c>
      <c r="AK553" s="437"/>
      <c r="AL553" s="437"/>
      <c r="AM553" s="437"/>
    </row>
    <row r="554" spans="4:39" s="7" customFormat="1" ht="28.5" x14ac:dyDescent="0.25">
      <c r="G554" s="1"/>
      <c r="H554" s="1"/>
      <c r="I554" s="1"/>
      <c r="J554" s="2"/>
      <c r="K554" s="1"/>
      <c r="L554" s="432" t="s">
        <v>48</v>
      </c>
      <c r="M554" s="433" t="s">
        <v>49</v>
      </c>
      <c r="N554" s="432" t="s">
        <v>39</v>
      </c>
      <c r="X554" s="439"/>
      <c r="Y554" s="429">
        <v>4900</v>
      </c>
      <c r="Z554" s="430">
        <f t="shared" si="152"/>
        <v>405</v>
      </c>
      <c r="AA554" s="434"/>
      <c r="AB554" s="329">
        <v>0.81</v>
      </c>
      <c r="AC554" s="329">
        <v>0.28999999999999998</v>
      </c>
      <c r="AD554" s="413"/>
      <c r="AE554" s="389">
        <f t="shared" si="147"/>
        <v>1563.5591999999997</v>
      </c>
      <c r="AF554" s="389">
        <f t="shared" si="148"/>
        <v>1607.4450000000004</v>
      </c>
      <c r="AG554" s="413">
        <f t="shared" si="149"/>
        <v>43.8858000000007</v>
      </c>
      <c r="AH554" s="436"/>
      <c r="AI554" s="389">
        <f t="shared" si="150"/>
        <v>1930.3200000000004</v>
      </c>
      <c r="AJ554" s="389">
        <f t="shared" si="151"/>
        <v>1984.5000000000005</v>
      </c>
      <c r="AK554" s="437"/>
      <c r="AL554" s="437"/>
      <c r="AM554" s="437"/>
    </row>
    <row r="555" spans="4:39" s="7" customFormat="1" ht="28.5" x14ac:dyDescent="0.25">
      <c r="G555" s="1"/>
      <c r="H555" s="1"/>
      <c r="I555" s="1"/>
      <c r="J555" s="2"/>
      <c r="K555" s="1"/>
      <c r="L555" s="432" t="s">
        <v>48</v>
      </c>
      <c r="M555" s="433" t="s">
        <v>49</v>
      </c>
      <c r="N555" s="432" t="s">
        <v>39</v>
      </c>
      <c r="Y555" s="429">
        <v>5800</v>
      </c>
      <c r="Z555" s="430">
        <f t="shared" si="152"/>
        <v>51.5</v>
      </c>
      <c r="AA555" s="434"/>
      <c r="AB555" s="329">
        <v>0.81</v>
      </c>
      <c r="AC555" s="329">
        <v>0.28999999999999998</v>
      </c>
      <c r="AD555" s="413"/>
      <c r="AE555" s="389">
        <f t="shared" si="147"/>
        <v>236.27700000000002</v>
      </c>
      <c r="AF555" s="389">
        <f t="shared" si="148"/>
        <v>241.947</v>
      </c>
      <c r="AG555" s="413">
        <f t="shared" si="149"/>
        <v>5.6699999999999875</v>
      </c>
      <c r="AH555" s="436"/>
      <c r="AI555" s="389">
        <f t="shared" si="150"/>
        <v>291.7</v>
      </c>
      <c r="AJ555" s="389">
        <f t="shared" si="151"/>
        <v>298.7</v>
      </c>
      <c r="AK555" s="437"/>
      <c r="AL555" s="437"/>
      <c r="AM555" s="437"/>
    </row>
    <row r="556" spans="4:39" s="7" customFormat="1" ht="28.5" x14ac:dyDescent="0.25">
      <c r="G556" s="1"/>
      <c r="H556" s="1"/>
      <c r="I556" s="1"/>
      <c r="J556" s="2"/>
      <c r="K556" s="1"/>
      <c r="L556" s="432" t="s">
        <v>48</v>
      </c>
      <c r="M556" s="433" t="s">
        <v>49</v>
      </c>
      <c r="N556" s="432" t="s">
        <v>39</v>
      </c>
      <c r="Y556" s="429">
        <v>6400</v>
      </c>
      <c r="Z556" s="430">
        <f t="shared" si="152"/>
        <v>79</v>
      </c>
      <c r="AA556" s="434"/>
      <c r="AB556" s="329">
        <v>0.81</v>
      </c>
      <c r="AC556" s="329">
        <v>0.28999999999999998</v>
      </c>
      <c r="AD556" s="413"/>
      <c r="AE556" s="389">
        <f t="shared" si="147"/>
        <v>397.36332000000004</v>
      </c>
      <c r="AF556" s="389">
        <f t="shared" si="148"/>
        <v>409.536</v>
      </c>
      <c r="AG556" s="413">
        <f t="shared" si="149"/>
        <v>12.172679999999957</v>
      </c>
      <c r="AH556" s="436"/>
      <c r="AI556" s="389">
        <f t="shared" si="150"/>
        <v>490.572</v>
      </c>
      <c r="AJ556" s="389">
        <f t="shared" si="151"/>
        <v>505.6</v>
      </c>
      <c r="AK556" s="437"/>
      <c r="AL556" s="437"/>
      <c r="AM556" s="437"/>
    </row>
    <row r="557" spans="4:39" s="7" customFormat="1" ht="28.5" x14ac:dyDescent="0.25">
      <c r="G557" s="1"/>
      <c r="H557" s="1"/>
      <c r="I557" s="1"/>
      <c r="J557" s="2"/>
      <c r="K557" s="1"/>
      <c r="L557" s="440" t="s">
        <v>50</v>
      </c>
      <c r="M557" s="441" t="s">
        <v>51</v>
      </c>
      <c r="N557" s="440" t="s">
        <v>39</v>
      </c>
      <c r="Y557" s="442">
        <v>4900</v>
      </c>
      <c r="Z557" s="443">
        <f t="shared" si="152"/>
        <v>43</v>
      </c>
      <c r="AA557" s="387">
        <f>AA218+AA271+AA324+AA377+AA430+AA483</f>
        <v>43</v>
      </c>
      <c r="AB557" s="329">
        <v>1.7110000000000001</v>
      </c>
      <c r="AC557" s="329">
        <v>0.34200000000000003</v>
      </c>
      <c r="AD557" s="413"/>
      <c r="AE557" s="389">
        <f t="shared" si="147"/>
        <v>353.15039999999999</v>
      </c>
      <c r="AF557" s="389">
        <f t="shared" si="148"/>
        <v>360.5077</v>
      </c>
      <c r="AG557" s="413">
        <f t="shared" si="149"/>
        <v>7.3573000000000093</v>
      </c>
      <c r="AH557" s="436"/>
      <c r="AI557" s="389">
        <f t="shared" si="150"/>
        <v>206.40000000000003</v>
      </c>
      <c r="AJ557" s="389">
        <f t="shared" si="151"/>
        <v>210.70000000000002</v>
      </c>
      <c r="AK557"/>
      <c r="AL557"/>
      <c r="AM557"/>
    </row>
    <row r="558" spans="4:39" s="7" customFormat="1" ht="28.5" x14ac:dyDescent="0.25">
      <c r="G558" s="1"/>
      <c r="H558" s="1"/>
      <c r="I558" s="1"/>
      <c r="J558" s="2"/>
      <c r="K558" s="1"/>
      <c r="L558" s="440" t="s">
        <v>50</v>
      </c>
      <c r="M558" s="441" t="s">
        <v>51</v>
      </c>
      <c r="N558" s="440" t="s">
        <v>39</v>
      </c>
      <c r="Y558" s="442">
        <v>6200</v>
      </c>
      <c r="Z558" s="443">
        <f t="shared" si="152"/>
        <v>8.6</v>
      </c>
      <c r="AA558" s="406">
        <f>AA254+AA307+AA360+AA413+AA466+AA519</f>
        <v>9</v>
      </c>
      <c r="AB558" s="329">
        <v>1.7110000000000001</v>
      </c>
      <c r="AC558" s="329">
        <v>0.34200000000000003</v>
      </c>
      <c r="AD558" s="413"/>
      <c r="AE558" s="389">
        <f t="shared" si="147"/>
        <v>88.287599999999998</v>
      </c>
      <c r="AF558" s="389">
        <f t="shared" si="148"/>
        <v>91.230520000000041</v>
      </c>
      <c r="AG558" s="413">
        <f t="shared" si="149"/>
        <v>2.9429200000000435</v>
      </c>
      <c r="AH558" s="436"/>
      <c r="AI558" s="389">
        <f t="shared" si="150"/>
        <v>51.600000000000009</v>
      </c>
      <c r="AJ558" s="389">
        <f t="shared" si="151"/>
        <v>53.320000000000007</v>
      </c>
      <c r="AK558"/>
      <c r="AL558"/>
      <c r="AM558"/>
    </row>
    <row r="559" spans="4:39" s="7" customFormat="1" ht="28.5" x14ac:dyDescent="0.25">
      <c r="G559" s="1"/>
      <c r="H559" s="1"/>
      <c r="I559" s="1"/>
      <c r="J559" s="2"/>
      <c r="K559" s="1"/>
      <c r="L559" s="440" t="s">
        <v>114</v>
      </c>
      <c r="M559" s="441" t="s">
        <v>115</v>
      </c>
      <c r="N559" s="440" t="s">
        <v>39</v>
      </c>
      <c r="Y559" s="442">
        <v>4900</v>
      </c>
      <c r="Z559" s="443">
        <f t="shared" si="152"/>
        <v>43</v>
      </c>
      <c r="AA559" s="434"/>
      <c r="AB559" s="329">
        <v>0.83499999999999996</v>
      </c>
      <c r="AC559" s="329">
        <v>0.21299999999999999</v>
      </c>
      <c r="AD559" s="413"/>
      <c r="AE559" s="389">
        <f t="shared" si="147"/>
        <v>172.34399999999999</v>
      </c>
      <c r="AF559" s="389">
        <f t="shared" si="148"/>
        <v>175.93449999999996</v>
      </c>
      <c r="AG559" s="413">
        <f t="shared" si="149"/>
        <v>3.5904999999999632</v>
      </c>
      <c r="AH559" s="436"/>
      <c r="AI559" s="389">
        <f t="shared" si="150"/>
        <v>206.40000000000003</v>
      </c>
      <c r="AJ559" s="389">
        <f t="shared" si="151"/>
        <v>210.70000000000002</v>
      </c>
      <c r="AK559"/>
      <c r="AL559"/>
      <c r="AM559"/>
    </row>
    <row r="560" spans="4:39" s="7" customFormat="1" ht="28.5" x14ac:dyDescent="0.25">
      <c r="G560" s="1"/>
      <c r="H560" s="1"/>
      <c r="I560" s="1"/>
      <c r="J560" s="2"/>
      <c r="K560" s="1"/>
      <c r="L560" s="440" t="s">
        <v>114</v>
      </c>
      <c r="M560" s="441" t="s">
        <v>115</v>
      </c>
      <c r="N560" s="440" t="s">
        <v>39</v>
      </c>
      <c r="Y560" s="442">
        <v>6200</v>
      </c>
      <c r="Z560" s="443">
        <f t="shared" si="152"/>
        <v>8.6</v>
      </c>
      <c r="AA560" s="434"/>
      <c r="AB560" s="329">
        <v>0.83499999999999996</v>
      </c>
      <c r="AC560" s="329">
        <v>0.21299999999999999</v>
      </c>
      <c r="AD560" s="413"/>
      <c r="AE560" s="389">
        <f t="shared" si="147"/>
        <v>43.085999999999999</v>
      </c>
      <c r="AF560" s="389">
        <f t="shared" si="148"/>
        <v>44.522199999999998</v>
      </c>
      <c r="AG560" s="413">
        <f t="shared" si="149"/>
        <v>1.4361999999999995</v>
      </c>
      <c r="AH560" s="436"/>
      <c r="AI560" s="389">
        <f t="shared" si="150"/>
        <v>51.600000000000009</v>
      </c>
      <c r="AJ560" s="389">
        <f t="shared" si="151"/>
        <v>53.320000000000007</v>
      </c>
      <c r="AK560"/>
      <c r="AL560"/>
      <c r="AM560"/>
    </row>
    <row r="561" spans="7:39" s="7" customFormat="1" ht="28.5" x14ac:dyDescent="0.25">
      <c r="G561" s="1"/>
      <c r="H561" s="1"/>
      <c r="I561" s="1"/>
      <c r="J561" s="2"/>
      <c r="K561" s="1"/>
      <c r="L561" s="321" t="s">
        <v>52</v>
      </c>
      <c r="M561" s="322" t="s">
        <v>53</v>
      </c>
      <c r="N561" s="321" t="s">
        <v>39</v>
      </c>
      <c r="Y561" s="444">
        <v>5000</v>
      </c>
      <c r="Z561" s="445">
        <f t="shared" si="152"/>
        <v>3.75</v>
      </c>
      <c r="AA561" s="446">
        <f>AA141+AA171</f>
        <v>4</v>
      </c>
      <c r="AB561" s="329">
        <v>0.97399999999999998</v>
      </c>
      <c r="AC561" s="329">
        <v>0.216</v>
      </c>
      <c r="AD561" s="413"/>
      <c r="AE561" s="389">
        <f t="shared" si="147"/>
        <v>17.61966</v>
      </c>
      <c r="AF561" s="389">
        <f t="shared" si="148"/>
        <v>18.262500000000003</v>
      </c>
      <c r="AG561" s="413">
        <f t="shared" si="149"/>
        <v>0.64284000000000319</v>
      </c>
      <c r="AH561" s="436"/>
      <c r="AI561" s="389">
        <f t="shared" si="150"/>
        <v>18.089999999999996</v>
      </c>
      <c r="AJ561" s="389">
        <f t="shared" si="151"/>
        <v>18.75</v>
      </c>
      <c r="AK561"/>
      <c r="AL561"/>
      <c r="AM561"/>
    </row>
    <row r="562" spans="7:39" s="7" customFormat="1" ht="28.5" x14ac:dyDescent="0.25">
      <c r="G562" s="1"/>
      <c r="H562" s="1"/>
      <c r="I562" s="1"/>
      <c r="J562" s="2"/>
      <c r="K562" s="1"/>
      <c r="L562" s="321" t="s">
        <v>54</v>
      </c>
      <c r="M562" s="322" t="s">
        <v>55</v>
      </c>
      <c r="N562" s="321" t="s">
        <v>39</v>
      </c>
      <c r="Y562" s="444">
        <v>5000</v>
      </c>
      <c r="Z562" s="445">
        <f t="shared" si="152"/>
        <v>4.5</v>
      </c>
      <c r="AA562" s="446">
        <f>AA143+AA173</f>
        <v>4.5</v>
      </c>
      <c r="AB562" s="329">
        <v>1.2410000000000001</v>
      </c>
      <c r="AC562" s="329">
        <v>0.32674979999999998</v>
      </c>
      <c r="AD562" s="413"/>
      <c r="AE562" s="389">
        <f t="shared" si="147"/>
        <v>26.731140000000003</v>
      </c>
      <c r="AF562" s="389">
        <f t="shared" si="148"/>
        <v>27.922499999999996</v>
      </c>
      <c r="AG562" s="413">
        <f t="shared" si="149"/>
        <v>1.1913599999999924</v>
      </c>
      <c r="AH562" s="436"/>
      <c r="AI562" s="389">
        <f t="shared" si="150"/>
        <v>21.54</v>
      </c>
      <c r="AJ562" s="389">
        <f t="shared" si="151"/>
        <v>22.5</v>
      </c>
      <c r="AK562"/>
      <c r="AL562"/>
      <c r="AM562"/>
    </row>
    <row r="563" spans="7:39" s="7" customFormat="1" x14ac:dyDescent="0.25">
      <c r="G563" s="1"/>
      <c r="H563" s="1"/>
      <c r="I563" s="1"/>
      <c r="J563" s="2"/>
      <c r="K563" s="1"/>
      <c r="N563" s="1"/>
      <c r="Z563" s="436"/>
      <c r="AA563" s="434"/>
      <c r="AD563" s="303"/>
      <c r="AE563" s="436"/>
      <c r="AF563" s="436"/>
      <c r="AG563" s="436"/>
      <c r="AH563" s="436"/>
      <c r="AI563" s="436"/>
      <c r="AJ563" s="436"/>
      <c r="AK563" s="437"/>
      <c r="AL563" s="437"/>
      <c r="AM563" s="437"/>
    </row>
    <row r="564" spans="7:39" s="7" customFormat="1" x14ac:dyDescent="0.25">
      <c r="G564" s="1"/>
      <c r="H564" s="1"/>
      <c r="I564" s="1"/>
      <c r="J564" s="2"/>
      <c r="K564" s="1"/>
      <c r="N564" s="1"/>
      <c r="Z564" s="447">
        <f>SUM(Z528:Z563)</f>
        <v>3977.4751236013531</v>
      </c>
      <c r="AA564" s="434"/>
      <c r="AD564" s="303"/>
      <c r="AE564" s="410">
        <f>SUM(AE528:AE563)</f>
        <v>21835.240069999993</v>
      </c>
      <c r="AF564" s="410">
        <f>SUM(AF528:AF563)</f>
        <v>22483.685297142856</v>
      </c>
      <c r="AG564" s="413"/>
      <c r="AH564" s="413"/>
      <c r="AI564" s="410">
        <f>SUM(AI528:AI563)</f>
        <v>18694.205213114761</v>
      </c>
      <c r="AJ564" s="410">
        <f>SUM(AJ528:AJ563)</f>
        <v>19388.635952380959</v>
      </c>
      <c r="AK564"/>
      <c r="AL564"/>
      <c r="AM564"/>
    </row>
    <row r="565" spans="7:39" s="7" customFormat="1" x14ac:dyDescent="0.25">
      <c r="G565" s="1"/>
      <c r="H565" s="1"/>
      <c r="I565" s="1"/>
      <c r="J565" s="2"/>
      <c r="K565" s="1"/>
      <c r="N565" s="1"/>
      <c r="AA565" s="434"/>
      <c r="AD565" s="303"/>
      <c r="AF565" s="7">
        <v>56325</v>
      </c>
      <c r="AK565" s="437"/>
      <c r="AL565" s="437"/>
      <c r="AM565" s="437"/>
    </row>
    <row r="566" spans="7:39" s="7" customFormat="1" x14ac:dyDescent="0.25">
      <c r="G566" s="1"/>
      <c r="H566" s="1"/>
      <c r="I566" s="1"/>
      <c r="J566" s="2"/>
      <c r="K566" s="1"/>
      <c r="N566" s="1"/>
      <c r="AA566" s="434"/>
      <c r="AD566" s="303"/>
      <c r="AF566" s="448">
        <f>AF564-AE564</f>
        <v>648.44522714286359</v>
      </c>
      <c r="AK566"/>
      <c r="AL566"/>
      <c r="AM566"/>
    </row>
    <row r="567" spans="7:39" s="7" customFormat="1" x14ac:dyDescent="0.25">
      <c r="G567" s="1"/>
      <c r="H567" s="1"/>
      <c r="I567" s="1"/>
      <c r="J567" s="2"/>
      <c r="K567" s="1"/>
      <c r="N567" s="1"/>
      <c r="AA567" s="434"/>
      <c r="AD567" s="303"/>
      <c r="AF567" s="449">
        <f>AF564/AE564</f>
        <v>1.0296971878973651</v>
      </c>
      <c r="AK567" s="437"/>
      <c r="AL567" s="437"/>
      <c r="AM567" s="437"/>
    </row>
    <row r="568" spans="7:39" s="7" customFormat="1" x14ac:dyDescent="0.25">
      <c r="G568" s="1"/>
      <c r="H568" s="1"/>
      <c r="I568" s="1"/>
      <c r="J568" s="2"/>
      <c r="K568" s="1"/>
      <c r="N568" s="1"/>
      <c r="AA568" s="434"/>
      <c r="AD568" s="303"/>
      <c r="AF568" s="436"/>
      <c r="AK568"/>
      <c r="AL568"/>
      <c r="AM568"/>
    </row>
    <row r="569" spans="7:39" s="7" customFormat="1" x14ac:dyDescent="0.25">
      <c r="G569" s="1"/>
      <c r="H569" s="1"/>
      <c r="I569" s="1"/>
      <c r="J569" s="2"/>
      <c r="K569" s="1"/>
      <c r="N569" s="1"/>
      <c r="AA569" s="434"/>
      <c r="AD569" s="303"/>
      <c r="AF569" s="436">
        <f>20215-AE564</f>
        <v>-1620.2400699999926</v>
      </c>
      <c r="AK569" s="437"/>
      <c r="AL569" s="437"/>
      <c r="AM569" s="437"/>
    </row>
    <row r="570" spans="7:39" s="7" customFormat="1" x14ac:dyDescent="0.25">
      <c r="G570" s="1"/>
      <c r="H570" s="1"/>
      <c r="I570" s="1"/>
      <c r="J570" s="2"/>
      <c r="K570" s="1"/>
      <c r="N570" s="1"/>
      <c r="AA570" s="434"/>
      <c r="AD570" s="303"/>
      <c r="AK570"/>
      <c r="AL570"/>
      <c r="AM570"/>
    </row>
    <row r="571" spans="7:39" s="7" customFormat="1" x14ac:dyDescent="0.25">
      <c r="G571" s="1"/>
      <c r="H571" s="1"/>
      <c r="I571" s="1"/>
      <c r="J571" s="2"/>
      <c r="K571" s="1"/>
      <c r="N571" s="1"/>
      <c r="AA571" s="434"/>
      <c r="AD571" s="303"/>
      <c r="AK571" s="437"/>
      <c r="AL571" s="437"/>
      <c r="AM571" s="437"/>
    </row>
    <row r="572" spans="7:39" s="7" customFormat="1" x14ac:dyDescent="0.25">
      <c r="G572" s="1"/>
      <c r="H572" s="1"/>
      <c r="I572" s="1"/>
      <c r="J572" s="2"/>
      <c r="K572" s="1"/>
      <c r="N572" s="1"/>
      <c r="AA572" s="434"/>
      <c r="AD572" s="303"/>
      <c r="AK572"/>
      <c r="AL572"/>
      <c r="AM572"/>
    </row>
    <row r="573" spans="7:39" s="7" customFormat="1" x14ac:dyDescent="0.25">
      <c r="G573" s="1"/>
      <c r="H573" s="1"/>
      <c r="I573" s="1"/>
      <c r="J573" s="2"/>
      <c r="K573" s="1"/>
      <c r="N573" s="1"/>
      <c r="AA573" s="434"/>
      <c r="AD573" s="303"/>
      <c r="AK573" s="437"/>
      <c r="AL573" s="437"/>
      <c r="AM573" s="437"/>
    </row>
    <row r="574" spans="7:39" s="7" customFormat="1" x14ac:dyDescent="0.25">
      <c r="G574" s="1"/>
      <c r="H574" s="1"/>
      <c r="I574" s="1"/>
      <c r="J574" s="2"/>
      <c r="K574" s="1"/>
      <c r="N574" s="1"/>
      <c r="P574" s="437"/>
      <c r="AA574" s="434"/>
      <c r="AD574" s="303"/>
      <c r="AK574"/>
      <c r="AL574"/>
      <c r="AM574"/>
    </row>
    <row r="575" spans="7:39" s="7" customFormat="1" x14ac:dyDescent="0.25">
      <c r="G575" s="1"/>
      <c r="H575" s="1"/>
      <c r="I575" s="1"/>
      <c r="J575" s="2"/>
      <c r="K575" s="1"/>
      <c r="P575" s="437"/>
      <c r="AA575" s="434"/>
      <c r="AD575" s="303"/>
      <c r="AK575" s="437"/>
      <c r="AL575" s="437"/>
      <c r="AM575" s="437"/>
    </row>
    <row r="576" spans="7:39" s="7" customFormat="1" x14ac:dyDescent="0.25">
      <c r="G576" s="1"/>
      <c r="H576" s="1"/>
      <c r="I576" s="1"/>
      <c r="J576" s="2"/>
      <c r="K576" s="1"/>
      <c r="P576" s="437"/>
      <c r="AA576" s="434"/>
      <c r="AD576" s="303"/>
      <c r="AK576"/>
      <c r="AL576"/>
      <c r="AM576"/>
    </row>
    <row r="577" spans="1:43" s="7" customFormat="1" x14ac:dyDescent="0.25">
      <c r="G577" s="1"/>
      <c r="H577" s="1"/>
      <c r="I577" s="1"/>
      <c r="J577" s="2"/>
      <c r="K577" s="1"/>
      <c r="P577" s="437"/>
      <c r="AA577" s="434"/>
      <c r="AD577" s="303"/>
      <c r="AK577" s="437"/>
      <c r="AL577" s="437"/>
      <c r="AM577" s="437"/>
    </row>
    <row r="578" spans="1:43" s="7" customFormat="1" x14ac:dyDescent="0.25">
      <c r="G578" s="1"/>
      <c r="H578" s="1"/>
      <c r="I578" s="1"/>
      <c r="J578" s="2"/>
      <c r="K578" s="1"/>
      <c r="N578" s="1"/>
      <c r="AA578" s="434"/>
      <c r="AD578" s="303"/>
      <c r="AF578" s="436"/>
      <c r="AK578"/>
      <c r="AL578"/>
      <c r="AM578"/>
    </row>
    <row r="579" spans="1:43" s="7" customFormat="1" x14ac:dyDescent="0.25">
      <c r="G579" s="1"/>
      <c r="H579" s="1"/>
      <c r="I579" s="1"/>
      <c r="J579" s="2"/>
      <c r="K579" s="1"/>
      <c r="N579" s="1"/>
      <c r="AA579" s="434"/>
      <c r="AD579" s="303"/>
      <c r="AF579" s="436" t="e">
        <f>20215-#REF!</f>
        <v>#REF!</v>
      </c>
      <c r="AK579" s="437"/>
      <c r="AL579" s="437"/>
      <c r="AM579" s="437"/>
    </row>
    <row r="580" spans="1:43" s="7" customFormat="1" x14ac:dyDescent="0.25">
      <c r="G580" s="1"/>
      <c r="H580" s="1"/>
      <c r="I580" s="1"/>
      <c r="J580" s="2"/>
      <c r="K580" s="1"/>
      <c r="N580" s="1"/>
      <c r="AA580" s="434"/>
      <c r="AD580" s="303"/>
      <c r="AK580"/>
      <c r="AL580"/>
      <c r="AM580"/>
    </row>
    <row r="581" spans="1:43" x14ac:dyDescent="0.25">
      <c r="A581" s="7"/>
      <c r="B581" s="7"/>
      <c r="C581" s="7"/>
      <c r="D581" s="7"/>
      <c r="E581" s="7"/>
      <c r="F581" s="7"/>
      <c r="G581" s="1"/>
      <c r="H581" s="1"/>
      <c r="I581" s="1"/>
      <c r="J581" s="1"/>
      <c r="K581" s="1"/>
      <c r="L581" s="7"/>
      <c r="M581" s="7"/>
      <c r="N581" s="1"/>
      <c r="O581" s="1"/>
      <c r="P581" s="1"/>
      <c r="Q581" s="1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 spans="1:43" x14ac:dyDescent="0.25">
      <c r="A582" s="7"/>
      <c r="B582" s="7"/>
      <c r="C582" s="7"/>
      <c r="D582" s="7"/>
      <c r="E582" s="7"/>
      <c r="F582" s="7"/>
      <c r="G582" s="1"/>
      <c r="H582" s="1"/>
      <c r="I582" s="1"/>
      <c r="J582" s="1"/>
      <c r="K582" s="1"/>
      <c r="L582" s="7"/>
      <c r="M582" s="7"/>
      <c r="N582" s="1"/>
      <c r="O582" s="1"/>
      <c r="P582" s="1"/>
      <c r="Q582" s="1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 spans="1:43" x14ac:dyDescent="0.25">
      <c r="A583" s="7"/>
      <c r="B583" s="7"/>
      <c r="C583" s="7"/>
      <c r="D583" s="7"/>
      <c r="E583" s="7"/>
      <c r="F583" s="7"/>
      <c r="G583" s="1"/>
      <c r="H583" s="1"/>
      <c r="I583" s="1"/>
      <c r="J583" s="1"/>
      <c r="K583" s="1"/>
      <c r="L583" s="7"/>
      <c r="M583" s="7"/>
      <c r="N583" s="1"/>
      <c r="O583" s="1"/>
      <c r="P583" s="1"/>
      <c r="Q583" s="1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 spans="1:43" x14ac:dyDescent="0.25">
      <c r="A584" s="7"/>
      <c r="B584" s="7"/>
      <c r="C584" s="7"/>
      <c r="D584" s="7"/>
      <c r="E584" s="7"/>
      <c r="F584" s="7"/>
      <c r="G584" s="1"/>
      <c r="H584" s="1"/>
      <c r="I584" s="1"/>
      <c r="J584" s="1"/>
      <c r="K584" s="1"/>
      <c r="L584" s="7"/>
      <c r="M584" s="7"/>
      <c r="N584" s="1"/>
      <c r="O584" s="1"/>
      <c r="P584" s="1"/>
      <c r="Q584" s="1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 spans="1:43" ht="19.5" customHeight="1" x14ac:dyDescent="0.25">
      <c r="A585" s="7"/>
      <c r="B585" s="7"/>
      <c r="C585" s="7"/>
      <c r="D585" s="7"/>
      <c r="E585" s="7"/>
      <c r="F585" s="7"/>
      <c r="G585" s="1"/>
      <c r="H585" s="1"/>
      <c r="I585" s="1"/>
      <c r="J585" s="1"/>
      <c r="K585" s="1"/>
      <c r="L585" s="7"/>
      <c r="M585" s="7"/>
      <c r="N585" s="1"/>
      <c r="O585" s="1"/>
      <c r="P585" s="1"/>
      <c r="Q585" s="1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 spans="1:43" ht="15" customHeight="1" x14ac:dyDescent="0.25">
      <c r="A586" s="7"/>
      <c r="B586" s="7"/>
      <c r="C586" s="7"/>
      <c r="D586" s="7"/>
      <c r="E586" s="7"/>
      <c r="F586" s="7"/>
      <c r="G586" s="1"/>
      <c r="H586" s="1"/>
      <c r="I586" s="1"/>
      <c r="J586" s="1"/>
      <c r="K586" s="1"/>
      <c r="L586" s="7"/>
      <c r="M586" s="7"/>
      <c r="N586" s="1"/>
      <c r="O586" s="1"/>
      <c r="P586" s="1"/>
      <c r="Q586" s="1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 spans="1:43" ht="15.75" customHeight="1" x14ac:dyDescent="0.25">
      <c r="A587" s="7"/>
      <c r="B587" s="7"/>
      <c r="C587" s="7"/>
      <c r="D587" s="7"/>
      <c r="E587" s="7"/>
      <c r="F587" s="7"/>
      <c r="G587" s="1"/>
      <c r="H587" s="1"/>
      <c r="I587" s="1"/>
      <c r="J587" s="1"/>
      <c r="K587" s="1"/>
      <c r="L587" s="7"/>
      <c r="M587" s="7"/>
      <c r="N587" s="1"/>
      <c r="O587" s="1"/>
      <c r="P587" s="1"/>
      <c r="Q587" s="1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 spans="1:43" x14ac:dyDescent="0.25">
      <c r="A588" s="7"/>
      <c r="B588" s="7"/>
      <c r="C588" s="7"/>
      <c r="D588" s="7"/>
      <c r="E588" s="7"/>
      <c r="F588" s="7"/>
      <c r="G588" s="1"/>
      <c r="H588" s="1"/>
      <c r="I588" s="1"/>
      <c r="J588" s="1"/>
      <c r="K588" s="1"/>
      <c r="L588" s="7"/>
      <c r="M588" s="7"/>
      <c r="N588" s="1"/>
      <c r="O588" s="1"/>
      <c r="P588" s="1"/>
      <c r="Q588" s="1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 spans="1:43" x14ac:dyDescent="0.25">
      <c r="A589" s="7"/>
      <c r="B589" s="7"/>
      <c r="C589" s="7"/>
      <c r="D589" s="7"/>
      <c r="E589" s="7"/>
      <c r="F589" s="7"/>
      <c r="G589" s="1"/>
      <c r="H589" s="1"/>
      <c r="I589" s="1"/>
      <c r="J589" s="1"/>
      <c r="K589" s="1"/>
      <c r="L589" s="7"/>
      <c r="M589" s="7"/>
      <c r="N589" s="1"/>
      <c r="O589" s="1"/>
      <c r="P589" s="1"/>
      <c r="Q589" s="1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 spans="1:43" x14ac:dyDescent="0.25">
      <c r="A590" s="7"/>
      <c r="B590" s="7"/>
      <c r="C590" s="7"/>
      <c r="D590" s="7"/>
      <c r="E590" s="7"/>
      <c r="F590" s="7"/>
      <c r="G590" s="1"/>
      <c r="H590" s="1"/>
      <c r="I590" s="1"/>
      <c r="J590" s="1"/>
      <c r="K590" s="1"/>
      <c r="L590" s="7"/>
      <c r="M590" s="7"/>
      <c r="N590" s="1"/>
      <c r="O590" s="1"/>
      <c r="P590" s="1"/>
      <c r="Q590" s="1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 spans="1:43" x14ac:dyDescent="0.25">
      <c r="A591" s="7"/>
      <c r="B591" s="7"/>
      <c r="C591" s="7"/>
      <c r="D591" s="7"/>
      <c r="E591" s="7"/>
      <c r="F591" s="7"/>
      <c r="G591" s="1"/>
      <c r="H591" s="1"/>
      <c r="I591" s="1"/>
      <c r="J591" s="1"/>
      <c r="K591" s="1"/>
      <c r="L591" s="7"/>
      <c r="M591" s="7"/>
      <c r="N591" s="1"/>
      <c r="O591" s="1"/>
      <c r="P591" s="1"/>
      <c r="Q591" s="1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 spans="1:43" x14ac:dyDescent="0.25">
      <c r="A592" s="7"/>
      <c r="B592" s="7"/>
      <c r="C592" s="7"/>
      <c r="D592" s="7"/>
      <c r="E592" s="7"/>
      <c r="F592" s="7"/>
      <c r="G592" s="1"/>
      <c r="H592" s="1"/>
      <c r="I592" s="1"/>
      <c r="J592" s="1"/>
      <c r="K592" s="1"/>
      <c r="L592" s="7"/>
      <c r="M592" s="7"/>
      <c r="N592" s="1"/>
      <c r="O592" s="1"/>
      <c r="P592" s="1"/>
      <c r="Q592" s="1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 spans="1:43" x14ac:dyDescent="0.25">
      <c r="A593" s="7"/>
      <c r="B593" s="7"/>
      <c r="C593" s="7"/>
      <c r="D593" s="7"/>
      <c r="E593" s="7"/>
      <c r="F593" s="7"/>
      <c r="G593" s="1"/>
      <c r="H593" s="1"/>
      <c r="I593" s="1"/>
      <c r="J593" s="1"/>
      <c r="K593" s="1"/>
      <c r="L593" s="7"/>
      <c r="M593" s="7"/>
      <c r="N593" s="1"/>
      <c r="O593" s="1"/>
      <c r="P593" s="1"/>
      <c r="Q593" s="1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 spans="1:43" ht="15" customHeight="1" x14ac:dyDescent="0.25">
      <c r="A594" s="7"/>
      <c r="B594" s="7"/>
      <c r="C594" s="7"/>
      <c r="D594" s="7"/>
      <c r="E594" s="7"/>
      <c r="F594" s="7"/>
      <c r="G594" s="1"/>
      <c r="H594" s="1"/>
      <c r="I594" s="1"/>
      <c r="J594" s="1"/>
      <c r="K594" s="1"/>
      <c r="L594" s="7"/>
      <c r="M594" s="7"/>
      <c r="N594" s="1"/>
      <c r="O594" s="1"/>
      <c r="P594" s="1"/>
      <c r="Q594" s="1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 spans="1:43" ht="15" customHeight="1" x14ac:dyDescent="0.25">
      <c r="A595" s="7"/>
      <c r="B595" s="7"/>
      <c r="C595" s="7"/>
      <c r="D595" s="7"/>
      <c r="E595" s="7"/>
      <c r="F595" s="7"/>
      <c r="G595" s="1"/>
      <c r="H595" s="1"/>
      <c r="I595" s="1"/>
      <c r="J595" s="1"/>
      <c r="K595" s="1"/>
      <c r="L595" s="7"/>
      <c r="M595" s="7"/>
      <c r="N595" s="1"/>
      <c r="O595" s="1"/>
      <c r="P595" s="1"/>
      <c r="Q595" s="1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 spans="1:43" ht="15" customHeight="1" x14ac:dyDescent="0.25">
      <c r="A596" s="7"/>
      <c r="B596" s="7"/>
      <c r="C596" s="7"/>
      <c r="D596" s="7"/>
      <c r="E596" s="7"/>
      <c r="F596" s="7"/>
      <c r="G596" s="1"/>
      <c r="H596" s="1"/>
      <c r="I596" s="1"/>
      <c r="J596" s="1"/>
      <c r="K596" s="1"/>
      <c r="L596" s="7"/>
      <c r="M596" s="7"/>
      <c r="N596" s="1"/>
      <c r="O596" s="1"/>
      <c r="P596" s="1"/>
      <c r="Q596" s="1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 spans="1:43" x14ac:dyDescent="0.25">
      <c r="A597" s="7"/>
      <c r="B597" s="7"/>
      <c r="C597" s="7"/>
      <c r="D597" s="7"/>
      <c r="E597" s="7"/>
      <c r="F597" s="7"/>
      <c r="G597" s="1"/>
      <c r="H597" s="1"/>
      <c r="I597" s="1"/>
      <c r="J597" s="1"/>
      <c r="K597" s="1"/>
      <c r="L597" s="7"/>
      <c r="M597" s="7"/>
      <c r="N597" s="1"/>
      <c r="O597" s="1"/>
      <c r="P597" s="1"/>
      <c r="Q597" s="1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 spans="1:43" x14ac:dyDescent="0.25">
      <c r="A598" s="7"/>
      <c r="B598" s="7"/>
      <c r="C598" s="7"/>
      <c r="D598" s="7"/>
      <c r="E598" s="7"/>
      <c r="F598" s="7"/>
      <c r="G598" s="1"/>
      <c r="H598" s="1"/>
      <c r="I598" s="1"/>
      <c r="J598" s="1"/>
      <c r="K598" s="1"/>
      <c r="L598" s="7"/>
      <c r="M598" s="7"/>
      <c r="N598" s="1"/>
      <c r="O598" s="1"/>
      <c r="P598" s="1"/>
      <c r="Q598" s="1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 spans="1:43" x14ac:dyDescent="0.25">
      <c r="A599" s="7"/>
      <c r="B599" s="7"/>
      <c r="C599" s="7"/>
      <c r="D599" s="7"/>
      <c r="E599" s="7"/>
      <c r="F599" s="7"/>
      <c r="G599" s="1"/>
      <c r="H599" s="1"/>
      <c r="I599" s="1"/>
      <c r="J599" s="1"/>
      <c r="K599" s="1"/>
      <c r="L599" s="7"/>
      <c r="M599" s="7"/>
      <c r="N599" s="1"/>
      <c r="O599" s="1"/>
      <c r="P599" s="1"/>
      <c r="Q599" s="1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 spans="1:43" x14ac:dyDescent="0.25">
      <c r="A600" s="7"/>
      <c r="B600" s="7"/>
      <c r="C600" s="7"/>
      <c r="D600" s="7"/>
      <c r="E600" s="7"/>
      <c r="F600" s="7"/>
      <c r="G600" s="1"/>
      <c r="H600" s="1"/>
      <c r="I600" s="1"/>
      <c r="J600" s="1"/>
      <c r="K600" s="1"/>
      <c r="L600" s="7"/>
      <c r="M600" s="7"/>
      <c r="N600" s="1"/>
      <c r="O600" s="1"/>
      <c r="P600" s="1"/>
      <c r="Q600" s="1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 spans="1:43" x14ac:dyDescent="0.25">
      <c r="A601" s="7"/>
      <c r="B601" s="7"/>
      <c r="C601" s="7"/>
      <c r="D601" s="7"/>
      <c r="E601" s="7"/>
      <c r="F601" s="7"/>
      <c r="G601" s="1"/>
      <c r="H601" s="1"/>
      <c r="I601" s="1"/>
      <c r="J601" s="1"/>
      <c r="K601" s="1"/>
      <c r="L601" s="7"/>
      <c r="M601" s="7"/>
      <c r="N601" s="1"/>
      <c r="O601" s="1"/>
      <c r="P601" s="1"/>
      <c r="Q601" s="1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 spans="1:43" x14ac:dyDescent="0.25">
      <c r="A602" s="7"/>
      <c r="B602" s="7"/>
      <c r="C602" s="7"/>
      <c r="D602" s="7"/>
      <c r="E602" s="7"/>
      <c r="F602" s="7"/>
      <c r="G602" s="1"/>
      <c r="H602" s="1"/>
      <c r="I602" s="1"/>
      <c r="J602" s="1"/>
      <c r="K602" s="1"/>
      <c r="L602" s="7"/>
      <c r="M602" s="7"/>
      <c r="N602" s="1"/>
      <c r="O602" s="1"/>
      <c r="P602" s="1"/>
      <c r="Q602" s="1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 spans="1:43" x14ac:dyDescent="0.25">
      <c r="A603" s="7"/>
      <c r="B603" s="7"/>
      <c r="C603" s="7"/>
      <c r="D603" s="7"/>
      <c r="E603" s="7"/>
      <c r="F603" s="7"/>
      <c r="G603" s="1"/>
      <c r="H603" s="1"/>
      <c r="I603" s="1"/>
      <c r="J603" s="1"/>
      <c r="K603" s="1"/>
      <c r="L603" s="7"/>
      <c r="M603" s="7"/>
      <c r="N603" s="1"/>
      <c r="O603" s="1"/>
      <c r="P603" s="1"/>
      <c r="Q603" s="1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 spans="1:43" x14ac:dyDescent="0.25">
      <c r="A604" s="7"/>
      <c r="B604" s="7"/>
      <c r="C604" s="7"/>
      <c r="D604" s="7"/>
      <c r="E604" s="7"/>
      <c r="F604" s="7"/>
      <c r="G604" s="1"/>
      <c r="H604" s="1"/>
      <c r="I604" s="1"/>
      <c r="J604" s="1"/>
      <c r="K604" s="1"/>
      <c r="L604" s="7"/>
      <c r="M604" s="7"/>
      <c r="N604" s="1"/>
      <c r="O604" s="1"/>
      <c r="P604" s="1"/>
      <c r="Q604" s="1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 spans="1:43" x14ac:dyDescent="0.25">
      <c r="A605" s="7"/>
      <c r="B605" s="7"/>
      <c r="C605" s="7"/>
      <c r="D605" s="7"/>
      <c r="E605" s="7"/>
      <c r="F605" s="7"/>
      <c r="G605" s="1"/>
      <c r="H605" s="1"/>
      <c r="I605" s="1"/>
      <c r="J605" s="1"/>
      <c r="K605" s="1"/>
      <c r="L605" s="7"/>
      <c r="M605" s="7"/>
      <c r="N605" s="1"/>
      <c r="O605" s="1"/>
      <c r="P605" s="1"/>
      <c r="Q605" s="1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 spans="1:43" x14ac:dyDescent="0.25">
      <c r="A606" s="7"/>
      <c r="B606" s="7"/>
      <c r="C606" s="7"/>
      <c r="D606" s="7"/>
      <c r="E606" s="7"/>
      <c r="F606" s="7"/>
      <c r="G606" s="1"/>
      <c r="H606" s="1"/>
      <c r="I606" s="1"/>
      <c r="J606" s="1"/>
      <c r="K606" s="1"/>
      <c r="L606" s="7"/>
      <c r="M606" s="7"/>
      <c r="N606" s="1"/>
      <c r="O606" s="1"/>
      <c r="P606" s="1"/>
      <c r="Q606" s="1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 spans="1:43" x14ac:dyDescent="0.25">
      <c r="A607" s="7"/>
      <c r="B607" s="7"/>
      <c r="C607" s="7"/>
      <c r="D607" s="7"/>
      <c r="E607" s="7"/>
      <c r="F607" s="7"/>
      <c r="G607" s="1"/>
      <c r="H607" s="1"/>
      <c r="I607" s="1"/>
      <c r="J607" s="1"/>
      <c r="K607" s="1"/>
      <c r="L607" s="7"/>
      <c r="M607" s="7"/>
      <c r="N607" s="1"/>
      <c r="O607" s="1"/>
      <c r="P607" s="1"/>
      <c r="Q607" s="1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 spans="1:43" x14ac:dyDescent="0.25">
      <c r="A608" s="7"/>
      <c r="B608" s="7"/>
      <c r="C608" s="7"/>
      <c r="D608" s="7"/>
      <c r="E608" s="7"/>
      <c r="F608" s="7"/>
      <c r="G608" s="1"/>
      <c r="H608" s="1"/>
      <c r="I608" s="1"/>
      <c r="J608" s="1"/>
      <c r="K608" s="1"/>
      <c r="L608" s="7"/>
      <c r="M608" s="7"/>
      <c r="N608" s="1"/>
      <c r="O608" s="1"/>
      <c r="P608" s="1"/>
      <c r="Q608" s="1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 spans="1:43" x14ac:dyDescent="0.25">
      <c r="A609" s="7"/>
      <c r="B609" s="7"/>
      <c r="C609" s="7"/>
      <c r="D609" s="7"/>
      <c r="E609" s="7"/>
      <c r="F609" s="7"/>
      <c r="G609" s="1"/>
      <c r="H609" s="1"/>
      <c r="I609" s="1"/>
      <c r="J609" s="1"/>
      <c r="K609" s="1"/>
      <c r="L609" s="7"/>
      <c r="M609" s="7"/>
      <c r="N609" s="1"/>
      <c r="O609" s="1"/>
      <c r="P609" s="1"/>
      <c r="Q609" s="1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 spans="1:43" x14ac:dyDescent="0.25">
      <c r="A610" s="7"/>
      <c r="B610" s="7"/>
      <c r="C610" s="7"/>
      <c r="D610" s="7"/>
      <c r="E610" s="7"/>
      <c r="F610" s="7"/>
      <c r="G610" s="1"/>
      <c r="H610" s="1"/>
      <c r="I610" s="1"/>
      <c r="J610" s="1"/>
      <c r="K610" s="1"/>
      <c r="L610" s="7"/>
      <c r="M610" s="7"/>
      <c r="N610" s="1"/>
      <c r="O610" s="1"/>
      <c r="P610" s="1"/>
      <c r="Q610" s="1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 spans="1:43" x14ac:dyDescent="0.25">
      <c r="A611" s="7"/>
      <c r="B611" s="7"/>
      <c r="C611" s="7"/>
      <c r="D611" s="7"/>
      <c r="E611" s="7"/>
      <c r="F611" s="7"/>
      <c r="G611" s="1"/>
      <c r="H611" s="1"/>
      <c r="I611" s="1"/>
      <c r="J611" s="1"/>
      <c r="K611" s="1"/>
      <c r="L611" s="7"/>
      <c r="M611" s="7"/>
      <c r="N611" s="1"/>
      <c r="O611" s="1"/>
      <c r="P611" s="1"/>
      <c r="Q611" s="1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 spans="1:43" x14ac:dyDescent="0.25">
      <c r="A612" s="7"/>
      <c r="B612" s="7"/>
      <c r="C612" s="7"/>
      <c r="D612" s="7"/>
      <c r="E612" s="7"/>
      <c r="F612" s="7"/>
      <c r="G612" s="1"/>
      <c r="H612" s="1"/>
      <c r="I612" s="1"/>
      <c r="J612" s="1"/>
      <c r="K612" s="1"/>
      <c r="L612" s="7"/>
      <c r="M612" s="7"/>
      <c r="N612" s="1"/>
      <c r="O612" s="1"/>
      <c r="P612" s="1"/>
      <c r="Q612" s="1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 spans="1:43" x14ac:dyDescent="0.25">
      <c r="A613" s="7"/>
      <c r="B613" s="7"/>
      <c r="C613" s="7"/>
      <c r="D613" s="7"/>
      <c r="E613" s="7"/>
      <c r="F613" s="7"/>
      <c r="G613" s="1"/>
      <c r="H613" s="1"/>
      <c r="I613" s="1"/>
      <c r="J613" s="1"/>
      <c r="K613" s="1"/>
      <c r="L613" s="7"/>
      <c r="M613" s="7"/>
      <c r="N613" s="1"/>
      <c r="O613" s="1"/>
      <c r="P613" s="1"/>
      <c r="Q613" s="1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 spans="1:43" x14ac:dyDescent="0.25">
      <c r="A614" s="7"/>
      <c r="B614" s="7"/>
      <c r="C614" s="7"/>
      <c r="D614" s="7"/>
      <c r="E614" s="7"/>
      <c r="F614" s="7"/>
      <c r="G614" s="1"/>
      <c r="H614" s="1"/>
      <c r="I614" s="1"/>
      <c r="J614" s="1"/>
      <c r="K614" s="1"/>
      <c r="L614" s="7"/>
      <c r="M614" s="7"/>
      <c r="N614" s="1"/>
      <c r="O614" s="1"/>
      <c r="P614" s="1"/>
      <c r="Q614" s="1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 spans="1:43" x14ac:dyDescent="0.25">
      <c r="A615" s="7"/>
      <c r="B615" s="7"/>
      <c r="C615" s="7"/>
      <c r="D615" s="7"/>
      <c r="E615" s="7"/>
      <c r="F615" s="7"/>
      <c r="G615" s="1"/>
      <c r="H615" s="1"/>
      <c r="I615" s="1"/>
      <c r="J615" s="1"/>
      <c r="K615" s="1"/>
      <c r="L615" s="7"/>
      <c r="M615" s="7"/>
      <c r="N615" s="1"/>
      <c r="O615" s="1"/>
      <c r="P615" s="1"/>
      <c r="Q615" s="1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 spans="1:43" x14ac:dyDescent="0.25">
      <c r="A616" s="7"/>
      <c r="B616" s="7"/>
      <c r="C616" s="7"/>
      <c r="D616" s="7"/>
      <c r="E616" s="7"/>
      <c r="F616" s="7"/>
      <c r="G616" s="1"/>
      <c r="H616" s="1"/>
      <c r="I616" s="1"/>
      <c r="J616" s="1"/>
      <c r="K616" s="1"/>
      <c r="L616" s="7"/>
      <c r="M616" s="7"/>
      <c r="N616" s="1"/>
      <c r="O616" s="1"/>
      <c r="P616" s="1"/>
      <c r="Q616" s="1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 spans="1:43" x14ac:dyDescent="0.25">
      <c r="A617" s="7"/>
      <c r="B617" s="7"/>
      <c r="C617" s="7"/>
      <c r="D617" s="7"/>
      <c r="E617" s="7"/>
      <c r="F617" s="7"/>
      <c r="G617" s="1"/>
      <c r="H617" s="1"/>
      <c r="I617" s="1"/>
      <c r="J617" s="1"/>
      <c r="K617" s="1"/>
      <c r="L617" s="7"/>
      <c r="M617" s="7"/>
      <c r="N617" s="1"/>
      <c r="O617" s="1"/>
      <c r="P617" s="1"/>
      <c r="Q617" s="1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 spans="1:43" x14ac:dyDescent="0.25">
      <c r="A618" s="7"/>
      <c r="B618" s="7"/>
      <c r="C618" s="7"/>
      <c r="D618" s="7"/>
      <c r="E618" s="7"/>
      <c r="F618" s="7"/>
      <c r="G618" s="1"/>
      <c r="H618" s="1"/>
      <c r="I618" s="1"/>
      <c r="J618" s="1"/>
      <c r="K618" s="1"/>
      <c r="L618" s="7"/>
      <c r="M618" s="7"/>
      <c r="N618" s="1"/>
      <c r="O618" s="1"/>
      <c r="P618" s="1"/>
      <c r="Q618" s="1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 spans="1:43" x14ac:dyDescent="0.25">
      <c r="A619" s="7"/>
      <c r="B619" s="7"/>
      <c r="C619" s="7"/>
      <c r="D619" s="7"/>
      <c r="E619" s="7"/>
      <c r="F619" s="7"/>
      <c r="G619" s="1"/>
      <c r="H619" s="1"/>
      <c r="I619" s="1"/>
      <c r="J619" s="1"/>
      <c r="K619" s="1"/>
      <c r="L619" s="7"/>
      <c r="M619" s="7"/>
      <c r="N619" s="1"/>
      <c r="O619" s="1"/>
      <c r="P619" s="1"/>
      <c r="Q619" s="1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 spans="1:43" x14ac:dyDescent="0.25">
      <c r="A620" s="7"/>
      <c r="B620" s="7"/>
      <c r="C620" s="7"/>
      <c r="D620" s="7"/>
      <c r="E620" s="7"/>
      <c r="F620" s="7"/>
      <c r="G620" s="1"/>
      <c r="H620" s="1"/>
      <c r="I620" s="1"/>
      <c r="J620" s="1"/>
      <c r="K620" s="1"/>
      <c r="L620" s="7"/>
      <c r="M620" s="7"/>
      <c r="N620" s="1"/>
      <c r="O620" s="1"/>
      <c r="P620" s="1"/>
      <c r="Q620" s="1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 spans="1:43" x14ac:dyDescent="0.25">
      <c r="A621" s="7"/>
      <c r="B621" s="7"/>
      <c r="C621" s="7"/>
      <c r="D621" s="7"/>
      <c r="E621" s="7"/>
      <c r="F621" s="7"/>
      <c r="G621" s="1"/>
      <c r="H621" s="1"/>
      <c r="I621" s="1"/>
      <c r="J621" s="1"/>
      <c r="K621" s="1"/>
      <c r="L621" s="7"/>
      <c r="M621" s="7"/>
      <c r="N621" s="1"/>
      <c r="O621" s="1"/>
      <c r="P621" s="1"/>
      <c r="Q621" s="1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 spans="1:43" x14ac:dyDescent="0.25">
      <c r="A622" s="7"/>
      <c r="B622" s="7"/>
      <c r="C622" s="7"/>
      <c r="D622" s="7"/>
      <c r="E622" s="7"/>
      <c r="F622" s="7"/>
      <c r="G622" s="1"/>
      <c r="H622" s="1"/>
      <c r="I622" s="1"/>
      <c r="J622" s="1"/>
      <c r="K622" s="1"/>
      <c r="L622" s="7"/>
      <c r="M622" s="7"/>
      <c r="N622" s="1"/>
      <c r="O622" s="1"/>
      <c r="P622" s="1"/>
      <c r="Q622" s="1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 spans="1:43" x14ac:dyDescent="0.25">
      <c r="A623" s="7"/>
      <c r="B623" s="7"/>
      <c r="C623" s="7"/>
      <c r="D623" s="7"/>
      <c r="E623" s="7"/>
      <c r="F623" s="7"/>
      <c r="G623" s="1"/>
      <c r="H623" s="1"/>
      <c r="I623" s="1"/>
      <c r="J623" s="1"/>
      <c r="K623" s="1"/>
      <c r="L623" s="7"/>
      <c r="M623" s="7"/>
      <c r="N623" s="1"/>
      <c r="O623" s="1"/>
      <c r="P623" s="1"/>
      <c r="Q623" s="1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 spans="1:43" x14ac:dyDescent="0.25">
      <c r="A624" s="7"/>
      <c r="B624" s="7"/>
      <c r="C624" s="7"/>
      <c r="D624" s="7"/>
      <c r="E624" s="7"/>
      <c r="F624" s="7"/>
      <c r="G624" s="1"/>
      <c r="H624" s="1"/>
      <c r="I624" s="1"/>
      <c r="J624" s="1"/>
      <c r="K624" s="1"/>
      <c r="L624" s="7"/>
      <c r="M624" s="7"/>
      <c r="N624" s="1"/>
      <c r="O624" s="1"/>
      <c r="P624" s="1"/>
      <c r="Q624" s="1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 spans="1:43" x14ac:dyDescent="0.25">
      <c r="A625" s="7"/>
      <c r="B625" s="7"/>
      <c r="C625" s="7"/>
      <c r="D625" s="7"/>
      <c r="E625" s="7"/>
      <c r="F625" s="7"/>
      <c r="G625" s="1"/>
      <c r="H625" s="1"/>
      <c r="I625" s="1"/>
      <c r="J625" s="1"/>
      <c r="K625" s="1"/>
      <c r="L625" s="7"/>
      <c r="M625" s="7"/>
      <c r="N625" s="1"/>
      <c r="O625" s="1"/>
      <c r="P625" s="1"/>
      <c r="Q625" s="1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 spans="1:43" x14ac:dyDescent="0.25">
      <c r="A626" s="7"/>
      <c r="B626" s="7"/>
      <c r="C626" s="7"/>
      <c r="D626" s="7"/>
      <c r="E626" s="7"/>
      <c r="F626" s="7"/>
      <c r="G626" s="1"/>
      <c r="H626" s="1"/>
      <c r="I626" s="1"/>
      <c r="J626" s="1"/>
      <c r="K626" s="1"/>
      <c r="L626" s="7"/>
      <c r="M626" s="7"/>
      <c r="N626" s="1"/>
      <c r="O626" s="1"/>
      <c r="P626" s="1"/>
      <c r="Q626" s="1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 spans="1:43" x14ac:dyDescent="0.25">
      <c r="A627" s="7"/>
      <c r="B627" s="7"/>
      <c r="C627" s="7"/>
      <c r="D627" s="7"/>
      <c r="E627" s="7"/>
      <c r="F627" s="7"/>
      <c r="G627" s="1"/>
      <c r="H627" s="1"/>
      <c r="I627" s="1"/>
      <c r="J627" s="1"/>
      <c r="K627" s="1"/>
      <c r="L627" s="7"/>
      <c r="M627" s="7"/>
      <c r="N627" s="1"/>
      <c r="O627" s="1"/>
      <c r="P627" s="1"/>
      <c r="Q627" s="1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 spans="1:43" x14ac:dyDescent="0.25">
      <c r="A628" s="7"/>
      <c r="B628" s="7"/>
      <c r="C628" s="7"/>
      <c r="D628" s="7"/>
      <c r="E628" s="7"/>
      <c r="F628" s="7"/>
      <c r="G628" s="1"/>
      <c r="H628" s="1"/>
      <c r="I628" s="1"/>
      <c r="J628" s="1"/>
      <c r="K628" s="1"/>
      <c r="L628" s="7"/>
      <c r="M628" s="7"/>
      <c r="N628" s="1"/>
      <c r="O628" s="1"/>
      <c r="P628" s="1"/>
      <c r="Q628" s="1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 spans="1:43" x14ac:dyDescent="0.25">
      <c r="A629" s="7"/>
      <c r="B629" s="7"/>
      <c r="C629" s="7"/>
      <c r="D629" s="7"/>
      <c r="E629" s="7"/>
      <c r="F629" s="7"/>
      <c r="G629" s="1"/>
      <c r="H629" s="1"/>
      <c r="I629" s="1"/>
      <c r="J629" s="1"/>
      <c r="K629" s="1"/>
      <c r="L629" s="7"/>
      <c r="M629" s="7"/>
      <c r="N629" s="1"/>
      <c r="O629" s="1"/>
      <c r="P629" s="1"/>
      <c r="Q629" s="1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 spans="1:43" x14ac:dyDescent="0.25">
      <c r="A630" s="7"/>
      <c r="B630" s="7"/>
      <c r="C630" s="7"/>
      <c r="D630" s="7"/>
      <c r="E630" s="7"/>
      <c r="F630" s="7"/>
      <c r="G630" s="1"/>
      <c r="H630" s="1"/>
      <c r="I630" s="1"/>
      <c r="J630" s="1"/>
      <c r="K630" s="1"/>
      <c r="L630" s="7"/>
      <c r="M630" s="7"/>
      <c r="N630" s="1"/>
      <c r="O630" s="1"/>
      <c r="P630" s="1"/>
      <c r="Q630" s="1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 spans="1:43" x14ac:dyDescent="0.25">
      <c r="A631" s="7"/>
      <c r="B631" s="7"/>
      <c r="C631" s="7"/>
      <c r="D631" s="7"/>
      <c r="E631" s="7"/>
      <c r="F631" s="7"/>
      <c r="G631" s="1"/>
      <c r="H631" s="1"/>
      <c r="I631" s="1"/>
      <c r="J631" s="1"/>
      <c r="K631" s="1"/>
      <c r="L631" s="7"/>
      <c r="M631" s="7"/>
      <c r="N631" s="1"/>
      <c r="O631" s="1"/>
      <c r="P631" s="1"/>
      <c r="Q631" s="1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 spans="1:43" x14ac:dyDescent="0.25">
      <c r="A632" s="7"/>
      <c r="B632" s="7"/>
      <c r="C632" s="7"/>
      <c r="D632" s="7"/>
      <c r="E632" s="7"/>
      <c r="F632" s="7"/>
      <c r="G632" s="1"/>
      <c r="H632" s="1"/>
      <c r="I632" s="1"/>
      <c r="J632" s="1"/>
      <c r="K632" s="1"/>
      <c r="L632" s="7"/>
      <c r="M632" s="7"/>
      <c r="N632" s="1"/>
      <c r="O632" s="1"/>
      <c r="P632" s="1"/>
      <c r="Q632" s="1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 spans="1:43" x14ac:dyDescent="0.25">
      <c r="A633" s="7"/>
      <c r="B633" s="7"/>
      <c r="C633" s="7"/>
      <c r="D633" s="7"/>
      <c r="E633" s="7"/>
      <c r="F633" s="7"/>
      <c r="G633" s="1"/>
      <c r="H633" s="1"/>
      <c r="I633" s="1"/>
      <c r="J633" s="1"/>
      <c r="K633" s="1"/>
      <c r="L633" s="7"/>
      <c r="M633" s="7"/>
      <c r="N633" s="1"/>
      <c r="O633" s="1"/>
      <c r="P633" s="1"/>
      <c r="Q633" s="1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 spans="1:43" x14ac:dyDescent="0.25">
      <c r="A634" s="7"/>
      <c r="B634" s="7"/>
      <c r="C634" s="7"/>
      <c r="D634" s="7"/>
      <c r="E634" s="7"/>
      <c r="F634" s="7"/>
      <c r="G634" s="1"/>
      <c r="H634" s="1"/>
      <c r="I634" s="1"/>
      <c r="J634" s="1"/>
      <c r="K634" s="1"/>
      <c r="L634" s="7"/>
      <c r="M634" s="7"/>
      <c r="N634" s="1"/>
      <c r="O634" s="1"/>
      <c r="P634" s="1"/>
      <c r="Q634" s="1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 spans="1:43" x14ac:dyDescent="0.25">
      <c r="A635" s="7"/>
      <c r="B635" s="7"/>
      <c r="C635" s="7"/>
      <c r="D635" s="7"/>
      <c r="E635" s="7"/>
      <c r="F635" s="7"/>
      <c r="G635" s="1"/>
      <c r="H635" s="1"/>
      <c r="I635" s="1"/>
      <c r="J635" s="1"/>
      <c r="K635" s="1"/>
      <c r="L635" s="7"/>
      <c r="M635" s="7"/>
      <c r="N635" s="1"/>
      <c r="O635" s="1"/>
      <c r="P635" s="1"/>
      <c r="Q635" s="1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 spans="1:43" x14ac:dyDescent="0.25">
      <c r="A636" s="7"/>
      <c r="B636" s="7"/>
      <c r="C636" s="7"/>
      <c r="D636" s="7"/>
      <c r="E636" s="7"/>
      <c r="F636" s="7"/>
      <c r="G636" s="1"/>
      <c r="H636" s="1"/>
      <c r="I636" s="1"/>
      <c r="J636" s="1"/>
      <c r="K636" s="1"/>
      <c r="L636" s="7"/>
      <c r="M636" s="7"/>
      <c r="N636" s="1"/>
      <c r="O636" s="1"/>
      <c r="P636" s="1"/>
      <c r="Q636" s="1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 spans="1:43" x14ac:dyDescent="0.25">
      <c r="A637" s="7"/>
      <c r="B637" s="7"/>
      <c r="C637" s="7"/>
      <c r="D637" s="7"/>
      <c r="E637" s="7"/>
      <c r="F637" s="7"/>
      <c r="G637" s="1"/>
      <c r="H637" s="1"/>
      <c r="I637" s="1"/>
      <c r="J637" s="1"/>
      <c r="K637" s="1"/>
      <c r="L637" s="7"/>
      <c r="M637" s="7"/>
      <c r="N637" s="1"/>
      <c r="O637" s="1"/>
      <c r="P637" s="1"/>
      <c r="Q637" s="1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 spans="1:43" x14ac:dyDescent="0.25">
      <c r="A638" s="7"/>
      <c r="B638" s="7"/>
      <c r="C638" s="7"/>
      <c r="D638" s="7"/>
      <c r="E638" s="7"/>
      <c r="F638" s="7"/>
      <c r="G638" s="1"/>
      <c r="H638" s="1"/>
      <c r="I638" s="1"/>
      <c r="J638" s="1"/>
      <c r="K638" s="1"/>
      <c r="L638" s="7"/>
      <c r="M638" s="7"/>
      <c r="N638" s="1"/>
      <c r="O638" s="1"/>
      <c r="P638" s="1"/>
      <c r="Q638" s="1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 spans="1:43" ht="15.75" customHeight="1" x14ac:dyDescent="0.25">
      <c r="A639" s="7"/>
      <c r="B639" s="7"/>
      <c r="C639" s="7"/>
      <c r="D639" s="7"/>
      <c r="E639" s="7"/>
      <c r="F639" s="7"/>
      <c r="G639" s="1"/>
      <c r="H639" s="1"/>
      <c r="I639" s="1"/>
      <c r="J639" s="1"/>
      <c r="K639" s="1"/>
      <c r="L639" s="7"/>
      <c r="M639" s="7"/>
      <c r="N639" s="1"/>
      <c r="O639" s="1"/>
      <c r="P639" s="1"/>
      <c r="Q639" s="1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 spans="1:43" ht="15.75" customHeight="1" x14ac:dyDescent="0.25">
      <c r="A640" s="7"/>
      <c r="B640" s="7"/>
      <c r="C640" s="7"/>
      <c r="D640" s="7"/>
      <c r="E640" s="7"/>
      <c r="F640" s="7"/>
      <c r="G640" s="1"/>
      <c r="H640" s="1"/>
      <c r="I640" s="1"/>
      <c r="J640" s="1"/>
      <c r="K640" s="1"/>
      <c r="L640" s="7"/>
      <c r="M640" s="7"/>
      <c r="N640" s="1"/>
      <c r="O640" s="1"/>
      <c r="P640" s="1"/>
      <c r="Q640" s="1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 spans="1:43" ht="15.75" customHeight="1" x14ac:dyDescent="0.25">
      <c r="A641" s="7"/>
      <c r="B641" s="7"/>
      <c r="C641" s="7"/>
      <c r="D641" s="7"/>
      <c r="E641" s="7"/>
      <c r="F641" s="7"/>
      <c r="G641" s="1"/>
      <c r="H641" s="1"/>
      <c r="I641" s="1"/>
      <c r="J641" s="1"/>
      <c r="K641" s="1"/>
      <c r="L641" s="7"/>
      <c r="M641" s="7"/>
      <c r="N641" s="1"/>
      <c r="O641" s="1"/>
      <c r="P641" s="1"/>
      <c r="Q641" s="1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 spans="1:43" ht="15.75" customHeight="1" x14ac:dyDescent="0.25">
      <c r="A642" s="7"/>
      <c r="B642" s="7"/>
      <c r="C642" s="7"/>
      <c r="D642" s="7"/>
      <c r="E642" s="7"/>
      <c r="F642" s="7"/>
      <c r="G642" s="1"/>
      <c r="H642" s="1"/>
      <c r="I642" s="1"/>
      <c r="J642" s="1"/>
      <c r="K642" s="1"/>
      <c r="L642" s="7"/>
      <c r="M642" s="7"/>
      <c r="N642" s="1"/>
      <c r="O642" s="1"/>
      <c r="P642" s="1"/>
      <c r="Q642" s="1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 spans="1:43" ht="15.75" customHeight="1" x14ac:dyDescent="0.25">
      <c r="A643" s="7"/>
      <c r="B643" s="7"/>
      <c r="C643" s="7"/>
      <c r="D643" s="7"/>
      <c r="E643" s="7"/>
      <c r="F643" s="7"/>
      <c r="G643" s="1"/>
      <c r="H643" s="1"/>
      <c r="I643" s="1"/>
      <c r="J643" s="1"/>
      <c r="K643" s="1"/>
      <c r="L643" s="7"/>
      <c r="M643" s="7"/>
      <c r="N643" s="1"/>
      <c r="O643" s="1"/>
      <c r="P643" s="1"/>
      <c r="Q643" s="1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 spans="1:43" ht="15.75" customHeight="1" x14ac:dyDescent="0.25">
      <c r="A644" s="7"/>
      <c r="B644" s="7"/>
      <c r="C644" s="7"/>
      <c r="D644" s="7"/>
      <c r="E644" s="7"/>
      <c r="F644" s="7"/>
      <c r="G644" s="1"/>
      <c r="H644" s="1"/>
      <c r="I644" s="1"/>
      <c r="J644" s="1"/>
      <c r="K644" s="1"/>
      <c r="L644" s="7"/>
      <c r="M644" s="7"/>
      <c r="N644" s="1"/>
      <c r="O644" s="1"/>
      <c r="P644" s="1"/>
      <c r="Q644" s="1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 spans="1:43" ht="15.75" customHeight="1" x14ac:dyDescent="0.25">
      <c r="A645" s="7"/>
      <c r="B645" s="7"/>
      <c r="C645" s="7"/>
      <c r="D645" s="7"/>
      <c r="E645" s="7"/>
      <c r="F645" s="7"/>
      <c r="G645" s="1"/>
      <c r="H645" s="1"/>
      <c r="I645" s="1"/>
      <c r="J645" s="1"/>
      <c r="K645" s="1"/>
      <c r="L645" s="7"/>
      <c r="M645" s="7"/>
      <c r="N645" s="1"/>
      <c r="O645" s="1"/>
      <c r="P645" s="1"/>
      <c r="Q645" s="1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 spans="1:43" ht="15.75" customHeight="1" x14ac:dyDescent="0.25">
      <c r="A646" s="7"/>
      <c r="B646" s="7"/>
      <c r="C646" s="7"/>
      <c r="D646" s="7"/>
      <c r="E646" s="7"/>
      <c r="F646" s="7"/>
      <c r="G646" s="1"/>
      <c r="H646" s="1"/>
      <c r="I646" s="1"/>
      <c r="J646" s="1"/>
      <c r="K646" s="1"/>
      <c r="L646" s="7"/>
      <c r="M646" s="7"/>
      <c r="N646" s="1"/>
      <c r="O646" s="1"/>
      <c r="P646" s="1"/>
      <c r="Q646" s="1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 spans="1:43" ht="15.75" customHeight="1" x14ac:dyDescent="0.25">
      <c r="A647" s="7"/>
      <c r="B647" s="7"/>
      <c r="C647" s="7"/>
      <c r="D647" s="7"/>
      <c r="E647" s="7"/>
      <c r="F647" s="7"/>
      <c r="G647" s="1"/>
      <c r="H647" s="1"/>
      <c r="I647" s="1"/>
      <c r="J647" s="1"/>
      <c r="K647" s="1"/>
      <c r="L647" s="7"/>
      <c r="M647" s="7"/>
      <c r="N647" s="1"/>
      <c r="O647" s="1"/>
      <c r="P647" s="1"/>
      <c r="Q647" s="1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 spans="1:43" ht="15.75" customHeight="1" x14ac:dyDescent="0.25">
      <c r="A648" s="7"/>
      <c r="B648" s="7"/>
      <c r="C648" s="7"/>
      <c r="D648" s="7"/>
      <c r="E648" s="7"/>
      <c r="F648" s="7"/>
      <c r="G648" s="1"/>
      <c r="H648" s="1"/>
      <c r="I648" s="1"/>
      <c r="J648" s="1"/>
      <c r="K648" s="1"/>
      <c r="L648" s="7"/>
      <c r="M648" s="7"/>
      <c r="N648" s="1"/>
      <c r="O648" s="1"/>
      <c r="P648" s="1"/>
      <c r="Q648" s="1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 spans="1:43" ht="15.75" customHeight="1" x14ac:dyDescent="0.25">
      <c r="A649" s="7"/>
      <c r="B649" s="7"/>
      <c r="C649" s="7"/>
      <c r="D649" s="7"/>
      <c r="E649" s="7"/>
      <c r="F649" s="7"/>
      <c r="G649" s="1"/>
      <c r="H649" s="1"/>
      <c r="I649" s="1"/>
      <c r="J649" s="1"/>
      <c r="K649" s="1"/>
      <c r="L649" s="7"/>
      <c r="M649" s="7"/>
      <c r="N649" s="1"/>
      <c r="O649" s="1"/>
      <c r="P649" s="1"/>
      <c r="Q649" s="1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 spans="1:43" ht="15.75" customHeight="1" x14ac:dyDescent="0.25">
      <c r="A650" s="7"/>
      <c r="B650" s="7"/>
      <c r="C650" s="7"/>
      <c r="D650" s="7"/>
      <c r="E650" s="7"/>
      <c r="F650" s="7"/>
      <c r="G650" s="1"/>
      <c r="H650" s="1"/>
      <c r="I650" s="1"/>
      <c r="J650" s="1"/>
      <c r="K650" s="1"/>
      <c r="L650" s="7"/>
      <c r="M650" s="7"/>
      <c r="N650" s="1"/>
      <c r="O650" s="1"/>
      <c r="P650" s="1"/>
      <c r="Q650" s="1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 spans="1:43" ht="15.75" customHeight="1" x14ac:dyDescent="0.25">
      <c r="A651" s="7"/>
      <c r="B651" s="7"/>
      <c r="C651" s="7"/>
      <c r="D651" s="7"/>
      <c r="E651" s="7"/>
      <c r="F651" s="7"/>
      <c r="G651" s="1"/>
      <c r="H651" s="1"/>
      <c r="I651" s="1"/>
      <c r="J651" s="1"/>
      <c r="K651" s="1"/>
      <c r="L651" s="7"/>
      <c r="M651" s="7"/>
      <c r="N651" s="1"/>
      <c r="O651" s="1"/>
      <c r="P651" s="1"/>
      <c r="Q651" s="1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 spans="1:43" ht="15.75" customHeight="1" x14ac:dyDescent="0.25">
      <c r="A652" s="7"/>
      <c r="B652" s="7"/>
      <c r="C652" s="7"/>
      <c r="D652" s="7"/>
      <c r="E652" s="7"/>
      <c r="F652" s="7"/>
      <c r="G652" s="1"/>
      <c r="H652" s="1"/>
      <c r="I652" s="1"/>
      <c r="J652" s="1"/>
      <c r="K652" s="1"/>
      <c r="L652" s="7"/>
      <c r="M652" s="7"/>
      <c r="N652" s="1"/>
      <c r="O652" s="1"/>
      <c r="P652" s="1"/>
      <c r="Q652" s="1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 spans="1:43" ht="15.75" customHeight="1" x14ac:dyDescent="0.25">
      <c r="A653" s="7"/>
      <c r="B653" s="7"/>
      <c r="C653" s="7"/>
      <c r="D653" s="7"/>
      <c r="E653" s="7"/>
      <c r="F653" s="7"/>
      <c r="G653" s="1"/>
      <c r="H653" s="1"/>
      <c r="I653" s="1"/>
      <c r="J653" s="1"/>
      <c r="K653" s="1"/>
      <c r="L653" s="7"/>
      <c r="M653" s="7"/>
      <c r="N653" s="1"/>
      <c r="O653" s="1"/>
      <c r="P653" s="1"/>
      <c r="Q653" s="1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 spans="1:43" ht="15.75" customHeight="1" x14ac:dyDescent="0.25">
      <c r="A654" s="7"/>
      <c r="B654" s="7"/>
      <c r="C654" s="7"/>
      <c r="D654" s="7"/>
      <c r="E654" s="7"/>
      <c r="F654" s="7"/>
      <c r="G654" s="1"/>
      <c r="H654" s="1"/>
      <c r="I654" s="1"/>
      <c r="J654" s="1"/>
      <c r="K654" s="1"/>
      <c r="L654" s="7"/>
      <c r="M654" s="7"/>
      <c r="N654" s="1"/>
      <c r="O654" s="1"/>
      <c r="P654" s="1"/>
      <c r="Q654" s="1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 spans="1:43" ht="15.75" customHeight="1" x14ac:dyDescent="0.25">
      <c r="A655" s="7"/>
      <c r="B655" s="7"/>
      <c r="C655" s="7"/>
      <c r="D655" s="7"/>
      <c r="E655" s="7"/>
      <c r="F655" s="7"/>
      <c r="G655" s="1"/>
      <c r="H655" s="1"/>
      <c r="I655" s="1"/>
      <c r="J655" s="1"/>
      <c r="K655" s="1"/>
      <c r="L655" s="7"/>
      <c r="M655" s="7"/>
      <c r="N655" s="1"/>
      <c r="O655" s="1"/>
      <c r="P655" s="1"/>
      <c r="Q655" s="1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 spans="1:43" ht="15.75" customHeight="1" x14ac:dyDescent="0.25">
      <c r="A656" s="7"/>
      <c r="B656" s="7"/>
      <c r="C656" s="7"/>
      <c r="D656" s="7"/>
      <c r="E656" s="7"/>
      <c r="F656" s="7"/>
      <c r="G656" s="1"/>
      <c r="H656" s="1"/>
      <c r="I656" s="1"/>
      <c r="J656" s="1"/>
      <c r="K656" s="1"/>
      <c r="L656" s="7"/>
      <c r="M656" s="7"/>
      <c r="N656" s="1"/>
      <c r="O656" s="1"/>
      <c r="P656" s="1"/>
      <c r="Q656" s="1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 spans="1:43" ht="15.75" customHeight="1" x14ac:dyDescent="0.25">
      <c r="A657" s="7"/>
      <c r="B657" s="7"/>
      <c r="C657" s="7"/>
      <c r="D657" s="7"/>
      <c r="E657" s="7"/>
      <c r="F657" s="7"/>
      <c r="G657" s="1"/>
      <c r="H657" s="1"/>
      <c r="I657" s="1"/>
      <c r="J657" s="1"/>
      <c r="K657" s="1"/>
      <c r="L657" s="7"/>
      <c r="M657" s="7"/>
      <c r="N657" s="1"/>
      <c r="O657" s="1"/>
      <c r="P657" s="1"/>
      <c r="Q657" s="1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 spans="1:43" ht="15.75" customHeight="1" x14ac:dyDescent="0.25">
      <c r="A658" s="7"/>
      <c r="B658" s="7"/>
      <c r="C658" s="7"/>
      <c r="D658" s="7"/>
      <c r="E658" s="7"/>
      <c r="F658" s="7"/>
      <c r="G658" s="1"/>
      <c r="H658" s="1"/>
      <c r="I658" s="1"/>
      <c r="J658" s="1"/>
      <c r="K658" s="1"/>
      <c r="L658" s="7"/>
      <c r="M658" s="7"/>
      <c r="N658" s="1"/>
      <c r="O658" s="1"/>
      <c r="P658" s="1"/>
      <c r="Q658" s="1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 spans="1:43" ht="15.75" customHeight="1" x14ac:dyDescent="0.25">
      <c r="A659" s="7"/>
      <c r="B659" s="7"/>
      <c r="C659" s="7"/>
      <c r="D659" s="7"/>
      <c r="E659" s="7"/>
      <c r="F659" s="7"/>
      <c r="G659" s="1"/>
      <c r="H659" s="1"/>
      <c r="I659" s="1"/>
      <c r="J659" s="1"/>
      <c r="K659" s="1"/>
      <c r="L659" s="7"/>
      <c r="M659" s="7"/>
      <c r="N659" s="1"/>
      <c r="O659" s="1"/>
      <c r="P659" s="1"/>
      <c r="Q659" s="1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 spans="1:43" ht="15.75" customHeight="1" x14ac:dyDescent="0.25">
      <c r="A660" s="7"/>
      <c r="B660" s="7"/>
      <c r="C660" s="7"/>
      <c r="D660" s="7"/>
      <c r="E660" s="7"/>
      <c r="F660" s="7"/>
      <c r="G660" s="1"/>
      <c r="H660" s="1"/>
      <c r="I660" s="1"/>
      <c r="J660" s="1"/>
      <c r="K660" s="1"/>
      <c r="L660" s="7"/>
      <c r="M660" s="7"/>
      <c r="N660" s="1"/>
      <c r="O660" s="1"/>
      <c r="P660" s="1"/>
      <c r="Q660" s="1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 spans="1:43" ht="15.75" customHeight="1" x14ac:dyDescent="0.25">
      <c r="A661" s="7"/>
      <c r="B661" s="7"/>
      <c r="C661" s="7"/>
      <c r="D661" s="7"/>
      <c r="E661" s="7"/>
      <c r="F661" s="7"/>
      <c r="G661" s="1"/>
      <c r="H661" s="1"/>
      <c r="I661" s="1"/>
      <c r="J661" s="1"/>
      <c r="K661" s="1"/>
      <c r="L661" s="7"/>
      <c r="M661" s="7"/>
      <c r="N661" s="1"/>
      <c r="O661" s="1"/>
      <c r="P661" s="1"/>
      <c r="Q661" s="1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 spans="1:43" ht="15.75" customHeight="1" x14ac:dyDescent="0.25">
      <c r="A662" s="7"/>
      <c r="B662" s="7"/>
      <c r="C662" s="7"/>
      <c r="D662" s="7"/>
      <c r="E662" s="7"/>
      <c r="F662" s="7"/>
      <c r="G662" s="1"/>
      <c r="H662" s="1"/>
      <c r="I662" s="1"/>
      <c r="J662" s="1"/>
      <c r="K662" s="1"/>
      <c r="L662" s="7"/>
      <c r="M662" s="7"/>
      <c r="N662" s="1"/>
      <c r="O662" s="1"/>
      <c r="P662" s="1"/>
      <c r="Q662" s="1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 spans="1:43" ht="15.75" customHeight="1" x14ac:dyDescent="0.25">
      <c r="A663" s="7"/>
      <c r="B663" s="7"/>
      <c r="C663" s="7"/>
      <c r="D663" s="7"/>
      <c r="E663" s="7"/>
      <c r="F663" s="7"/>
      <c r="G663" s="1"/>
      <c r="H663" s="1"/>
      <c r="I663" s="1"/>
      <c r="J663" s="1"/>
      <c r="K663" s="1"/>
      <c r="L663" s="7"/>
      <c r="M663" s="7"/>
      <c r="N663" s="1"/>
      <c r="O663" s="1"/>
      <c r="P663" s="1"/>
      <c r="Q663" s="1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 spans="1:43" ht="15.75" customHeight="1" x14ac:dyDescent="0.25">
      <c r="A664" s="7"/>
      <c r="B664" s="7"/>
      <c r="C664" s="7"/>
      <c r="D664" s="7"/>
      <c r="E664" s="7"/>
      <c r="F664" s="7"/>
      <c r="G664" s="1"/>
      <c r="H664" s="1"/>
      <c r="I664" s="1"/>
      <c r="J664" s="1"/>
      <c r="K664" s="1"/>
      <c r="L664" s="7"/>
      <c r="M664" s="7"/>
      <c r="N664" s="1"/>
      <c r="O664" s="1"/>
      <c r="P664" s="1"/>
      <c r="Q664" s="1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 spans="1:43" ht="15.75" customHeight="1" x14ac:dyDescent="0.25">
      <c r="A665" s="7"/>
      <c r="B665" s="7"/>
      <c r="C665" s="7"/>
      <c r="D665" s="7"/>
      <c r="E665" s="7"/>
      <c r="F665" s="7"/>
      <c r="G665" s="1"/>
      <c r="H665" s="1"/>
      <c r="I665" s="1"/>
      <c r="J665" s="1"/>
      <c r="K665" s="1"/>
      <c r="L665" s="7"/>
      <c r="M665" s="7"/>
      <c r="N665" s="1"/>
      <c r="O665" s="1"/>
      <c r="P665" s="1"/>
      <c r="Q665" s="1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 spans="1:43" ht="15.75" customHeight="1" x14ac:dyDescent="0.25">
      <c r="A666" s="7"/>
      <c r="B666" s="7"/>
      <c r="C666" s="7"/>
      <c r="D666" s="7"/>
      <c r="E666" s="7"/>
      <c r="F666" s="7"/>
      <c r="G666" s="1"/>
      <c r="H666" s="1"/>
      <c r="I666" s="1"/>
      <c r="J666" s="1"/>
      <c r="K666" s="1"/>
      <c r="L666" s="7"/>
      <c r="M666" s="7"/>
      <c r="N666" s="1"/>
      <c r="O666" s="1"/>
      <c r="P666" s="1"/>
      <c r="Q666" s="1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 spans="1:43" ht="15.75" customHeight="1" x14ac:dyDescent="0.25">
      <c r="A667" s="7"/>
      <c r="B667" s="7"/>
      <c r="C667" s="7"/>
      <c r="D667" s="7"/>
      <c r="E667" s="7"/>
      <c r="F667" s="7"/>
      <c r="G667" s="1"/>
      <c r="H667" s="1"/>
      <c r="I667" s="1"/>
      <c r="J667" s="1"/>
      <c r="K667" s="1"/>
      <c r="L667" s="7"/>
      <c r="M667" s="7"/>
      <c r="N667" s="1"/>
      <c r="O667" s="1"/>
      <c r="P667" s="1"/>
      <c r="Q667" s="1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 spans="1:43" ht="15.75" customHeight="1" x14ac:dyDescent="0.25">
      <c r="A668" s="7"/>
      <c r="B668" s="7"/>
      <c r="C668" s="7"/>
      <c r="D668" s="7"/>
      <c r="E668" s="7"/>
      <c r="F668" s="7"/>
      <c r="G668" s="1"/>
      <c r="H668" s="1"/>
      <c r="I668" s="1"/>
      <c r="J668" s="1"/>
      <c r="K668" s="1"/>
      <c r="L668" s="7"/>
      <c r="M668" s="7"/>
      <c r="N668" s="1"/>
      <c r="O668" s="1"/>
      <c r="P668" s="1"/>
      <c r="Q668" s="1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 spans="1:43" ht="15.75" customHeight="1" x14ac:dyDescent="0.25">
      <c r="A669" s="7"/>
      <c r="B669" s="7"/>
      <c r="C669" s="7"/>
      <c r="D669" s="7"/>
      <c r="E669" s="7"/>
      <c r="F669" s="7"/>
      <c r="G669" s="1"/>
      <c r="H669" s="1"/>
      <c r="I669" s="1"/>
      <c r="J669" s="1"/>
      <c r="K669" s="1"/>
      <c r="L669" s="7"/>
      <c r="M669" s="7"/>
      <c r="N669" s="1"/>
      <c r="O669" s="1"/>
      <c r="P669" s="1"/>
      <c r="Q669" s="1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 spans="1:43" ht="15.75" customHeight="1" x14ac:dyDescent="0.25">
      <c r="A670" s="7"/>
      <c r="B670" s="7"/>
      <c r="C670" s="7"/>
      <c r="D670" s="7"/>
      <c r="E670" s="7"/>
      <c r="F670" s="7"/>
      <c r="G670" s="1"/>
      <c r="H670" s="1"/>
      <c r="I670" s="1"/>
      <c r="J670" s="1"/>
      <c r="K670" s="1"/>
      <c r="L670" s="7"/>
      <c r="M670" s="7"/>
      <c r="N670" s="1"/>
      <c r="O670" s="1"/>
      <c r="P670" s="1"/>
      <c r="Q670" s="1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 spans="1:43" ht="15.75" customHeight="1" x14ac:dyDescent="0.25">
      <c r="A671" s="7"/>
      <c r="B671" s="7"/>
      <c r="C671" s="7"/>
      <c r="D671" s="7"/>
      <c r="E671" s="7"/>
      <c r="F671" s="7"/>
      <c r="G671" s="1"/>
      <c r="H671" s="1"/>
      <c r="I671" s="1"/>
      <c r="J671" s="1"/>
      <c r="K671" s="1"/>
      <c r="L671" s="7"/>
      <c r="M671" s="7"/>
      <c r="N671" s="1"/>
      <c r="O671" s="1"/>
      <c r="P671" s="1"/>
      <c r="Q671" s="1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 spans="1:43" ht="15.75" customHeight="1" x14ac:dyDescent="0.25">
      <c r="A672" s="7"/>
      <c r="B672" s="7"/>
      <c r="C672" s="7"/>
      <c r="D672" s="7"/>
      <c r="E672" s="7"/>
      <c r="F672" s="7"/>
      <c r="G672" s="1"/>
      <c r="H672" s="1"/>
      <c r="I672" s="1"/>
      <c r="J672" s="1"/>
      <c r="K672" s="1"/>
      <c r="L672" s="7"/>
      <c r="M672" s="7"/>
      <c r="N672" s="1"/>
      <c r="O672" s="1"/>
      <c r="P672" s="1"/>
      <c r="Q672" s="1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 spans="1:43" ht="15.75" customHeight="1" x14ac:dyDescent="0.25">
      <c r="A673" s="7"/>
      <c r="B673" s="7"/>
      <c r="C673" s="7"/>
      <c r="D673" s="7"/>
      <c r="E673" s="7"/>
      <c r="F673" s="7"/>
      <c r="G673" s="1"/>
      <c r="H673" s="1"/>
      <c r="I673" s="1"/>
      <c r="J673" s="1"/>
      <c r="K673" s="1"/>
      <c r="L673" s="7"/>
      <c r="M673" s="7"/>
      <c r="N673" s="1"/>
      <c r="O673" s="1"/>
      <c r="P673" s="1"/>
      <c r="Q673" s="1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 spans="1:43" ht="15.75" customHeight="1" x14ac:dyDescent="0.25">
      <c r="A674" s="7"/>
      <c r="B674" s="7"/>
      <c r="C674" s="7"/>
      <c r="D674" s="7"/>
      <c r="E674" s="7"/>
      <c r="F674" s="7"/>
      <c r="G674" s="1"/>
      <c r="H674" s="1"/>
      <c r="I674" s="1"/>
      <c r="J674" s="1"/>
      <c r="K674" s="1"/>
      <c r="L674" s="7"/>
      <c r="M674" s="7"/>
      <c r="N674" s="1"/>
      <c r="O674" s="1"/>
      <c r="P674" s="1"/>
      <c r="Q674" s="1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 spans="1:43" ht="15.75" customHeight="1" x14ac:dyDescent="0.25">
      <c r="A675" s="7"/>
      <c r="B675" s="7"/>
      <c r="C675" s="7"/>
      <c r="D675" s="7"/>
      <c r="E675" s="7"/>
      <c r="F675" s="7"/>
      <c r="G675" s="1"/>
      <c r="H675" s="1"/>
      <c r="I675" s="1"/>
      <c r="J675" s="1"/>
      <c r="K675" s="1"/>
      <c r="L675" s="7"/>
      <c r="M675" s="7"/>
      <c r="N675" s="1"/>
      <c r="O675" s="1"/>
      <c r="P675" s="1"/>
      <c r="Q675" s="1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 spans="1:43" ht="15.75" customHeight="1" x14ac:dyDescent="0.25">
      <c r="A676" s="7"/>
      <c r="B676" s="7"/>
      <c r="C676" s="7"/>
      <c r="D676" s="7"/>
      <c r="E676" s="7"/>
      <c r="F676" s="7"/>
      <c r="G676" s="1"/>
      <c r="H676" s="1"/>
      <c r="I676" s="1"/>
      <c r="J676" s="1"/>
      <c r="K676" s="1"/>
      <c r="L676" s="7"/>
      <c r="M676" s="7"/>
      <c r="N676" s="1"/>
      <c r="O676" s="1"/>
      <c r="P676" s="1"/>
      <c r="Q676" s="1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 spans="1:43" ht="15.75" customHeight="1" x14ac:dyDescent="0.25">
      <c r="A677" s="7"/>
      <c r="B677" s="7"/>
      <c r="C677" s="7"/>
      <c r="D677" s="7"/>
      <c r="E677" s="7"/>
      <c r="F677" s="7"/>
      <c r="G677" s="1"/>
      <c r="H677" s="1"/>
      <c r="I677" s="1"/>
      <c r="J677" s="1"/>
      <c r="K677" s="1"/>
      <c r="L677" s="7"/>
      <c r="M677" s="7"/>
      <c r="N677" s="1"/>
      <c r="O677" s="1"/>
      <c r="P677" s="1"/>
      <c r="Q677" s="1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 spans="1:43" ht="15.75" customHeight="1" x14ac:dyDescent="0.25">
      <c r="A678" s="7"/>
      <c r="B678" s="7"/>
      <c r="C678" s="7"/>
      <c r="D678" s="7"/>
      <c r="E678" s="7"/>
      <c r="F678" s="7"/>
      <c r="G678" s="1"/>
      <c r="H678" s="1"/>
      <c r="I678" s="1"/>
      <c r="J678" s="1"/>
      <c r="K678" s="1"/>
      <c r="L678" s="7"/>
      <c r="M678" s="7"/>
      <c r="N678" s="1"/>
      <c r="O678" s="1"/>
      <c r="P678" s="1"/>
      <c r="Q678" s="1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 spans="1:43" ht="15.75" customHeight="1" x14ac:dyDescent="0.25">
      <c r="A679" s="7"/>
      <c r="B679" s="7"/>
      <c r="C679" s="7"/>
      <c r="D679" s="7"/>
      <c r="E679" s="7"/>
      <c r="F679" s="7"/>
      <c r="G679" s="1"/>
      <c r="H679" s="1"/>
      <c r="I679" s="1"/>
      <c r="J679" s="1"/>
      <c r="K679" s="1"/>
      <c r="L679" s="7"/>
      <c r="M679" s="7"/>
      <c r="N679" s="1"/>
      <c r="O679" s="1"/>
      <c r="P679" s="1"/>
      <c r="Q679" s="1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 spans="1:43" ht="15.75" customHeight="1" x14ac:dyDescent="0.25">
      <c r="A680" s="7"/>
      <c r="B680" s="7"/>
      <c r="C680" s="7"/>
      <c r="D680" s="7"/>
      <c r="E680" s="7"/>
      <c r="F680" s="7"/>
      <c r="G680" s="1"/>
      <c r="H680" s="1"/>
      <c r="I680" s="1"/>
      <c r="J680" s="1"/>
      <c r="K680" s="1"/>
      <c r="L680" s="7"/>
      <c r="M680" s="7"/>
      <c r="N680" s="1"/>
      <c r="O680" s="1"/>
      <c r="P680" s="1"/>
      <c r="Q680" s="1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 spans="1:43" ht="15.75" customHeight="1" x14ac:dyDescent="0.25">
      <c r="A681" s="7"/>
      <c r="B681" s="7"/>
      <c r="C681" s="7"/>
      <c r="D681" s="7"/>
      <c r="E681" s="7"/>
      <c r="F681" s="7"/>
      <c r="G681" s="1"/>
      <c r="H681" s="1"/>
      <c r="I681" s="1"/>
      <c r="J681" s="1"/>
      <c r="K681" s="1"/>
      <c r="L681" s="7"/>
      <c r="M681" s="7"/>
      <c r="N681" s="1"/>
      <c r="O681" s="1"/>
      <c r="P681" s="1"/>
      <c r="Q681" s="1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 spans="1:43" ht="15.75" customHeight="1" x14ac:dyDescent="0.25">
      <c r="A682" s="7"/>
      <c r="B682" s="7"/>
      <c r="C682" s="7"/>
      <c r="D682" s="7"/>
      <c r="E682" s="7"/>
      <c r="F682" s="7"/>
      <c r="G682" s="1"/>
      <c r="H682" s="1"/>
      <c r="I682" s="1"/>
      <c r="J682" s="1"/>
      <c r="K682" s="1"/>
      <c r="L682" s="7"/>
      <c r="M682" s="7"/>
      <c r="N682" s="1"/>
      <c r="O682" s="1"/>
      <c r="P682" s="1"/>
      <c r="Q682" s="1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 spans="1:43" ht="15.75" customHeight="1" x14ac:dyDescent="0.25">
      <c r="A683" s="7"/>
      <c r="B683" s="7"/>
      <c r="C683" s="7"/>
      <c r="D683" s="7"/>
      <c r="E683" s="7"/>
      <c r="F683" s="7"/>
      <c r="G683" s="1"/>
      <c r="H683" s="1"/>
      <c r="I683" s="1"/>
      <c r="J683" s="1"/>
      <c r="K683" s="1"/>
      <c r="L683" s="7"/>
      <c r="M683" s="7"/>
      <c r="N683" s="1"/>
      <c r="O683" s="1"/>
      <c r="P683" s="1"/>
      <c r="Q683" s="1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 spans="1:43" ht="15.75" customHeight="1" x14ac:dyDescent="0.25">
      <c r="A684" s="7"/>
      <c r="B684" s="7"/>
      <c r="C684" s="7"/>
      <c r="D684" s="7"/>
      <c r="E684" s="7"/>
      <c r="F684" s="7"/>
      <c r="G684" s="1"/>
      <c r="H684" s="1"/>
      <c r="I684" s="1"/>
      <c r="J684" s="1"/>
      <c r="K684" s="1"/>
      <c r="L684" s="7"/>
      <c r="M684" s="7"/>
      <c r="N684" s="1"/>
      <c r="O684" s="1"/>
      <c r="P684" s="1"/>
      <c r="Q684" s="1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 spans="1:43" ht="15.75" customHeight="1" x14ac:dyDescent="0.25">
      <c r="A685" s="7"/>
      <c r="B685" s="7"/>
      <c r="C685" s="7"/>
      <c r="D685" s="7"/>
      <c r="E685" s="7"/>
      <c r="F685" s="7"/>
      <c r="G685" s="1"/>
      <c r="H685" s="1"/>
      <c r="I685" s="1"/>
      <c r="J685" s="1"/>
      <c r="K685" s="1"/>
      <c r="L685" s="7"/>
      <c r="M685" s="7"/>
      <c r="N685" s="1"/>
      <c r="O685" s="1"/>
      <c r="P685" s="1"/>
      <c r="Q685" s="1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 spans="1:43" ht="15.75" customHeight="1" x14ac:dyDescent="0.25">
      <c r="A686" s="7"/>
      <c r="B686" s="7"/>
      <c r="C686" s="7"/>
      <c r="D686" s="7"/>
      <c r="E686" s="7"/>
      <c r="F686" s="7"/>
      <c r="G686" s="1"/>
      <c r="H686" s="1"/>
      <c r="I686" s="1"/>
      <c r="J686" s="1"/>
      <c r="K686" s="1"/>
      <c r="L686" s="7"/>
      <c r="M686" s="7"/>
      <c r="N686" s="1"/>
      <c r="O686" s="1"/>
      <c r="P686" s="1"/>
      <c r="Q686" s="1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 spans="1:43" ht="15.75" customHeight="1" x14ac:dyDescent="0.25">
      <c r="A687" s="7"/>
      <c r="B687" s="7"/>
      <c r="C687" s="7"/>
      <c r="D687" s="7"/>
      <c r="E687" s="7"/>
      <c r="F687" s="7"/>
      <c r="G687" s="1"/>
      <c r="H687" s="1"/>
      <c r="I687" s="1"/>
      <c r="J687" s="1"/>
      <c r="K687" s="1"/>
      <c r="L687" s="7"/>
      <c r="M687" s="7"/>
      <c r="N687" s="1"/>
      <c r="O687" s="1"/>
      <c r="P687" s="1"/>
      <c r="Q687" s="1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 spans="1:43" ht="15.75" customHeight="1" x14ac:dyDescent="0.25">
      <c r="A688" s="7"/>
      <c r="B688" s="7"/>
      <c r="C688" s="7"/>
      <c r="D688" s="7"/>
      <c r="E688" s="7"/>
      <c r="F688" s="7"/>
      <c r="G688" s="1"/>
      <c r="H688" s="1"/>
      <c r="I688" s="1"/>
      <c r="J688" s="1"/>
      <c r="K688" s="1"/>
      <c r="L688" s="7"/>
      <c r="M688" s="7"/>
      <c r="N688" s="1"/>
      <c r="O688" s="1"/>
      <c r="P688" s="1"/>
      <c r="Q688" s="1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 spans="1:43" ht="15.75" customHeight="1" x14ac:dyDescent="0.25">
      <c r="A689" s="7"/>
      <c r="B689" s="7"/>
      <c r="C689" s="7"/>
      <c r="D689" s="7"/>
      <c r="E689" s="7"/>
      <c r="F689" s="7"/>
      <c r="G689" s="1"/>
      <c r="H689" s="1"/>
      <c r="I689" s="1"/>
      <c r="J689" s="1"/>
      <c r="K689" s="1"/>
      <c r="L689" s="7"/>
      <c r="M689" s="7"/>
      <c r="N689" s="1"/>
      <c r="O689" s="1"/>
      <c r="P689" s="1"/>
      <c r="Q689" s="1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 spans="1:43" ht="15.75" customHeight="1" x14ac:dyDescent="0.25">
      <c r="A690" s="7"/>
      <c r="B690" s="7"/>
      <c r="C690" s="7"/>
      <c r="D690" s="7"/>
      <c r="E690" s="7"/>
      <c r="F690" s="7"/>
      <c r="G690" s="1"/>
      <c r="H690" s="1"/>
      <c r="I690" s="1"/>
      <c r="J690" s="1"/>
      <c r="K690" s="1"/>
      <c r="L690" s="7"/>
      <c r="M690" s="7"/>
      <c r="N690" s="1"/>
      <c r="O690" s="1"/>
      <c r="P690" s="1"/>
      <c r="Q690" s="1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 spans="1:43" ht="15.75" customHeight="1" x14ac:dyDescent="0.25">
      <c r="A691" s="7"/>
      <c r="B691" s="7"/>
      <c r="C691" s="7"/>
      <c r="D691" s="7"/>
      <c r="E691" s="7"/>
      <c r="F691" s="7"/>
      <c r="G691" s="1"/>
      <c r="H691" s="1"/>
      <c r="I691" s="1"/>
      <c r="J691" s="1"/>
      <c r="K691" s="1"/>
      <c r="L691" s="7"/>
      <c r="M691" s="7"/>
      <c r="N691" s="1"/>
      <c r="O691" s="1"/>
      <c r="P691" s="1"/>
      <c r="Q691" s="1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 spans="1:43" ht="15.75" customHeight="1" x14ac:dyDescent="0.25">
      <c r="A692" s="7"/>
      <c r="B692" s="7"/>
      <c r="C692" s="7"/>
      <c r="D692" s="7"/>
      <c r="E692" s="7"/>
      <c r="F692" s="7"/>
      <c r="G692" s="1"/>
      <c r="H692" s="1"/>
      <c r="I692" s="1"/>
      <c r="J692" s="1"/>
      <c r="K692" s="1"/>
      <c r="L692" s="7"/>
      <c r="M692" s="7"/>
      <c r="N692" s="1"/>
      <c r="O692" s="1"/>
      <c r="P692" s="1"/>
      <c r="Q692" s="1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 spans="1:43" ht="15.75" customHeight="1" x14ac:dyDescent="0.25">
      <c r="A693" s="7"/>
      <c r="B693" s="7"/>
      <c r="C693" s="7"/>
      <c r="D693" s="7"/>
      <c r="E693" s="7"/>
      <c r="F693" s="7"/>
      <c r="G693" s="1"/>
      <c r="H693" s="1"/>
      <c r="I693" s="1"/>
      <c r="J693" s="1"/>
      <c r="K693" s="1"/>
      <c r="L693" s="7"/>
      <c r="M693" s="7"/>
      <c r="N693" s="1"/>
      <c r="O693" s="1"/>
      <c r="P693" s="1"/>
      <c r="Q693" s="1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 spans="1:43" ht="15.75" customHeight="1" x14ac:dyDescent="0.25">
      <c r="A694" s="7"/>
      <c r="B694" s="7"/>
      <c r="C694" s="7"/>
      <c r="D694" s="7"/>
      <c r="E694" s="7"/>
      <c r="F694" s="7"/>
      <c r="G694" s="1"/>
      <c r="H694" s="1"/>
      <c r="I694" s="1"/>
      <c r="J694" s="1"/>
      <c r="K694" s="1"/>
      <c r="L694" s="7"/>
      <c r="M694" s="7"/>
      <c r="N694" s="1"/>
      <c r="O694" s="1"/>
      <c r="P694" s="1"/>
      <c r="Q694" s="1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 spans="1:43" ht="15.75" customHeight="1" x14ac:dyDescent="0.25">
      <c r="A695" s="7"/>
      <c r="B695" s="7"/>
      <c r="C695" s="7"/>
      <c r="D695" s="7"/>
      <c r="E695" s="7"/>
      <c r="F695" s="7"/>
      <c r="G695" s="1"/>
      <c r="H695" s="1"/>
      <c r="I695" s="1"/>
      <c r="J695" s="1"/>
      <c r="K695" s="1"/>
      <c r="L695" s="7"/>
      <c r="M695" s="7"/>
      <c r="N695" s="1"/>
      <c r="O695" s="1"/>
      <c r="P695" s="1"/>
      <c r="Q695" s="1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 spans="1:43" ht="15.75" customHeight="1" x14ac:dyDescent="0.25">
      <c r="A696" s="7"/>
      <c r="B696" s="7"/>
      <c r="C696" s="7"/>
      <c r="D696" s="7"/>
      <c r="E696" s="7"/>
      <c r="F696" s="7"/>
      <c r="G696" s="1"/>
      <c r="H696" s="1"/>
      <c r="I696" s="1"/>
      <c r="J696" s="1"/>
      <c r="K696" s="1"/>
      <c r="L696" s="7"/>
      <c r="M696" s="7"/>
      <c r="N696" s="1"/>
      <c r="O696" s="1"/>
      <c r="P696" s="1"/>
      <c r="Q696" s="1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 spans="1:43" ht="15.75" customHeight="1" x14ac:dyDescent="0.25">
      <c r="A697" s="7"/>
      <c r="B697" s="7"/>
      <c r="C697" s="7"/>
      <c r="D697" s="7"/>
      <c r="E697" s="7"/>
      <c r="F697" s="7"/>
      <c r="G697" s="1"/>
      <c r="H697" s="1"/>
      <c r="I697" s="1"/>
      <c r="J697" s="1"/>
      <c r="K697" s="1"/>
      <c r="L697" s="7"/>
      <c r="M697" s="7"/>
      <c r="N697" s="1"/>
      <c r="O697" s="1"/>
      <c r="P697" s="1"/>
      <c r="Q697" s="1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 spans="1:43" ht="15.75" customHeight="1" x14ac:dyDescent="0.25">
      <c r="A698" s="7"/>
      <c r="B698" s="7"/>
      <c r="C698" s="7"/>
      <c r="D698" s="7"/>
      <c r="E698" s="7"/>
      <c r="F698" s="7"/>
      <c r="G698" s="1"/>
      <c r="H698" s="1"/>
      <c r="I698" s="1"/>
      <c r="J698" s="1"/>
      <c r="K698" s="1"/>
      <c r="L698" s="7"/>
      <c r="M698" s="7"/>
      <c r="N698" s="1"/>
      <c r="O698" s="1"/>
      <c r="P698" s="1"/>
      <c r="Q698" s="1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 spans="1:43" ht="15.75" customHeight="1" x14ac:dyDescent="0.25">
      <c r="A699" s="7"/>
      <c r="B699" s="7"/>
      <c r="C699" s="7"/>
      <c r="D699" s="7"/>
      <c r="E699" s="7"/>
      <c r="F699" s="7"/>
      <c r="G699" s="1"/>
      <c r="H699" s="1"/>
      <c r="I699" s="1"/>
      <c r="J699" s="1"/>
      <c r="K699" s="1"/>
      <c r="L699" s="7"/>
      <c r="M699" s="7"/>
      <c r="N699" s="1"/>
      <c r="O699" s="1"/>
      <c r="P699" s="1"/>
      <c r="Q699" s="1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 spans="1:43" ht="15.75" customHeight="1" x14ac:dyDescent="0.25">
      <c r="A700" s="7"/>
      <c r="B700" s="7"/>
      <c r="C700" s="7"/>
      <c r="D700" s="7"/>
      <c r="E700" s="7"/>
      <c r="F700" s="7"/>
      <c r="G700" s="1"/>
      <c r="H700" s="1"/>
      <c r="I700" s="1"/>
      <c r="J700" s="1"/>
      <c r="K700" s="1"/>
      <c r="L700" s="7"/>
      <c r="M700" s="7"/>
      <c r="N700" s="1"/>
      <c r="O700" s="1"/>
      <c r="P700" s="1"/>
      <c r="Q700" s="1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 spans="1:43" ht="15.75" customHeight="1" x14ac:dyDescent="0.25">
      <c r="A701" s="7"/>
      <c r="B701" s="7"/>
      <c r="C701" s="7"/>
      <c r="D701" s="7"/>
      <c r="E701" s="7"/>
      <c r="F701" s="7"/>
      <c r="G701" s="1"/>
      <c r="H701" s="1"/>
      <c r="I701" s="1"/>
      <c r="J701" s="1"/>
      <c r="K701" s="1"/>
      <c r="L701" s="7"/>
      <c r="M701" s="7"/>
      <c r="N701" s="1"/>
      <c r="O701" s="1"/>
      <c r="P701" s="1"/>
      <c r="Q701" s="1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 spans="1:43" ht="15.75" customHeight="1" x14ac:dyDescent="0.25">
      <c r="A702" s="7"/>
      <c r="B702" s="7"/>
      <c r="C702" s="7"/>
      <c r="D702" s="7"/>
      <c r="E702" s="7"/>
      <c r="F702" s="7"/>
      <c r="G702" s="1"/>
      <c r="H702" s="1"/>
      <c r="I702" s="1"/>
      <c r="J702" s="1"/>
      <c r="K702" s="1"/>
      <c r="L702" s="7"/>
      <c r="M702" s="7"/>
      <c r="N702" s="1"/>
      <c r="O702" s="1"/>
      <c r="P702" s="1"/>
      <c r="Q702" s="1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 spans="1:43" ht="15.75" customHeight="1" x14ac:dyDescent="0.25">
      <c r="A703" s="7"/>
      <c r="B703" s="7"/>
      <c r="C703" s="7"/>
      <c r="D703" s="7"/>
      <c r="E703" s="7"/>
      <c r="F703" s="7"/>
      <c r="G703" s="1"/>
      <c r="H703" s="1"/>
      <c r="I703" s="1"/>
      <c r="J703" s="1"/>
      <c r="K703" s="1"/>
      <c r="L703" s="7"/>
      <c r="M703" s="7"/>
      <c r="N703" s="1"/>
      <c r="O703" s="1"/>
      <c r="P703" s="1"/>
      <c r="Q703" s="1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 spans="1:43" ht="15.75" customHeight="1" x14ac:dyDescent="0.25">
      <c r="A704" s="7"/>
      <c r="B704" s="7"/>
      <c r="C704" s="7"/>
      <c r="D704" s="7"/>
      <c r="E704" s="7"/>
      <c r="F704" s="7"/>
      <c r="G704" s="1"/>
      <c r="H704" s="1"/>
      <c r="I704" s="1"/>
      <c r="J704" s="1"/>
      <c r="K704" s="1"/>
      <c r="L704" s="7"/>
      <c r="M704" s="7"/>
      <c r="N704" s="1"/>
      <c r="O704" s="1"/>
      <c r="P704" s="1"/>
      <c r="Q704" s="1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 spans="1:43" ht="15.75" customHeight="1" x14ac:dyDescent="0.25">
      <c r="A705" s="7"/>
      <c r="B705" s="7"/>
      <c r="C705" s="7"/>
      <c r="D705" s="7"/>
      <c r="E705" s="7"/>
      <c r="F705" s="7"/>
      <c r="G705" s="1"/>
      <c r="H705" s="1"/>
      <c r="I705" s="1"/>
      <c r="J705" s="1"/>
      <c r="K705" s="1"/>
      <c r="L705" s="7"/>
      <c r="M705" s="7"/>
      <c r="N705" s="1"/>
      <c r="O705" s="1"/>
      <c r="P705" s="1"/>
      <c r="Q705" s="1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 spans="1:43" ht="15.75" customHeight="1" x14ac:dyDescent="0.25">
      <c r="A706" s="7"/>
      <c r="B706" s="7"/>
      <c r="C706" s="7"/>
      <c r="D706" s="7"/>
      <c r="E706" s="7"/>
      <c r="F706" s="7"/>
      <c r="G706" s="1"/>
      <c r="H706" s="1"/>
      <c r="I706" s="1"/>
      <c r="J706" s="1"/>
      <c r="K706" s="1"/>
      <c r="L706" s="7"/>
      <c r="M706" s="7"/>
      <c r="N706" s="1"/>
      <c r="O706" s="1"/>
      <c r="P706" s="1"/>
      <c r="Q706" s="1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 spans="1:43" ht="15.75" customHeight="1" x14ac:dyDescent="0.25">
      <c r="A707" s="7"/>
      <c r="B707" s="7"/>
      <c r="C707" s="7"/>
      <c r="D707" s="7"/>
      <c r="E707" s="7"/>
      <c r="F707" s="7"/>
      <c r="G707" s="1"/>
      <c r="H707" s="1"/>
      <c r="I707" s="1"/>
      <c r="J707" s="1"/>
      <c r="K707" s="1"/>
      <c r="L707" s="7"/>
      <c r="M707" s="7"/>
      <c r="N707" s="1"/>
      <c r="O707" s="1"/>
      <c r="P707" s="1"/>
      <c r="Q707" s="1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 spans="1:43" ht="15.75" customHeight="1" x14ac:dyDescent="0.25">
      <c r="A708" s="7"/>
      <c r="B708" s="7"/>
      <c r="C708" s="7"/>
      <c r="D708" s="7"/>
      <c r="E708" s="7"/>
      <c r="F708" s="7"/>
      <c r="G708" s="1"/>
      <c r="H708" s="1"/>
      <c r="I708" s="1"/>
      <c r="J708" s="1"/>
      <c r="K708" s="1"/>
      <c r="L708" s="7"/>
      <c r="M708" s="7"/>
      <c r="N708" s="1"/>
      <c r="O708" s="1"/>
      <c r="P708" s="1"/>
      <c r="Q708" s="1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 spans="1:43" ht="15.75" customHeight="1" x14ac:dyDescent="0.25">
      <c r="A709" s="7"/>
      <c r="B709" s="7"/>
      <c r="C709" s="7"/>
      <c r="D709" s="7"/>
      <c r="E709" s="7"/>
      <c r="F709" s="7"/>
      <c r="G709" s="1"/>
      <c r="H709" s="1"/>
      <c r="I709" s="1"/>
      <c r="J709" s="1"/>
      <c r="K709" s="1"/>
      <c r="L709" s="7"/>
      <c r="M709" s="7"/>
      <c r="N709" s="1"/>
      <c r="O709" s="1"/>
      <c r="P709" s="1"/>
      <c r="Q709" s="1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 spans="1:43" ht="15.75" customHeight="1" x14ac:dyDescent="0.25">
      <c r="A710" s="7"/>
      <c r="B710" s="7"/>
      <c r="C710" s="7"/>
      <c r="D710" s="7"/>
      <c r="E710" s="7"/>
      <c r="F710" s="7"/>
      <c r="G710" s="1"/>
      <c r="H710" s="1"/>
      <c r="I710" s="1"/>
      <c r="J710" s="1"/>
      <c r="K710" s="1"/>
      <c r="L710" s="7"/>
      <c r="M710" s="7"/>
      <c r="N710" s="1"/>
      <c r="O710" s="1"/>
      <c r="P710" s="1"/>
      <c r="Q710" s="1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 spans="1:43" ht="15.75" customHeight="1" x14ac:dyDescent="0.25">
      <c r="A711" s="7"/>
      <c r="B711" s="7"/>
      <c r="C711" s="7"/>
      <c r="D711" s="7"/>
      <c r="E711" s="7"/>
      <c r="F711" s="7"/>
      <c r="G711" s="1"/>
      <c r="H711" s="1"/>
      <c r="I711" s="1"/>
      <c r="J711" s="1"/>
      <c r="K711" s="1"/>
      <c r="L711" s="7"/>
      <c r="M711" s="7"/>
      <c r="N711" s="1"/>
      <c r="O711" s="1"/>
      <c r="P711" s="1"/>
      <c r="Q711" s="1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 spans="1:43" ht="15.75" customHeight="1" x14ac:dyDescent="0.25">
      <c r="A712" s="7"/>
      <c r="B712" s="7"/>
      <c r="C712" s="7"/>
      <c r="D712" s="7"/>
      <c r="E712" s="7"/>
      <c r="F712" s="7"/>
      <c r="G712" s="1"/>
      <c r="H712" s="1"/>
      <c r="I712" s="1"/>
      <c r="J712" s="1"/>
      <c r="K712" s="1"/>
      <c r="L712" s="7"/>
      <c r="M712" s="7"/>
      <c r="N712" s="1"/>
      <c r="O712" s="1"/>
      <c r="P712" s="1"/>
      <c r="Q712" s="1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 spans="1:43" ht="15.75" customHeight="1" x14ac:dyDescent="0.25">
      <c r="A713" s="7"/>
      <c r="B713" s="7"/>
      <c r="C713" s="7"/>
      <c r="D713" s="7"/>
      <c r="E713" s="7"/>
      <c r="F713" s="7"/>
      <c r="G713" s="1"/>
      <c r="H713" s="1"/>
      <c r="I713" s="1"/>
      <c r="J713" s="1"/>
      <c r="K713" s="1"/>
      <c r="L713" s="7"/>
      <c r="M713" s="7"/>
      <c r="N713" s="1"/>
      <c r="O713" s="1"/>
      <c r="P713" s="1"/>
      <c r="Q713" s="1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 spans="1:43" ht="15.75" customHeight="1" x14ac:dyDescent="0.25">
      <c r="A714" s="7"/>
      <c r="B714" s="7"/>
      <c r="C714" s="7"/>
      <c r="D714" s="7"/>
      <c r="E714" s="7"/>
      <c r="F714" s="7"/>
      <c r="G714" s="1"/>
      <c r="H714" s="1"/>
      <c r="I714" s="1"/>
      <c r="J714" s="1"/>
      <c r="K714" s="1"/>
      <c r="L714" s="7"/>
      <c r="M714" s="7"/>
      <c r="N714" s="1"/>
      <c r="O714" s="1"/>
      <c r="P714" s="1"/>
      <c r="Q714" s="1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 spans="1:43" ht="15.75" customHeight="1" x14ac:dyDescent="0.25">
      <c r="A715" s="7"/>
      <c r="B715" s="7"/>
      <c r="C715" s="7"/>
      <c r="D715" s="7"/>
      <c r="E715" s="7"/>
      <c r="F715" s="7"/>
      <c r="G715" s="1"/>
      <c r="H715" s="1"/>
      <c r="I715" s="1"/>
      <c r="J715" s="1"/>
      <c r="K715" s="1"/>
      <c r="L715" s="7"/>
      <c r="M715" s="7"/>
      <c r="N715" s="1"/>
      <c r="O715" s="1"/>
      <c r="P715" s="1"/>
      <c r="Q715" s="1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 spans="1:43" ht="15.75" customHeight="1" x14ac:dyDescent="0.25">
      <c r="A716" s="7"/>
      <c r="B716" s="7"/>
      <c r="C716" s="7"/>
      <c r="D716" s="7"/>
      <c r="E716" s="7"/>
      <c r="F716" s="7"/>
      <c r="G716" s="1"/>
      <c r="H716" s="1"/>
      <c r="I716" s="1"/>
      <c r="J716" s="1"/>
      <c r="K716" s="1"/>
      <c r="L716" s="7"/>
      <c r="M716" s="7"/>
      <c r="N716" s="1"/>
      <c r="O716" s="1"/>
      <c r="P716" s="1"/>
      <c r="Q716" s="1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spans="1:43" ht="15.75" customHeight="1" x14ac:dyDescent="0.25">
      <c r="A717" s="7"/>
      <c r="B717" s="7"/>
      <c r="C717" s="7"/>
      <c r="D717" s="7"/>
      <c r="E717" s="7"/>
      <c r="F717" s="7"/>
      <c r="G717" s="1"/>
      <c r="H717" s="1"/>
      <c r="I717" s="1"/>
      <c r="J717" s="1"/>
      <c r="K717" s="1"/>
      <c r="L717" s="7"/>
      <c r="M717" s="7"/>
      <c r="N717" s="1"/>
      <c r="O717" s="1"/>
      <c r="P717" s="1"/>
      <c r="Q717" s="1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 spans="1:43" ht="15.75" customHeight="1" x14ac:dyDescent="0.25">
      <c r="A718" s="7"/>
      <c r="B718" s="7"/>
      <c r="C718" s="7"/>
      <c r="D718" s="7"/>
      <c r="E718" s="7"/>
      <c r="F718" s="7"/>
      <c r="G718" s="1"/>
      <c r="H718" s="1"/>
      <c r="I718" s="1"/>
      <c r="J718" s="1"/>
      <c r="K718" s="1"/>
      <c r="L718" s="7"/>
      <c r="M718" s="7"/>
      <c r="N718" s="1"/>
      <c r="O718" s="1"/>
      <c r="P718" s="1"/>
      <c r="Q718" s="1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 spans="1:43" ht="15.75" customHeight="1" x14ac:dyDescent="0.25">
      <c r="A719" s="7"/>
      <c r="B719" s="7"/>
      <c r="C719" s="7"/>
      <c r="D719" s="7"/>
      <c r="E719" s="7"/>
      <c r="F719" s="7"/>
      <c r="G719" s="1"/>
      <c r="H719" s="1"/>
      <c r="I719" s="1"/>
      <c r="J719" s="1"/>
      <c r="K719" s="1"/>
      <c r="L719" s="7"/>
      <c r="M719" s="7"/>
      <c r="N719" s="1"/>
      <c r="O719" s="1"/>
      <c r="P719" s="1"/>
      <c r="Q719" s="1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 spans="1:43" ht="15.75" customHeight="1" x14ac:dyDescent="0.25">
      <c r="A720" s="7"/>
      <c r="B720" s="7"/>
      <c r="C720" s="7"/>
      <c r="D720" s="7"/>
      <c r="E720" s="7"/>
      <c r="F720" s="7"/>
      <c r="G720" s="1"/>
      <c r="H720" s="1"/>
      <c r="I720" s="1"/>
      <c r="J720" s="1"/>
      <c r="K720" s="1"/>
      <c r="L720" s="7"/>
      <c r="M720" s="7"/>
      <c r="N720" s="1"/>
      <c r="O720" s="1"/>
      <c r="P720" s="1"/>
      <c r="Q720" s="1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 spans="1:43" ht="15.75" customHeight="1" x14ac:dyDescent="0.25">
      <c r="A721" s="7"/>
      <c r="B721" s="7"/>
      <c r="C721" s="7"/>
      <c r="D721" s="7"/>
      <c r="E721" s="7"/>
      <c r="F721" s="7"/>
      <c r="G721" s="1"/>
      <c r="H721" s="1"/>
      <c r="I721" s="1"/>
      <c r="J721" s="1"/>
      <c r="K721" s="1"/>
      <c r="L721" s="7"/>
      <c r="M721" s="7"/>
      <c r="N721" s="1"/>
      <c r="O721" s="1"/>
      <c r="P721" s="1"/>
      <c r="Q721" s="1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 spans="1:43" ht="15.75" customHeight="1" x14ac:dyDescent="0.25">
      <c r="A722" s="7"/>
      <c r="B722" s="7"/>
      <c r="C722" s="7"/>
      <c r="D722" s="7"/>
      <c r="E722" s="7"/>
      <c r="F722" s="7"/>
      <c r="G722" s="1"/>
      <c r="H722" s="1"/>
      <c r="I722" s="1"/>
      <c r="J722" s="1"/>
      <c r="K722" s="1"/>
      <c r="L722" s="7"/>
      <c r="M722" s="7"/>
      <c r="N722" s="1"/>
      <c r="O722" s="1"/>
      <c r="P722" s="1"/>
      <c r="Q722" s="1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 spans="1:43" ht="15.75" customHeight="1" x14ac:dyDescent="0.25">
      <c r="A723" s="7"/>
      <c r="B723" s="7"/>
      <c r="C723" s="7"/>
      <c r="D723" s="7"/>
      <c r="E723" s="7"/>
      <c r="F723" s="7"/>
      <c r="G723" s="1"/>
      <c r="H723" s="1"/>
      <c r="I723" s="1"/>
      <c r="J723" s="1"/>
      <c r="K723" s="1"/>
      <c r="L723" s="7"/>
      <c r="M723" s="7"/>
      <c r="N723" s="1"/>
      <c r="O723" s="1"/>
      <c r="P723" s="1"/>
      <c r="Q723" s="1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 spans="1:43" ht="15.75" customHeight="1" x14ac:dyDescent="0.25">
      <c r="A724" s="7"/>
      <c r="B724" s="7"/>
      <c r="C724" s="7"/>
      <c r="D724" s="7"/>
      <c r="E724" s="7"/>
      <c r="F724" s="7"/>
      <c r="G724" s="1"/>
      <c r="H724" s="1"/>
      <c r="I724" s="1"/>
      <c r="J724" s="1"/>
      <c r="K724" s="1"/>
      <c r="L724" s="7"/>
      <c r="M724" s="7"/>
      <c r="N724" s="1"/>
      <c r="O724" s="1"/>
      <c r="P724" s="1"/>
      <c r="Q724" s="1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 spans="1:43" ht="15.75" customHeight="1" x14ac:dyDescent="0.25">
      <c r="A725" s="7"/>
      <c r="B725" s="7"/>
      <c r="C725" s="7"/>
      <c r="D725" s="7"/>
      <c r="E725" s="7"/>
      <c r="F725" s="7"/>
      <c r="G725" s="1"/>
      <c r="H725" s="1"/>
      <c r="I725" s="1"/>
      <c r="J725" s="1"/>
      <c r="K725" s="1"/>
      <c r="L725" s="7"/>
      <c r="M725" s="7"/>
      <c r="N725" s="1"/>
      <c r="O725" s="1"/>
      <c r="P725" s="1"/>
      <c r="Q725" s="1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 spans="1:43" ht="15.75" customHeight="1" x14ac:dyDescent="0.25">
      <c r="A726" s="7"/>
      <c r="B726" s="7"/>
      <c r="C726" s="7"/>
      <c r="D726" s="7"/>
      <c r="E726" s="7"/>
      <c r="F726" s="7"/>
      <c r="G726" s="1"/>
      <c r="H726" s="1"/>
      <c r="I726" s="1"/>
      <c r="J726" s="1"/>
      <c r="K726" s="1"/>
      <c r="L726" s="7"/>
      <c r="M726" s="7"/>
      <c r="N726" s="1"/>
      <c r="O726" s="1"/>
      <c r="P726" s="1"/>
      <c r="Q726" s="1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 spans="1:43" ht="15.75" customHeight="1" x14ac:dyDescent="0.25">
      <c r="A727" s="7"/>
      <c r="B727" s="7"/>
      <c r="C727" s="7"/>
      <c r="D727" s="7"/>
      <c r="E727" s="7"/>
      <c r="F727" s="7"/>
      <c r="G727" s="1"/>
      <c r="H727" s="1"/>
      <c r="I727" s="1"/>
      <c r="J727" s="1"/>
      <c r="K727" s="1"/>
      <c r="L727" s="7"/>
      <c r="M727" s="7"/>
      <c r="N727" s="1"/>
      <c r="O727" s="1"/>
      <c r="P727" s="1"/>
      <c r="Q727" s="1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 spans="1:43" ht="15.75" customHeight="1" x14ac:dyDescent="0.25">
      <c r="A728" s="7"/>
      <c r="B728" s="7"/>
      <c r="C728" s="7"/>
      <c r="D728" s="7"/>
      <c r="E728" s="7"/>
      <c r="F728" s="7"/>
      <c r="G728" s="1"/>
      <c r="H728" s="1"/>
      <c r="I728" s="1"/>
      <c r="J728" s="1"/>
      <c r="K728" s="1"/>
      <c r="L728" s="7"/>
      <c r="M728" s="7"/>
      <c r="N728" s="1"/>
      <c r="O728" s="1"/>
      <c r="P728" s="1"/>
      <c r="Q728" s="1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 spans="1:43" ht="15.75" customHeight="1" x14ac:dyDescent="0.25">
      <c r="A729" s="7"/>
      <c r="B729" s="7"/>
      <c r="C729" s="7"/>
      <c r="D729" s="7"/>
      <c r="E729" s="7"/>
      <c r="F729" s="7"/>
      <c r="G729" s="1"/>
      <c r="H729" s="1"/>
      <c r="I729" s="1"/>
      <c r="J729" s="1"/>
      <c r="K729" s="1"/>
      <c r="L729" s="7"/>
      <c r="M729" s="7"/>
      <c r="N729" s="1"/>
      <c r="O729" s="1"/>
      <c r="P729" s="1"/>
      <c r="Q729" s="1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 spans="1:43" ht="15.75" customHeight="1" x14ac:dyDescent="0.25">
      <c r="A730" s="7"/>
      <c r="B730" s="7"/>
      <c r="C730" s="7"/>
      <c r="D730" s="7"/>
      <c r="E730" s="7"/>
      <c r="F730" s="7"/>
      <c r="G730" s="1"/>
      <c r="H730" s="1"/>
      <c r="I730" s="1"/>
      <c r="J730" s="1"/>
      <c r="K730" s="1"/>
      <c r="L730" s="7"/>
      <c r="M730" s="7"/>
      <c r="N730" s="1"/>
      <c r="O730" s="1"/>
      <c r="P730" s="1"/>
      <c r="Q730" s="1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 spans="1:43" ht="15.75" customHeight="1" x14ac:dyDescent="0.25">
      <c r="A731" s="7"/>
      <c r="B731" s="7"/>
      <c r="C731" s="7"/>
      <c r="D731" s="7"/>
      <c r="E731" s="7"/>
      <c r="F731" s="7"/>
      <c r="G731" s="1"/>
      <c r="H731" s="1"/>
      <c r="I731" s="1"/>
      <c r="J731" s="1"/>
      <c r="K731" s="1"/>
      <c r="L731" s="7"/>
      <c r="M731" s="7"/>
      <c r="N731" s="1"/>
      <c r="O731" s="1"/>
      <c r="P731" s="1"/>
      <c r="Q731" s="1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 spans="1:43" ht="15.75" customHeight="1" x14ac:dyDescent="0.25">
      <c r="A732" s="7"/>
      <c r="B732" s="7"/>
      <c r="C732" s="7"/>
      <c r="D732" s="7"/>
      <c r="E732" s="7"/>
      <c r="F732" s="7"/>
      <c r="G732" s="1"/>
      <c r="H732" s="1"/>
      <c r="I732" s="1"/>
      <c r="J732" s="1"/>
      <c r="K732" s="1"/>
      <c r="L732" s="7"/>
      <c r="M732" s="7"/>
      <c r="N732" s="1"/>
      <c r="O732" s="1"/>
      <c r="P732" s="1"/>
      <c r="Q732" s="1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 spans="1:43" ht="15.75" customHeight="1" x14ac:dyDescent="0.25">
      <c r="A733" s="7"/>
      <c r="B733" s="7"/>
      <c r="C733" s="7"/>
      <c r="D733" s="7"/>
      <c r="E733" s="7"/>
      <c r="F733" s="7"/>
      <c r="G733" s="1"/>
      <c r="H733" s="1"/>
      <c r="I733" s="1"/>
      <c r="J733" s="1"/>
      <c r="K733" s="1"/>
      <c r="L733" s="7"/>
      <c r="M733" s="7"/>
      <c r="N733" s="1"/>
      <c r="O733" s="1"/>
      <c r="P733" s="1"/>
      <c r="Q733" s="1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 spans="1:43" ht="15.75" customHeight="1" x14ac:dyDescent="0.25">
      <c r="A734" s="7"/>
      <c r="B734" s="7"/>
      <c r="C734" s="7"/>
      <c r="D734" s="7"/>
      <c r="E734" s="7"/>
      <c r="F734" s="7"/>
      <c r="G734" s="1"/>
      <c r="H734" s="1"/>
      <c r="I734" s="1"/>
      <c r="J734" s="1"/>
      <c r="K734" s="1"/>
      <c r="L734" s="7"/>
      <c r="M734" s="7"/>
      <c r="N734" s="1"/>
      <c r="O734" s="1"/>
      <c r="P734" s="1"/>
      <c r="Q734" s="1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 spans="1:43" ht="15.75" customHeight="1" x14ac:dyDescent="0.25">
      <c r="A735" s="7"/>
      <c r="B735" s="7"/>
      <c r="C735" s="7"/>
      <c r="D735" s="7"/>
      <c r="E735" s="7"/>
      <c r="F735" s="7"/>
      <c r="G735" s="1"/>
      <c r="H735" s="1"/>
      <c r="I735" s="1"/>
      <c r="J735" s="1"/>
      <c r="K735" s="1"/>
      <c r="L735" s="7"/>
      <c r="M735" s="7"/>
      <c r="N735" s="1"/>
      <c r="O735" s="1"/>
      <c r="P735" s="1"/>
      <c r="Q735" s="1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 spans="1:43" ht="15.75" customHeight="1" x14ac:dyDescent="0.25">
      <c r="A736" s="7"/>
      <c r="B736" s="7"/>
      <c r="C736" s="7"/>
      <c r="D736" s="7"/>
      <c r="E736" s="7"/>
      <c r="F736" s="7"/>
      <c r="G736" s="1"/>
      <c r="H736" s="1"/>
      <c r="I736" s="1"/>
      <c r="J736" s="1"/>
      <c r="K736" s="1"/>
      <c r="L736" s="7"/>
      <c r="M736" s="7"/>
      <c r="N736" s="1"/>
      <c r="O736" s="1"/>
      <c r="P736" s="1"/>
      <c r="Q736" s="1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 spans="1:43" ht="15.75" customHeight="1" x14ac:dyDescent="0.25">
      <c r="A737" s="7"/>
      <c r="B737" s="7"/>
      <c r="C737" s="7"/>
      <c r="D737" s="7"/>
      <c r="E737" s="7"/>
      <c r="F737" s="7"/>
      <c r="G737" s="1"/>
      <c r="H737" s="1"/>
      <c r="I737" s="1"/>
      <c r="J737" s="1"/>
      <c r="K737" s="1"/>
      <c r="L737" s="7"/>
      <c r="M737" s="7"/>
      <c r="N737" s="1"/>
      <c r="O737" s="1"/>
      <c r="P737" s="1"/>
      <c r="Q737" s="1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 spans="1:43" ht="15.75" customHeight="1" x14ac:dyDescent="0.25">
      <c r="A738" s="7"/>
      <c r="B738" s="7"/>
      <c r="C738" s="7"/>
      <c r="D738" s="7"/>
      <c r="E738" s="7"/>
      <c r="F738" s="7"/>
      <c r="G738" s="1"/>
      <c r="H738" s="1"/>
      <c r="I738" s="1"/>
      <c r="J738" s="1"/>
      <c r="K738" s="1"/>
      <c r="L738" s="7"/>
      <c r="M738" s="7"/>
      <c r="N738" s="1"/>
      <c r="O738" s="1"/>
      <c r="P738" s="1"/>
      <c r="Q738" s="1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 spans="1:43" ht="15.75" customHeight="1" x14ac:dyDescent="0.25">
      <c r="A739" s="7"/>
      <c r="B739" s="7"/>
      <c r="C739" s="7"/>
      <c r="D739" s="7"/>
      <c r="E739" s="7"/>
      <c r="F739" s="7"/>
      <c r="G739" s="1"/>
      <c r="H739" s="1"/>
      <c r="I739" s="1"/>
      <c r="J739" s="1"/>
      <c r="K739" s="1"/>
      <c r="L739" s="7"/>
      <c r="M739" s="7"/>
      <c r="N739" s="1"/>
      <c r="O739" s="1"/>
      <c r="P739" s="1"/>
      <c r="Q739" s="1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 spans="1:43" ht="15.75" customHeight="1" x14ac:dyDescent="0.25">
      <c r="A740" s="7"/>
      <c r="B740" s="7"/>
      <c r="C740" s="7"/>
      <c r="D740" s="7"/>
      <c r="E740" s="7"/>
      <c r="F740" s="7"/>
      <c r="G740" s="1"/>
      <c r="H740" s="1"/>
      <c r="I740" s="1"/>
      <c r="J740" s="1"/>
      <c r="K740" s="1"/>
      <c r="L740" s="7"/>
      <c r="M740" s="7"/>
      <c r="N740" s="1"/>
      <c r="O740" s="1"/>
      <c r="P740" s="1"/>
      <c r="Q740" s="1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 spans="1:43" ht="15.75" customHeight="1" x14ac:dyDescent="0.25">
      <c r="A741" s="7"/>
      <c r="B741" s="7"/>
      <c r="C741" s="7"/>
      <c r="D741" s="7"/>
      <c r="E741" s="7"/>
      <c r="F741" s="7"/>
      <c r="G741" s="1"/>
      <c r="H741" s="1"/>
      <c r="I741" s="1"/>
      <c r="J741" s="1"/>
      <c r="K741" s="1"/>
      <c r="L741" s="7"/>
      <c r="M741" s="7"/>
      <c r="N741" s="1"/>
      <c r="O741" s="1"/>
      <c r="P741" s="1"/>
      <c r="Q741" s="1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 spans="1:43" ht="15.75" customHeight="1" x14ac:dyDescent="0.25">
      <c r="A742" s="7"/>
      <c r="B742" s="7"/>
      <c r="C742" s="7"/>
      <c r="D742" s="7"/>
      <c r="E742" s="7"/>
      <c r="F742" s="7"/>
      <c r="G742" s="1"/>
      <c r="H742" s="1"/>
      <c r="I742" s="1"/>
      <c r="J742" s="1"/>
      <c r="K742" s="1"/>
      <c r="L742" s="7"/>
      <c r="M742" s="7"/>
      <c r="N742" s="1"/>
      <c r="O742" s="1"/>
      <c r="P742" s="1"/>
      <c r="Q742" s="1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 spans="1:43" ht="15.75" customHeight="1" x14ac:dyDescent="0.25">
      <c r="A743" s="7"/>
      <c r="B743" s="7"/>
      <c r="C743" s="7"/>
      <c r="D743" s="7"/>
      <c r="E743" s="7"/>
      <c r="F743" s="7"/>
      <c r="G743" s="1"/>
      <c r="H743" s="1"/>
      <c r="I743" s="1"/>
      <c r="J743" s="1"/>
      <c r="K743" s="1"/>
      <c r="L743" s="7"/>
      <c r="M743" s="7"/>
      <c r="N743" s="1"/>
      <c r="O743" s="1"/>
      <c r="P743" s="1"/>
      <c r="Q743" s="1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 spans="1:43" ht="15.75" customHeight="1" x14ac:dyDescent="0.25">
      <c r="A744" s="7"/>
      <c r="B744" s="7"/>
      <c r="C744" s="7"/>
      <c r="D744" s="7"/>
      <c r="E744" s="7"/>
      <c r="F744" s="7"/>
      <c r="G744" s="1"/>
      <c r="H744" s="1"/>
      <c r="I744" s="1"/>
      <c r="J744" s="1"/>
      <c r="K744" s="1"/>
      <c r="L744" s="7"/>
      <c r="M744" s="7"/>
      <c r="N744" s="1"/>
      <c r="O744" s="1"/>
      <c r="P744" s="1"/>
      <c r="Q744" s="1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 spans="1:43" ht="15.75" customHeight="1" x14ac:dyDescent="0.25">
      <c r="A745" s="7"/>
      <c r="B745" s="7"/>
      <c r="C745" s="7"/>
      <c r="D745" s="7"/>
      <c r="E745" s="7"/>
      <c r="F745" s="7"/>
      <c r="G745" s="1"/>
      <c r="H745" s="1"/>
      <c r="I745" s="1"/>
      <c r="J745" s="1"/>
      <c r="K745" s="1"/>
      <c r="L745" s="7"/>
      <c r="M745" s="7"/>
      <c r="N745" s="1"/>
      <c r="O745" s="1"/>
      <c r="P745" s="1"/>
      <c r="Q745" s="1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 spans="1:43" ht="15.75" customHeight="1" x14ac:dyDescent="0.25">
      <c r="A746" s="7"/>
      <c r="B746" s="7"/>
      <c r="C746" s="7"/>
      <c r="D746" s="7"/>
      <c r="E746" s="7"/>
      <c r="F746" s="7"/>
      <c r="G746" s="1"/>
      <c r="H746" s="1"/>
      <c r="I746" s="1"/>
      <c r="J746" s="1"/>
      <c r="K746" s="1"/>
      <c r="L746" s="7"/>
      <c r="M746" s="7"/>
      <c r="N746" s="1"/>
      <c r="O746" s="1"/>
      <c r="P746" s="1"/>
      <c r="Q746" s="1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 spans="1:43" ht="15.75" customHeight="1" x14ac:dyDescent="0.25">
      <c r="A747" s="7"/>
      <c r="B747" s="7"/>
      <c r="C747" s="7"/>
      <c r="D747" s="7"/>
      <c r="E747" s="7"/>
      <c r="F747" s="7"/>
      <c r="G747" s="1"/>
      <c r="H747" s="1"/>
      <c r="I747" s="1"/>
      <c r="J747" s="1"/>
      <c r="K747" s="1"/>
      <c r="L747" s="7"/>
      <c r="M747" s="7"/>
      <c r="N747" s="1"/>
      <c r="O747" s="1"/>
      <c r="P747" s="1"/>
      <c r="Q747" s="1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 spans="1:43" ht="15.75" customHeight="1" x14ac:dyDescent="0.25">
      <c r="A748" s="7"/>
      <c r="B748" s="7"/>
      <c r="C748" s="7"/>
      <c r="D748" s="7"/>
      <c r="E748" s="7"/>
      <c r="F748" s="7"/>
      <c r="G748" s="1"/>
      <c r="H748" s="1"/>
      <c r="I748" s="1"/>
      <c r="J748" s="1"/>
      <c r="K748" s="1"/>
      <c r="L748" s="7"/>
      <c r="M748" s="7"/>
      <c r="N748" s="1"/>
      <c r="O748" s="1"/>
      <c r="P748" s="1"/>
      <c r="Q748" s="1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 spans="1:43" ht="15.75" customHeight="1" x14ac:dyDescent="0.25">
      <c r="A749" s="7"/>
      <c r="B749" s="7"/>
      <c r="C749" s="7"/>
      <c r="D749" s="7"/>
      <c r="E749" s="7"/>
      <c r="F749" s="7"/>
      <c r="G749" s="1"/>
      <c r="H749" s="1"/>
      <c r="I749" s="1"/>
      <c r="J749" s="1"/>
      <c r="K749" s="1"/>
      <c r="L749" s="7"/>
      <c r="M749" s="7"/>
      <c r="N749" s="1"/>
      <c r="O749" s="1"/>
      <c r="P749" s="1"/>
      <c r="Q749" s="1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 spans="1:43" ht="15.75" customHeight="1" x14ac:dyDescent="0.25">
      <c r="A750" s="7"/>
      <c r="B750" s="7"/>
      <c r="C750" s="7"/>
      <c r="D750" s="7"/>
      <c r="E750" s="7"/>
      <c r="F750" s="7"/>
      <c r="G750" s="1"/>
      <c r="H750" s="1"/>
      <c r="I750" s="1"/>
      <c r="J750" s="1"/>
      <c r="K750" s="1"/>
      <c r="L750" s="7"/>
      <c r="M750" s="7"/>
      <c r="N750" s="1"/>
      <c r="O750" s="1"/>
      <c r="P750" s="1"/>
      <c r="Q750" s="1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 spans="1:43" ht="15.75" customHeight="1" x14ac:dyDescent="0.25">
      <c r="A751" s="7"/>
      <c r="B751" s="7"/>
      <c r="C751" s="7"/>
      <c r="D751" s="7"/>
      <c r="E751" s="7"/>
      <c r="F751" s="7"/>
      <c r="G751" s="1"/>
      <c r="H751" s="1"/>
      <c r="I751" s="1"/>
      <c r="J751" s="1"/>
      <c r="K751" s="1"/>
      <c r="L751" s="7"/>
      <c r="M751" s="7"/>
      <c r="N751" s="1"/>
      <c r="O751" s="1"/>
      <c r="P751" s="1"/>
      <c r="Q751" s="1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 spans="1:43" ht="15.75" customHeight="1" x14ac:dyDescent="0.25">
      <c r="A752" s="7"/>
      <c r="B752" s="7"/>
      <c r="C752" s="7"/>
      <c r="D752" s="7"/>
      <c r="E752" s="7"/>
      <c r="F752" s="7"/>
      <c r="G752" s="1"/>
      <c r="H752" s="1"/>
      <c r="I752" s="1"/>
      <c r="J752" s="1"/>
      <c r="K752" s="1"/>
      <c r="L752" s="7"/>
      <c r="M752" s="7"/>
      <c r="N752" s="1"/>
      <c r="O752" s="1"/>
      <c r="P752" s="1"/>
      <c r="Q752" s="1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spans="1:43" ht="15.75" customHeight="1" x14ac:dyDescent="0.25">
      <c r="A753" s="7"/>
      <c r="B753" s="7"/>
      <c r="C753" s="7"/>
      <c r="D753" s="7"/>
      <c r="E753" s="7"/>
      <c r="F753" s="7"/>
      <c r="G753" s="1"/>
      <c r="H753" s="1"/>
      <c r="I753" s="1"/>
      <c r="J753" s="1"/>
      <c r="K753" s="1"/>
      <c r="L753" s="7"/>
      <c r="M753" s="7"/>
      <c r="N753" s="1"/>
      <c r="O753" s="1"/>
      <c r="P753" s="1"/>
      <c r="Q753" s="1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 spans="1:43" ht="15.75" customHeight="1" x14ac:dyDescent="0.25">
      <c r="A754" s="7"/>
      <c r="B754" s="7"/>
      <c r="C754" s="7"/>
      <c r="D754" s="7"/>
      <c r="E754" s="7"/>
      <c r="F754" s="7"/>
      <c r="G754" s="1"/>
      <c r="H754" s="1"/>
      <c r="I754" s="1"/>
      <c r="J754" s="1"/>
      <c r="K754" s="1"/>
      <c r="L754" s="7"/>
      <c r="M754" s="7"/>
      <c r="N754" s="1"/>
      <c r="O754" s="1"/>
      <c r="P754" s="1"/>
      <c r="Q754" s="1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 spans="1:43" ht="15.75" customHeight="1" x14ac:dyDescent="0.25">
      <c r="A755" s="7"/>
      <c r="B755" s="7"/>
      <c r="C755" s="7"/>
      <c r="D755" s="7"/>
      <c r="E755" s="7"/>
      <c r="F755" s="7"/>
      <c r="G755" s="1"/>
      <c r="H755" s="1"/>
      <c r="I755" s="1"/>
      <c r="J755" s="1"/>
      <c r="K755" s="1"/>
      <c r="L755" s="7"/>
      <c r="M755" s="7"/>
      <c r="N755" s="1"/>
      <c r="O755" s="1"/>
      <c r="P755" s="1"/>
      <c r="Q755" s="1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 spans="1:43" ht="15.75" customHeight="1" x14ac:dyDescent="0.25">
      <c r="A756" s="7"/>
      <c r="B756" s="7"/>
      <c r="C756" s="7"/>
      <c r="D756" s="7"/>
      <c r="E756" s="7"/>
      <c r="F756" s="7"/>
      <c r="G756" s="1"/>
      <c r="H756" s="1"/>
      <c r="I756" s="1"/>
      <c r="J756" s="1"/>
      <c r="K756" s="1"/>
      <c r="L756" s="7"/>
      <c r="M756" s="7"/>
      <c r="N756" s="1"/>
      <c r="O756" s="1"/>
      <c r="P756" s="1"/>
      <c r="Q756" s="1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 spans="1:43" ht="15.75" customHeight="1" x14ac:dyDescent="0.25">
      <c r="A757" s="7"/>
      <c r="B757" s="7"/>
      <c r="C757" s="7"/>
      <c r="D757" s="7"/>
      <c r="E757" s="7"/>
      <c r="F757" s="7"/>
      <c r="G757" s="1"/>
      <c r="H757" s="1"/>
      <c r="I757" s="1"/>
      <c r="J757" s="1"/>
      <c r="K757" s="1"/>
      <c r="L757" s="7"/>
      <c r="M757" s="7"/>
      <c r="N757" s="1"/>
      <c r="O757" s="1"/>
      <c r="P757" s="1"/>
      <c r="Q757" s="1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 spans="1:43" ht="15.75" customHeight="1" x14ac:dyDescent="0.25">
      <c r="A758" s="7"/>
      <c r="B758" s="7"/>
      <c r="C758" s="7"/>
      <c r="D758" s="7"/>
      <c r="E758" s="7"/>
      <c r="F758" s="7"/>
      <c r="G758" s="1"/>
      <c r="H758" s="1"/>
      <c r="I758" s="1"/>
      <c r="J758" s="1"/>
      <c r="K758" s="1"/>
      <c r="L758" s="7"/>
      <c r="M758" s="7"/>
      <c r="N758" s="1"/>
      <c r="O758" s="1"/>
      <c r="P758" s="1"/>
      <c r="Q758" s="1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 spans="1:43" ht="15.75" customHeight="1" x14ac:dyDescent="0.25">
      <c r="A759" s="7"/>
      <c r="B759" s="7"/>
      <c r="C759" s="7"/>
      <c r="D759" s="7"/>
      <c r="E759" s="7"/>
      <c r="F759" s="7"/>
      <c r="G759" s="1"/>
      <c r="H759" s="1"/>
      <c r="I759" s="1"/>
      <c r="J759" s="1"/>
      <c r="K759" s="1"/>
      <c r="L759" s="7"/>
      <c r="M759" s="7"/>
      <c r="N759" s="1"/>
      <c r="O759" s="1"/>
      <c r="P759" s="1"/>
      <c r="Q759" s="1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 spans="1:43" ht="15.75" customHeight="1" x14ac:dyDescent="0.25">
      <c r="A760" s="7"/>
      <c r="B760" s="7"/>
      <c r="C760" s="7"/>
      <c r="D760" s="7"/>
      <c r="E760" s="7"/>
      <c r="F760" s="7"/>
      <c r="G760" s="1"/>
      <c r="H760" s="1"/>
      <c r="I760" s="1"/>
      <c r="J760" s="1"/>
      <c r="K760" s="1"/>
      <c r="L760" s="7"/>
      <c r="M760" s="7"/>
      <c r="N760" s="1"/>
      <c r="O760" s="1"/>
      <c r="P760" s="1"/>
      <c r="Q760" s="1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 spans="1:43" ht="15.75" customHeight="1" x14ac:dyDescent="0.25">
      <c r="A761" s="7"/>
      <c r="B761" s="7"/>
      <c r="C761" s="7"/>
      <c r="D761" s="7"/>
      <c r="E761" s="7"/>
      <c r="F761" s="7"/>
      <c r="G761" s="1"/>
      <c r="H761" s="1"/>
      <c r="I761" s="1"/>
      <c r="J761" s="1"/>
      <c r="K761" s="1"/>
      <c r="L761" s="7"/>
      <c r="M761" s="7"/>
      <c r="N761" s="1"/>
      <c r="O761" s="1"/>
      <c r="P761" s="1"/>
      <c r="Q761" s="1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 spans="1:43" ht="15.75" customHeight="1" x14ac:dyDescent="0.25">
      <c r="A762" s="7"/>
      <c r="B762" s="7"/>
      <c r="C762" s="7"/>
      <c r="D762" s="7"/>
      <c r="E762" s="7"/>
      <c r="F762" s="7"/>
      <c r="G762" s="1"/>
      <c r="H762" s="1"/>
      <c r="I762" s="1"/>
      <c r="J762" s="1"/>
      <c r="K762" s="1"/>
      <c r="L762" s="7"/>
      <c r="M762" s="7"/>
      <c r="N762" s="1"/>
      <c r="O762" s="1"/>
      <c r="P762" s="1"/>
      <c r="Q762" s="1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 spans="1:43" ht="15.75" customHeight="1" x14ac:dyDescent="0.25">
      <c r="A763" s="7"/>
      <c r="B763" s="7"/>
      <c r="C763" s="7"/>
      <c r="D763" s="7"/>
      <c r="E763" s="7"/>
      <c r="F763" s="7"/>
      <c r="G763" s="1"/>
      <c r="H763" s="1"/>
      <c r="I763" s="1"/>
      <c r="J763" s="1"/>
      <c r="K763" s="1"/>
      <c r="L763" s="7"/>
      <c r="M763" s="7"/>
      <c r="N763" s="1"/>
      <c r="O763" s="1"/>
      <c r="P763" s="1"/>
      <c r="Q763" s="1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 spans="1:43" ht="15.75" customHeight="1" x14ac:dyDescent="0.25">
      <c r="A764" s="7"/>
      <c r="B764" s="7"/>
      <c r="C764" s="7"/>
      <c r="D764" s="7"/>
      <c r="E764" s="7"/>
      <c r="F764" s="7"/>
      <c r="G764" s="1"/>
      <c r="H764" s="1"/>
      <c r="I764" s="1"/>
      <c r="J764" s="1"/>
      <c r="K764" s="1"/>
      <c r="L764" s="7"/>
      <c r="M764" s="7"/>
      <c r="N764" s="1"/>
      <c r="O764" s="1"/>
      <c r="P764" s="1"/>
      <c r="Q764" s="1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 spans="1:43" ht="15.75" customHeight="1" x14ac:dyDescent="0.25">
      <c r="A765" s="7"/>
      <c r="B765" s="7"/>
      <c r="C765" s="7"/>
      <c r="D765" s="7"/>
      <c r="E765" s="7"/>
      <c r="F765" s="7"/>
      <c r="G765" s="1"/>
      <c r="H765" s="1"/>
      <c r="I765" s="1"/>
      <c r="J765" s="1"/>
      <c r="K765" s="1"/>
      <c r="L765" s="7"/>
      <c r="M765" s="7"/>
      <c r="N765" s="1"/>
      <c r="O765" s="1"/>
      <c r="P765" s="1"/>
      <c r="Q765" s="1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 spans="1:43" ht="15.75" customHeight="1" x14ac:dyDescent="0.25">
      <c r="A766" s="7"/>
      <c r="B766" s="7"/>
      <c r="C766" s="7"/>
      <c r="D766" s="7"/>
      <c r="E766" s="7"/>
      <c r="F766" s="7"/>
      <c r="G766" s="1"/>
      <c r="H766" s="1"/>
      <c r="I766" s="1"/>
      <c r="J766" s="1"/>
      <c r="K766" s="1"/>
      <c r="L766" s="7"/>
      <c r="M766" s="7"/>
      <c r="N766" s="1"/>
      <c r="O766" s="1"/>
      <c r="P766" s="1"/>
      <c r="Q766" s="1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 spans="1:43" ht="15.75" customHeight="1" x14ac:dyDescent="0.25">
      <c r="A767" s="7"/>
      <c r="B767" s="7"/>
      <c r="C767" s="7"/>
      <c r="D767" s="7"/>
      <c r="E767" s="7"/>
      <c r="F767" s="7"/>
      <c r="G767" s="1"/>
      <c r="H767" s="1"/>
      <c r="I767" s="1"/>
      <c r="J767" s="1"/>
      <c r="K767" s="1"/>
      <c r="L767" s="7"/>
      <c r="M767" s="7"/>
      <c r="N767" s="1"/>
      <c r="O767" s="1"/>
      <c r="P767" s="1"/>
      <c r="Q767" s="1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 spans="1:43" ht="15.75" customHeight="1" x14ac:dyDescent="0.25">
      <c r="A768" s="7"/>
      <c r="B768" s="7"/>
      <c r="C768" s="7"/>
      <c r="D768" s="7"/>
      <c r="E768" s="7"/>
      <c r="F768" s="7"/>
      <c r="G768" s="1"/>
      <c r="H768" s="1"/>
      <c r="I768" s="1"/>
      <c r="J768" s="1"/>
      <c r="K768" s="1"/>
      <c r="L768" s="7"/>
      <c r="M768" s="7"/>
      <c r="N768" s="1"/>
      <c r="O768" s="1"/>
      <c r="P768" s="1"/>
      <c r="Q768" s="1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 spans="1:43" ht="15.75" customHeight="1" x14ac:dyDescent="0.25">
      <c r="A769" s="7"/>
      <c r="B769" s="7"/>
      <c r="C769" s="7"/>
      <c r="D769" s="7"/>
      <c r="E769" s="7"/>
      <c r="F769" s="7"/>
      <c r="G769" s="1"/>
      <c r="H769" s="1"/>
      <c r="I769" s="1"/>
      <c r="J769" s="1"/>
      <c r="K769" s="1"/>
      <c r="L769" s="7"/>
      <c r="M769" s="7"/>
      <c r="N769" s="1"/>
      <c r="O769" s="1"/>
      <c r="P769" s="1"/>
      <c r="Q769" s="1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 spans="1:43" ht="15.75" customHeight="1" x14ac:dyDescent="0.25">
      <c r="A770" s="7"/>
      <c r="B770" s="7"/>
      <c r="C770" s="7"/>
      <c r="D770" s="7"/>
      <c r="E770" s="7"/>
      <c r="F770" s="7"/>
      <c r="G770" s="1"/>
      <c r="H770" s="1"/>
      <c r="I770" s="1"/>
      <c r="J770" s="1"/>
      <c r="K770" s="1"/>
      <c r="L770" s="7"/>
      <c r="M770" s="7"/>
      <c r="N770" s="1"/>
      <c r="O770" s="1"/>
      <c r="P770" s="1"/>
      <c r="Q770" s="1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 spans="1:43" ht="15.75" customHeight="1" x14ac:dyDescent="0.25">
      <c r="A771" s="7"/>
      <c r="B771" s="7"/>
      <c r="C771" s="7"/>
      <c r="D771" s="7"/>
      <c r="E771" s="7"/>
      <c r="F771" s="7"/>
      <c r="G771" s="1"/>
      <c r="H771" s="1"/>
      <c r="I771" s="1"/>
      <c r="J771" s="1"/>
      <c r="K771" s="1"/>
      <c r="L771" s="7"/>
      <c r="M771" s="7"/>
      <c r="N771" s="1"/>
      <c r="O771" s="1"/>
      <c r="P771" s="1"/>
      <c r="Q771" s="1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 spans="1:43" ht="15.75" customHeight="1" x14ac:dyDescent="0.25">
      <c r="A772" s="7"/>
      <c r="B772" s="7"/>
      <c r="C772" s="7"/>
      <c r="D772" s="7"/>
      <c r="E772" s="7"/>
      <c r="F772" s="7"/>
      <c r="G772" s="1"/>
      <c r="H772" s="1"/>
      <c r="I772" s="1"/>
      <c r="J772" s="1"/>
      <c r="K772" s="1"/>
      <c r="L772" s="7"/>
      <c r="M772" s="7"/>
      <c r="N772" s="1"/>
      <c r="O772" s="1"/>
      <c r="P772" s="1"/>
      <c r="Q772" s="1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 spans="1:43" ht="15.75" customHeight="1" x14ac:dyDescent="0.25">
      <c r="A773" s="7"/>
      <c r="B773" s="7"/>
      <c r="C773" s="7"/>
      <c r="D773" s="7"/>
      <c r="E773" s="7"/>
      <c r="F773" s="7"/>
      <c r="G773" s="1"/>
      <c r="H773" s="1"/>
      <c r="I773" s="1"/>
      <c r="J773" s="1"/>
      <c r="K773" s="1"/>
      <c r="L773" s="7"/>
      <c r="M773" s="7"/>
      <c r="N773" s="1"/>
      <c r="O773" s="1"/>
      <c r="P773" s="1"/>
      <c r="Q773" s="1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 spans="1:43" ht="15.75" customHeight="1" x14ac:dyDescent="0.25">
      <c r="A774" s="7"/>
      <c r="B774" s="7"/>
      <c r="C774" s="7"/>
      <c r="D774" s="7"/>
      <c r="E774" s="7"/>
      <c r="F774" s="7"/>
      <c r="G774" s="1"/>
      <c r="H774" s="1"/>
      <c r="I774" s="1"/>
      <c r="J774" s="1"/>
      <c r="K774" s="1"/>
      <c r="L774" s="7"/>
      <c r="M774" s="7"/>
      <c r="N774" s="1"/>
      <c r="O774" s="1"/>
      <c r="P774" s="1"/>
      <c r="Q774" s="1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 spans="1:43" ht="15.75" customHeight="1" x14ac:dyDescent="0.25">
      <c r="A775" s="7"/>
      <c r="B775" s="7"/>
      <c r="C775" s="7"/>
      <c r="D775" s="7"/>
      <c r="E775" s="7"/>
      <c r="F775" s="7"/>
      <c r="G775" s="1"/>
      <c r="H775" s="1"/>
      <c r="I775" s="1"/>
      <c r="J775" s="1"/>
      <c r="K775" s="1"/>
      <c r="L775" s="7"/>
      <c r="M775" s="7"/>
      <c r="N775" s="1"/>
      <c r="O775" s="1"/>
      <c r="P775" s="1"/>
      <c r="Q775" s="1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 spans="1:43" ht="15.75" customHeight="1" x14ac:dyDescent="0.25">
      <c r="A776" s="7"/>
      <c r="B776" s="7"/>
      <c r="C776" s="7"/>
      <c r="D776" s="7"/>
      <c r="E776" s="7"/>
      <c r="F776" s="7"/>
      <c r="G776" s="1"/>
      <c r="H776" s="1"/>
      <c r="I776" s="1"/>
      <c r="J776" s="1"/>
      <c r="K776" s="1"/>
      <c r="L776" s="7"/>
      <c r="M776" s="7"/>
      <c r="N776" s="1"/>
      <c r="O776" s="1"/>
      <c r="P776" s="1"/>
      <c r="Q776" s="1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 spans="1:43" ht="15.75" customHeight="1" x14ac:dyDescent="0.25">
      <c r="A777" s="7"/>
      <c r="B777" s="7"/>
      <c r="C777" s="7"/>
      <c r="D777" s="7"/>
      <c r="E777" s="7"/>
      <c r="F777" s="7"/>
      <c r="G777" s="1"/>
      <c r="H777" s="1"/>
      <c r="I777" s="1"/>
      <c r="J777" s="1"/>
      <c r="K777" s="1"/>
      <c r="L777" s="7"/>
      <c r="M777" s="7"/>
      <c r="N777" s="1"/>
      <c r="O777" s="1"/>
      <c r="P777" s="1"/>
      <c r="Q777" s="1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 spans="1:43" ht="15.75" customHeight="1" x14ac:dyDescent="0.25">
      <c r="A778" s="7"/>
      <c r="B778" s="7"/>
      <c r="C778" s="7"/>
      <c r="D778" s="7"/>
      <c r="E778" s="7"/>
      <c r="F778" s="7"/>
      <c r="G778" s="1"/>
      <c r="H778" s="1"/>
      <c r="I778" s="1"/>
      <c r="J778" s="1"/>
      <c r="K778" s="1"/>
      <c r="L778" s="7"/>
      <c r="M778" s="7"/>
      <c r="N778" s="1"/>
      <c r="O778" s="1"/>
      <c r="P778" s="1"/>
      <c r="Q778" s="1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 spans="1:43" ht="15.75" customHeight="1" x14ac:dyDescent="0.25">
      <c r="A779" s="7"/>
      <c r="B779" s="7"/>
      <c r="C779" s="7"/>
      <c r="D779" s="7"/>
      <c r="E779" s="7"/>
      <c r="F779" s="7"/>
      <c r="G779" s="1"/>
      <c r="H779" s="1"/>
      <c r="I779" s="1"/>
      <c r="J779" s="1"/>
      <c r="K779" s="1"/>
      <c r="L779" s="7"/>
      <c r="M779" s="7"/>
      <c r="N779" s="1"/>
      <c r="O779" s="1"/>
      <c r="P779" s="1"/>
      <c r="Q779" s="1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 spans="1:43" ht="15.75" customHeight="1" x14ac:dyDescent="0.25">
      <c r="A780" s="7"/>
      <c r="B780" s="7"/>
      <c r="C780" s="7"/>
      <c r="D780" s="7"/>
      <c r="E780" s="7"/>
      <c r="F780" s="7"/>
      <c r="G780" s="1"/>
      <c r="H780" s="1"/>
      <c r="I780" s="1"/>
      <c r="J780" s="1"/>
      <c r="K780" s="1"/>
      <c r="L780" s="7"/>
      <c r="M780" s="7"/>
      <c r="N780" s="1"/>
      <c r="O780" s="1"/>
      <c r="P780" s="1"/>
      <c r="Q780" s="1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 spans="1:43" ht="15.75" customHeight="1" x14ac:dyDescent="0.25">
      <c r="A781" s="7"/>
      <c r="B781" s="7"/>
      <c r="C781" s="7"/>
      <c r="D781" s="7"/>
      <c r="E781" s="7"/>
      <c r="F781" s="7"/>
      <c r="G781" s="1"/>
      <c r="H781" s="1"/>
      <c r="I781" s="1"/>
      <c r="J781" s="1"/>
      <c r="K781" s="1"/>
      <c r="L781" s="7"/>
      <c r="M781" s="7"/>
      <c r="N781" s="1"/>
      <c r="O781" s="1"/>
      <c r="P781" s="1"/>
      <c r="Q781" s="1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 spans="1:43" ht="15.75" customHeight="1" x14ac:dyDescent="0.25">
      <c r="A782" s="7"/>
      <c r="B782" s="7"/>
      <c r="C782" s="7"/>
      <c r="D782" s="7"/>
      <c r="E782" s="7"/>
      <c r="F782" s="7"/>
      <c r="G782" s="1"/>
      <c r="H782" s="1"/>
      <c r="I782" s="1"/>
      <c r="J782" s="1"/>
      <c r="K782" s="1"/>
      <c r="L782" s="7"/>
      <c r="M782" s="7"/>
      <c r="N782" s="1"/>
      <c r="O782" s="1"/>
      <c r="P782" s="1"/>
      <c r="Q782" s="1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 spans="1:43" ht="15.75" customHeight="1" x14ac:dyDescent="0.25">
      <c r="A783" s="7"/>
      <c r="B783" s="7"/>
      <c r="C783" s="7"/>
      <c r="D783" s="7"/>
      <c r="E783" s="7"/>
      <c r="F783" s="7"/>
      <c r="G783" s="1"/>
      <c r="H783" s="1"/>
      <c r="I783" s="1"/>
      <c r="J783" s="1"/>
      <c r="K783" s="1"/>
      <c r="L783" s="7"/>
      <c r="M783" s="7"/>
      <c r="N783" s="1"/>
      <c r="O783" s="1"/>
      <c r="P783" s="1"/>
      <c r="Q783" s="1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 spans="1:43" ht="15.75" customHeight="1" x14ac:dyDescent="0.25">
      <c r="A784" s="7"/>
      <c r="B784" s="7"/>
      <c r="C784" s="7"/>
      <c r="D784" s="7"/>
      <c r="E784" s="7"/>
      <c r="F784" s="7"/>
      <c r="G784" s="1"/>
      <c r="H784" s="1"/>
      <c r="I784" s="1"/>
      <c r="J784" s="1"/>
      <c r="K784" s="1"/>
      <c r="L784" s="7"/>
      <c r="M784" s="7"/>
      <c r="N784" s="1"/>
      <c r="O784" s="1"/>
      <c r="P784" s="1"/>
      <c r="Q784" s="1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 spans="1:43" ht="15.75" customHeight="1" x14ac:dyDescent="0.25">
      <c r="A785" s="7"/>
      <c r="B785" s="7"/>
      <c r="C785" s="7"/>
      <c r="D785" s="7"/>
      <c r="E785" s="7"/>
      <c r="F785" s="7"/>
      <c r="G785" s="1"/>
      <c r="H785" s="1"/>
      <c r="I785" s="1"/>
      <c r="J785" s="1"/>
      <c r="K785" s="1"/>
      <c r="L785" s="7"/>
      <c r="M785" s="7"/>
      <c r="N785" s="1"/>
      <c r="O785" s="1"/>
      <c r="P785" s="1"/>
      <c r="Q785" s="1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 spans="1:43" ht="15.75" customHeight="1" x14ac:dyDescent="0.25">
      <c r="A786" s="7"/>
      <c r="B786" s="7"/>
      <c r="C786" s="7"/>
      <c r="D786" s="7"/>
      <c r="E786" s="7"/>
      <c r="F786" s="7"/>
      <c r="G786" s="1"/>
      <c r="H786" s="1"/>
      <c r="I786" s="1"/>
      <c r="J786" s="1"/>
      <c r="K786" s="1"/>
      <c r="L786" s="7"/>
      <c r="M786" s="7"/>
      <c r="N786" s="1"/>
      <c r="O786" s="1"/>
      <c r="P786" s="1"/>
      <c r="Q786" s="1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 spans="1:43" ht="15.75" customHeight="1" x14ac:dyDescent="0.25">
      <c r="A787" s="7"/>
      <c r="B787" s="7"/>
      <c r="C787" s="7"/>
      <c r="D787" s="7"/>
      <c r="E787" s="7"/>
      <c r="F787" s="7"/>
      <c r="G787" s="1"/>
      <c r="H787" s="1"/>
      <c r="I787" s="1"/>
      <c r="J787" s="1"/>
      <c r="K787" s="1"/>
      <c r="L787" s="7"/>
      <c r="M787" s="7"/>
      <c r="N787" s="1"/>
      <c r="O787" s="1"/>
      <c r="P787" s="1"/>
      <c r="Q787" s="1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 spans="1:43" ht="15.75" customHeight="1" x14ac:dyDescent="0.25">
      <c r="A788" s="7"/>
      <c r="B788" s="7"/>
      <c r="C788" s="7"/>
      <c r="D788" s="7"/>
      <c r="E788" s="7"/>
      <c r="F788" s="7"/>
      <c r="G788" s="1"/>
      <c r="H788" s="1"/>
      <c r="I788" s="1"/>
      <c r="J788" s="1"/>
      <c r="K788" s="1"/>
      <c r="L788" s="7"/>
      <c r="M788" s="7"/>
      <c r="N788" s="1"/>
      <c r="O788" s="1"/>
      <c r="P788" s="1"/>
      <c r="Q788" s="1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 spans="1:43" ht="15.75" customHeight="1" x14ac:dyDescent="0.25">
      <c r="A789" s="7"/>
      <c r="B789" s="7"/>
      <c r="C789" s="7"/>
      <c r="D789" s="7"/>
      <c r="E789" s="7"/>
      <c r="F789" s="7"/>
      <c r="G789" s="1"/>
      <c r="H789" s="1"/>
      <c r="I789" s="1"/>
      <c r="J789" s="1"/>
      <c r="K789" s="1"/>
      <c r="L789" s="7"/>
      <c r="M789" s="7"/>
      <c r="N789" s="1"/>
      <c r="O789" s="1"/>
      <c r="P789" s="1"/>
      <c r="Q789" s="1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 spans="1:43" ht="15.75" customHeight="1" x14ac:dyDescent="0.25">
      <c r="A790" s="7"/>
      <c r="B790" s="7"/>
      <c r="C790" s="7"/>
      <c r="D790" s="7"/>
      <c r="E790" s="7"/>
      <c r="F790" s="7"/>
      <c r="G790" s="1"/>
      <c r="H790" s="1"/>
      <c r="I790" s="1"/>
      <c r="J790" s="1"/>
      <c r="K790" s="1"/>
      <c r="L790" s="7"/>
      <c r="M790" s="7"/>
      <c r="N790" s="1"/>
      <c r="O790" s="1"/>
      <c r="P790" s="1"/>
      <c r="Q790" s="1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 spans="1:43" ht="15.75" customHeight="1" x14ac:dyDescent="0.25">
      <c r="A791" s="7"/>
      <c r="B791" s="7"/>
      <c r="C791" s="7"/>
      <c r="D791" s="7"/>
      <c r="E791" s="7"/>
      <c r="F791" s="7"/>
      <c r="G791" s="1"/>
      <c r="H791" s="1"/>
      <c r="I791" s="1"/>
      <c r="J791" s="1"/>
      <c r="K791" s="1"/>
      <c r="L791" s="7"/>
      <c r="M791" s="7"/>
      <c r="N791" s="1"/>
      <c r="O791" s="1"/>
      <c r="P791" s="1"/>
      <c r="Q791" s="1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 spans="1:43" ht="15.75" customHeight="1" x14ac:dyDescent="0.25">
      <c r="A792" s="7"/>
      <c r="B792" s="7"/>
      <c r="C792" s="7"/>
      <c r="D792" s="7"/>
      <c r="E792" s="7"/>
      <c r="F792" s="7"/>
      <c r="G792" s="1"/>
      <c r="H792" s="1"/>
      <c r="I792" s="1"/>
      <c r="J792" s="1"/>
      <c r="K792" s="1"/>
      <c r="L792" s="7"/>
      <c r="M792" s="7"/>
      <c r="N792" s="1"/>
      <c r="O792" s="1"/>
      <c r="P792" s="1"/>
      <c r="Q792" s="1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 spans="1:43" ht="15.75" customHeight="1" x14ac:dyDescent="0.25">
      <c r="A793" s="7"/>
      <c r="B793" s="7"/>
      <c r="C793" s="7"/>
      <c r="D793" s="7"/>
      <c r="E793" s="7"/>
      <c r="F793" s="7"/>
      <c r="G793" s="1"/>
      <c r="H793" s="1"/>
      <c r="I793" s="1"/>
      <c r="J793" s="1"/>
      <c r="K793" s="1"/>
      <c r="L793" s="7"/>
      <c r="M793" s="7"/>
      <c r="N793" s="1"/>
      <c r="O793" s="1"/>
      <c r="P793" s="1"/>
      <c r="Q793" s="1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 spans="1:43" ht="15.75" customHeight="1" x14ac:dyDescent="0.25">
      <c r="A794" s="7"/>
      <c r="B794" s="7"/>
      <c r="C794" s="7"/>
      <c r="D794" s="7"/>
      <c r="E794" s="7"/>
      <c r="F794" s="7"/>
      <c r="G794" s="1"/>
      <c r="H794" s="1"/>
      <c r="I794" s="1"/>
      <c r="J794" s="1"/>
      <c r="K794" s="1"/>
      <c r="L794" s="7"/>
      <c r="M794" s="7"/>
      <c r="N794" s="1"/>
      <c r="O794" s="1"/>
      <c r="P794" s="1"/>
      <c r="Q794" s="1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 spans="1:43" ht="15.75" customHeight="1" x14ac:dyDescent="0.25">
      <c r="A795" s="7"/>
      <c r="B795" s="7"/>
      <c r="C795" s="7"/>
      <c r="D795" s="7"/>
      <c r="E795" s="7"/>
      <c r="F795" s="7"/>
      <c r="G795" s="1"/>
      <c r="H795" s="1"/>
      <c r="I795" s="1"/>
      <c r="J795" s="1"/>
      <c r="K795" s="1"/>
      <c r="L795" s="7"/>
      <c r="M795" s="7"/>
      <c r="N795" s="1"/>
      <c r="O795" s="1"/>
      <c r="P795" s="1"/>
      <c r="Q795" s="1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 spans="1:43" ht="15.75" customHeight="1" x14ac:dyDescent="0.25">
      <c r="A796" s="7"/>
      <c r="B796" s="7"/>
      <c r="C796" s="7"/>
      <c r="D796" s="7"/>
      <c r="E796" s="7"/>
      <c r="F796" s="7"/>
      <c r="G796" s="1"/>
      <c r="H796" s="1"/>
      <c r="I796" s="1"/>
      <c r="J796" s="1"/>
      <c r="K796" s="1"/>
      <c r="L796" s="7"/>
      <c r="M796" s="7"/>
      <c r="N796" s="1"/>
      <c r="O796" s="1"/>
      <c r="P796" s="1"/>
      <c r="Q796" s="1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 spans="1:43" ht="15.75" customHeight="1" x14ac:dyDescent="0.25">
      <c r="A797" s="7"/>
      <c r="B797" s="7"/>
      <c r="C797" s="7"/>
      <c r="D797" s="7"/>
      <c r="E797" s="7"/>
      <c r="F797" s="7"/>
      <c r="G797" s="1"/>
      <c r="H797" s="1"/>
      <c r="I797" s="1"/>
      <c r="J797" s="1"/>
      <c r="K797" s="1"/>
      <c r="L797" s="7"/>
      <c r="M797" s="7"/>
      <c r="N797" s="1"/>
      <c r="O797" s="1"/>
      <c r="P797" s="1"/>
      <c r="Q797" s="1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 spans="1:43" ht="15.75" customHeight="1" x14ac:dyDescent="0.25">
      <c r="A798" s="7"/>
      <c r="B798" s="7"/>
      <c r="C798" s="7"/>
      <c r="D798" s="7"/>
      <c r="E798" s="7"/>
      <c r="F798" s="7"/>
      <c r="G798" s="1"/>
      <c r="H798" s="1"/>
      <c r="I798" s="1"/>
      <c r="J798" s="1"/>
      <c r="K798" s="1"/>
      <c r="L798" s="7"/>
      <c r="M798" s="7"/>
      <c r="N798" s="1"/>
      <c r="O798" s="1"/>
      <c r="P798" s="1"/>
      <c r="Q798" s="1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 spans="1:43" ht="15.75" customHeight="1" x14ac:dyDescent="0.25">
      <c r="A799" s="7"/>
      <c r="B799" s="7"/>
      <c r="C799" s="7"/>
      <c r="D799" s="7"/>
      <c r="E799" s="7"/>
      <c r="F799" s="7"/>
      <c r="G799" s="1"/>
      <c r="H799" s="1"/>
      <c r="I799" s="1"/>
      <c r="J799" s="1"/>
      <c r="K799" s="1"/>
      <c r="L799" s="7"/>
      <c r="M799" s="7"/>
      <c r="N799" s="1"/>
      <c r="O799" s="1"/>
      <c r="P799" s="1"/>
      <c r="Q799" s="1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 spans="1:43" ht="15.75" customHeight="1" x14ac:dyDescent="0.25">
      <c r="A800" s="7"/>
      <c r="B800" s="7"/>
      <c r="C800" s="7"/>
      <c r="D800" s="7"/>
      <c r="E800" s="7"/>
      <c r="F800" s="7"/>
      <c r="G800" s="1"/>
      <c r="H800" s="1"/>
      <c r="I800" s="1"/>
      <c r="J800" s="1"/>
      <c r="K800" s="1"/>
      <c r="L800" s="7"/>
      <c r="M800" s="7"/>
      <c r="N800" s="1"/>
      <c r="O800" s="1"/>
      <c r="P800" s="1"/>
      <c r="Q800" s="1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 spans="1:43" ht="15.75" customHeight="1" x14ac:dyDescent="0.25">
      <c r="A801" s="7"/>
      <c r="B801" s="7"/>
      <c r="C801" s="7"/>
      <c r="D801" s="7"/>
      <c r="E801" s="7"/>
      <c r="F801" s="7"/>
      <c r="G801" s="1"/>
      <c r="H801" s="1"/>
      <c r="I801" s="1"/>
      <c r="J801" s="1"/>
      <c r="K801" s="1"/>
      <c r="L801" s="7"/>
      <c r="M801" s="7"/>
      <c r="N801" s="1"/>
      <c r="O801" s="1"/>
      <c r="P801" s="1"/>
      <c r="Q801" s="1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 spans="1:43" ht="15.75" customHeight="1" x14ac:dyDescent="0.25">
      <c r="A802" s="7"/>
      <c r="B802" s="7"/>
      <c r="C802" s="7"/>
      <c r="D802" s="7"/>
      <c r="E802" s="7"/>
      <c r="F802" s="7"/>
      <c r="G802" s="1"/>
      <c r="H802" s="1"/>
      <c r="I802" s="1"/>
      <c r="J802" s="1"/>
      <c r="K802" s="1"/>
      <c r="L802" s="7"/>
      <c r="M802" s="7"/>
      <c r="N802" s="1"/>
      <c r="O802" s="1"/>
      <c r="P802" s="1"/>
      <c r="Q802" s="1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 spans="1:43" ht="15.75" customHeight="1" x14ac:dyDescent="0.25">
      <c r="A803" s="7"/>
      <c r="B803" s="7"/>
      <c r="C803" s="7"/>
      <c r="D803" s="7"/>
      <c r="E803" s="7"/>
      <c r="F803" s="7"/>
      <c r="G803" s="1"/>
      <c r="H803" s="1"/>
      <c r="I803" s="1"/>
      <c r="J803" s="1"/>
      <c r="K803" s="1"/>
      <c r="L803" s="7"/>
      <c r="M803" s="7"/>
      <c r="N803" s="1"/>
      <c r="O803" s="1"/>
      <c r="P803" s="1"/>
      <c r="Q803" s="1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 spans="1:43" ht="15.75" customHeight="1" x14ac:dyDescent="0.25">
      <c r="A804" s="7"/>
      <c r="B804" s="7"/>
      <c r="C804" s="7"/>
      <c r="D804" s="7"/>
      <c r="E804" s="7"/>
      <c r="F804" s="7"/>
      <c r="G804" s="1"/>
      <c r="H804" s="1"/>
      <c r="I804" s="1"/>
      <c r="J804" s="1"/>
      <c r="K804" s="1"/>
      <c r="L804" s="7"/>
      <c r="M804" s="7"/>
      <c r="N804" s="1"/>
      <c r="O804" s="1"/>
      <c r="P804" s="1"/>
      <c r="Q804" s="1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 spans="1:43" ht="15.75" customHeight="1" x14ac:dyDescent="0.25">
      <c r="A805" s="7"/>
      <c r="B805" s="7"/>
      <c r="C805" s="7"/>
      <c r="D805" s="7"/>
      <c r="E805" s="7"/>
      <c r="F805" s="7"/>
      <c r="G805" s="1"/>
      <c r="H805" s="1"/>
      <c r="I805" s="1"/>
      <c r="J805" s="1"/>
      <c r="K805" s="1"/>
      <c r="L805" s="7"/>
      <c r="M805" s="7"/>
      <c r="N805" s="1"/>
      <c r="O805" s="1"/>
      <c r="P805" s="1"/>
      <c r="Q805" s="1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 spans="1:43" ht="15.75" customHeight="1" x14ac:dyDescent="0.25">
      <c r="A806" s="7"/>
      <c r="B806" s="7"/>
      <c r="C806" s="7"/>
      <c r="D806" s="7"/>
      <c r="E806" s="7"/>
      <c r="F806" s="7"/>
      <c r="G806" s="1"/>
      <c r="H806" s="1"/>
      <c r="I806" s="1"/>
      <c r="J806" s="1"/>
      <c r="K806" s="1"/>
      <c r="L806" s="7"/>
      <c r="M806" s="7"/>
      <c r="N806" s="1"/>
      <c r="O806" s="1"/>
      <c r="P806" s="1"/>
      <c r="Q806" s="1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 spans="1:43" ht="15.75" customHeight="1" x14ac:dyDescent="0.25">
      <c r="A807" s="7"/>
      <c r="B807" s="7"/>
      <c r="C807" s="7"/>
      <c r="D807" s="7"/>
      <c r="E807" s="7"/>
      <c r="F807" s="7"/>
      <c r="G807" s="1"/>
      <c r="H807" s="1"/>
      <c r="I807" s="1"/>
      <c r="J807" s="1"/>
      <c r="K807" s="1"/>
      <c r="L807" s="7"/>
      <c r="M807" s="7"/>
      <c r="N807" s="1"/>
      <c r="O807" s="1"/>
      <c r="P807" s="1"/>
      <c r="Q807" s="1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 spans="1:43" ht="15.75" customHeight="1" x14ac:dyDescent="0.25">
      <c r="A808" s="7"/>
      <c r="B808" s="7"/>
      <c r="C808" s="7"/>
      <c r="D808" s="7"/>
      <c r="E808" s="7"/>
      <c r="F808" s="7"/>
      <c r="G808" s="1"/>
      <c r="H808" s="1"/>
      <c r="I808" s="1"/>
      <c r="J808" s="1"/>
      <c r="K808" s="1"/>
      <c r="L808" s="7"/>
      <c r="M808" s="7"/>
      <c r="N808" s="1"/>
      <c r="O808" s="1"/>
      <c r="P808" s="1"/>
      <c r="Q808" s="1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 spans="1:43" ht="15.75" customHeight="1" x14ac:dyDescent="0.25">
      <c r="A809" s="7"/>
      <c r="B809" s="7"/>
      <c r="C809" s="7"/>
      <c r="D809" s="7"/>
      <c r="E809" s="7"/>
      <c r="F809" s="7"/>
      <c r="G809" s="1"/>
      <c r="H809" s="1"/>
      <c r="I809" s="1"/>
      <c r="J809" s="1"/>
      <c r="K809" s="1"/>
      <c r="L809" s="7"/>
      <c r="M809" s="7"/>
      <c r="N809" s="1"/>
      <c r="O809" s="1"/>
      <c r="P809" s="1"/>
      <c r="Q809" s="1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 spans="1:43" ht="15.75" customHeight="1" x14ac:dyDescent="0.25">
      <c r="A810" s="7"/>
      <c r="B810" s="7"/>
      <c r="C810" s="7"/>
      <c r="D810" s="7"/>
      <c r="E810" s="7"/>
      <c r="F810" s="7"/>
      <c r="G810" s="1"/>
      <c r="H810" s="1"/>
      <c r="I810" s="1"/>
      <c r="J810" s="1"/>
      <c r="K810" s="1"/>
      <c r="L810" s="7"/>
      <c r="M810" s="7"/>
      <c r="N810" s="1"/>
      <c r="O810" s="1"/>
      <c r="P810" s="1"/>
      <c r="Q810" s="1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 spans="1:43" ht="15.75" customHeight="1" x14ac:dyDescent="0.25">
      <c r="A811" s="7"/>
      <c r="B811" s="7"/>
      <c r="C811" s="7"/>
      <c r="D811" s="7"/>
      <c r="E811" s="7"/>
      <c r="F811" s="7"/>
      <c r="G811" s="1"/>
      <c r="H811" s="1"/>
      <c r="I811" s="1"/>
      <c r="J811" s="1"/>
      <c r="K811" s="1"/>
      <c r="L811" s="7"/>
      <c r="M811" s="7"/>
      <c r="N811" s="1"/>
      <c r="O811" s="1"/>
      <c r="P811" s="1"/>
      <c r="Q811" s="1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 spans="1:43" ht="15.75" customHeight="1" x14ac:dyDescent="0.25">
      <c r="A812" s="7"/>
      <c r="B812" s="7"/>
      <c r="C812" s="7"/>
      <c r="D812" s="7"/>
      <c r="E812" s="7"/>
      <c r="F812" s="7"/>
      <c r="G812" s="1"/>
      <c r="H812" s="1"/>
      <c r="I812" s="1"/>
      <c r="J812" s="1"/>
      <c r="K812" s="1"/>
      <c r="L812" s="7"/>
      <c r="M812" s="7"/>
      <c r="N812" s="1"/>
      <c r="O812" s="1"/>
      <c r="P812" s="1"/>
      <c r="Q812" s="1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 spans="1:43" ht="15.75" customHeight="1" x14ac:dyDescent="0.25">
      <c r="A813" s="7"/>
      <c r="B813" s="7"/>
      <c r="C813" s="7"/>
      <c r="D813" s="7"/>
      <c r="E813" s="7"/>
      <c r="F813" s="7"/>
      <c r="G813" s="1"/>
      <c r="H813" s="1"/>
      <c r="I813" s="1"/>
      <c r="J813" s="1"/>
      <c r="K813" s="1"/>
      <c r="L813" s="7"/>
      <c r="M813" s="7"/>
      <c r="N813" s="1"/>
      <c r="O813" s="1"/>
      <c r="P813" s="1"/>
      <c r="Q813" s="1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 spans="1:43" ht="15.75" customHeight="1" x14ac:dyDescent="0.25">
      <c r="A814" s="7"/>
      <c r="B814" s="7"/>
      <c r="C814" s="7"/>
      <c r="D814" s="7"/>
      <c r="E814" s="7"/>
      <c r="F814" s="7"/>
      <c r="G814" s="1"/>
      <c r="H814" s="1"/>
      <c r="I814" s="1"/>
      <c r="J814" s="1"/>
      <c r="K814" s="1"/>
      <c r="L814" s="7"/>
      <c r="M814" s="7"/>
      <c r="N814" s="1"/>
      <c r="O814" s="1"/>
      <c r="P814" s="1"/>
      <c r="Q814" s="1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 spans="1:43" ht="15.75" customHeight="1" x14ac:dyDescent="0.25">
      <c r="A815" s="7"/>
      <c r="B815" s="7"/>
      <c r="C815" s="7"/>
      <c r="D815" s="7"/>
      <c r="E815" s="7"/>
      <c r="F815" s="7"/>
      <c r="G815" s="1"/>
      <c r="H815" s="1"/>
      <c r="I815" s="1"/>
      <c r="J815" s="1"/>
      <c r="K815" s="1"/>
      <c r="L815" s="7"/>
      <c r="M815" s="7"/>
      <c r="N815" s="1"/>
      <c r="O815" s="1"/>
      <c r="P815" s="1"/>
      <c r="Q815" s="1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 spans="1:43" ht="15.75" customHeight="1" x14ac:dyDescent="0.25">
      <c r="A816" s="7"/>
      <c r="B816" s="7"/>
      <c r="C816" s="7"/>
      <c r="D816" s="7"/>
      <c r="E816" s="7"/>
      <c r="F816" s="7"/>
      <c r="G816" s="1"/>
      <c r="H816" s="1"/>
      <c r="I816" s="1"/>
      <c r="J816" s="1"/>
      <c r="K816" s="1"/>
      <c r="L816" s="7"/>
      <c r="M816" s="7"/>
      <c r="N816" s="1"/>
      <c r="O816" s="1"/>
      <c r="P816" s="1"/>
      <c r="Q816" s="1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 spans="1:43" ht="15.75" customHeight="1" x14ac:dyDescent="0.25">
      <c r="A817" s="7"/>
      <c r="B817" s="7"/>
      <c r="C817" s="7"/>
      <c r="D817" s="7"/>
      <c r="E817" s="7"/>
      <c r="F817" s="7"/>
      <c r="G817" s="1"/>
      <c r="H817" s="1"/>
      <c r="I817" s="1"/>
      <c r="J817" s="1"/>
      <c r="K817" s="1"/>
      <c r="L817" s="7"/>
      <c r="M817" s="7"/>
      <c r="N817" s="1"/>
      <c r="O817" s="1"/>
      <c r="P817" s="1"/>
      <c r="Q817" s="1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 spans="1:43" ht="15.75" customHeight="1" x14ac:dyDescent="0.25">
      <c r="A818" s="7"/>
      <c r="B818" s="7"/>
      <c r="C818" s="7"/>
      <c r="D818" s="7"/>
      <c r="E818" s="7"/>
      <c r="F818" s="7"/>
      <c r="G818" s="1"/>
      <c r="H818" s="1"/>
      <c r="I818" s="1"/>
      <c r="J818" s="1"/>
      <c r="K818" s="1"/>
      <c r="L818" s="7"/>
      <c r="M818" s="7"/>
      <c r="N818" s="1"/>
      <c r="O818" s="1"/>
      <c r="P818" s="1"/>
      <c r="Q818" s="1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 spans="1:43" ht="15.75" customHeight="1" x14ac:dyDescent="0.25">
      <c r="A819" s="7"/>
      <c r="B819" s="7"/>
      <c r="C819" s="7"/>
      <c r="D819" s="7"/>
      <c r="E819" s="7"/>
      <c r="F819" s="7"/>
      <c r="G819" s="1"/>
      <c r="H819" s="1"/>
      <c r="I819" s="1"/>
      <c r="J819" s="1"/>
      <c r="K819" s="1"/>
      <c r="L819" s="7"/>
      <c r="M819" s="7"/>
      <c r="N819" s="1"/>
      <c r="O819" s="1"/>
      <c r="P819" s="1"/>
      <c r="Q819" s="1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 spans="1:43" ht="15.75" customHeight="1" x14ac:dyDescent="0.25">
      <c r="A820" s="7"/>
      <c r="B820" s="7"/>
      <c r="C820" s="7"/>
      <c r="D820" s="7"/>
      <c r="E820" s="7"/>
      <c r="F820" s="7"/>
      <c r="G820" s="1"/>
      <c r="H820" s="1"/>
      <c r="I820" s="1"/>
      <c r="J820" s="1"/>
      <c r="K820" s="1"/>
      <c r="L820" s="7"/>
      <c r="M820" s="7"/>
      <c r="N820" s="1"/>
      <c r="O820" s="1"/>
      <c r="P820" s="1"/>
      <c r="Q820" s="1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 spans="1:43" ht="15.75" customHeight="1" x14ac:dyDescent="0.25">
      <c r="A821" s="7"/>
      <c r="B821" s="7"/>
      <c r="C821" s="7"/>
      <c r="D821" s="7"/>
      <c r="E821" s="7"/>
      <c r="F821" s="7"/>
      <c r="G821" s="1"/>
      <c r="H821" s="1"/>
      <c r="I821" s="1"/>
      <c r="J821" s="1"/>
      <c r="K821" s="1"/>
      <c r="L821" s="7"/>
      <c r="M821" s="7"/>
      <c r="N821" s="1"/>
      <c r="O821" s="1"/>
      <c r="P821" s="1"/>
      <c r="Q821" s="1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 spans="1:43" ht="15.75" customHeight="1" x14ac:dyDescent="0.25">
      <c r="A822" s="7"/>
      <c r="B822" s="7"/>
      <c r="C822" s="7"/>
      <c r="D822" s="7"/>
      <c r="E822" s="7"/>
      <c r="F822" s="7"/>
      <c r="G822" s="1"/>
      <c r="H822" s="1"/>
      <c r="I822" s="1"/>
      <c r="J822" s="1"/>
      <c r="K822" s="1"/>
      <c r="L822" s="7"/>
      <c r="M822" s="7"/>
      <c r="N822" s="1"/>
      <c r="O822" s="1"/>
      <c r="P822" s="1"/>
      <c r="Q822" s="1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 spans="1:43" ht="15.75" customHeight="1" x14ac:dyDescent="0.25">
      <c r="A823" s="7"/>
      <c r="B823" s="7"/>
      <c r="C823" s="7"/>
      <c r="D823" s="7"/>
      <c r="E823" s="7"/>
      <c r="F823" s="7"/>
      <c r="G823" s="1"/>
      <c r="H823" s="1"/>
      <c r="I823" s="1"/>
      <c r="J823" s="1"/>
      <c r="K823" s="1"/>
      <c r="L823" s="7"/>
      <c r="M823" s="7"/>
      <c r="N823" s="1"/>
      <c r="O823" s="1"/>
      <c r="P823" s="1"/>
      <c r="Q823" s="1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 spans="1:43" ht="15.75" customHeight="1" x14ac:dyDescent="0.25">
      <c r="A824" s="7"/>
      <c r="B824" s="7"/>
      <c r="C824" s="7"/>
      <c r="D824" s="7"/>
      <c r="E824" s="7"/>
      <c r="F824" s="7"/>
      <c r="G824" s="1"/>
      <c r="H824" s="1"/>
      <c r="I824" s="1"/>
      <c r="J824" s="1"/>
      <c r="K824" s="1"/>
      <c r="L824" s="7"/>
      <c r="M824" s="7"/>
      <c r="N824" s="1"/>
      <c r="O824" s="1"/>
      <c r="P824" s="1"/>
      <c r="Q824" s="1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 spans="1:43" ht="15.75" customHeight="1" x14ac:dyDescent="0.25">
      <c r="A825" s="7"/>
      <c r="B825" s="7"/>
      <c r="C825" s="7"/>
      <c r="D825" s="7"/>
      <c r="E825" s="7"/>
      <c r="F825" s="7"/>
      <c r="G825" s="1"/>
      <c r="H825" s="1"/>
      <c r="I825" s="1"/>
      <c r="J825" s="1"/>
      <c r="K825" s="1"/>
      <c r="L825" s="7"/>
      <c r="M825" s="7"/>
      <c r="N825" s="1"/>
      <c r="O825" s="1"/>
      <c r="P825" s="1"/>
      <c r="Q825" s="1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 spans="1:43" ht="15.75" customHeight="1" x14ac:dyDescent="0.25">
      <c r="A826" s="7"/>
      <c r="B826" s="7"/>
      <c r="C826" s="7"/>
      <c r="D826" s="7"/>
      <c r="E826" s="7"/>
      <c r="F826" s="7"/>
      <c r="G826" s="1"/>
      <c r="H826" s="1"/>
      <c r="I826" s="1"/>
      <c r="J826" s="1"/>
      <c r="K826" s="1"/>
      <c r="L826" s="7"/>
      <c r="M826" s="7"/>
      <c r="N826" s="1"/>
      <c r="O826" s="1"/>
      <c r="P826" s="1"/>
      <c r="Q826" s="1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 spans="1:43" ht="15.75" customHeight="1" x14ac:dyDescent="0.25">
      <c r="A827" s="7"/>
      <c r="B827" s="7"/>
      <c r="C827" s="7"/>
      <c r="D827" s="7"/>
      <c r="E827" s="7"/>
      <c r="F827" s="7"/>
      <c r="G827" s="1"/>
      <c r="H827" s="1"/>
      <c r="I827" s="1"/>
      <c r="J827" s="1"/>
      <c r="K827" s="1"/>
      <c r="L827" s="7"/>
      <c r="M827" s="7"/>
      <c r="N827" s="1"/>
      <c r="O827" s="1"/>
      <c r="P827" s="1"/>
      <c r="Q827" s="1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 spans="1:43" ht="15.75" customHeight="1" x14ac:dyDescent="0.25">
      <c r="A828" s="7"/>
      <c r="B828" s="7"/>
      <c r="C828" s="7"/>
      <c r="D828" s="7"/>
      <c r="E828" s="7"/>
      <c r="F828" s="7"/>
      <c r="G828" s="1"/>
      <c r="H828" s="1"/>
      <c r="I828" s="1"/>
      <c r="J828" s="1"/>
      <c r="K828" s="1"/>
      <c r="L828" s="7"/>
      <c r="M828" s="7"/>
      <c r="N828" s="1"/>
      <c r="O828" s="1"/>
      <c r="P828" s="1"/>
      <c r="Q828" s="1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 spans="1:43" ht="15.75" customHeight="1" x14ac:dyDescent="0.25">
      <c r="A829" s="7"/>
      <c r="B829" s="7"/>
      <c r="C829" s="7"/>
      <c r="D829" s="7"/>
      <c r="E829" s="7"/>
      <c r="F829" s="7"/>
      <c r="G829" s="1"/>
      <c r="H829" s="1"/>
      <c r="I829" s="1"/>
      <c r="J829" s="1"/>
      <c r="K829" s="1"/>
      <c r="L829" s="7"/>
      <c r="M829" s="7"/>
      <c r="N829" s="1"/>
      <c r="O829" s="1"/>
      <c r="P829" s="1"/>
      <c r="Q829" s="1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 spans="1:43" ht="15.75" customHeight="1" x14ac:dyDescent="0.25">
      <c r="A830" s="7"/>
      <c r="B830" s="7"/>
      <c r="C830" s="7"/>
      <c r="D830" s="7"/>
      <c r="E830" s="7"/>
      <c r="F830" s="7"/>
      <c r="G830" s="1"/>
      <c r="H830" s="1"/>
      <c r="I830" s="1"/>
      <c r="J830" s="1"/>
      <c r="K830" s="1"/>
      <c r="L830" s="7"/>
      <c r="M830" s="7"/>
      <c r="N830" s="1"/>
      <c r="O830" s="1"/>
      <c r="P830" s="1"/>
      <c r="Q830" s="1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 spans="1:43" ht="15.75" customHeight="1" x14ac:dyDescent="0.25">
      <c r="A831" s="7"/>
      <c r="B831" s="7"/>
      <c r="C831" s="7"/>
      <c r="D831" s="7"/>
      <c r="E831" s="7"/>
      <c r="F831" s="7"/>
      <c r="G831" s="1"/>
      <c r="H831" s="1"/>
      <c r="I831" s="1"/>
      <c r="J831" s="1"/>
      <c r="K831" s="1"/>
      <c r="L831" s="7"/>
      <c r="M831" s="7"/>
      <c r="N831" s="1"/>
      <c r="O831" s="1"/>
      <c r="P831" s="1"/>
      <c r="Q831" s="1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 spans="1:43" ht="15.75" customHeight="1" x14ac:dyDescent="0.25">
      <c r="A832" s="7"/>
      <c r="B832" s="7"/>
      <c r="C832" s="7"/>
      <c r="D832" s="7"/>
      <c r="E832" s="7"/>
      <c r="F832" s="7"/>
      <c r="G832" s="1"/>
      <c r="H832" s="1"/>
      <c r="I832" s="1"/>
      <c r="J832" s="1"/>
      <c r="K832" s="1"/>
      <c r="L832" s="7"/>
      <c r="M832" s="7"/>
      <c r="N832" s="1"/>
      <c r="O832" s="1"/>
      <c r="P832" s="1"/>
      <c r="Q832" s="1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 spans="1:43" ht="15.75" customHeight="1" x14ac:dyDescent="0.25">
      <c r="A833" s="7"/>
      <c r="B833" s="7"/>
      <c r="C833" s="7"/>
      <c r="D833" s="7"/>
      <c r="E833" s="7"/>
      <c r="F833" s="7"/>
      <c r="G833" s="1"/>
      <c r="H833" s="1"/>
      <c r="I833" s="1"/>
      <c r="J833" s="1"/>
      <c r="K833" s="1"/>
      <c r="L833" s="7"/>
      <c r="M833" s="7"/>
      <c r="N833" s="1"/>
      <c r="O833" s="1"/>
      <c r="P833" s="1"/>
      <c r="Q833" s="1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 spans="1:43" ht="15.75" customHeight="1" x14ac:dyDescent="0.25">
      <c r="A834" s="7"/>
      <c r="B834" s="7"/>
      <c r="C834" s="7"/>
      <c r="D834" s="7"/>
      <c r="E834" s="7"/>
      <c r="F834" s="7"/>
      <c r="G834" s="1"/>
      <c r="H834" s="1"/>
      <c r="I834" s="1"/>
      <c r="J834" s="1"/>
      <c r="K834" s="1"/>
      <c r="L834" s="7"/>
      <c r="M834" s="7"/>
      <c r="N834" s="1"/>
      <c r="O834" s="1"/>
      <c r="P834" s="1"/>
      <c r="Q834" s="1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 spans="1:43" ht="15.75" customHeight="1" x14ac:dyDescent="0.25">
      <c r="A835" s="7"/>
      <c r="B835" s="7"/>
      <c r="C835" s="7"/>
      <c r="D835" s="7"/>
      <c r="E835" s="7"/>
      <c r="F835" s="7"/>
      <c r="G835" s="1"/>
      <c r="H835" s="1"/>
      <c r="I835" s="1"/>
      <c r="J835" s="1"/>
      <c r="K835" s="1"/>
      <c r="L835" s="7"/>
      <c r="M835" s="7"/>
      <c r="N835" s="1"/>
      <c r="O835" s="1"/>
      <c r="P835" s="1"/>
      <c r="Q835" s="1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 spans="1:43" ht="15.75" customHeight="1" x14ac:dyDescent="0.25">
      <c r="A836" s="7"/>
      <c r="B836" s="7"/>
      <c r="C836" s="7"/>
      <c r="D836" s="7"/>
      <c r="E836" s="7"/>
      <c r="F836" s="7"/>
      <c r="G836" s="1"/>
      <c r="H836" s="1"/>
      <c r="I836" s="1"/>
      <c r="J836" s="1"/>
      <c r="K836" s="1"/>
      <c r="L836" s="7"/>
      <c r="M836" s="7"/>
      <c r="N836" s="1"/>
      <c r="O836" s="1"/>
      <c r="P836" s="1"/>
      <c r="Q836" s="1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 spans="1:43" ht="15.75" customHeight="1" x14ac:dyDescent="0.25">
      <c r="A837" s="7"/>
      <c r="B837" s="7"/>
      <c r="C837" s="7"/>
      <c r="D837" s="7"/>
      <c r="E837" s="7"/>
      <c r="F837" s="7"/>
      <c r="G837" s="1"/>
      <c r="H837" s="1"/>
      <c r="I837" s="1"/>
      <c r="J837" s="1"/>
      <c r="K837" s="1"/>
      <c r="L837" s="7"/>
      <c r="M837" s="7"/>
      <c r="N837" s="1"/>
      <c r="O837" s="1"/>
      <c r="P837" s="1"/>
      <c r="Q837" s="1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 spans="1:43" ht="15.75" customHeight="1" x14ac:dyDescent="0.25">
      <c r="A838" s="7"/>
      <c r="B838" s="7"/>
      <c r="C838" s="7"/>
      <c r="D838" s="7"/>
      <c r="E838" s="7"/>
      <c r="F838" s="7"/>
      <c r="G838" s="1"/>
      <c r="H838" s="1"/>
      <c r="I838" s="1"/>
      <c r="J838" s="1"/>
      <c r="K838" s="1"/>
      <c r="L838" s="7"/>
      <c r="M838" s="7"/>
      <c r="N838" s="1"/>
      <c r="O838" s="1"/>
      <c r="P838" s="1"/>
      <c r="Q838" s="1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 spans="1:43" ht="15.75" customHeight="1" x14ac:dyDescent="0.25">
      <c r="A839" s="7"/>
      <c r="B839" s="7"/>
      <c r="C839" s="7"/>
      <c r="D839" s="7"/>
      <c r="E839" s="7"/>
      <c r="F839" s="7"/>
      <c r="G839" s="1"/>
      <c r="H839" s="1"/>
      <c r="I839" s="1"/>
      <c r="J839" s="1"/>
      <c r="K839" s="1"/>
      <c r="L839" s="7"/>
      <c r="M839" s="7"/>
      <c r="N839" s="1"/>
      <c r="O839" s="1"/>
      <c r="P839" s="1"/>
      <c r="Q839" s="1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 spans="1:43" ht="15.75" customHeight="1" x14ac:dyDescent="0.25">
      <c r="A840" s="7"/>
      <c r="B840" s="7"/>
      <c r="C840" s="7"/>
      <c r="D840" s="7"/>
      <c r="E840" s="7"/>
      <c r="F840" s="7"/>
      <c r="G840" s="1"/>
      <c r="H840" s="1"/>
      <c r="I840" s="1"/>
      <c r="J840" s="1"/>
      <c r="K840" s="1"/>
      <c r="L840" s="7"/>
      <c r="M840" s="7"/>
      <c r="N840" s="1"/>
      <c r="O840" s="1"/>
      <c r="P840" s="1"/>
      <c r="Q840" s="1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spans="1:43" ht="15.75" customHeight="1" x14ac:dyDescent="0.25">
      <c r="A841" s="7"/>
      <c r="B841" s="7"/>
      <c r="C841" s="7"/>
      <c r="D841" s="7"/>
      <c r="E841" s="7"/>
      <c r="F841" s="7"/>
      <c r="G841" s="1"/>
      <c r="H841" s="1"/>
      <c r="I841" s="1"/>
      <c r="J841" s="1"/>
      <c r="K841" s="1"/>
      <c r="L841" s="7"/>
      <c r="M841" s="7"/>
      <c r="N841" s="1"/>
      <c r="O841" s="1"/>
      <c r="P841" s="1"/>
      <c r="Q841" s="1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 spans="1:43" ht="15.75" customHeight="1" x14ac:dyDescent="0.25">
      <c r="A842" s="7"/>
      <c r="B842" s="7"/>
      <c r="C842" s="7"/>
      <c r="D842" s="7"/>
      <c r="E842" s="7"/>
      <c r="F842" s="7"/>
      <c r="G842" s="1"/>
      <c r="H842" s="1"/>
      <c r="I842" s="1"/>
      <c r="J842" s="1"/>
      <c r="K842" s="1"/>
      <c r="L842" s="7"/>
      <c r="M842" s="7"/>
      <c r="N842" s="1"/>
      <c r="O842" s="1"/>
      <c r="P842" s="1"/>
      <c r="Q842" s="1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 spans="1:43" ht="15.75" customHeight="1" x14ac:dyDescent="0.25">
      <c r="A843" s="7"/>
      <c r="B843" s="7"/>
      <c r="C843" s="7"/>
      <c r="D843" s="7"/>
      <c r="E843" s="7"/>
      <c r="F843" s="7"/>
      <c r="G843" s="1"/>
      <c r="H843" s="1"/>
      <c r="I843" s="1"/>
      <c r="J843" s="1"/>
      <c r="K843" s="1"/>
      <c r="L843" s="7"/>
      <c r="M843" s="7"/>
      <c r="N843" s="1"/>
      <c r="O843" s="1"/>
      <c r="P843" s="1"/>
      <c r="Q843" s="1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 spans="1:43" ht="15.75" customHeight="1" x14ac:dyDescent="0.25">
      <c r="A844" s="7"/>
      <c r="B844" s="7"/>
      <c r="C844" s="7"/>
      <c r="D844" s="7"/>
      <c r="E844" s="7"/>
      <c r="F844" s="7"/>
      <c r="G844" s="1"/>
      <c r="H844" s="1"/>
      <c r="I844" s="1"/>
      <c r="J844" s="1"/>
      <c r="K844" s="1"/>
      <c r="L844" s="7"/>
      <c r="M844" s="7"/>
      <c r="N844" s="1"/>
      <c r="O844" s="1"/>
      <c r="P844" s="1"/>
      <c r="Q844" s="1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 spans="1:43" ht="15.75" customHeight="1" x14ac:dyDescent="0.25">
      <c r="A845" s="7"/>
      <c r="B845" s="7"/>
      <c r="C845" s="7"/>
      <c r="D845" s="7"/>
      <c r="E845" s="7"/>
      <c r="F845" s="7"/>
      <c r="G845" s="1"/>
      <c r="H845" s="1"/>
      <c r="I845" s="1"/>
      <c r="J845" s="1"/>
      <c r="K845" s="1"/>
      <c r="L845" s="7"/>
      <c r="M845" s="7"/>
      <c r="N845" s="1"/>
      <c r="O845" s="1"/>
      <c r="P845" s="1"/>
      <c r="Q845" s="1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 spans="1:43" ht="15.75" customHeight="1" x14ac:dyDescent="0.25">
      <c r="A846" s="7"/>
      <c r="B846" s="7"/>
      <c r="C846" s="7"/>
      <c r="D846" s="7"/>
      <c r="E846" s="7"/>
      <c r="F846" s="7"/>
      <c r="G846" s="1"/>
      <c r="H846" s="1"/>
      <c r="I846" s="1"/>
      <c r="J846" s="1"/>
      <c r="K846" s="1"/>
      <c r="L846" s="7"/>
      <c r="M846" s="7"/>
      <c r="N846" s="1"/>
      <c r="O846" s="1"/>
      <c r="P846" s="1"/>
      <c r="Q846" s="1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 spans="1:43" ht="15.75" customHeight="1" x14ac:dyDescent="0.25">
      <c r="A847" s="7"/>
      <c r="B847" s="7"/>
      <c r="C847" s="7"/>
      <c r="D847" s="7"/>
      <c r="E847" s="7"/>
      <c r="F847" s="7"/>
      <c r="G847" s="1"/>
      <c r="H847" s="1"/>
      <c r="I847" s="1"/>
      <c r="J847" s="1"/>
      <c r="K847" s="1"/>
      <c r="L847" s="7"/>
      <c r="M847" s="7"/>
      <c r="N847" s="1"/>
      <c r="O847" s="1"/>
      <c r="P847" s="1"/>
      <c r="Q847" s="1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 spans="1:43" ht="15.75" customHeight="1" x14ac:dyDescent="0.25">
      <c r="A848" s="7"/>
      <c r="B848" s="7"/>
      <c r="C848" s="7"/>
      <c r="D848" s="7"/>
      <c r="E848" s="7"/>
      <c r="F848" s="7"/>
      <c r="G848" s="1"/>
      <c r="H848" s="1"/>
      <c r="I848" s="1"/>
      <c r="J848" s="1"/>
      <c r="K848" s="1"/>
      <c r="L848" s="7"/>
      <c r="M848" s="7"/>
      <c r="N848" s="1"/>
      <c r="O848" s="1"/>
      <c r="P848" s="1"/>
      <c r="Q848" s="1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 spans="1:43" ht="15.75" customHeight="1" x14ac:dyDescent="0.25">
      <c r="A849" s="7"/>
      <c r="B849" s="7"/>
      <c r="C849" s="7"/>
      <c r="D849" s="7"/>
      <c r="E849" s="7"/>
      <c r="F849" s="7"/>
      <c r="G849" s="1"/>
      <c r="H849" s="1"/>
      <c r="I849" s="1"/>
      <c r="J849" s="1"/>
      <c r="K849" s="1"/>
      <c r="L849" s="7"/>
      <c r="M849" s="7"/>
      <c r="N849" s="1"/>
      <c r="O849" s="1"/>
      <c r="P849" s="1"/>
      <c r="Q849" s="1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 spans="1:43" ht="15.75" customHeight="1" x14ac:dyDescent="0.25">
      <c r="A850" s="7"/>
      <c r="B850" s="7"/>
      <c r="C850" s="7"/>
      <c r="D850" s="7"/>
      <c r="E850" s="7"/>
      <c r="F850" s="7"/>
      <c r="G850" s="1"/>
      <c r="H850" s="1"/>
      <c r="I850" s="1"/>
      <c r="J850" s="1"/>
      <c r="K850" s="1"/>
      <c r="L850" s="7"/>
      <c r="M850" s="7"/>
      <c r="N850" s="1"/>
      <c r="O850" s="1"/>
      <c r="P850" s="1"/>
      <c r="Q850" s="1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 spans="1:43" ht="15.75" customHeight="1" x14ac:dyDescent="0.25">
      <c r="A851" s="7"/>
      <c r="B851" s="7"/>
      <c r="C851" s="7"/>
      <c r="D851" s="7"/>
      <c r="E851" s="7"/>
      <c r="F851" s="7"/>
      <c r="G851" s="1"/>
      <c r="H851" s="1"/>
      <c r="I851" s="1"/>
      <c r="J851" s="1"/>
      <c r="K851" s="1"/>
      <c r="L851" s="7"/>
      <c r="M851" s="7"/>
      <c r="N851" s="1"/>
      <c r="O851" s="1"/>
      <c r="P851" s="1"/>
      <c r="Q851" s="1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 spans="1:43" ht="15.75" customHeight="1" x14ac:dyDescent="0.25">
      <c r="A852" s="7"/>
      <c r="B852" s="7"/>
      <c r="C852" s="7"/>
      <c r="D852" s="7"/>
      <c r="E852" s="7"/>
      <c r="F852" s="7"/>
      <c r="G852" s="1"/>
      <c r="H852" s="1"/>
      <c r="I852" s="1"/>
      <c r="J852" s="1"/>
      <c r="K852" s="1"/>
      <c r="L852" s="7"/>
      <c r="M852" s="7"/>
      <c r="N852" s="1"/>
      <c r="O852" s="1"/>
      <c r="P852" s="1"/>
      <c r="Q852" s="1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 spans="1:43" ht="15.75" customHeight="1" x14ac:dyDescent="0.25">
      <c r="A853" s="7"/>
      <c r="B853" s="7"/>
      <c r="C853" s="7"/>
      <c r="D853" s="7"/>
      <c r="E853" s="7"/>
      <c r="F853" s="7"/>
      <c r="G853" s="1"/>
      <c r="H853" s="1"/>
      <c r="I853" s="1"/>
      <c r="J853" s="1"/>
      <c r="K853" s="1"/>
      <c r="L853" s="7"/>
      <c r="M853" s="7"/>
      <c r="N853" s="1"/>
      <c r="O853" s="1"/>
      <c r="P853" s="1"/>
      <c r="Q853" s="1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 spans="1:43" ht="15.75" customHeight="1" x14ac:dyDescent="0.25">
      <c r="A854" s="7"/>
      <c r="B854" s="7"/>
      <c r="C854" s="7"/>
      <c r="D854" s="7"/>
      <c r="E854" s="7"/>
      <c r="F854" s="7"/>
      <c r="G854" s="1"/>
      <c r="H854" s="1"/>
      <c r="I854" s="1"/>
      <c r="J854" s="1"/>
      <c r="K854" s="1"/>
      <c r="L854" s="7"/>
      <c r="M854" s="7"/>
      <c r="N854" s="1"/>
      <c r="O854" s="1"/>
      <c r="P854" s="1"/>
      <c r="Q854" s="1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 spans="1:43" ht="15.75" customHeight="1" x14ac:dyDescent="0.25">
      <c r="A855" s="7"/>
      <c r="B855" s="7"/>
      <c r="C855" s="7"/>
      <c r="D855" s="7"/>
      <c r="E855" s="7"/>
      <c r="F855" s="7"/>
      <c r="G855" s="1"/>
      <c r="H855" s="1"/>
      <c r="I855" s="1"/>
      <c r="J855" s="1"/>
      <c r="K855" s="1"/>
      <c r="L855" s="7"/>
      <c r="M855" s="7"/>
      <c r="N855" s="1"/>
      <c r="O855" s="1"/>
      <c r="P855" s="1"/>
      <c r="Q855" s="1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 spans="1:43" ht="15.75" customHeight="1" x14ac:dyDescent="0.25">
      <c r="A856" s="7"/>
      <c r="B856" s="7"/>
      <c r="C856" s="7"/>
      <c r="D856" s="7"/>
      <c r="E856" s="7"/>
      <c r="F856" s="7"/>
      <c r="G856" s="1"/>
      <c r="H856" s="1"/>
      <c r="I856" s="1"/>
      <c r="J856" s="1"/>
      <c r="K856" s="1"/>
      <c r="L856" s="7"/>
      <c r="M856" s="7"/>
      <c r="N856" s="1"/>
      <c r="O856" s="1"/>
      <c r="P856" s="1"/>
      <c r="Q856" s="1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 spans="1:43" ht="15.75" customHeight="1" x14ac:dyDescent="0.25">
      <c r="A857" s="7"/>
      <c r="B857" s="7"/>
      <c r="C857" s="7"/>
      <c r="D857" s="7"/>
      <c r="E857" s="7"/>
      <c r="F857" s="7"/>
      <c r="G857" s="1"/>
      <c r="H857" s="1"/>
      <c r="I857" s="1"/>
      <c r="J857" s="1"/>
      <c r="K857" s="1"/>
      <c r="L857" s="7"/>
      <c r="M857" s="7"/>
      <c r="N857" s="1"/>
      <c r="O857" s="1"/>
      <c r="P857" s="1"/>
      <c r="Q857" s="1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 spans="1:43" ht="15.75" customHeight="1" x14ac:dyDescent="0.25">
      <c r="A858" s="7"/>
      <c r="B858" s="7"/>
      <c r="C858" s="7"/>
      <c r="D858" s="7"/>
      <c r="E858" s="7"/>
      <c r="F858" s="7"/>
      <c r="G858" s="1"/>
      <c r="H858" s="1"/>
      <c r="I858" s="1"/>
      <c r="J858" s="1"/>
      <c r="K858" s="1"/>
      <c r="L858" s="7"/>
      <c r="M858" s="7"/>
      <c r="N858" s="1"/>
      <c r="O858" s="1"/>
      <c r="P858" s="1"/>
      <c r="Q858" s="1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 spans="1:43" ht="15.75" customHeight="1" x14ac:dyDescent="0.25">
      <c r="A859" s="7"/>
      <c r="B859" s="7"/>
      <c r="C859" s="7"/>
      <c r="D859" s="7"/>
      <c r="E859" s="7"/>
      <c r="F859" s="7"/>
      <c r="G859" s="1"/>
      <c r="H859" s="1"/>
      <c r="I859" s="1"/>
      <c r="J859" s="1"/>
      <c r="K859" s="1"/>
      <c r="L859" s="7"/>
      <c r="M859" s="7"/>
      <c r="N859" s="1"/>
      <c r="O859" s="1"/>
      <c r="P859" s="1"/>
      <c r="Q859" s="1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 spans="1:43" ht="15.75" customHeight="1" x14ac:dyDescent="0.25">
      <c r="A860" s="7"/>
      <c r="B860" s="7"/>
      <c r="C860" s="7"/>
      <c r="D860" s="7"/>
      <c r="E860" s="7"/>
      <c r="F860" s="7"/>
      <c r="G860" s="1"/>
      <c r="H860" s="1"/>
      <c r="I860" s="1"/>
      <c r="J860" s="1"/>
      <c r="K860" s="1"/>
      <c r="L860" s="7"/>
      <c r="M860" s="7"/>
      <c r="N860" s="1"/>
      <c r="O860" s="1"/>
      <c r="P860" s="1"/>
      <c r="Q860" s="1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 spans="1:43" ht="15.75" customHeight="1" x14ac:dyDescent="0.25">
      <c r="A861" s="7"/>
      <c r="B861" s="7"/>
      <c r="C861" s="7"/>
      <c r="D861" s="7"/>
      <c r="E861" s="7"/>
      <c r="F861" s="7"/>
      <c r="G861" s="1"/>
      <c r="H861" s="1"/>
      <c r="I861" s="1"/>
      <c r="J861" s="1"/>
      <c r="K861" s="1"/>
      <c r="L861" s="7"/>
      <c r="M861" s="7"/>
      <c r="N861" s="1"/>
      <c r="O861" s="1"/>
      <c r="P861" s="1"/>
      <c r="Q861" s="1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 spans="1:43" ht="15.75" customHeight="1" x14ac:dyDescent="0.25">
      <c r="A862" s="7"/>
      <c r="B862" s="7"/>
      <c r="C862" s="7"/>
      <c r="D862" s="7"/>
      <c r="E862" s="7"/>
      <c r="F862" s="7"/>
      <c r="G862" s="1"/>
      <c r="H862" s="1"/>
      <c r="I862" s="1"/>
      <c r="J862" s="1"/>
      <c r="K862" s="1"/>
      <c r="L862" s="7"/>
      <c r="M862" s="7"/>
      <c r="N862" s="1"/>
      <c r="O862" s="1"/>
      <c r="P862" s="1"/>
      <c r="Q862" s="1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 spans="1:43" ht="15.75" customHeight="1" x14ac:dyDescent="0.25">
      <c r="A863" s="7"/>
      <c r="B863" s="7"/>
      <c r="C863" s="7"/>
      <c r="D863" s="7"/>
      <c r="E863" s="7"/>
      <c r="F863" s="7"/>
      <c r="G863" s="1"/>
      <c r="H863" s="1"/>
      <c r="I863" s="1"/>
      <c r="J863" s="1"/>
      <c r="K863" s="1"/>
      <c r="L863" s="7"/>
      <c r="M863" s="7"/>
      <c r="N863" s="1"/>
      <c r="O863" s="1"/>
      <c r="P863" s="1"/>
      <c r="Q863" s="1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 spans="1:43" ht="15.75" customHeight="1" x14ac:dyDescent="0.25">
      <c r="A864" s="7"/>
      <c r="B864" s="7"/>
      <c r="C864" s="7"/>
      <c r="D864" s="7"/>
      <c r="E864" s="7"/>
      <c r="F864" s="7"/>
      <c r="G864" s="1"/>
      <c r="H864" s="1"/>
      <c r="I864" s="1"/>
      <c r="J864" s="1"/>
      <c r="K864" s="1"/>
      <c r="L864" s="7"/>
      <c r="M864" s="7"/>
      <c r="N864" s="1"/>
      <c r="O864" s="1"/>
      <c r="P864" s="1"/>
      <c r="Q864" s="1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 spans="1:43" ht="15.75" customHeight="1" x14ac:dyDescent="0.25">
      <c r="A865" s="7"/>
      <c r="B865" s="7"/>
      <c r="C865" s="7"/>
      <c r="D865" s="7"/>
      <c r="E865" s="7"/>
      <c r="F865" s="7"/>
      <c r="G865" s="1"/>
      <c r="H865" s="1"/>
      <c r="I865" s="1"/>
      <c r="J865" s="1"/>
      <c r="K865" s="1"/>
      <c r="L865" s="7"/>
      <c r="M865" s="7"/>
      <c r="N865" s="1"/>
      <c r="O865" s="1"/>
      <c r="P865" s="1"/>
      <c r="Q865" s="1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 spans="1:43" ht="15.75" customHeight="1" x14ac:dyDescent="0.25">
      <c r="A866" s="7"/>
      <c r="B866" s="7"/>
      <c r="C866" s="7"/>
      <c r="D866" s="7"/>
      <c r="E866" s="7"/>
      <c r="F866" s="7"/>
      <c r="G866" s="1"/>
      <c r="H866" s="1"/>
      <c r="I866" s="1"/>
      <c r="J866" s="1"/>
      <c r="K866" s="1"/>
      <c r="L866" s="7"/>
      <c r="M866" s="7"/>
      <c r="N866" s="1"/>
      <c r="O866" s="1"/>
      <c r="P866" s="1"/>
      <c r="Q866" s="1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 spans="1:43" ht="15.75" customHeight="1" x14ac:dyDescent="0.25">
      <c r="A867" s="7"/>
      <c r="B867" s="7"/>
      <c r="C867" s="7"/>
      <c r="D867" s="7"/>
      <c r="E867" s="7"/>
      <c r="F867" s="7"/>
      <c r="G867" s="1"/>
      <c r="H867" s="1"/>
      <c r="I867" s="1"/>
      <c r="J867" s="1"/>
      <c r="K867" s="1"/>
      <c r="L867" s="7"/>
      <c r="M867" s="7"/>
      <c r="N867" s="1"/>
      <c r="O867" s="1"/>
      <c r="P867" s="1"/>
      <c r="Q867" s="1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 spans="1:43" ht="15.75" customHeight="1" x14ac:dyDescent="0.25">
      <c r="A868" s="7"/>
      <c r="B868" s="7"/>
      <c r="C868" s="7"/>
      <c r="D868" s="7"/>
      <c r="E868" s="7"/>
      <c r="F868" s="7"/>
      <c r="G868" s="1"/>
      <c r="H868" s="1"/>
      <c r="I868" s="1"/>
      <c r="J868" s="1"/>
      <c r="K868" s="1"/>
      <c r="L868" s="7"/>
      <c r="M868" s="7"/>
      <c r="N868" s="1"/>
      <c r="O868" s="1"/>
      <c r="P868" s="1"/>
      <c r="Q868" s="1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 spans="1:43" ht="15.75" customHeight="1" x14ac:dyDescent="0.25">
      <c r="A869" s="7"/>
      <c r="B869" s="7"/>
      <c r="C869" s="7"/>
      <c r="D869" s="7"/>
      <c r="E869" s="7"/>
      <c r="F869" s="7"/>
      <c r="G869" s="1"/>
      <c r="H869" s="1"/>
      <c r="I869" s="1"/>
      <c r="J869" s="1"/>
      <c r="K869" s="1"/>
      <c r="L869" s="7"/>
      <c r="M869" s="7"/>
      <c r="N869" s="1"/>
      <c r="O869" s="1"/>
      <c r="P869" s="1"/>
      <c r="Q869" s="1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 spans="1:43" ht="15.75" customHeight="1" x14ac:dyDescent="0.25">
      <c r="A870" s="7"/>
      <c r="B870" s="7"/>
      <c r="C870" s="7"/>
      <c r="D870" s="7"/>
      <c r="E870" s="7"/>
      <c r="F870" s="7"/>
      <c r="G870" s="1"/>
      <c r="H870" s="1"/>
      <c r="I870" s="1"/>
      <c r="J870" s="1"/>
      <c r="K870" s="1"/>
      <c r="L870" s="7"/>
      <c r="M870" s="7"/>
      <c r="N870" s="1"/>
      <c r="O870" s="1"/>
      <c r="P870" s="1"/>
      <c r="Q870" s="1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 spans="1:43" ht="15.75" customHeight="1" x14ac:dyDescent="0.25">
      <c r="A871" s="7"/>
      <c r="B871" s="7"/>
      <c r="C871" s="7"/>
      <c r="D871" s="7"/>
      <c r="E871" s="7"/>
      <c r="F871" s="7"/>
      <c r="G871" s="1"/>
      <c r="H871" s="1"/>
      <c r="I871" s="1"/>
      <c r="J871" s="1"/>
      <c r="K871" s="1"/>
      <c r="L871" s="7"/>
      <c r="M871" s="7"/>
      <c r="N871" s="1"/>
      <c r="O871" s="1"/>
      <c r="P871" s="1"/>
      <c r="Q871" s="1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 spans="1:43" ht="15.75" customHeight="1" x14ac:dyDescent="0.25">
      <c r="A872" s="7"/>
      <c r="B872" s="7"/>
      <c r="C872" s="7"/>
      <c r="D872" s="7"/>
      <c r="E872" s="7"/>
      <c r="F872" s="7"/>
      <c r="G872" s="1"/>
      <c r="H872" s="1"/>
      <c r="I872" s="1"/>
      <c r="J872" s="1"/>
      <c r="K872" s="1"/>
      <c r="L872" s="7"/>
      <c r="M872" s="7"/>
      <c r="N872" s="1"/>
      <c r="O872" s="1"/>
      <c r="P872" s="1"/>
      <c r="Q872" s="1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 spans="1:43" ht="15.75" customHeight="1" x14ac:dyDescent="0.25">
      <c r="A873" s="7"/>
      <c r="B873" s="7"/>
      <c r="C873" s="7"/>
      <c r="D873" s="7"/>
      <c r="E873" s="7"/>
      <c r="F873" s="7"/>
      <c r="G873" s="1"/>
      <c r="H873" s="1"/>
      <c r="I873" s="1"/>
      <c r="J873" s="1"/>
      <c r="K873" s="1"/>
      <c r="L873" s="7"/>
      <c r="M873" s="7"/>
      <c r="N873" s="1"/>
      <c r="O873" s="1"/>
      <c r="P873" s="1"/>
      <c r="Q873" s="1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 spans="1:43" ht="15.75" customHeight="1" x14ac:dyDescent="0.25">
      <c r="A874" s="7"/>
      <c r="B874" s="7"/>
      <c r="C874" s="7"/>
      <c r="D874" s="7"/>
      <c r="E874" s="7"/>
      <c r="F874" s="7"/>
      <c r="G874" s="1"/>
      <c r="H874" s="1"/>
      <c r="I874" s="1"/>
      <c r="J874" s="1"/>
      <c r="K874" s="1"/>
      <c r="L874" s="7"/>
      <c r="M874" s="7"/>
      <c r="N874" s="1"/>
      <c r="O874" s="1"/>
      <c r="P874" s="1"/>
      <c r="Q874" s="1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spans="1:43" ht="15.75" customHeight="1" x14ac:dyDescent="0.25">
      <c r="A875" s="7"/>
      <c r="B875" s="7"/>
      <c r="C875" s="7"/>
      <c r="D875" s="7"/>
      <c r="E875" s="7"/>
      <c r="F875" s="7"/>
      <c r="G875" s="1"/>
      <c r="H875" s="1"/>
      <c r="I875" s="1"/>
      <c r="J875" s="1"/>
      <c r="K875" s="1"/>
      <c r="L875" s="7"/>
      <c r="M875" s="7"/>
      <c r="N875" s="1"/>
      <c r="O875" s="1"/>
      <c r="P875" s="1"/>
      <c r="Q875" s="1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 spans="1:43" ht="15.75" customHeight="1" x14ac:dyDescent="0.25">
      <c r="A876" s="7"/>
      <c r="B876" s="7"/>
      <c r="C876" s="7"/>
      <c r="D876" s="7"/>
      <c r="E876" s="7"/>
      <c r="F876" s="7"/>
      <c r="G876" s="1"/>
      <c r="H876" s="1"/>
      <c r="I876" s="1"/>
      <c r="J876" s="1"/>
      <c r="K876" s="1"/>
      <c r="L876" s="7"/>
      <c r="M876" s="7"/>
      <c r="N876" s="1"/>
      <c r="O876" s="1"/>
      <c r="P876" s="1"/>
      <c r="Q876" s="1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 spans="1:43" ht="15.75" customHeight="1" x14ac:dyDescent="0.25">
      <c r="A877" s="7"/>
      <c r="B877" s="7"/>
      <c r="C877" s="7"/>
      <c r="D877" s="7"/>
      <c r="E877" s="7"/>
      <c r="F877" s="7"/>
      <c r="G877" s="1"/>
      <c r="H877" s="1"/>
      <c r="I877" s="1"/>
      <c r="J877" s="1"/>
      <c r="K877" s="1"/>
      <c r="L877" s="7"/>
      <c r="M877" s="7"/>
      <c r="N877" s="1"/>
      <c r="O877" s="1"/>
      <c r="P877" s="1"/>
      <c r="Q877" s="1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 spans="1:43" ht="15.75" customHeight="1" x14ac:dyDescent="0.25">
      <c r="A878" s="7"/>
      <c r="B878" s="7"/>
      <c r="C878" s="7"/>
      <c r="D878" s="7"/>
      <c r="E878" s="7"/>
      <c r="F878" s="7"/>
      <c r="G878" s="1"/>
      <c r="H878" s="1"/>
      <c r="I878" s="1"/>
      <c r="J878" s="1"/>
      <c r="K878" s="1"/>
      <c r="L878" s="7"/>
      <c r="M878" s="7"/>
      <c r="N878" s="1"/>
      <c r="O878" s="1"/>
      <c r="P878" s="1"/>
      <c r="Q878" s="1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 spans="1:43" ht="15.75" customHeight="1" x14ac:dyDescent="0.25">
      <c r="A879" s="7"/>
      <c r="B879" s="7"/>
      <c r="C879" s="7"/>
      <c r="D879" s="7"/>
      <c r="E879" s="7"/>
      <c r="F879" s="7"/>
      <c r="G879" s="1"/>
      <c r="H879" s="1"/>
      <c r="I879" s="1"/>
      <c r="J879" s="1"/>
      <c r="K879" s="1"/>
      <c r="L879" s="7"/>
      <c r="M879" s="7"/>
      <c r="N879" s="1"/>
      <c r="O879" s="1"/>
      <c r="P879" s="1"/>
      <c r="Q879" s="1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 spans="1:43" ht="15.75" customHeight="1" x14ac:dyDescent="0.25">
      <c r="A880" s="7"/>
      <c r="B880" s="7"/>
      <c r="C880" s="7"/>
      <c r="D880" s="7"/>
      <c r="E880" s="7"/>
      <c r="F880" s="7"/>
      <c r="G880" s="1"/>
      <c r="H880" s="1"/>
      <c r="I880" s="1"/>
      <c r="J880" s="1"/>
      <c r="K880" s="1"/>
      <c r="L880" s="7"/>
      <c r="M880" s="7"/>
      <c r="N880" s="1"/>
      <c r="O880" s="1"/>
      <c r="P880" s="1"/>
      <c r="Q880" s="1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 spans="1:43" ht="15.75" customHeight="1" x14ac:dyDescent="0.25">
      <c r="A881" s="7"/>
      <c r="B881" s="7"/>
      <c r="C881" s="7"/>
      <c r="D881" s="7"/>
      <c r="E881" s="7"/>
      <c r="F881" s="7"/>
      <c r="G881" s="1"/>
      <c r="H881" s="1"/>
      <c r="I881" s="1"/>
      <c r="J881" s="1"/>
      <c r="K881" s="1"/>
      <c r="L881" s="7"/>
      <c r="M881" s="7"/>
      <c r="N881" s="1"/>
      <c r="O881" s="1"/>
      <c r="P881" s="1"/>
      <c r="Q881" s="1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 spans="1:43" ht="15.75" customHeight="1" x14ac:dyDescent="0.25">
      <c r="A882" s="7"/>
      <c r="B882" s="7"/>
      <c r="C882" s="7"/>
      <c r="D882" s="7"/>
      <c r="E882" s="7"/>
      <c r="F882" s="7"/>
      <c r="G882" s="1"/>
      <c r="H882" s="1"/>
      <c r="I882" s="1"/>
      <c r="J882" s="1"/>
      <c r="K882" s="1"/>
      <c r="L882" s="7"/>
      <c r="M882" s="7"/>
      <c r="N882" s="1"/>
      <c r="O882" s="1"/>
      <c r="P882" s="1"/>
      <c r="Q882" s="1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 spans="1:43" ht="15.75" customHeight="1" x14ac:dyDescent="0.25">
      <c r="A883" s="7"/>
      <c r="B883" s="7"/>
      <c r="C883" s="7"/>
      <c r="D883" s="7"/>
      <c r="E883" s="7"/>
      <c r="F883" s="7"/>
      <c r="G883" s="1"/>
      <c r="H883" s="1"/>
      <c r="I883" s="1"/>
      <c r="J883" s="1"/>
      <c r="K883" s="1"/>
      <c r="L883" s="7"/>
      <c r="M883" s="7"/>
      <c r="N883" s="1"/>
      <c r="O883" s="1"/>
      <c r="P883" s="1"/>
      <c r="Q883" s="1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 spans="1:43" ht="15.75" customHeight="1" x14ac:dyDescent="0.25">
      <c r="A884" s="7"/>
      <c r="B884" s="7"/>
      <c r="C884" s="7"/>
      <c r="D884" s="7"/>
      <c r="E884" s="7"/>
      <c r="F884" s="7"/>
      <c r="G884" s="1"/>
      <c r="H884" s="1"/>
      <c r="I884" s="1"/>
      <c r="J884" s="1"/>
      <c r="K884" s="1"/>
      <c r="L884" s="7"/>
      <c r="M884" s="7"/>
      <c r="N884" s="1"/>
      <c r="O884" s="1"/>
      <c r="P884" s="1"/>
      <c r="Q884" s="1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 spans="1:43" ht="15.75" customHeight="1" x14ac:dyDescent="0.25">
      <c r="A885" s="7"/>
      <c r="B885" s="7"/>
      <c r="C885" s="7"/>
      <c r="D885" s="7"/>
      <c r="E885" s="7"/>
      <c r="F885" s="7"/>
      <c r="G885" s="1"/>
      <c r="H885" s="1"/>
      <c r="I885" s="1"/>
      <c r="J885" s="1"/>
      <c r="K885" s="1"/>
      <c r="L885" s="7"/>
      <c r="M885" s="7"/>
      <c r="N885" s="1"/>
      <c r="O885" s="1"/>
      <c r="P885" s="1"/>
      <c r="Q885" s="1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 spans="1:43" ht="15.75" customHeight="1" x14ac:dyDescent="0.25">
      <c r="A886" s="7"/>
      <c r="B886" s="7"/>
      <c r="C886" s="7"/>
      <c r="D886" s="7"/>
      <c r="E886" s="7"/>
      <c r="F886" s="7"/>
      <c r="G886" s="1"/>
      <c r="H886" s="1"/>
      <c r="I886" s="1"/>
      <c r="J886" s="1"/>
      <c r="K886" s="1"/>
      <c r="L886" s="7"/>
      <c r="M886" s="7"/>
      <c r="N886" s="1"/>
      <c r="O886" s="1"/>
      <c r="P886" s="1"/>
      <c r="Q886" s="1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 spans="1:43" ht="15.75" customHeight="1" x14ac:dyDescent="0.25">
      <c r="A887" s="7"/>
      <c r="B887" s="7"/>
      <c r="C887" s="7"/>
      <c r="D887" s="7"/>
      <c r="E887" s="7"/>
      <c r="F887" s="7"/>
      <c r="G887" s="1"/>
      <c r="H887" s="1"/>
      <c r="I887" s="1"/>
      <c r="J887" s="1"/>
      <c r="K887" s="1"/>
      <c r="L887" s="7"/>
      <c r="M887" s="7"/>
      <c r="N887" s="1"/>
      <c r="O887" s="1"/>
      <c r="P887" s="1"/>
      <c r="Q887" s="1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 spans="1:43" ht="15.75" customHeight="1" x14ac:dyDescent="0.25">
      <c r="A888" s="7"/>
      <c r="B888" s="7"/>
      <c r="C888" s="7"/>
      <c r="D888" s="7"/>
      <c r="E888" s="7"/>
      <c r="F888" s="7"/>
      <c r="G888" s="1"/>
      <c r="H888" s="1"/>
      <c r="I888" s="1"/>
      <c r="J888" s="1"/>
      <c r="K888" s="1"/>
      <c r="L888" s="7"/>
      <c r="M888" s="7"/>
      <c r="N888" s="1"/>
      <c r="O888" s="1"/>
      <c r="P888" s="1"/>
      <c r="Q888" s="1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 spans="1:43" ht="15.75" customHeight="1" x14ac:dyDescent="0.25">
      <c r="A889" s="7"/>
      <c r="B889" s="7"/>
      <c r="C889" s="7"/>
      <c r="D889" s="7"/>
      <c r="E889" s="7"/>
      <c r="F889" s="7"/>
      <c r="G889" s="1"/>
      <c r="H889" s="1"/>
      <c r="I889" s="1"/>
      <c r="J889" s="1"/>
      <c r="K889" s="1"/>
      <c r="L889" s="7"/>
      <c r="M889" s="7"/>
      <c r="N889" s="1"/>
      <c r="O889" s="1"/>
      <c r="P889" s="1"/>
      <c r="Q889" s="1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 spans="1:43" ht="15.75" customHeight="1" x14ac:dyDescent="0.25">
      <c r="A890" s="7"/>
      <c r="B890" s="7"/>
      <c r="C890" s="7"/>
      <c r="D890" s="7"/>
      <c r="E890" s="7"/>
      <c r="F890" s="7"/>
      <c r="G890" s="1"/>
      <c r="H890" s="1"/>
      <c r="I890" s="1"/>
      <c r="J890" s="1"/>
      <c r="K890" s="1"/>
      <c r="L890" s="7"/>
      <c r="M890" s="7"/>
      <c r="N890" s="1"/>
      <c r="O890" s="1"/>
      <c r="P890" s="1"/>
      <c r="Q890" s="1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 spans="1:43" ht="15.75" customHeight="1" x14ac:dyDescent="0.25">
      <c r="A891" s="7"/>
      <c r="B891" s="7"/>
      <c r="C891" s="7"/>
      <c r="D891" s="7"/>
      <c r="E891" s="7"/>
      <c r="F891" s="7"/>
      <c r="G891" s="1"/>
      <c r="H891" s="1"/>
      <c r="I891" s="1"/>
      <c r="J891" s="1"/>
      <c r="K891" s="1"/>
      <c r="L891" s="7"/>
      <c r="M891" s="7"/>
      <c r="N891" s="1"/>
      <c r="O891" s="1"/>
      <c r="P891" s="1"/>
      <c r="Q891" s="1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 spans="1:43" ht="15.75" customHeight="1" x14ac:dyDescent="0.25">
      <c r="A892" s="7"/>
      <c r="B892" s="7"/>
      <c r="C892" s="7"/>
      <c r="D892" s="7"/>
      <c r="E892" s="7"/>
      <c r="F892" s="7"/>
      <c r="G892" s="1"/>
      <c r="H892" s="1"/>
      <c r="I892" s="1"/>
      <c r="J892" s="1"/>
      <c r="K892" s="1"/>
      <c r="L892" s="7"/>
      <c r="M892" s="7"/>
      <c r="N892" s="1"/>
      <c r="O892" s="1"/>
      <c r="P892" s="1"/>
      <c r="Q892" s="1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 spans="1:43" ht="15.75" customHeight="1" x14ac:dyDescent="0.25">
      <c r="A893" s="7"/>
      <c r="B893" s="7"/>
      <c r="C893" s="7"/>
      <c r="D893" s="7"/>
      <c r="E893" s="7"/>
      <c r="F893" s="7"/>
      <c r="G893" s="1"/>
      <c r="H893" s="1"/>
      <c r="I893" s="1"/>
      <c r="J893" s="1"/>
      <c r="K893" s="1"/>
      <c r="L893" s="7"/>
      <c r="M893" s="7"/>
      <c r="N893" s="1"/>
      <c r="O893" s="1"/>
      <c r="P893" s="1"/>
      <c r="Q893" s="1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 spans="1:43" ht="15.75" customHeight="1" x14ac:dyDescent="0.25">
      <c r="A894" s="7"/>
      <c r="B894" s="7"/>
      <c r="C894" s="7"/>
      <c r="D894" s="7"/>
      <c r="E894" s="7"/>
      <c r="F894" s="7"/>
      <c r="G894" s="1"/>
      <c r="H894" s="1"/>
      <c r="I894" s="1"/>
      <c r="J894" s="1"/>
      <c r="K894" s="1"/>
      <c r="L894" s="7"/>
      <c r="M894" s="7"/>
      <c r="N894" s="1"/>
      <c r="O894" s="1"/>
      <c r="P894" s="1"/>
      <c r="Q894" s="1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 spans="1:43" ht="15.75" customHeight="1" x14ac:dyDescent="0.25">
      <c r="A895" s="7"/>
      <c r="B895" s="7"/>
      <c r="C895" s="7"/>
      <c r="D895" s="7"/>
      <c r="E895" s="7"/>
      <c r="F895" s="7"/>
      <c r="G895" s="1"/>
      <c r="H895" s="1"/>
      <c r="I895" s="1"/>
      <c r="J895" s="1"/>
      <c r="K895" s="1"/>
      <c r="L895" s="7"/>
      <c r="M895" s="7"/>
      <c r="N895" s="1"/>
      <c r="O895" s="1"/>
      <c r="P895" s="1"/>
      <c r="Q895" s="1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 spans="1:43" ht="15.75" customHeight="1" x14ac:dyDescent="0.25">
      <c r="A896" s="7"/>
      <c r="B896" s="7"/>
      <c r="C896" s="7"/>
      <c r="D896" s="7"/>
      <c r="E896" s="7"/>
      <c r="F896" s="7"/>
      <c r="G896" s="1"/>
      <c r="H896" s="1"/>
      <c r="I896" s="1"/>
      <c r="J896" s="1"/>
      <c r="K896" s="1"/>
      <c r="L896" s="7"/>
      <c r="M896" s="7"/>
      <c r="N896" s="1"/>
      <c r="O896" s="1"/>
      <c r="P896" s="1"/>
      <c r="Q896" s="1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 spans="1:43" ht="15.75" customHeight="1" x14ac:dyDescent="0.25">
      <c r="A897" s="7"/>
      <c r="B897" s="7"/>
      <c r="C897" s="7"/>
      <c r="D897" s="7"/>
      <c r="E897" s="7"/>
      <c r="F897" s="7"/>
      <c r="G897" s="1"/>
      <c r="H897" s="1"/>
      <c r="I897" s="1"/>
      <c r="J897" s="1"/>
      <c r="K897" s="1"/>
      <c r="L897" s="7"/>
      <c r="M897" s="7"/>
      <c r="N897" s="1"/>
      <c r="O897" s="1"/>
      <c r="P897" s="1"/>
      <c r="Q897" s="1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 spans="1:43" ht="15.75" customHeight="1" x14ac:dyDescent="0.25">
      <c r="A898" s="7"/>
      <c r="B898" s="7"/>
      <c r="C898" s="7"/>
      <c r="D898" s="7"/>
      <c r="E898" s="7"/>
      <c r="F898" s="7"/>
      <c r="G898" s="1"/>
      <c r="H898" s="1"/>
      <c r="I898" s="1"/>
      <c r="J898" s="1"/>
      <c r="K898" s="1"/>
      <c r="L898" s="7"/>
      <c r="M898" s="7"/>
      <c r="N898" s="1"/>
      <c r="O898" s="1"/>
      <c r="P898" s="1"/>
      <c r="Q898" s="1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 spans="1:43" ht="15.75" customHeight="1" x14ac:dyDescent="0.25">
      <c r="A899" s="7"/>
      <c r="B899" s="7"/>
      <c r="C899" s="7"/>
      <c r="D899" s="7"/>
      <c r="E899" s="7"/>
      <c r="F899" s="7"/>
      <c r="G899" s="1"/>
      <c r="H899" s="1"/>
      <c r="I899" s="1"/>
      <c r="J899" s="1"/>
      <c r="K899" s="1"/>
      <c r="L899" s="7"/>
      <c r="M899" s="7"/>
      <c r="N899" s="1"/>
      <c r="O899" s="1"/>
      <c r="P899" s="1"/>
      <c r="Q899" s="1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</sheetData>
  <protectedRanges>
    <protectedRange password="CFC3" sqref="AB11:AC13 AB29:AC31 AB122:AC146 AB156:AC158 AB47:AC49 AB65:AC67 AB101:AC103 AB15:AC17 AB19:AC21 AB23:AC25 AB33:AC35 AB37:AC39 AB41:AC43 AB51:AC53 AB55:AC57 AB59:AC61 AB69:AC71 AB73:AC75 AB77:AC79 AB105:AC107 AB109:AC114 AB116:AC118 AB148:AC150 AB160:AC176 AB178:AC180 AB528:AC529 AB83:AC85 AB87:AC89 AB91:AC93 AB95:AC97 AB204:AC255 AB190:AC202 AB257:AC308 AB310:AC361 AB363:AC414 AB416:AC467 AB469:AC520 AB533:AC562" name="Rango1_7"/>
    <protectedRange password="CFC3" sqref="AB203:AC203 AB256:AC256 AB309:AC309 AB362:AC362 AB415:AC415 AB468:AC468 AB521:AC521 AB530:AC532 AB14:AC14 AB18:AC18 AB22:AC22 AB26:AC28 AB32:AC32 AB36:AC36 AB40:AC40 AB44:AC46 AB50:AC50 AB54:AC54 AB58:AC58 AB62:AC64 AB68:AC68 AB72:AC72 AB76:AC76 AB80:AC82 AB104:AC104 AB108:AC108 AB115:AC115 AB119:AC121 AB147:AC147 AB151:AC153 AB159:AC159 AB177:AC177 AB181:AC183 AB86:AC86 AB90:AC90 AB94:AC94 AB98:AC100" name="Rango1_3_2"/>
    <protectedRange password="CFC3" sqref="AB154:AC154 AB184:AC184" name="Rango1_3_1_2"/>
    <protectedRange password="CFC3" sqref="AB155:AC155 AB185:AC185" name="Rango1_3_11"/>
    <protectedRange password="CFC3" sqref="AB186:AC189" name="Rango1_1_2"/>
  </protectedRanges>
  <mergeCells count="18">
    <mergeCell ref="AB526:AB527"/>
    <mergeCell ref="AC526:AC527"/>
    <mergeCell ref="AE526:AF526"/>
    <mergeCell ref="AI526:AJ526"/>
    <mergeCell ref="L525:N525"/>
    <mergeCell ref="Y525:Z525"/>
    <mergeCell ref="AB525:AC525"/>
    <mergeCell ref="AB8:AC8"/>
    <mergeCell ref="AE8:AL8"/>
    <mergeCell ref="G9:I9"/>
    <mergeCell ref="AB9:AB10"/>
    <mergeCell ref="AC9:AC10"/>
    <mergeCell ref="AE9:AH9"/>
    <mergeCell ref="AI9:AL9"/>
    <mergeCell ref="B8:I8"/>
    <mergeCell ref="K8:P8"/>
    <mergeCell ref="R8:T8"/>
    <mergeCell ref="V8:Z8"/>
  </mergeCells>
  <conditionalFormatting sqref="O11:O154 O160:O184 O190:O521">
    <cfRule type="cellIs" dxfId="43" priority="24" operator="equal">
      <formula>"HORIZONTAL"</formula>
    </cfRule>
  </conditionalFormatting>
  <conditionalFormatting sqref="O11:O521">
    <cfRule type="cellIs" dxfId="42" priority="3" operator="equal">
      <formula>"ARMADO PTA."</formula>
    </cfRule>
    <cfRule type="cellIs" dxfId="41" priority="4" operator="equal">
      <formula>"ARMADO"</formula>
    </cfRule>
  </conditionalFormatting>
  <conditionalFormatting sqref="O12:O154 O1:O10">
    <cfRule type="containsText" dxfId="40" priority="41" operator="containsText" text="ANCLAJE">
      <formula>NOT(ISERROR(SEARCH("ANCLAJE",O1)))</formula>
    </cfRule>
  </conditionalFormatting>
  <conditionalFormatting sqref="O27:O28">
    <cfRule type="cellIs" dxfId="39" priority="16" operator="equal">
      <formula>"HORIZONTAL"</formula>
    </cfRule>
  </conditionalFormatting>
  <conditionalFormatting sqref="O45:O46">
    <cfRule type="cellIs" dxfId="38" priority="15" operator="equal">
      <formula>"HORIZONTAL"</formula>
    </cfRule>
  </conditionalFormatting>
  <conditionalFormatting sqref="O63:O64">
    <cfRule type="cellIs" dxfId="37" priority="14" operator="equal">
      <formula>"HORIZONTAL"</formula>
    </cfRule>
  </conditionalFormatting>
  <conditionalFormatting sqref="O81:O82 O120:O121">
    <cfRule type="cellIs" dxfId="36" priority="13" operator="equal">
      <formula>"HORIZONTAL"</formula>
    </cfRule>
  </conditionalFormatting>
  <conditionalFormatting sqref="O99:O100">
    <cfRule type="cellIs" dxfId="35" priority="1" operator="equal">
      <formula>"HORIZONTAL"</formula>
    </cfRule>
  </conditionalFormatting>
  <conditionalFormatting sqref="O152:O154">
    <cfRule type="cellIs" dxfId="34" priority="12" operator="equal">
      <formula>"HORIZONTAL"</formula>
    </cfRule>
  </conditionalFormatting>
  <conditionalFormatting sqref="O156:O159">
    <cfRule type="cellIs" dxfId="33" priority="8" stopIfTrue="1" operator="equal">
      <formula>"VERTICAL"</formula>
    </cfRule>
    <cfRule type="cellIs" dxfId="32" priority="9" operator="equal">
      <formula>"HORIZONTAL"</formula>
    </cfRule>
    <cfRule type="containsText" dxfId="31" priority="10" operator="containsText" text="ANCLAJE">
      <formula>NOT(ISERROR(SEARCH("ANCLAJE",O156)))</formula>
    </cfRule>
  </conditionalFormatting>
  <conditionalFormatting sqref="O160:O184 O190:O580">
    <cfRule type="containsText" dxfId="30" priority="25" operator="containsText" text="ANCLAJE">
      <formula>NOT(ISERROR(SEARCH("ANCLAJE",O160)))</formula>
    </cfRule>
  </conditionalFormatting>
  <conditionalFormatting sqref="O182:O184">
    <cfRule type="cellIs" dxfId="29" priority="11" operator="equal">
      <formula>"HORIZONTAL"</formula>
    </cfRule>
  </conditionalFormatting>
  <conditionalFormatting sqref="O186:O189">
    <cfRule type="cellIs" dxfId="28" priority="5" stopIfTrue="1" operator="equal">
      <formula>"VERTICAL"</formula>
    </cfRule>
    <cfRule type="cellIs" dxfId="27" priority="6" operator="equal">
      <formula>"HORIZONTAL"</formula>
    </cfRule>
    <cfRule type="containsText" dxfId="26" priority="7" operator="containsText" text="ANCLAJE">
      <formula>NOT(ISERROR(SEARCH("ANCLAJE",O186)))</formula>
    </cfRule>
  </conditionalFormatting>
  <conditionalFormatting sqref="O190:O521 O11:O154 O160:O184">
    <cfRule type="cellIs" dxfId="25" priority="23" stopIfTrue="1" operator="equal">
      <formula>"VERTICAL"</formula>
    </cfRule>
  </conditionalFormatting>
  <conditionalFormatting sqref="O203">
    <cfRule type="cellIs" dxfId="24" priority="26" operator="equal">
      <formula>"ARMADO PTA."</formula>
    </cfRule>
    <cfRule type="cellIs" dxfId="23" priority="27" operator="equal">
      <formula>"ARMADO"</formula>
    </cfRule>
    <cfRule type="cellIs" dxfId="22" priority="28" operator="equal">
      <formula>"HORIZONTAL"</formula>
    </cfRule>
  </conditionalFormatting>
  <conditionalFormatting sqref="O256">
    <cfRule type="cellIs" dxfId="21" priority="22" operator="equal">
      <formula>"HORIZONTAL"</formula>
    </cfRule>
  </conditionalFormatting>
  <conditionalFormatting sqref="O309">
    <cfRule type="cellIs" dxfId="20" priority="21" operator="equal">
      <formula>"HORIZONTAL"</formula>
    </cfRule>
  </conditionalFormatting>
  <conditionalFormatting sqref="O362">
    <cfRule type="cellIs" dxfId="19" priority="20" operator="equal">
      <formula>"HORIZONTAL"</formula>
    </cfRule>
  </conditionalFormatting>
  <conditionalFormatting sqref="O415">
    <cfRule type="cellIs" dxfId="18" priority="19" operator="equal">
      <formula>"HORIZONTAL"</formula>
    </cfRule>
  </conditionalFormatting>
  <conditionalFormatting sqref="O468">
    <cfRule type="cellIs" dxfId="17" priority="18" operator="equal">
      <formula>"HORIZONTAL"</formula>
    </cfRule>
  </conditionalFormatting>
  <conditionalFormatting sqref="O521">
    <cfRule type="cellIs" dxfId="16" priority="17" operator="equal">
      <formula>"HORIZONTAL"</formula>
    </cfRule>
  </conditionalFormatting>
  <conditionalFormatting sqref="O581:O899">
    <cfRule type="containsText" dxfId="15" priority="137" operator="containsText" text="ANCLAJE">
      <formula>NOT(ISERROR(SEARCH(("ANCLAJE"),(O581))))</formula>
    </cfRule>
  </conditionalFormatting>
  <conditionalFormatting sqref="X27:X28">
    <cfRule type="cellIs" dxfId="14" priority="34" operator="greaterThan">
      <formula>7000</formula>
    </cfRule>
  </conditionalFormatting>
  <conditionalFormatting sqref="X45:X46">
    <cfRule type="cellIs" dxfId="13" priority="33" operator="greaterThan">
      <formula>7000</formula>
    </cfRule>
  </conditionalFormatting>
  <conditionalFormatting sqref="X63:X64">
    <cfRule type="cellIs" dxfId="12" priority="32" operator="greaterThan">
      <formula>7000</formula>
    </cfRule>
  </conditionalFormatting>
  <conditionalFormatting sqref="X81:X82 X120:X121">
    <cfRule type="cellIs" dxfId="11" priority="31" operator="greaterThan">
      <formula>7000</formula>
    </cfRule>
  </conditionalFormatting>
  <conditionalFormatting sqref="X99:X100">
    <cfRule type="cellIs" dxfId="10" priority="2" operator="greaterThan">
      <formula>7000</formula>
    </cfRule>
  </conditionalFormatting>
  <conditionalFormatting sqref="X152:X155">
    <cfRule type="cellIs" dxfId="9" priority="30" operator="greaterThan">
      <formula>7000</formula>
    </cfRule>
  </conditionalFormatting>
  <conditionalFormatting sqref="X182:X185">
    <cfRule type="cellIs" dxfId="8" priority="29" operator="greaterThan">
      <formula>7000</formula>
    </cfRule>
  </conditionalFormatting>
  <conditionalFormatting sqref="X203">
    <cfRule type="cellIs" dxfId="7" priority="42" operator="greaterThan">
      <formula>7000</formula>
    </cfRule>
  </conditionalFormatting>
  <conditionalFormatting sqref="X256">
    <cfRule type="cellIs" dxfId="6" priority="40" operator="greaterThan">
      <formula>7000</formula>
    </cfRule>
  </conditionalFormatting>
  <conditionalFormatting sqref="X309">
    <cfRule type="cellIs" dxfId="5" priority="39" operator="greaterThan">
      <formula>7000</formula>
    </cfRule>
  </conditionalFormatting>
  <conditionalFormatting sqref="X362">
    <cfRule type="cellIs" dxfId="4" priority="38" operator="greaterThan">
      <formula>7000</formula>
    </cfRule>
  </conditionalFormatting>
  <conditionalFormatting sqref="X415">
    <cfRule type="cellIs" dxfId="3" priority="37" operator="greaterThan">
      <formula>7000</formula>
    </cfRule>
  </conditionalFormatting>
  <conditionalFormatting sqref="X468">
    <cfRule type="cellIs" dxfId="2" priority="36" operator="greaterThan">
      <formula>7000</formula>
    </cfRule>
  </conditionalFormatting>
  <conditionalFormatting sqref="X521">
    <cfRule type="cellIs" dxfId="1" priority="35" operator="greaterThan">
      <formula>7000</formula>
    </cfRule>
  </conditionalFormatting>
  <printOptions horizontalCentered="1"/>
  <pageMargins left="0.39370078740157483" right="0.39370078740157483" top="0.39370078740157483" bottom="0.39370078740157483" header="0" footer="0"/>
  <pageSetup paperSize="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PEDIDO A</vt:lpstr>
      <vt:lpstr>PEDIDO B</vt:lpstr>
      <vt:lpstr>PEDIDO C</vt:lpstr>
      <vt:lpstr>PEDIDO D</vt:lpstr>
      <vt:lpstr>GH PED 167 (2)</vt:lpstr>
      <vt:lpstr>GH PED TOTAL FIJOS (RESPALDO)</vt:lpstr>
      <vt:lpstr>REGISTRO PEDIDOS (RESPALDO)</vt:lpstr>
      <vt:lpstr>GENERADOR FIJOS TORRE (AL)</vt:lpstr>
      <vt:lpstr>'GH PED 167 (2)'!Print_Area</vt:lpstr>
      <vt:lpstr>'PEDIDO A'!Print_Area</vt:lpstr>
      <vt:lpstr>'PEDIDO B'!Print_Area</vt:lpstr>
      <vt:lpstr>'PEDIDO C'!Print_Area</vt:lpstr>
      <vt:lpstr>'PEDIDO D'!Print_Area</vt:lpstr>
      <vt:lpstr>'REGISTRO PEDIDOS (RESPALDO)'!Print_Area</vt:lpstr>
      <vt:lpstr>'GH PED 167 (2)'!Print_Titles</vt:lpstr>
      <vt:lpstr>'PEDIDO A'!Print_Titles</vt:lpstr>
      <vt:lpstr>'PEDIDO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e60280</cp:lastModifiedBy>
  <cp:lastPrinted>2025-11-12T22:55:15Z</cp:lastPrinted>
  <dcterms:created xsi:type="dcterms:W3CDTF">2024-03-13T14:41:28Z</dcterms:created>
  <dcterms:modified xsi:type="dcterms:W3CDTF">2025-11-14T15:43:51Z</dcterms:modified>
</cp:coreProperties>
</file>