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seferisgonzalez/Downloads/"/>
    </mc:Choice>
  </mc:AlternateContent>
  <xr:revisionPtr revIDLastSave="0" documentId="8_{AA1B7B73-DCB5-D54C-A936-F98CFFFD8282}" xr6:coauthVersionLast="47" xr6:coauthVersionMax="47" xr10:uidLastSave="{00000000-0000-0000-0000-000000000000}"/>
  <bookViews>
    <workbookView xWindow="0" yWindow="740" windowWidth="34560" windowHeight="21600" tabRatio="782" xr2:uid="{909BE3C3-1B70-42E9-A944-1BFABA251BAB}"/>
  </bookViews>
  <sheets>
    <sheet name="Model" sheetId="7" r:id="rId1"/>
    <sheet name="Model Stepulation 1" sheetId="8" r:id="rId2"/>
    <sheet name="Model Stepulation 2" sheetId="10" r:id="rId3"/>
    <sheet name="Temporary Workers " sheetId="5" r:id="rId4"/>
    <sheet name="Full Time Salaries " sheetId="4" r:id="rId5"/>
    <sheet name="Estimated Foot Traffic " sheetId="3" r:id="rId6"/>
  </sheets>
  <definedNames>
    <definedName name="solver_adj" localSheetId="0" hidden="1">Model!$O$5:$O$10</definedName>
    <definedName name="solver_adj" localSheetId="1" hidden="1">'Model Stepulation 1'!$O$5:$O$10</definedName>
    <definedName name="solver_adj" localSheetId="2" hidden="1">'Model Stepulation 2'!$O$5:$O$10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Model!$C$11:$N$11</definedName>
    <definedName name="solver_lhs1" localSheetId="1" hidden="1">'Model Stepulation 1'!$C$11:$N$11</definedName>
    <definedName name="solver_lhs1" localSheetId="2" hidden="1">'Model Stepulation 2'!$C$11:$N$11</definedName>
    <definedName name="solver_lhs2" localSheetId="0" hidden="1">Model!$O$5:$O$10</definedName>
    <definedName name="solver_lhs2" localSheetId="1" hidden="1">'Model Stepulation 1'!$O$5:$O$10</definedName>
    <definedName name="solver_lhs2" localSheetId="2" hidden="1">'Model Stepulation 2'!$O$5:$O$10</definedName>
    <definedName name="solver_lhs3" localSheetId="0" hidden="1">Model!$O$5:$O$10</definedName>
    <definedName name="solver_lhs3" localSheetId="1" hidden="1">'Model Stepulation 1'!$O$5:$O$10</definedName>
    <definedName name="solver_lhs3" localSheetId="2" hidden="1">'Model Stepulation 2'!$O$5:$O$10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Model!$Q$13</definedName>
    <definedName name="solver_opt" localSheetId="1" hidden="1">'Model Stepulation 1'!$Q$13</definedName>
    <definedName name="solver_opt" localSheetId="2" hidden="1">'Model Stepulation 2'!$Q$13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2" localSheetId="0" hidden="1">4</definedName>
    <definedName name="solver_rel2" localSheetId="1" hidden="1">4</definedName>
    <definedName name="solver_rel2" localSheetId="2" hidden="1">4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hs1" localSheetId="0" hidden="1">Model!$C$12:$N$12</definedName>
    <definedName name="solver_rhs1" localSheetId="1" hidden="1">'Model Stepulation 1'!$C$12:$N$12</definedName>
    <definedName name="solver_rhs1" localSheetId="2" hidden="1">'Model Stepulation 2'!$C$12:$N$12</definedName>
    <definedName name="solver_rhs2" localSheetId="0" hidden="1">"integer"</definedName>
    <definedName name="solver_rhs2" localSheetId="1" hidden="1">"integer"</definedName>
    <definedName name="solver_rhs2" localSheetId="2" hidden="1">"integer"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</definedName>
    <definedName name="solver_tol" localSheetId="1" hidden="1">0</definedName>
    <definedName name="solver_tol" localSheetId="2" hidden="1">0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8" l="1"/>
  <c r="C11" i="5" a="1"/>
  <c r="C11" i="5" s="1"/>
  <c r="A11" i="5" a="1"/>
  <c r="A11" i="5" s="1"/>
  <c r="Q5" i="10"/>
  <c r="Q15" i="10"/>
  <c r="R5" i="10" s="1"/>
  <c r="N11" i="10"/>
  <c r="M11" i="10"/>
  <c r="L11" i="10"/>
  <c r="K11" i="10"/>
  <c r="J11" i="10"/>
  <c r="I11" i="10"/>
  <c r="H11" i="10"/>
  <c r="G11" i="10"/>
  <c r="F11" i="10"/>
  <c r="E11" i="10"/>
  <c r="D11" i="10"/>
  <c r="C11" i="10"/>
  <c r="P10" i="10"/>
  <c r="P9" i="10"/>
  <c r="P8" i="10"/>
  <c r="P7" i="10"/>
  <c r="P6" i="10"/>
  <c r="P5" i="10"/>
  <c r="Q5" i="8"/>
  <c r="P5" i="8" s="1"/>
  <c r="G3" i="4"/>
  <c r="N11" i="8"/>
  <c r="M11" i="8"/>
  <c r="L11" i="8"/>
  <c r="K11" i="8"/>
  <c r="J11" i="8"/>
  <c r="I11" i="8"/>
  <c r="H11" i="8"/>
  <c r="G11" i="8"/>
  <c r="F11" i="8"/>
  <c r="E11" i="8"/>
  <c r="D11" i="8"/>
  <c r="C11" i="8"/>
  <c r="P10" i="8"/>
  <c r="P9" i="8"/>
  <c r="P8" i="8"/>
  <c r="P7" i="8"/>
  <c r="P6" i="8"/>
  <c r="P10" i="7"/>
  <c r="P9" i="7"/>
  <c r="P8" i="7"/>
  <c r="P7" i="7"/>
  <c r="P6" i="7"/>
  <c r="P5" i="7"/>
  <c r="N11" i="7"/>
  <c r="M11" i="7"/>
  <c r="L11" i="7"/>
  <c r="K11" i="7"/>
  <c r="J11" i="7"/>
  <c r="I11" i="7"/>
  <c r="H11" i="7"/>
  <c r="G11" i="7"/>
  <c r="F11" i="7"/>
  <c r="E11" i="7"/>
  <c r="D11" i="7"/>
  <c r="C11" i="7"/>
  <c r="F6" i="4"/>
  <c r="I5" i="5"/>
  <c r="I4" i="5"/>
  <c r="I3" i="5"/>
  <c r="E3" i="5"/>
  <c r="E4" i="5"/>
  <c r="E5" i="5"/>
  <c r="E6" i="5"/>
  <c r="E2" i="5"/>
  <c r="F5" i="4"/>
  <c r="F4" i="4"/>
  <c r="F3" i="4"/>
  <c r="Q13" i="10" l="1"/>
  <c r="Q13" i="8"/>
  <c r="Q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<sst xmlns="http://schemas.openxmlformats.org/spreadsheetml/2006/main" count="140" uniqueCount="80">
  <si>
    <t>Available</t>
  </si>
  <si>
    <t>Required</t>
  </si>
  <si>
    <t>month</t>
  </si>
  <si>
    <t>foot_traffic</t>
  </si>
  <si>
    <t>employee</t>
  </si>
  <si>
    <t>monthly_salary</t>
  </si>
  <si>
    <t>Misty Mallow</t>
  </si>
  <si>
    <t>Candyfloss Claire</t>
  </si>
  <si>
    <t>Sunny Sassafras</t>
  </si>
  <si>
    <t>Zippy Licorice</t>
  </si>
  <si>
    <t>Nibbles Nectarine</t>
  </si>
  <si>
    <t>Chuck ChocoChip</t>
  </si>
  <si>
    <t>Truffle Tilda</t>
  </si>
  <si>
    <t>Bubbles Butterbean</t>
  </si>
  <si>
    <t>Marshmallow Molly</t>
  </si>
  <si>
    <t>Lolly McSprinkle</t>
  </si>
  <si>
    <t>Poppi Lollipop</t>
  </si>
  <si>
    <t>Whirly Winnie</t>
  </si>
  <si>
    <t>Benny Bonbon</t>
  </si>
  <si>
    <t>Sugarplum Sally</t>
  </si>
  <si>
    <t>Tina Tootsie</t>
  </si>
  <si>
    <t>Gummy Gus</t>
  </si>
  <si>
    <t>Gumdrop Grace</t>
  </si>
  <si>
    <t>Twizzle Taffeta</t>
  </si>
  <si>
    <t>Snickersnack Sam</t>
  </si>
  <si>
    <t>Chuckles Choco</t>
  </si>
  <si>
    <t>Maple Marshmallow</t>
  </si>
  <si>
    <t>Bonbon Bella</t>
  </si>
  <si>
    <t>Dottie Dotsworth</t>
  </si>
  <si>
    <t>Pixie Peppermint</t>
  </si>
  <si>
    <t>Fizzabelle Pop</t>
  </si>
  <si>
    <t>Tootsie McGiggly</t>
  </si>
  <si>
    <t>Jellybean Juniper</t>
  </si>
  <si>
    <t>Nougat Nelly</t>
  </si>
  <si>
    <t>Nifty Nougatine</t>
  </si>
  <si>
    <t>Ginger Gumdrop</t>
  </si>
  <si>
    <t>Sassy Sourstripe</t>
  </si>
  <si>
    <t>Crispy Crumbcatcher</t>
  </si>
  <si>
    <t>agency</t>
  </si>
  <si>
    <t>beginning_month_of_service</t>
  </si>
  <si>
    <t>duration_of_service</t>
  </si>
  <si>
    <t>The Peppermint Post</t>
  </si>
  <si>
    <t>The Fudge Fable</t>
  </si>
  <si>
    <t>Mallow &amp; Mischief</t>
  </si>
  <si>
    <t>The Chocolate Chortle</t>
  </si>
  <si>
    <t>Whisker Licks</t>
  </si>
  <si>
    <t>Workers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</si>
  <si>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</si>
  <si>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</si>
  <si>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</si>
  <si>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</si>
  <si>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</si>
  <si>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</si>
  <si>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</si>
  <si>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</si>
  <si>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</si>
  <si>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</si>
  <si>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</si>
  <si>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</si>
  <si>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Fulltime</t>
  </si>
  <si>
    <t>Workers Schedule</t>
  </si>
  <si>
    <t>Total</t>
  </si>
  <si>
    <t>Parameter</t>
  </si>
  <si>
    <t>Monthly Salary</t>
  </si>
  <si>
    <t>Mean</t>
  </si>
  <si>
    <t>Max</t>
  </si>
  <si>
    <t>Min</t>
  </si>
  <si>
    <t>Salary Paid for Duration</t>
  </si>
  <si>
    <t>Number of employees</t>
  </si>
  <si>
    <t>Costs</t>
  </si>
  <si>
    <t>Salary Reduced to 80%</t>
  </si>
  <si>
    <t>Full time worker
Average Salary</t>
  </si>
  <si>
    <t>Full time worker
Average Salary After cutting out temporary workers</t>
  </si>
  <si>
    <t>Agency</t>
  </si>
  <si>
    <t>Months off</t>
  </si>
  <si>
    <t>Apr-Jan</t>
  </si>
  <si>
    <t>Dec-Aug</t>
  </si>
  <si>
    <t>Nov-Jul</t>
  </si>
  <si>
    <t>Aug-Apr</t>
  </si>
  <si>
    <t>Mar-Nov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</si>
</sst>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-[$$-45C]* #,##0.00_-;\-[$$-45C]* #,##0.00_-;_-[$$-45C]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44" fontId="0" fillId="0" borderId="0" xfId="1" applyFont="1"/>
    <xf numFmtId="0" fontId="0" fillId="0" borderId="0" xfId="1" applyNumberFormat="1" applyFont="1"/>
    <xf numFmtId="0" fontId="0" fillId="0" borderId="11" xfId="0" applyBorder="1"/>
    <xf numFmtId="2" fontId="0" fillId="0" borderId="11" xfId="0" applyNumberFormat="1" applyBorder="1"/>
    <xf numFmtId="44" fontId="8" fillId="3" borderId="20" xfId="1" applyFont="1" applyFill="1" applyBorder="1"/>
    <xf numFmtId="0" fontId="8" fillId="3" borderId="13" xfId="0" applyFont="1" applyFill="1" applyBorder="1" applyAlignment="1">
      <alignment horizontal="center"/>
    </xf>
    <xf numFmtId="44" fontId="8" fillId="5" borderId="0" xfId="0" applyNumberFormat="1" applyFont="1" applyFill="1"/>
    <xf numFmtId="0" fontId="2" fillId="7" borderId="13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4" fillId="0" borderId="11" xfId="0" applyNumberFormat="1" applyFont="1" applyBorder="1" applyAlignment="1">
      <alignment horizontal="center"/>
    </xf>
    <xf numFmtId="0" fontId="0" fillId="2" borderId="3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2" fillId="7" borderId="32" xfId="0" applyFont="1" applyFill="1" applyBorder="1"/>
    <xf numFmtId="16" fontId="0" fillId="0" borderId="11" xfId="0" applyNumberForma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2" fillId="6" borderId="24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44" fontId="8" fillId="6" borderId="26" xfId="1" applyFont="1" applyFill="1" applyBorder="1" applyAlignment="1">
      <alignment vertical="center"/>
    </xf>
    <xf numFmtId="44" fontId="8" fillId="6" borderId="28" xfId="1" applyFont="1" applyFill="1" applyBorder="1" applyAlignment="1">
      <alignment vertical="center"/>
    </xf>
    <xf numFmtId="44" fontId="8" fillId="6" borderId="27" xfId="1" applyFont="1" applyFill="1" applyBorder="1" applyAlignment="1">
      <alignment vertical="center"/>
    </xf>
    <xf numFmtId="0" fontId="2" fillId="6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44" fontId="8" fillId="6" borderId="26" xfId="0" applyNumberFormat="1" applyFont="1" applyFill="1" applyBorder="1" applyAlignment="1">
      <alignment vertical="center"/>
    </xf>
    <xf numFmtId="0" fontId="8" fillId="6" borderId="28" xfId="0" applyFont="1" applyFill="1" applyBorder="1" applyAlignment="1">
      <alignment vertical="center"/>
    </xf>
    <xf numFmtId="0" fontId="8" fillId="6" borderId="27" xfId="0" applyFont="1" applyFill="1" applyBorder="1" applyAlignment="1">
      <alignment vertical="center"/>
    </xf>
    <xf numFmtId="2" fontId="0" fillId="0" borderId="1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5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0" fontId="5" fillId="2" borderId="19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/>
    </xf>
    <xf numFmtId="44" fontId="6" fillId="2" borderId="19" xfId="1" applyFont="1" applyFill="1" applyBorder="1"/>
    <xf numFmtId="44" fontId="6" fillId="2" borderId="19" xfId="1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44" fontId="6" fillId="2" borderId="22" xfId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44" fontId="6" fillId="2" borderId="12" xfId="1" applyFont="1" applyFill="1" applyBorder="1"/>
    <xf numFmtId="44" fontId="6" fillId="2" borderId="12" xfId="1" applyFont="1" applyFill="1" applyBorder="1" applyAlignment="1">
      <alignment horizontal="center"/>
    </xf>
    <xf numFmtId="44" fontId="6" fillId="2" borderId="29" xfId="1" applyFont="1" applyFill="1" applyBorder="1" applyAlignment="1">
      <alignment horizontal="center"/>
    </xf>
    <xf numFmtId="0" fontId="7" fillId="0" borderId="0" xfId="0" applyFont="1" applyFill="1"/>
    <xf numFmtId="44" fontId="8" fillId="0" borderId="1" xfId="1" applyFont="1" applyFill="1" applyBorder="1"/>
    <xf numFmtId="44" fontId="8" fillId="0" borderId="0" xfId="1" applyFont="1" applyFill="1" applyBorder="1"/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  <a:r>
              <a:rPr lang="en-US" baseline="0"/>
              <a:t> month Foot_Traffic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C000">
                  <a:alpha val="94000"/>
                </a:srgbClr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'Estimated Foot Traffic 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'Estimated Foot Traffic '!$B$2:$B$13</c:f>
              <c:numCache>
                <c:formatCode>General</c:formatCode>
                <c:ptCount val="12"/>
                <c:pt idx="0">
                  <c:v>218</c:v>
                </c:pt>
                <c:pt idx="1">
                  <c:v>299</c:v>
                </c:pt>
                <c:pt idx="2">
                  <c:v>412</c:v>
                </c:pt>
                <c:pt idx="3">
                  <c:v>461</c:v>
                </c:pt>
                <c:pt idx="4">
                  <c:v>404</c:v>
                </c:pt>
                <c:pt idx="5">
                  <c:v>298</c:v>
                </c:pt>
                <c:pt idx="6">
                  <c:v>249</c:v>
                </c:pt>
                <c:pt idx="7">
                  <c:v>313</c:v>
                </c:pt>
                <c:pt idx="8">
                  <c:v>445</c:v>
                </c:pt>
                <c:pt idx="9">
                  <c:v>531</c:v>
                </c:pt>
                <c:pt idx="10">
                  <c:v>497</c:v>
                </c:pt>
                <c:pt idx="11">
                  <c:v>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E9-495F-A9E0-4DFA672A6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039872"/>
        <c:axId val="670084480"/>
      </c:scatterChart>
      <c:valAx>
        <c:axId val="6060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chemeClr val="tx1"/>
                    </a:solidFill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084480"/>
        <c:crosses val="autoZero"/>
        <c:crossBetween val="midCat"/>
      </c:valAx>
      <c:valAx>
        <c:axId val="67008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Foot_Traffic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3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  <a:r>
              <a:rPr lang="en-US" baseline="0"/>
              <a:t> month Foot_Traffic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C000">
                  <a:alpha val="94000"/>
                </a:srgbClr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'Estimated Foot Traffic 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'Estimated Foot Traffic '!$B$2:$B$13</c:f>
              <c:numCache>
                <c:formatCode>General</c:formatCode>
                <c:ptCount val="12"/>
                <c:pt idx="0">
                  <c:v>218</c:v>
                </c:pt>
                <c:pt idx="1">
                  <c:v>299</c:v>
                </c:pt>
                <c:pt idx="2">
                  <c:v>412</c:v>
                </c:pt>
                <c:pt idx="3">
                  <c:v>461</c:v>
                </c:pt>
                <c:pt idx="4">
                  <c:v>404</c:v>
                </c:pt>
                <c:pt idx="5">
                  <c:v>298</c:v>
                </c:pt>
                <c:pt idx="6">
                  <c:v>249</c:v>
                </c:pt>
                <c:pt idx="7">
                  <c:v>313</c:v>
                </c:pt>
                <c:pt idx="8">
                  <c:v>445</c:v>
                </c:pt>
                <c:pt idx="9">
                  <c:v>531</c:v>
                </c:pt>
                <c:pt idx="10">
                  <c:v>497</c:v>
                </c:pt>
                <c:pt idx="11">
                  <c:v>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0A-4A2A-BB83-365AF3903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039872"/>
        <c:axId val="670084480"/>
      </c:scatterChart>
      <c:valAx>
        <c:axId val="6060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chemeClr val="tx1"/>
                    </a:solidFill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084480"/>
        <c:crosses val="autoZero"/>
        <c:crossBetween val="midCat"/>
      </c:valAx>
      <c:valAx>
        <c:axId val="67008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Foot_Traffic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3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8</xdr:col>
      <xdr:colOff>733425</xdr:colOff>
      <xdr:row>22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F22ED8-9FB2-40EA-820A-32F42225E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3</xdr:row>
      <xdr:rowOff>61912</xdr:rowOff>
    </xdr:from>
    <xdr:to>
      <xdr:col>9</xdr:col>
      <xdr:colOff>133350</xdr:colOff>
      <xdr:row>17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AD710-634A-7E89-DEA0-73E3D1B3B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B212-3DF4-4F62-B45D-F582A871CAC8}">
  <dimension ref="B2:Q14"/>
  <sheetViews>
    <sheetView tabSelected="1" workbookViewId="0">
      <selection activeCell="N49" sqref="N49"/>
    </sheetView>
  </sheetViews>
  <sheetFormatPr baseColWidth="10" defaultColWidth="8.83203125" defaultRowHeight="15" x14ac:dyDescent="0.2"/>
  <cols>
    <col min="1" max="1" width="5" customWidth="1"/>
    <col min="2" max="2" width="23.33203125" bestFit="1" customWidth="1"/>
    <col min="11" max="11" width="11" bestFit="1" customWidth="1"/>
    <col min="13" max="14" width="10.5" bestFit="1" customWidth="1"/>
    <col min="16" max="16" width="12.5" bestFit="1" customWidth="1"/>
    <col min="17" max="17" width="21.1640625" bestFit="1" customWidth="1"/>
  </cols>
  <sheetData>
    <row r="2" spans="2:17" ht="16" thickBot="1" x14ac:dyDescent="0.25"/>
    <row r="3" spans="2:17" ht="17" thickTop="1" thickBot="1" x14ac:dyDescent="0.25"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51" t="s">
        <v>60</v>
      </c>
      <c r="P3" s="52" t="s">
        <v>69</v>
      </c>
      <c r="Q3" s="36"/>
    </row>
    <row r="4" spans="2:17" ht="17" thickTop="1" thickBot="1" x14ac:dyDescent="0.25">
      <c r="B4" s="49" t="s">
        <v>46</v>
      </c>
      <c r="C4" s="60" t="s">
        <v>47</v>
      </c>
      <c r="D4" s="61" t="s">
        <v>48</v>
      </c>
      <c r="E4" s="61" t="s">
        <v>49</v>
      </c>
      <c r="F4" s="61" t="s">
        <v>50</v>
      </c>
      <c r="G4" s="61" t="s">
        <v>51</v>
      </c>
      <c r="H4" s="61" t="s">
        <v>52</v>
      </c>
      <c r="I4" s="61" t="s">
        <v>53</v>
      </c>
      <c r="J4" s="61" t="s">
        <v>54</v>
      </c>
      <c r="K4" s="61" t="s">
        <v>55</v>
      </c>
      <c r="L4" s="61" t="s">
        <v>56</v>
      </c>
      <c r="M4" s="61" t="s">
        <v>57</v>
      </c>
      <c r="N4" s="62" t="s">
        <v>58</v>
      </c>
      <c r="O4" s="53"/>
      <c r="P4" s="54"/>
      <c r="Q4" s="36"/>
    </row>
    <row r="5" spans="2:17" ht="16" thickTop="1" x14ac:dyDescent="0.2">
      <c r="B5" s="50" t="s">
        <v>59</v>
      </c>
      <c r="C5" s="5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7">
        <v>1</v>
      </c>
      <c r="O5" s="55">
        <v>461</v>
      </c>
      <c r="P5" s="56">
        <f>'Full Time Salaries '!$F$3*12</f>
        <v>109139.99625</v>
      </c>
      <c r="Q5" s="19"/>
    </row>
    <row r="6" spans="2:17" x14ac:dyDescent="0.2">
      <c r="B6" s="50" t="s">
        <v>41</v>
      </c>
      <c r="C6" s="8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1</v>
      </c>
      <c r="L6" s="9">
        <v>1</v>
      </c>
      <c r="M6" s="9">
        <v>1</v>
      </c>
      <c r="N6" s="10">
        <v>0</v>
      </c>
      <c r="O6" s="55">
        <v>70</v>
      </c>
      <c r="P6" s="57">
        <f>'Temporary Workers '!$D$2*3</f>
        <v>29991</v>
      </c>
    </row>
    <row r="7" spans="2:17" x14ac:dyDescent="0.2">
      <c r="B7" s="50" t="s">
        <v>42</v>
      </c>
      <c r="C7" s="8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1</v>
      </c>
      <c r="K7" s="9">
        <v>1</v>
      </c>
      <c r="L7" s="9">
        <v>1</v>
      </c>
      <c r="M7" s="9">
        <v>0</v>
      </c>
      <c r="N7" s="10">
        <v>0</v>
      </c>
      <c r="O7" s="55">
        <v>0</v>
      </c>
      <c r="P7" s="57">
        <f>'Temporary Workers '!$D$3*3</f>
        <v>38811</v>
      </c>
    </row>
    <row r="8" spans="2:17" x14ac:dyDescent="0.2">
      <c r="B8" s="50" t="s">
        <v>43</v>
      </c>
      <c r="C8" s="8">
        <v>0</v>
      </c>
      <c r="D8" s="9">
        <v>1</v>
      </c>
      <c r="E8" s="9">
        <v>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10">
        <v>0</v>
      </c>
      <c r="O8" s="55">
        <v>0</v>
      </c>
      <c r="P8" s="57">
        <f>'Temporary Workers '!$D$4*2</f>
        <v>25248</v>
      </c>
    </row>
    <row r="9" spans="2:17" x14ac:dyDescent="0.2">
      <c r="B9" s="50" t="s">
        <v>44</v>
      </c>
      <c r="C9" s="8">
        <v>0</v>
      </c>
      <c r="D9" s="9">
        <v>0</v>
      </c>
      <c r="E9" s="9">
        <v>0</v>
      </c>
      <c r="F9" s="9">
        <v>0</v>
      </c>
      <c r="G9" s="9">
        <v>1</v>
      </c>
      <c r="H9" s="9">
        <v>1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10">
        <v>0</v>
      </c>
      <c r="O9" s="55">
        <v>0</v>
      </c>
      <c r="P9" s="57">
        <f>'Temporary Workers '!$D$5*3</f>
        <v>38382</v>
      </c>
    </row>
    <row r="10" spans="2:17" ht="16" thickBot="1" x14ac:dyDescent="0.25">
      <c r="B10" s="50" t="s">
        <v>45</v>
      </c>
      <c r="C10" s="8">
        <v>1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10">
        <v>1</v>
      </c>
      <c r="O10" s="58">
        <v>0</v>
      </c>
      <c r="P10" s="59">
        <f>'Temporary Workers '!$D$6*3</f>
        <v>40026</v>
      </c>
    </row>
    <row r="11" spans="2:17" ht="17" thickTop="1" thickBot="1" x14ac:dyDescent="0.25">
      <c r="B11" s="11" t="s">
        <v>0</v>
      </c>
      <c r="C11" s="12">
        <f>SUMPRODUCT(C5:C10,$O$5:$O$10)</f>
        <v>461</v>
      </c>
      <c r="D11" s="13">
        <f t="shared" ref="D11:N11" si="0">SUMPRODUCT(D5:D10,$O$5:$O$10)</f>
        <v>461</v>
      </c>
      <c r="E11" s="13">
        <f t="shared" si="0"/>
        <v>461</v>
      </c>
      <c r="F11" s="13">
        <f t="shared" si="0"/>
        <v>461</v>
      </c>
      <c r="G11" s="13">
        <f t="shared" si="0"/>
        <v>461</v>
      </c>
      <c r="H11" s="13">
        <f t="shared" si="0"/>
        <v>461</v>
      </c>
      <c r="I11" s="13">
        <f t="shared" si="0"/>
        <v>461</v>
      </c>
      <c r="J11" s="13">
        <f t="shared" si="0"/>
        <v>461</v>
      </c>
      <c r="K11" s="13">
        <f t="shared" si="0"/>
        <v>531</v>
      </c>
      <c r="L11" s="13">
        <f t="shared" si="0"/>
        <v>531</v>
      </c>
      <c r="M11" s="13">
        <f t="shared" si="0"/>
        <v>531</v>
      </c>
      <c r="N11" s="14">
        <f t="shared" si="0"/>
        <v>461</v>
      </c>
      <c r="O11" s="1"/>
      <c r="P11" s="20"/>
    </row>
    <row r="12" spans="2:17" ht="17" thickTop="1" thickBot="1" x14ac:dyDescent="0.25">
      <c r="B12" s="15" t="s">
        <v>1</v>
      </c>
      <c r="C12" s="16">
        <v>218</v>
      </c>
      <c r="D12" s="17">
        <v>299</v>
      </c>
      <c r="E12" s="17">
        <v>412</v>
      </c>
      <c r="F12" s="17">
        <v>461</v>
      </c>
      <c r="G12" s="17">
        <v>404</v>
      </c>
      <c r="H12" s="17">
        <v>298</v>
      </c>
      <c r="I12" s="17">
        <v>249</v>
      </c>
      <c r="J12" s="17">
        <v>313</v>
      </c>
      <c r="K12" s="17">
        <v>445</v>
      </c>
      <c r="L12" s="17">
        <v>531</v>
      </c>
      <c r="M12" s="17">
        <v>497</v>
      </c>
      <c r="N12" s="18">
        <v>377</v>
      </c>
    </row>
    <row r="13" spans="2:17" ht="19" thickTop="1" thickBot="1" x14ac:dyDescent="0.25">
      <c r="P13" s="24" t="s">
        <v>61</v>
      </c>
      <c r="Q13" s="23">
        <f>SUMPRODUCT(O5:O10,P5:P10)</f>
        <v>52412908.271250002</v>
      </c>
    </row>
    <row r="14" spans="2:17" ht="16" thickTop="1" x14ac:dyDescent="0.2"/>
  </sheetData>
  <mergeCells count="3">
    <mergeCell ref="O3:O4"/>
    <mergeCell ref="P3:P4"/>
    <mergeCell ref="Q3:Q4"/>
  </mergeCells>
  <conditionalFormatting sqref="C5:N10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D703-EE67-416B-AD75-9CD11C793DBF}">
  <dimension ref="B2:Q15"/>
  <sheetViews>
    <sheetView topLeftCell="A2" workbookViewId="0">
      <selection activeCell="Q34" sqref="Q34"/>
    </sheetView>
  </sheetViews>
  <sheetFormatPr baseColWidth="10" defaultColWidth="8.83203125" defaultRowHeight="15" x14ac:dyDescent="0.2"/>
  <cols>
    <col min="2" max="2" width="21.5" customWidth="1"/>
    <col min="11" max="11" width="11" bestFit="1" customWidth="1"/>
    <col min="13" max="14" width="10.5" bestFit="1" customWidth="1"/>
    <col min="16" max="16" width="12.5" bestFit="1" customWidth="1"/>
    <col min="17" max="17" width="24.33203125" customWidth="1"/>
  </cols>
  <sheetData>
    <row r="2" spans="2:17" ht="16" thickBot="1" x14ac:dyDescent="0.25"/>
    <row r="3" spans="2:17" ht="17" thickTop="1" thickBot="1" x14ac:dyDescent="0.25"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51" t="s">
        <v>60</v>
      </c>
      <c r="P3" s="52" t="s">
        <v>69</v>
      </c>
      <c r="Q3" s="36"/>
    </row>
    <row r="4" spans="2:17" ht="17" thickTop="1" thickBot="1" x14ac:dyDescent="0.25">
      <c r="B4" s="49" t="s">
        <v>46</v>
      </c>
      <c r="C4" s="60" t="s">
        <v>47</v>
      </c>
      <c r="D4" s="61" t="s">
        <v>48</v>
      </c>
      <c r="E4" s="61" t="s">
        <v>49</v>
      </c>
      <c r="F4" s="61" t="s">
        <v>50</v>
      </c>
      <c r="G4" s="61" t="s">
        <v>51</v>
      </c>
      <c r="H4" s="61" t="s">
        <v>52</v>
      </c>
      <c r="I4" s="61" t="s">
        <v>53</v>
      </c>
      <c r="J4" s="61" t="s">
        <v>54</v>
      </c>
      <c r="K4" s="61" t="s">
        <v>55</v>
      </c>
      <c r="L4" s="61" t="s">
        <v>56</v>
      </c>
      <c r="M4" s="61" t="s">
        <v>57</v>
      </c>
      <c r="N4" s="62" t="s">
        <v>58</v>
      </c>
      <c r="O4" s="53"/>
      <c r="P4" s="54"/>
      <c r="Q4" s="36"/>
    </row>
    <row r="5" spans="2:17" ht="16" thickTop="1" x14ac:dyDescent="0.2">
      <c r="B5" s="50" t="s">
        <v>59</v>
      </c>
      <c r="C5" s="5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7">
        <v>1</v>
      </c>
      <c r="O5" s="55">
        <v>461</v>
      </c>
      <c r="P5" s="56">
        <f>$Q$5*12</f>
        <v>87311.997000000003</v>
      </c>
      <c r="Q5" s="19">
        <f>'Full Time Salaries '!$F$3*0.8</f>
        <v>7275.9997499999999</v>
      </c>
    </row>
    <row r="6" spans="2:17" x14ac:dyDescent="0.2">
      <c r="B6" s="50" t="s">
        <v>41</v>
      </c>
      <c r="C6" s="8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1</v>
      </c>
      <c r="L6" s="9">
        <v>1</v>
      </c>
      <c r="M6" s="9">
        <v>1</v>
      </c>
      <c r="N6" s="10">
        <v>0</v>
      </c>
      <c r="O6" s="55">
        <v>70</v>
      </c>
      <c r="P6" s="57">
        <f>'Temporary Workers '!$D$2*3</f>
        <v>29991</v>
      </c>
    </row>
    <row r="7" spans="2:17" x14ac:dyDescent="0.2">
      <c r="B7" s="50" t="s">
        <v>42</v>
      </c>
      <c r="C7" s="8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1</v>
      </c>
      <c r="K7" s="9">
        <v>1</v>
      </c>
      <c r="L7" s="9">
        <v>1</v>
      </c>
      <c r="M7" s="9">
        <v>0</v>
      </c>
      <c r="N7" s="10">
        <v>0</v>
      </c>
      <c r="O7" s="55">
        <v>0</v>
      </c>
      <c r="P7" s="57">
        <f>'Temporary Workers '!$D$3*3</f>
        <v>38811</v>
      </c>
    </row>
    <row r="8" spans="2:17" x14ac:dyDescent="0.2">
      <c r="B8" s="50" t="s">
        <v>43</v>
      </c>
      <c r="C8" s="8">
        <v>0</v>
      </c>
      <c r="D8" s="9">
        <v>1</v>
      </c>
      <c r="E8" s="9">
        <v>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10">
        <v>0</v>
      </c>
      <c r="O8" s="55">
        <v>0</v>
      </c>
      <c r="P8" s="57">
        <f>'Temporary Workers '!$D$4*2</f>
        <v>25248</v>
      </c>
    </row>
    <row r="9" spans="2:17" x14ac:dyDescent="0.2">
      <c r="B9" s="50" t="s">
        <v>44</v>
      </c>
      <c r="C9" s="8">
        <v>0</v>
      </c>
      <c r="D9" s="9">
        <v>0</v>
      </c>
      <c r="E9" s="9">
        <v>0</v>
      </c>
      <c r="F9" s="9">
        <v>0</v>
      </c>
      <c r="G9" s="9">
        <v>1</v>
      </c>
      <c r="H9" s="9">
        <v>1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10">
        <v>0</v>
      </c>
      <c r="O9" s="55">
        <v>0</v>
      </c>
      <c r="P9" s="57">
        <f>'Temporary Workers '!$D$5*3</f>
        <v>38382</v>
      </c>
    </row>
    <row r="10" spans="2:17" ht="16" thickBot="1" x14ac:dyDescent="0.25">
      <c r="B10" s="50" t="s">
        <v>45</v>
      </c>
      <c r="C10" s="8">
        <v>1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10">
        <v>1</v>
      </c>
      <c r="O10" s="58">
        <v>0</v>
      </c>
      <c r="P10" s="59">
        <f>'Temporary Workers '!$D$6*3</f>
        <v>40026</v>
      </c>
    </row>
    <row r="11" spans="2:17" ht="17" thickTop="1" thickBot="1" x14ac:dyDescent="0.25">
      <c r="B11" s="11" t="s">
        <v>0</v>
      </c>
      <c r="C11" s="12">
        <f>SUMPRODUCT(C5:C10,$O$5:$O$10)</f>
        <v>461</v>
      </c>
      <c r="D11" s="13">
        <f t="shared" ref="D11:N11" si="0">SUMPRODUCT(D5:D10,$O$5:$O$10)</f>
        <v>461</v>
      </c>
      <c r="E11" s="13">
        <f t="shared" si="0"/>
        <v>461</v>
      </c>
      <c r="F11" s="13">
        <f t="shared" si="0"/>
        <v>461</v>
      </c>
      <c r="G11" s="13">
        <f t="shared" si="0"/>
        <v>461</v>
      </c>
      <c r="H11" s="13">
        <f t="shared" si="0"/>
        <v>461</v>
      </c>
      <c r="I11" s="13">
        <f t="shared" si="0"/>
        <v>461</v>
      </c>
      <c r="J11" s="13">
        <f t="shared" si="0"/>
        <v>461</v>
      </c>
      <c r="K11" s="13">
        <f t="shared" si="0"/>
        <v>531</v>
      </c>
      <c r="L11" s="13">
        <f t="shared" si="0"/>
        <v>531</v>
      </c>
      <c r="M11" s="13">
        <f t="shared" si="0"/>
        <v>531</v>
      </c>
      <c r="N11" s="14">
        <f t="shared" si="0"/>
        <v>461</v>
      </c>
      <c r="O11" s="1"/>
      <c r="P11" s="20"/>
    </row>
    <row r="12" spans="2:17" ht="17" thickTop="1" thickBot="1" x14ac:dyDescent="0.25">
      <c r="B12" s="15" t="s">
        <v>1</v>
      </c>
      <c r="C12" s="16">
        <v>218</v>
      </c>
      <c r="D12" s="17">
        <v>299</v>
      </c>
      <c r="E12" s="17">
        <v>412</v>
      </c>
      <c r="F12" s="17">
        <v>461</v>
      </c>
      <c r="G12" s="17">
        <v>404</v>
      </c>
      <c r="H12" s="17">
        <v>298</v>
      </c>
      <c r="I12" s="17">
        <v>249</v>
      </c>
      <c r="J12" s="17">
        <v>313</v>
      </c>
      <c r="K12" s="17">
        <v>445</v>
      </c>
      <c r="L12" s="17">
        <v>531</v>
      </c>
      <c r="M12" s="17">
        <v>497</v>
      </c>
      <c r="N12" s="18">
        <v>377</v>
      </c>
    </row>
    <row r="13" spans="2:17" ht="19" thickTop="1" thickBot="1" x14ac:dyDescent="0.25">
      <c r="P13" s="24" t="s">
        <v>61</v>
      </c>
      <c r="Q13" s="23">
        <f>SUMPRODUCT(O5:O10,P5:P10)</f>
        <v>42350200.616999999</v>
      </c>
    </row>
    <row r="14" spans="2:17" ht="16" thickTop="1" x14ac:dyDescent="0.2"/>
    <row r="15" spans="2:17" ht="17" x14ac:dyDescent="0.2">
      <c r="K15" s="37"/>
      <c r="L15" s="37"/>
      <c r="M15" s="37"/>
      <c r="N15" s="37"/>
      <c r="O15" s="37"/>
      <c r="P15" s="37"/>
      <c r="Q15" s="25">
        <f>ABS(Model!$Q$13-'Model Stepulation 1'!$Q$13)</f>
        <v>10062707.654250003</v>
      </c>
    </row>
  </sheetData>
  <mergeCells count="4">
    <mergeCell ref="O3:O4"/>
    <mergeCell ref="P3:P4"/>
    <mergeCell ref="Q3:Q4"/>
    <mergeCell ref="K15:P15"/>
  </mergeCells>
  <conditionalFormatting sqref="C5:N1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5E83-FD56-4AA9-9715-6EE1738F55D3}">
  <dimension ref="B2:R17"/>
  <sheetViews>
    <sheetView workbookViewId="0">
      <selection activeCell="O17" sqref="O17"/>
    </sheetView>
  </sheetViews>
  <sheetFormatPr baseColWidth="10" defaultColWidth="8.83203125" defaultRowHeight="15" x14ac:dyDescent="0.2"/>
  <cols>
    <col min="1" max="1" width="5" customWidth="1"/>
    <col min="2" max="2" width="23.33203125" bestFit="1" customWidth="1"/>
    <col min="11" max="11" width="11" bestFit="1" customWidth="1"/>
    <col min="13" max="14" width="10.5" bestFit="1" customWidth="1"/>
    <col min="16" max="16" width="18.5" customWidth="1"/>
    <col min="17" max="17" width="21.1640625" bestFit="1" customWidth="1"/>
    <col min="18" max="18" width="29.5" customWidth="1"/>
  </cols>
  <sheetData>
    <row r="2" spans="2:18" ht="16" thickBot="1" x14ac:dyDescent="0.25"/>
    <row r="3" spans="2:18" ht="17" thickTop="1" thickBot="1" x14ac:dyDescent="0.25"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51" t="s">
        <v>60</v>
      </c>
      <c r="P3" s="66" t="s">
        <v>69</v>
      </c>
      <c r="Q3" s="38" t="s">
        <v>71</v>
      </c>
      <c r="R3" s="43" t="s">
        <v>72</v>
      </c>
    </row>
    <row r="4" spans="2:18" ht="32.25" customHeight="1" thickTop="1" thickBot="1" x14ac:dyDescent="0.25">
      <c r="B4" s="49" t="s">
        <v>46</v>
      </c>
      <c r="C4" s="63" t="s">
        <v>47</v>
      </c>
      <c r="D4" s="64" t="s">
        <v>48</v>
      </c>
      <c r="E4" s="64" t="s">
        <v>49</v>
      </c>
      <c r="F4" s="64" t="s">
        <v>50</v>
      </c>
      <c r="G4" s="64" t="s">
        <v>51</v>
      </c>
      <c r="H4" s="64" t="s">
        <v>52</v>
      </c>
      <c r="I4" s="64" t="s">
        <v>53</v>
      </c>
      <c r="J4" s="64" t="s">
        <v>54</v>
      </c>
      <c r="K4" s="64" t="s">
        <v>55</v>
      </c>
      <c r="L4" s="64" t="s">
        <v>56</v>
      </c>
      <c r="M4" s="64" t="s">
        <v>57</v>
      </c>
      <c r="N4" s="65" t="s">
        <v>58</v>
      </c>
      <c r="O4" s="53"/>
      <c r="P4" s="67"/>
      <c r="Q4" s="39"/>
      <c r="R4" s="44"/>
    </row>
    <row r="5" spans="2:18" ht="16" thickTop="1" x14ac:dyDescent="0.2">
      <c r="B5" s="50" t="s">
        <v>59</v>
      </c>
      <c r="C5" s="5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7">
        <v>1</v>
      </c>
      <c r="O5" s="55">
        <v>461</v>
      </c>
      <c r="P5" s="68">
        <f>'Full Time Salaries '!$F$3*12</f>
        <v>109139.99625</v>
      </c>
      <c r="Q5" s="40">
        <f>'Full Time Salaries '!F3</f>
        <v>9094.9996874999997</v>
      </c>
      <c r="R5" s="45">
        <f>$Q$5+($Q$15/$O$5)</f>
        <v>13648.947626762472</v>
      </c>
    </row>
    <row r="6" spans="2:18" x14ac:dyDescent="0.2">
      <c r="B6" s="50" t="s">
        <v>41</v>
      </c>
      <c r="C6" s="8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1</v>
      </c>
      <c r="L6" s="9">
        <v>1</v>
      </c>
      <c r="M6" s="9">
        <v>1</v>
      </c>
      <c r="N6" s="10">
        <v>0</v>
      </c>
      <c r="O6" s="55">
        <v>70</v>
      </c>
      <c r="P6" s="69">
        <f>'Temporary Workers '!$D$2*3</f>
        <v>29991</v>
      </c>
      <c r="Q6" s="41"/>
      <c r="R6" s="46"/>
    </row>
    <row r="7" spans="2:18" x14ac:dyDescent="0.2">
      <c r="B7" s="50" t="s">
        <v>42</v>
      </c>
      <c r="C7" s="8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1</v>
      </c>
      <c r="K7" s="9">
        <v>1</v>
      </c>
      <c r="L7" s="9">
        <v>1</v>
      </c>
      <c r="M7" s="9">
        <v>0</v>
      </c>
      <c r="N7" s="10">
        <v>0</v>
      </c>
      <c r="O7" s="55">
        <v>0</v>
      </c>
      <c r="P7" s="69">
        <f>'Temporary Workers '!$D$3*3</f>
        <v>38811</v>
      </c>
      <c r="Q7" s="41"/>
      <c r="R7" s="46"/>
    </row>
    <row r="8" spans="2:18" x14ac:dyDescent="0.2">
      <c r="B8" s="50" t="s">
        <v>43</v>
      </c>
      <c r="C8" s="8">
        <v>0</v>
      </c>
      <c r="D8" s="9">
        <v>1</v>
      </c>
      <c r="E8" s="9">
        <v>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10">
        <v>0</v>
      </c>
      <c r="O8" s="55">
        <v>0</v>
      </c>
      <c r="P8" s="69">
        <f>'Temporary Workers '!$D$4*2</f>
        <v>25248</v>
      </c>
      <c r="Q8" s="41"/>
      <c r="R8" s="46"/>
    </row>
    <row r="9" spans="2:18" x14ac:dyDescent="0.2">
      <c r="B9" s="50" t="s">
        <v>44</v>
      </c>
      <c r="C9" s="8">
        <v>0</v>
      </c>
      <c r="D9" s="9">
        <v>0</v>
      </c>
      <c r="E9" s="9">
        <v>0</v>
      </c>
      <c r="F9" s="9">
        <v>0</v>
      </c>
      <c r="G9" s="9">
        <v>1</v>
      </c>
      <c r="H9" s="9">
        <v>1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10">
        <v>0</v>
      </c>
      <c r="O9" s="55">
        <v>0</v>
      </c>
      <c r="P9" s="69">
        <f>'Temporary Workers '!$D$5*3</f>
        <v>38382</v>
      </c>
      <c r="Q9" s="41"/>
      <c r="R9" s="46"/>
    </row>
    <row r="10" spans="2:18" ht="16" thickBot="1" x14ac:dyDescent="0.25">
      <c r="B10" s="50" t="s">
        <v>45</v>
      </c>
      <c r="C10" s="8">
        <v>1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10">
        <v>1</v>
      </c>
      <c r="O10" s="58">
        <v>0</v>
      </c>
      <c r="P10" s="70">
        <f>'Temporary Workers '!$D$6*3</f>
        <v>40026</v>
      </c>
      <c r="Q10" s="42"/>
      <c r="R10" s="47"/>
    </row>
    <row r="11" spans="2:18" ht="17" thickTop="1" thickBot="1" x14ac:dyDescent="0.25">
      <c r="B11" s="11" t="s">
        <v>0</v>
      </c>
      <c r="C11" s="12">
        <f>SUMPRODUCT(C5:C10,$O$5:$O$10)</f>
        <v>461</v>
      </c>
      <c r="D11" s="13">
        <f t="shared" ref="D11:N11" si="0">SUMPRODUCT(D5:D10,$O$5:$O$10)</f>
        <v>461</v>
      </c>
      <c r="E11" s="13">
        <f t="shared" si="0"/>
        <v>461</v>
      </c>
      <c r="F11" s="13">
        <f t="shared" si="0"/>
        <v>461</v>
      </c>
      <c r="G11" s="13">
        <f t="shared" si="0"/>
        <v>461</v>
      </c>
      <c r="H11" s="13">
        <f t="shared" si="0"/>
        <v>461</v>
      </c>
      <c r="I11" s="13">
        <f t="shared" si="0"/>
        <v>461</v>
      </c>
      <c r="J11" s="13">
        <f t="shared" si="0"/>
        <v>461</v>
      </c>
      <c r="K11" s="13">
        <f t="shared" si="0"/>
        <v>531</v>
      </c>
      <c r="L11" s="13">
        <f t="shared" si="0"/>
        <v>531</v>
      </c>
      <c r="M11" s="13">
        <f t="shared" si="0"/>
        <v>531</v>
      </c>
      <c r="N11" s="14">
        <f t="shared" si="0"/>
        <v>461</v>
      </c>
      <c r="O11" s="1"/>
      <c r="P11" s="20"/>
    </row>
    <row r="12" spans="2:18" ht="17" thickTop="1" thickBot="1" x14ac:dyDescent="0.25">
      <c r="B12" s="15" t="s">
        <v>1</v>
      </c>
      <c r="C12" s="16">
        <v>218</v>
      </c>
      <c r="D12" s="17">
        <v>299</v>
      </c>
      <c r="E12" s="17">
        <v>412</v>
      </c>
      <c r="F12" s="17">
        <v>461</v>
      </c>
      <c r="G12" s="17">
        <v>404</v>
      </c>
      <c r="H12" s="17">
        <v>298</v>
      </c>
      <c r="I12" s="17">
        <v>249</v>
      </c>
      <c r="J12" s="17">
        <v>313</v>
      </c>
      <c r="K12" s="17">
        <v>445</v>
      </c>
      <c r="L12" s="17">
        <v>531</v>
      </c>
      <c r="M12" s="17">
        <v>497</v>
      </c>
      <c r="N12" s="18">
        <v>377</v>
      </c>
    </row>
    <row r="13" spans="2:18" ht="19" thickTop="1" thickBot="1" x14ac:dyDescent="0.25">
      <c r="P13" s="24" t="s">
        <v>61</v>
      </c>
      <c r="Q13" s="23">
        <f>SUMPRODUCT(O5:O10,P5:P10)</f>
        <v>52412908.271250002</v>
      </c>
    </row>
    <row r="14" spans="2:18" ht="17" thickTop="1" thickBot="1" x14ac:dyDescent="0.25"/>
    <row r="15" spans="2:18" ht="18" thickBot="1" x14ac:dyDescent="0.25">
      <c r="M15" s="74"/>
      <c r="N15" s="71"/>
      <c r="O15" s="74"/>
      <c r="P15" s="74"/>
      <c r="Q15" s="72">
        <f>$O$6*$P$6</f>
        <v>2099370</v>
      </c>
    </row>
    <row r="17" spans="14:17" ht="17" x14ac:dyDescent="0.2">
      <c r="N17" s="71"/>
      <c r="O17" s="71"/>
      <c r="P17" s="71"/>
      <c r="Q17" s="73"/>
    </row>
  </sheetData>
  <mergeCells count="6">
    <mergeCell ref="O3:O4"/>
    <mergeCell ref="P3:P4"/>
    <mergeCell ref="Q3:Q4"/>
    <mergeCell ref="Q5:Q10"/>
    <mergeCell ref="R3:R4"/>
    <mergeCell ref="R5:R10"/>
  </mergeCells>
  <conditionalFormatting sqref="C5:N1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0C0A-9657-2947-AE90-5C19B5CD3575}">
  <dimension ref="A1:I16"/>
  <sheetViews>
    <sheetView workbookViewId="0">
      <selection activeCell="C21" sqref="C21"/>
    </sheetView>
  </sheetViews>
  <sheetFormatPr baseColWidth="10" defaultColWidth="11.5" defaultRowHeight="15" x14ac:dyDescent="0.2"/>
  <cols>
    <col min="1" max="1" width="21.6640625" bestFit="1" customWidth="1"/>
    <col min="2" max="2" width="27.5" bestFit="1" customWidth="1"/>
    <col min="3" max="3" width="19" bestFit="1" customWidth="1"/>
    <col min="4" max="4" width="14.83203125" bestFit="1" customWidth="1"/>
    <col min="5" max="5" width="23.33203125" bestFit="1" customWidth="1"/>
    <col min="9" max="9" width="14" bestFit="1" customWidth="1"/>
  </cols>
  <sheetData>
    <row r="1" spans="1:9" x14ac:dyDescent="0.2">
      <c r="A1" s="27" t="s">
        <v>38</v>
      </c>
      <c r="B1" s="27" t="s">
        <v>39</v>
      </c>
      <c r="C1" s="27" t="s">
        <v>40</v>
      </c>
      <c r="D1" s="27" t="s">
        <v>5</v>
      </c>
      <c r="E1" s="27" t="s">
        <v>67</v>
      </c>
    </row>
    <row r="2" spans="1:9" x14ac:dyDescent="0.2">
      <c r="A2" s="27" t="s">
        <v>41</v>
      </c>
      <c r="B2" s="28">
        <v>9</v>
      </c>
      <c r="C2" s="28">
        <v>3</v>
      </c>
      <c r="D2" s="31">
        <v>9997</v>
      </c>
      <c r="E2" s="30">
        <f>D2*C2</f>
        <v>29991</v>
      </c>
      <c r="H2" s="21" t="s">
        <v>62</v>
      </c>
      <c r="I2" s="21" t="s">
        <v>63</v>
      </c>
    </row>
    <row r="3" spans="1:9" x14ac:dyDescent="0.2">
      <c r="A3" s="27" t="s">
        <v>42</v>
      </c>
      <c r="B3" s="28">
        <v>8</v>
      </c>
      <c r="C3" s="28">
        <v>3</v>
      </c>
      <c r="D3" s="31">
        <v>12937</v>
      </c>
      <c r="E3" s="30">
        <f t="shared" ref="E3:E6" si="0">D3*C3</f>
        <v>38811</v>
      </c>
      <c r="H3" s="21" t="s">
        <v>64</v>
      </c>
      <c r="I3" s="22">
        <f>AVERAGE(D2:D6)</f>
        <v>12338.8</v>
      </c>
    </row>
    <row r="4" spans="1:9" x14ac:dyDescent="0.2">
      <c r="A4" s="27" t="s">
        <v>43</v>
      </c>
      <c r="B4" s="28">
        <v>2</v>
      </c>
      <c r="C4" s="28">
        <v>3</v>
      </c>
      <c r="D4" s="31">
        <v>12624</v>
      </c>
      <c r="E4" s="30">
        <f t="shared" si="0"/>
        <v>37872</v>
      </c>
      <c r="H4" s="21" t="s">
        <v>65</v>
      </c>
      <c r="I4" s="21">
        <f>MAX(D2:D6)</f>
        <v>13342</v>
      </c>
    </row>
    <row r="5" spans="1:9" x14ac:dyDescent="0.2">
      <c r="A5" s="27" t="s">
        <v>44</v>
      </c>
      <c r="B5" s="28">
        <v>5</v>
      </c>
      <c r="C5" s="28">
        <v>3</v>
      </c>
      <c r="D5" s="31">
        <v>12794</v>
      </c>
      <c r="E5" s="30">
        <f t="shared" si="0"/>
        <v>38382</v>
      </c>
      <c r="H5" s="21" t="s">
        <v>66</v>
      </c>
      <c r="I5" s="21">
        <f>MIN(D2:D6)</f>
        <v>9997</v>
      </c>
    </row>
    <row r="6" spans="1:9" x14ac:dyDescent="0.2">
      <c r="A6" s="27" t="s">
        <v>45</v>
      </c>
      <c r="B6" s="28">
        <v>12</v>
      </c>
      <c r="C6" s="28">
        <v>3</v>
      </c>
      <c r="D6" s="31">
        <v>13342</v>
      </c>
      <c r="E6" s="30">
        <f t="shared" si="0"/>
        <v>40026</v>
      </c>
    </row>
    <row r="9" spans="1:9" ht="16" thickBot="1" x14ac:dyDescent="0.25"/>
    <row r="10" spans="1:9" ht="17" thickTop="1" thickBot="1" x14ac:dyDescent="0.25">
      <c r="A10" s="26" t="s">
        <v>73</v>
      </c>
      <c r="B10" s="34" t="s">
        <v>74</v>
      </c>
      <c r="C10" s="34" t="s">
        <v>63</v>
      </c>
    </row>
    <row r="11" spans="1:9" ht="17" thickTop="1" thickBot="1" x14ac:dyDescent="0.25">
      <c r="A11" s="32" t="str" cm="1">
        <f t="array" ref="A11:A15">A2:A6</f>
        <v>The Peppermint Post</v>
      </c>
      <c r="B11" s="35" t="s">
        <v>76</v>
      </c>
      <c r="C11" s="30" cm="1">
        <f t="array" ref="C11:C15">D2:D6</f>
        <v>9997</v>
      </c>
    </row>
    <row r="12" spans="1:9" ht="17" thickTop="1" thickBot="1" x14ac:dyDescent="0.25">
      <c r="A12" s="33" t="str">
        <v>The Fudge Fable</v>
      </c>
      <c r="B12" s="29" t="s">
        <v>77</v>
      </c>
      <c r="C12" s="30">
        <v>12937</v>
      </c>
    </row>
    <row r="13" spans="1:9" ht="17" thickTop="1" thickBot="1" x14ac:dyDescent="0.25">
      <c r="A13" s="33" t="str">
        <v>Mallow &amp; Mischief</v>
      </c>
      <c r="B13" s="29" t="s">
        <v>75</v>
      </c>
      <c r="C13" s="30">
        <v>12624</v>
      </c>
    </row>
    <row r="14" spans="1:9" ht="17" thickTop="1" thickBot="1" x14ac:dyDescent="0.25">
      <c r="A14" s="33" t="str">
        <v>The Chocolate Chortle</v>
      </c>
      <c r="B14" s="29" t="s">
        <v>78</v>
      </c>
      <c r="C14" s="30">
        <v>12794</v>
      </c>
    </row>
    <row r="15" spans="1:9" ht="17" thickTop="1" thickBot="1" x14ac:dyDescent="0.25">
      <c r="A15" s="33" t="str">
        <v>Whisker Licks</v>
      </c>
      <c r="B15" s="29" t="s">
        <v>79</v>
      </c>
      <c r="C15" s="30">
        <v>13342</v>
      </c>
    </row>
    <row r="16" spans="1:9" ht="16" thickTop="1" x14ac:dyDescent="0.2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099D-1A63-5D41-B976-70D02E176064}">
  <dimension ref="A1:G33"/>
  <sheetViews>
    <sheetView workbookViewId="0">
      <selection activeCell="J30" sqref="J30"/>
    </sheetView>
  </sheetViews>
  <sheetFormatPr baseColWidth="10" defaultColWidth="11.5" defaultRowHeight="15" x14ac:dyDescent="0.2"/>
  <cols>
    <col min="1" max="1" width="18.5" bestFit="1" customWidth="1"/>
    <col min="2" max="2" width="13.33203125" bestFit="1" customWidth="1"/>
    <col min="5" max="5" width="20.5" bestFit="1" customWidth="1"/>
    <col min="6" max="6" width="14" bestFit="1" customWidth="1"/>
    <col min="7" max="7" width="20.5" bestFit="1" customWidth="1"/>
  </cols>
  <sheetData>
    <row r="1" spans="1:7" x14ac:dyDescent="0.2">
      <c r="A1" s="3" t="s">
        <v>4</v>
      </c>
      <c r="B1" s="3" t="s">
        <v>5</v>
      </c>
    </row>
    <row r="2" spans="1:7" x14ac:dyDescent="0.2">
      <c r="A2" s="3" t="s">
        <v>6</v>
      </c>
      <c r="B2" s="4">
        <v>9674.51</v>
      </c>
      <c r="E2" s="21" t="s">
        <v>62</v>
      </c>
      <c r="F2" s="21" t="s">
        <v>63</v>
      </c>
      <c r="G2" s="21" t="s">
        <v>70</v>
      </c>
    </row>
    <row r="3" spans="1:7" x14ac:dyDescent="0.2">
      <c r="A3" s="3" t="s">
        <v>7</v>
      </c>
      <c r="B3" s="4">
        <v>10971.47</v>
      </c>
      <c r="E3" s="21" t="s">
        <v>64</v>
      </c>
      <c r="F3" s="22">
        <f>AVERAGE(B2:B33)</f>
        <v>9094.9996874999997</v>
      </c>
      <c r="G3" s="48">
        <f>$F$3*0.8</f>
        <v>7275.9997499999999</v>
      </c>
    </row>
    <row r="4" spans="1:7" x14ac:dyDescent="0.2">
      <c r="A4" s="3" t="s">
        <v>8</v>
      </c>
      <c r="B4" s="4">
        <v>9321.56</v>
      </c>
      <c r="E4" s="21" t="s">
        <v>65</v>
      </c>
      <c r="F4" s="21">
        <f>MAX(B2:B33)</f>
        <v>13338</v>
      </c>
      <c r="G4" s="48"/>
    </row>
    <row r="5" spans="1:7" x14ac:dyDescent="0.2">
      <c r="A5" s="3" t="s">
        <v>9</v>
      </c>
      <c r="B5" s="4">
        <v>7397.54</v>
      </c>
      <c r="E5" s="21" t="s">
        <v>66</v>
      </c>
      <c r="F5" s="21">
        <f>MIN(B2:B33)</f>
        <v>3223.18</v>
      </c>
      <c r="G5" s="48"/>
    </row>
    <row r="6" spans="1:7" x14ac:dyDescent="0.2">
      <c r="A6" s="3" t="s">
        <v>10</v>
      </c>
      <c r="B6" s="4">
        <v>7746</v>
      </c>
      <c r="E6" s="21" t="s">
        <v>68</v>
      </c>
      <c r="F6" s="21">
        <f>ROWS(A2:A33)</f>
        <v>32</v>
      </c>
      <c r="G6" s="48"/>
    </row>
    <row r="7" spans="1:7" x14ac:dyDescent="0.2">
      <c r="A7" s="3" t="s">
        <v>11</v>
      </c>
      <c r="B7" s="4">
        <v>11941.32</v>
      </c>
    </row>
    <row r="8" spans="1:7" x14ac:dyDescent="0.2">
      <c r="A8" s="3" t="s">
        <v>12</v>
      </c>
      <c r="B8" s="4">
        <v>8090.83</v>
      </c>
    </row>
    <row r="9" spans="1:7" x14ac:dyDescent="0.2">
      <c r="A9" s="3" t="s">
        <v>13</v>
      </c>
      <c r="B9" s="4">
        <v>6109.87</v>
      </c>
    </row>
    <row r="10" spans="1:7" x14ac:dyDescent="0.2">
      <c r="A10" s="3" t="s">
        <v>14</v>
      </c>
      <c r="B10" s="4">
        <v>13338</v>
      </c>
    </row>
    <row r="11" spans="1:7" x14ac:dyDescent="0.2">
      <c r="A11" s="3" t="s">
        <v>15</v>
      </c>
      <c r="B11" s="4">
        <v>9624.33</v>
      </c>
    </row>
    <row r="12" spans="1:7" x14ac:dyDescent="0.2">
      <c r="A12" s="3" t="s">
        <v>16</v>
      </c>
      <c r="B12" s="4">
        <v>9901.85</v>
      </c>
    </row>
    <row r="13" spans="1:7" x14ac:dyDescent="0.2">
      <c r="A13" s="3" t="s">
        <v>17</v>
      </c>
      <c r="B13" s="4">
        <v>3223.18</v>
      </c>
    </row>
    <row r="14" spans="1:7" x14ac:dyDescent="0.2">
      <c r="A14" s="3" t="s">
        <v>18</v>
      </c>
      <c r="B14" s="4">
        <v>7463.12</v>
      </c>
    </row>
    <row r="15" spans="1:7" x14ac:dyDescent="0.2">
      <c r="A15" s="3" t="s">
        <v>19</v>
      </c>
      <c r="B15" s="4">
        <v>6965.98</v>
      </c>
    </row>
    <row r="16" spans="1:7" x14ac:dyDescent="0.2">
      <c r="A16" s="3" t="s">
        <v>20</v>
      </c>
      <c r="B16" s="4">
        <v>5431.03</v>
      </c>
    </row>
    <row r="17" spans="1:2" x14ac:dyDescent="0.2">
      <c r="A17" s="3" t="s">
        <v>21</v>
      </c>
      <c r="B17" s="4">
        <v>8976.3700000000008</v>
      </c>
    </row>
    <row r="18" spans="1:2" x14ac:dyDescent="0.2">
      <c r="A18" s="3" t="s">
        <v>22</v>
      </c>
      <c r="B18" s="4">
        <v>7929.64</v>
      </c>
    </row>
    <row r="19" spans="1:2" x14ac:dyDescent="0.2">
      <c r="A19" s="3" t="s">
        <v>23</v>
      </c>
      <c r="B19" s="4">
        <v>8935.01</v>
      </c>
    </row>
    <row r="20" spans="1:2" x14ac:dyDescent="0.2">
      <c r="A20" s="3" t="s">
        <v>24</v>
      </c>
      <c r="B20" s="4">
        <v>12285.74</v>
      </c>
    </row>
    <row r="21" spans="1:2" x14ac:dyDescent="0.2">
      <c r="A21" s="3" t="s">
        <v>25</v>
      </c>
      <c r="B21" s="4">
        <v>9132.43</v>
      </c>
    </row>
    <row r="22" spans="1:2" x14ac:dyDescent="0.2">
      <c r="A22" s="3" t="s">
        <v>26</v>
      </c>
      <c r="B22" s="4">
        <v>11872.42</v>
      </c>
    </row>
    <row r="23" spans="1:2" x14ac:dyDescent="0.2">
      <c r="A23" s="3" t="s">
        <v>27</v>
      </c>
      <c r="B23" s="4">
        <v>8500.7999999999993</v>
      </c>
    </row>
    <row r="24" spans="1:2" x14ac:dyDescent="0.2">
      <c r="A24" s="3" t="s">
        <v>28</v>
      </c>
      <c r="B24" s="4">
        <v>8213.6</v>
      </c>
    </row>
    <row r="25" spans="1:2" x14ac:dyDescent="0.2">
      <c r="A25" s="3" t="s">
        <v>29</v>
      </c>
      <c r="B25" s="4">
        <v>10673.82</v>
      </c>
    </row>
    <row r="26" spans="1:2" x14ac:dyDescent="0.2">
      <c r="A26" s="3" t="s">
        <v>30</v>
      </c>
      <c r="B26" s="4">
        <v>9554.99</v>
      </c>
    </row>
    <row r="27" spans="1:2" x14ac:dyDescent="0.2">
      <c r="A27" s="3" t="s">
        <v>31</v>
      </c>
      <c r="B27" s="4">
        <v>7627.46</v>
      </c>
    </row>
    <row r="28" spans="1:2" x14ac:dyDescent="0.2">
      <c r="A28" s="3" t="s">
        <v>32</v>
      </c>
      <c r="B28" s="4">
        <v>9699.9699999999993</v>
      </c>
    </row>
    <row r="29" spans="1:2" x14ac:dyDescent="0.2">
      <c r="A29" s="3" t="s">
        <v>33</v>
      </c>
      <c r="B29" s="4">
        <v>10196.5</v>
      </c>
    </row>
    <row r="30" spans="1:2" x14ac:dyDescent="0.2">
      <c r="A30" s="3" t="s">
        <v>34</v>
      </c>
      <c r="B30" s="4">
        <v>9398.65</v>
      </c>
    </row>
    <row r="31" spans="1:2" x14ac:dyDescent="0.2">
      <c r="A31" s="3" t="s">
        <v>35</v>
      </c>
      <c r="B31" s="4">
        <v>10628.84</v>
      </c>
    </row>
    <row r="32" spans="1:2" x14ac:dyDescent="0.2">
      <c r="A32" s="3" t="s">
        <v>36</v>
      </c>
      <c r="B32" s="4">
        <v>11911.81</v>
      </c>
    </row>
    <row r="33" spans="1:2" x14ac:dyDescent="0.2">
      <c r="A33" s="3" t="s">
        <v>37</v>
      </c>
      <c r="B33" s="4">
        <v>8301.35</v>
      </c>
    </row>
  </sheetData>
  <mergeCells count="1">
    <mergeCell ref="G3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A915-83F0-444D-A5EC-F7B53118E450}">
  <dimension ref="A1:B13"/>
  <sheetViews>
    <sheetView workbookViewId="0">
      <selection activeCell="L23" sqref="L23"/>
    </sheetView>
  </sheetViews>
  <sheetFormatPr baseColWidth="10" defaultColWidth="11.5" defaultRowHeight="15" x14ac:dyDescent="0.2"/>
  <cols>
    <col min="2" max="2" width="10.5" bestFit="1" customWidth="1"/>
  </cols>
  <sheetData>
    <row r="1" spans="1:2" x14ac:dyDescent="0.2">
      <c r="A1" s="3" t="s">
        <v>2</v>
      </c>
      <c r="B1" s="3" t="s">
        <v>3</v>
      </c>
    </row>
    <row r="2" spans="1:2" x14ac:dyDescent="0.2">
      <c r="A2" s="3">
        <v>1</v>
      </c>
      <c r="B2" s="4">
        <v>218</v>
      </c>
    </row>
    <row r="3" spans="1:2" x14ac:dyDescent="0.2">
      <c r="A3" s="3">
        <v>2</v>
      </c>
      <c r="B3" s="4">
        <v>299</v>
      </c>
    </row>
    <row r="4" spans="1:2" x14ac:dyDescent="0.2">
      <c r="A4" s="3">
        <v>3</v>
      </c>
      <c r="B4" s="4">
        <v>412</v>
      </c>
    </row>
    <row r="5" spans="1:2" x14ac:dyDescent="0.2">
      <c r="A5" s="3">
        <v>4</v>
      </c>
      <c r="B5" s="4">
        <v>461</v>
      </c>
    </row>
    <row r="6" spans="1:2" x14ac:dyDescent="0.2">
      <c r="A6" s="3">
        <v>5</v>
      </c>
      <c r="B6" s="4">
        <v>404</v>
      </c>
    </row>
    <row r="7" spans="1:2" x14ac:dyDescent="0.2">
      <c r="A7" s="3">
        <v>6</v>
      </c>
      <c r="B7" s="4">
        <v>298</v>
      </c>
    </row>
    <row r="8" spans="1:2" x14ac:dyDescent="0.2">
      <c r="A8" s="3">
        <v>7</v>
      </c>
      <c r="B8" s="4">
        <v>249</v>
      </c>
    </row>
    <row r="9" spans="1:2" x14ac:dyDescent="0.2">
      <c r="A9" s="3">
        <v>8</v>
      </c>
      <c r="B9" s="4">
        <v>313</v>
      </c>
    </row>
    <row r="10" spans="1:2" x14ac:dyDescent="0.2">
      <c r="A10" s="3">
        <v>9</v>
      </c>
      <c r="B10" s="4">
        <v>445</v>
      </c>
    </row>
    <row r="11" spans="1:2" x14ac:dyDescent="0.2">
      <c r="A11" s="3">
        <v>10</v>
      </c>
      <c r="B11" s="4">
        <v>531</v>
      </c>
    </row>
    <row r="12" spans="1:2" x14ac:dyDescent="0.2">
      <c r="A12" s="3">
        <v>11</v>
      </c>
      <c r="B12" s="4">
        <v>497</v>
      </c>
    </row>
    <row r="13" spans="1:2" x14ac:dyDescent="0.2">
      <c r="A13" s="3">
        <v>12</v>
      </c>
      <c r="B13" s="4">
        <v>377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Model Stepulation 1</vt:lpstr>
      <vt:lpstr>Model Stepulation 2</vt:lpstr>
      <vt:lpstr>Temporary Workers </vt:lpstr>
      <vt:lpstr>Full Time Salaries </vt:lpstr>
      <vt:lpstr>Estimated Foot Traffic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Jose Ricardo Feris</cp:lastModifiedBy>
  <dcterms:created xsi:type="dcterms:W3CDTF">2025-03-31T11:31:47Z</dcterms:created>
  <dcterms:modified xsi:type="dcterms:W3CDTF">2025-04-17T14:59:46Z</dcterms:modified>
</cp:coreProperties>
</file>