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joseferisgonzalez/Downloads/"/>
    </mc:Choice>
  </mc:AlternateContent>
  <xr:revisionPtr revIDLastSave="0" documentId="8_{7007DA01-8424-424E-8A3B-D4E91A139131}" xr6:coauthVersionLast="47" xr6:coauthVersionMax="47" xr10:uidLastSave="{00000000-0000-0000-0000-000000000000}"/>
  <bookViews>
    <workbookView xWindow="0" yWindow="760" windowWidth="20740" windowHeight="11160" tabRatio="705" activeTab="4" xr2:uid="{588B5663-E399-4D63-85A4-CCA3A270A6D7}"/>
  </bookViews>
  <sheets>
    <sheet name="Solution" sheetId="1" r:id="rId1"/>
    <sheet name="Solve It" sheetId="10" r:id="rId2"/>
    <sheet name="Model" sheetId="4" r:id="rId3"/>
    <sheet name="Model Stepulation 1" sheetId="6" r:id="rId4"/>
    <sheet name="Model Stepulation 2" sheetId="8" r:id="rId5"/>
    <sheet name="Data " sheetId="3" r:id="rId6"/>
  </sheets>
  <definedNames>
    <definedName name="solver_adj" localSheetId="2" hidden="1">Model!$N$11:$S$14,Model!$M$22:$P$22</definedName>
    <definedName name="solver_adj" localSheetId="3" hidden="1">'Model Stepulation 1'!$N$11:$S$14,'Model Stepulation 1'!$M$22:$P$22</definedName>
    <definedName name="solver_adj" localSheetId="4" hidden="1">'Model Stepulation 2'!$N$11:$S$14,'Model Stepulation 2'!$M$22:$P$22</definedName>
    <definedName name="solver_adj" localSheetId="0" hidden="1">Solution!$B$4:$D$4,Solution!$B$14:$D$14</definedName>
    <definedName name="solver_adj" localSheetId="1" hidden="1">'Solve It'!$B$4:$D$4,'Solve It'!$B$14:$D$14</definedName>
    <definedName name="solver_cvg" localSheetId="2" hidden="1">0.0001</definedName>
    <definedName name="solver_cvg" localSheetId="3" hidden="1">0.0001</definedName>
    <definedName name="solver_cvg" localSheetId="4" hidden="1">0.0001</definedName>
    <definedName name="solver_cvg" localSheetId="0" hidden="1">0.0001</definedName>
    <definedName name="solver_cvg" localSheetId="1" hidden="1">0.0001</definedName>
    <definedName name="solver_drv" localSheetId="2" hidden="1">2</definedName>
    <definedName name="solver_drv" localSheetId="3" hidden="1">2</definedName>
    <definedName name="solver_drv" localSheetId="4" hidden="1">2</definedName>
    <definedName name="solver_drv" localSheetId="0" hidden="1">1</definedName>
    <definedName name="solver_drv" localSheetId="1" hidden="1">1</definedName>
    <definedName name="solver_eng" localSheetId="2" hidden="1">2</definedName>
    <definedName name="solver_eng" localSheetId="3" hidden="1">2</definedName>
    <definedName name="solver_eng" localSheetId="4" hidden="1">2</definedName>
    <definedName name="solver_eng" localSheetId="0" hidden="1">2</definedName>
    <definedName name="solver_eng" localSheetId="1" hidden="1">2</definedName>
    <definedName name="solver_est" localSheetId="2" hidden="1">1</definedName>
    <definedName name="solver_est" localSheetId="3" hidden="1">1</definedName>
    <definedName name="solver_est" localSheetId="4" hidden="1">1</definedName>
    <definedName name="solver_est" localSheetId="0" hidden="1">1</definedName>
    <definedName name="solver_est" localSheetId="1" hidden="1">1</definedName>
    <definedName name="solver_itr" localSheetId="2" hidden="1">2147483647</definedName>
    <definedName name="solver_itr" localSheetId="3" hidden="1">2147483647</definedName>
    <definedName name="solver_itr" localSheetId="4" hidden="1">2147483647</definedName>
    <definedName name="solver_itr" localSheetId="0" hidden="1">2147483647</definedName>
    <definedName name="solver_itr" localSheetId="1" hidden="1">2147483647</definedName>
    <definedName name="solver_lhs1" localSheetId="2" hidden="1">Model!$M$22:$P$22</definedName>
    <definedName name="solver_lhs1" localSheetId="3" hidden="1">'Model Stepulation 1'!$M$22:$P$22</definedName>
    <definedName name="solver_lhs1" localSheetId="4" hidden="1">'Model Stepulation 2'!$M$22:$P$22</definedName>
    <definedName name="solver_lhs1" localSheetId="0" hidden="1">Solution!$B$14:$D$14</definedName>
    <definedName name="solver_lhs1" localSheetId="1" hidden="1">'Solve It'!$B$14:$D$14</definedName>
    <definedName name="solver_lhs2" localSheetId="2" hidden="1">Model!$M$23:$P$23</definedName>
    <definedName name="solver_lhs2" localSheetId="3" hidden="1">'Model Stepulation 1'!$M$23:$P$23</definedName>
    <definedName name="solver_lhs2" localSheetId="4" hidden="1">'Model Stepulation 2'!$M$23:$P$23</definedName>
    <definedName name="solver_lhs2" localSheetId="0" hidden="1">Solution!$B$15:$D$15</definedName>
    <definedName name="solver_lhs2" localSheetId="1" hidden="1">'Solve It'!$B$15:$D$15</definedName>
    <definedName name="solver_lhs3" localSheetId="2" hidden="1">Model!$N$11:$S$14</definedName>
    <definedName name="solver_lhs3" localSheetId="3" hidden="1">'Model Stepulation 1'!$N$11:$S$14</definedName>
    <definedName name="solver_lhs3" localSheetId="4" hidden="1">'Model Stepulation 2'!$N$11:$S$14</definedName>
    <definedName name="solver_lhs3" localSheetId="0" hidden="1">Solution!$B$4:$D$4</definedName>
    <definedName name="solver_lhs3" localSheetId="1" hidden="1">'Solve It'!$B$4:$D$4</definedName>
    <definedName name="solver_lhs4" localSheetId="2" hidden="1">Model!$N$11:$S$14</definedName>
    <definedName name="solver_lhs4" localSheetId="3" hidden="1">'Model Stepulation 1'!$N$11:$S$14</definedName>
    <definedName name="solver_lhs4" localSheetId="4" hidden="1">'Model Stepulation 2'!$N$11:$S$14</definedName>
    <definedName name="solver_lhs4" localSheetId="0" hidden="1">Solution!$B$4:$D$4</definedName>
    <definedName name="solver_lhs4" localSheetId="1" hidden="1">'Solve It'!$B$4:$D$4</definedName>
    <definedName name="solver_lhs5" localSheetId="2" hidden="1">Model!$N$15:$S$15</definedName>
    <definedName name="solver_lhs5" localSheetId="3" hidden="1">'Model Stepulation 1'!$N$15:$S$15</definedName>
    <definedName name="solver_lhs5" localSheetId="4" hidden="1">'Model Stepulation 2'!$N$15:$S$15</definedName>
    <definedName name="solver_lhs5" localSheetId="0" hidden="1">Solution!$E$10:$E$12</definedName>
    <definedName name="solver_lhs5" localSheetId="1" hidden="1">'Solve It'!$E$10:$E$12</definedName>
    <definedName name="solver_lhs6" localSheetId="2" hidden="1">Model!$Q$22</definedName>
    <definedName name="solver_lhs6" localSheetId="3" hidden="1">'Model Stepulation 1'!$Q$22</definedName>
    <definedName name="solver_lhs6" localSheetId="4" hidden="1">'Model Stepulation 2'!$Q$22</definedName>
    <definedName name="solver_mip" localSheetId="2" hidden="1">2147483647</definedName>
    <definedName name="solver_mip" localSheetId="3" hidden="1">2147483647</definedName>
    <definedName name="solver_mip" localSheetId="4" hidden="1">2147483647</definedName>
    <definedName name="solver_mip" localSheetId="0" hidden="1">2147483647</definedName>
    <definedName name="solver_mip" localSheetId="1" hidden="1">2147483647</definedName>
    <definedName name="solver_mni" localSheetId="2" hidden="1">30</definedName>
    <definedName name="solver_mni" localSheetId="3" hidden="1">30</definedName>
    <definedName name="solver_mni" localSheetId="4" hidden="1">30</definedName>
    <definedName name="solver_mni" localSheetId="0" hidden="1">30</definedName>
    <definedName name="solver_mni" localSheetId="1" hidden="1">30</definedName>
    <definedName name="solver_mrt" localSheetId="2" hidden="1">0.075</definedName>
    <definedName name="solver_mrt" localSheetId="3" hidden="1">0.075</definedName>
    <definedName name="solver_mrt" localSheetId="4" hidden="1">0.075</definedName>
    <definedName name="solver_mrt" localSheetId="0" hidden="1">0.075</definedName>
    <definedName name="solver_mrt" localSheetId="1" hidden="1">0.075</definedName>
    <definedName name="solver_msl" localSheetId="2" hidden="1">2</definedName>
    <definedName name="solver_msl" localSheetId="3" hidden="1">2</definedName>
    <definedName name="solver_msl" localSheetId="4" hidden="1">2</definedName>
    <definedName name="solver_msl" localSheetId="0" hidden="1">2</definedName>
    <definedName name="solver_msl" localSheetId="1" hidden="1">2</definedName>
    <definedName name="solver_neg" localSheetId="2" hidden="1">1</definedName>
    <definedName name="solver_neg" localSheetId="3" hidden="1">1</definedName>
    <definedName name="solver_neg" localSheetId="4" hidden="1">1</definedName>
    <definedName name="solver_neg" localSheetId="0" hidden="1">1</definedName>
    <definedName name="solver_neg" localSheetId="1" hidden="1">1</definedName>
    <definedName name="solver_nod" localSheetId="2" hidden="1">2147483647</definedName>
    <definedName name="solver_nod" localSheetId="3" hidden="1">2147483647</definedName>
    <definedName name="solver_nod" localSheetId="4" hidden="1">2147483647</definedName>
    <definedName name="solver_nod" localSheetId="0" hidden="1">2147483647</definedName>
    <definedName name="solver_nod" localSheetId="1" hidden="1">2147483647</definedName>
    <definedName name="solver_num" localSheetId="2" hidden="1">6</definedName>
    <definedName name="solver_num" localSheetId="3" hidden="1">6</definedName>
    <definedName name="solver_num" localSheetId="4" hidden="1">6</definedName>
    <definedName name="solver_num" localSheetId="0" hidden="1">5</definedName>
    <definedName name="solver_num" localSheetId="1" hidden="1">5</definedName>
    <definedName name="solver_nwt" localSheetId="2" hidden="1">1</definedName>
    <definedName name="solver_nwt" localSheetId="3" hidden="1">1</definedName>
    <definedName name="solver_nwt" localSheetId="4" hidden="1">1</definedName>
    <definedName name="solver_nwt" localSheetId="0" hidden="1">1</definedName>
    <definedName name="solver_nwt" localSheetId="1" hidden="1">1</definedName>
    <definedName name="solver_opt" localSheetId="2" hidden="1">Model!$V$5</definedName>
    <definedName name="solver_opt" localSheetId="3" hidden="1">'Model Stepulation 1'!$V$5</definedName>
    <definedName name="solver_opt" localSheetId="4" hidden="1">'Model Stepulation 2'!$V$5</definedName>
    <definedName name="solver_opt" localSheetId="0" hidden="1">Solution!$F$6</definedName>
    <definedName name="solver_opt" localSheetId="1" hidden="1">'Solve It'!$F$6</definedName>
    <definedName name="solver_pre" localSheetId="2" hidden="1">0.000001</definedName>
    <definedName name="solver_pre" localSheetId="3" hidden="1">0.000001</definedName>
    <definedName name="solver_pre" localSheetId="4" hidden="1">0.000001</definedName>
    <definedName name="solver_pre" localSheetId="0" hidden="1">0.000001</definedName>
    <definedName name="solver_pre" localSheetId="1" hidden="1">0.000001</definedName>
    <definedName name="solver_rbv" localSheetId="2" hidden="1">2</definedName>
    <definedName name="solver_rbv" localSheetId="3" hidden="1">2</definedName>
    <definedName name="solver_rbv" localSheetId="4" hidden="1">2</definedName>
    <definedName name="solver_rbv" localSheetId="0" hidden="1">1</definedName>
    <definedName name="solver_rbv" localSheetId="1" hidden="1">1</definedName>
    <definedName name="solver_rel1" localSheetId="2" hidden="1">5</definedName>
    <definedName name="solver_rel1" localSheetId="3" hidden="1">5</definedName>
    <definedName name="solver_rel1" localSheetId="4" hidden="1">5</definedName>
    <definedName name="solver_rel1" localSheetId="0" hidden="1">5</definedName>
    <definedName name="solver_rel1" localSheetId="1" hidden="1">5</definedName>
    <definedName name="solver_rel2" localSheetId="2" hidden="1">1</definedName>
    <definedName name="solver_rel2" localSheetId="3" hidden="1">1</definedName>
    <definedName name="solver_rel2" localSheetId="4" hidden="1">1</definedName>
    <definedName name="solver_rel2" localSheetId="0" hidden="1">1</definedName>
    <definedName name="solver_rel2" localSheetId="1" hidden="1">1</definedName>
    <definedName name="solver_rel3" localSheetId="2" hidden="1">4</definedName>
    <definedName name="solver_rel3" localSheetId="3" hidden="1">4</definedName>
    <definedName name="solver_rel3" localSheetId="4" hidden="1">4</definedName>
    <definedName name="solver_rel3" localSheetId="0" hidden="1">4</definedName>
    <definedName name="solver_rel3" localSheetId="1" hidden="1">4</definedName>
    <definedName name="solver_rel4" localSheetId="2" hidden="1">3</definedName>
    <definedName name="solver_rel4" localSheetId="3" hidden="1">3</definedName>
    <definedName name="solver_rel4" localSheetId="4" hidden="1">3</definedName>
    <definedName name="solver_rel4" localSheetId="0" hidden="1">3</definedName>
    <definedName name="solver_rel4" localSheetId="1" hidden="1">3</definedName>
    <definedName name="solver_rel5" localSheetId="2" hidden="1">2</definedName>
    <definedName name="solver_rel5" localSheetId="3" hidden="1">2</definedName>
    <definedName name="solver_rel5" localSheetId="4" hidden="1">2</definedName>
    <definedName name="solver_rel5" localSheetId="0" hidden="1">1</definedName>
    <definedName name="solver_rel5" localSheetId="1" hidden="1">1</definedName>
    <definedName name="solver_rel6" localSheetId="2" hidden="1">1</definedName>
    <definedName name="solver_rel6" localSheetId="3" hidden="1">1</definedName>
    <definedName name="solver_rel6" localSheetId="4" hidden="1">1</definedName>
    <definedName name="solver_rhs1" localSheetId="2" hidden="1">"binary"</definedName>
    <definedName name="solver_rhs1" localSheetId="3" hidden="1">"binary"</definedName>
    <definedName name="solver_rhs1" localSheetId="4" hidden="1">"binary"</definedName>
    <definedName name="solver_rhs1" localSheetId="0" hidden="1">"binary"</definedName>
    <definedName name="solver_rhs1" localSheetId="1" hidden="1">"binary"</definedName>
    <definedName name="solver_rhs2" localSheetId="2" hidden="1">0</definedName>
    <definedName name="solver_rhs2" localSheetId="3" hidden="1">0</definedName>
    <definedName name="solver_rhs2" localSheetId="4" hidden="1">0</definedName>
    <definedName name="solver_rhs2" localSheetId="0" hidden="1">0</definedName>
    <definedName name="solver_rhs2" localSheetId="1" hidden="1">0</definedName>
    <definedName name="solver_rhs3" localSheetId="2" hidden="1">"integer"</definedName>
    <definedName name="solver_rhs3" localSheetId="3" hidden="1">"integer"</definedName>
    <definedName name="solver_rhs3" localSheetId="4" hidden="1">"integer"</definedName>
    <definedName name="solver_rhs3" localSheetId="0" hidden="1">"integer"</definedName>
    <definedName name="solver_rhs3" localSheetId="1" hidden="1">"integer"</definedName>
    <definedName name="solver_rhs4" localSheetId="2" hidden="1">0</definedName>
    <definedName name="solver_rhs4" localSheetId="3" hidden="1">0</definedName>
    <definedName name="solver_rhs4" localSheetId="4" hidden="1">0</definedName>
    <definedName name="solver_rhs4" localSheetId="0" hidden="1">0</definedName>
    <definedName name="solver_rhs4" localSheetId="1" hidden="1">0</definedName>
    <definedName name="solver_rhs5" localSheetId="2" hidden="1">Model!$N$16:$S$16</definedName>
    <definedName name="solver_rhs5" localSheetId="3" hidden="1">'Model Stepulation 1'!$N$16:$S$16</definedName>
    <definedName name="solver_rhs5" localSheetId="4" hidden="1">'Model Stepulation 2'!$N$16:$S$16</definedName>
    <definedName name="solver_rhs5" localSheetId="0" hidden="1">Solution!$F$10:$F$12</definedName>
    <definedName name="solver_rhs5" localSheetId="1" hidden="1">'Solve It'!$F$10:$F$12</definedName>
    <definedName name="solver_rhs6" localSheetId="2" hidden="1">2</definedName>
    <definedName name="solver_rhs6" localSheetId="3" hidden="1">1</definedName>
    <definedName name="solver_rhs6" localSheetId="4" hidden="1">2</definedName>
    <definedName name="solver_rlx" localSheetId="2" hidden="1">2</definedName>
    <definedName name="solver_rlx" localSheetId="3" hidden="1">2</definedName>
    <definedName name="solver_rlx" localSheetId="4" hidden="1">2</definedName>
    <definedName name="solver_rlx" localSheetId="0" hidden="1">2</definedName>
    <definedName name="solver_rlx" localSheetId="1" hidden="1">2</definedName>
    <definedName name="solver_rsd" localSheetId="2" hidden="1">0</definedName>
    <definedName name="solver_rsd" localSheetId="3" hidden="1">0</definedName>
    <definedName name="solver_rsd" localSheetId="4" hidden="1">0</definedName>
    <definedName name="solver_rsd" localSheetId="0" hidden="1">0</definedName>
    <definedName name="solver_rsd" localSheetId="1" hidden="1">0</definedName>
    <definedName name="solver_scl" localSheetId="2" hidden="1">2</definedName>
    <definedName name="solver_scl" localSheetId="3" hidden="1">2</definedName>
    <definedName name="solver_scl" localSheetId="4" hidden="1">2</definedName>
    <definedName name="solver_scl" localSheetId="0" hidden="1">1</definedName>
    <definedName name="solver_scl" localSheetId="1" hidden="1">1</definedName>
    <definedName name="solver_sho" localSheetId="2" hidden="1">2</definedName>
    <definedName name="solver_sho" localSheetId="3" hidden="1">2</definedName>
    <definedName name="solver_sho" localSheetId="4" hidden="1">2</definedName>
    <definedName name="solver_sho" localSheetId="0" hidden="1">2</definedName>
    <definedName name="solver_sho" localSheetId="1" hidden="1">2</definedName>
    <definedName name="solver_ssz" localSheetId="2" hidden="1">100</definedName>
    <definedName name="solver_ssz" localSheetId="3" hidden="1">100</definedName>
    <definedName name="solver_ssz" localSheetId="4" hidden="1">100</definedName>
    <definedName name="solver_ssz" localSheetId="0" hidden="1">100</definedName>
    <definedName name="solver_ssz" localSheetId="1" hidden="1">100</definedName>
    <definedName name="solver_tim" localSheetId="2" hidden="1">2147483647</definedName>
    <definedName name="solver_tim" localSheetId="3" hidden="1">2147483647</definedName>
    <definedName name="solver_tim" localSheetId="4" hidden="1">2147483647</definedName>
    <definedName name="solver_tim" localSheetId="0" hidden="1">2147483647</definedName>
    <definedName name="solver_tim" localSheetId="1" hidden="1">2147483647</definedName>
    <definedName name="solver_tol" localSheetId="2" hidden="1">0.01</definedName>
    <definedName name="solver_tol" localSheetId="3" hidden="1">0.01</definedName>
    <definedName name="solver_tol" localSheetId="4" hidden="1">0.01</definedName>
    <definedName name="solver_tol" localSheetId="0" hidden="1">0</definedName>
    <definedName name="solver_tol" localSheetId="1" hidden="1">0.01</definedName>
    <definedName name="solver_typ" localSheetId="2" hidden="1">2</definedName>
    <definedName name="solver_typ" localSheetId="3" hidden="1">2</definedName>
    <definedName name="solver_typ" localSheetId="4" hidden="1">2</definedName>
    <definedName name="solver_typ" localSheetId="0" hidden="1">1</definedName>
    <definedName name="solver_typ" localSheetId="1" hidden="1">1</definedName>
    <definedName name="solver_val" localSheetId="2" hidden="1">0</definedName>
    <definedName name="solver_val" localSheetId="3" hidden="1">0</definedName>
    <definedName name="solver_val" localSheetId="4" hidden="1">0</definedName>
    <definedName name="solver_val" localSheetId="0" hidden="1">0</definedName>
    <definedName name="solver_val" localSheetId="1" hidden="1">0</definedName>
    <definedName name="solver_ver" localSheetId="2" hidden="1">3</definedName>
    <definedName name="solver_ver" localSheetId="3" hidden="1">3</definedName>
    <definedName name="solver_ver" localSheetId="4" hidden="1">3</definedName>
    <definedName name="solver_ver" localSheetId="0" hidden="1">3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5" i="4" l="1"/>
  <c r="D20" i="10"/>
  <c r="C20" i="10"/>
  <c r="B20" i="10"/>
  <c r="D19" i="10"/>
  <c r="C19" i="10"/>
  <c r="C17" i="10" s="1"/>
  <c r="C15" i="10" s="1"/>
  <c r="B19" i="10"/>
  <c r="D18" i="10"/>
  <c r="C18" i="10"/>
  <c r="B18" i="10"/>
  <c r="B17" i="10" s="1"/>
  <c r="B15" i="10" s="1"/>
  <c r="D17" i="10"/>
  <c r="D15" i="10" s="1"/>
  <c r="E12" i="10"/>
  <c r="E11" i="10"/>
  <c r="E10" i="10"/>
  <c r="F6" i="10"/>
  <c r="H27" i="8"/>
  <c r="E27" i="8"/>
  <c r="I27" i="8" s="1"/>
  <c r="B27" i="8"/>
  <c r="F27" i="8" s="1"/>
  <c r="H26" i="8"/>
  <c r="E26" i="8"/>
  <c r="I26" i="8" s="1"/>
  <c r="B26" i="8"/>
  <c r="G26" i="8" s="1"/>
  <c r="M25" i="8"/>
  <c r="H25" i="8"/>
  <c r="E25" i="8"/>
  <c r="I25" i="8" s="1"/>
  <c r="B25" i="8"/>
  <c r="G25" i="8" s="1"/>
  <c r="E24" i="8"/>
  <c r="H24" i="8" s="1"/>
  <c r="B24" i="8"/>
  <c r="G24" i="8" s="1"/>
  <c r="H23" i="8"/>
  <c r="E23" i="8"/>
  <c r="I23" i="8" s="1"/>
  <c r="B23" i="8"/>
  <c r="G23" i="8" s="1"/>
  <c r="Q22" i="8"/>
  <c r="H22" i="8"/>
  <c r="E22" i="8"/>
  <c r="I22" i="8" s="1"/>
  <c r="B22" i="8"/>
  <c r="G22" i="8" s="1"/>
  <c r="H21" i="8"/>
  <c r="E21" i="8"/>
  <c r="I21" i="8" s="1"/>
  <c r="B21" i="8"/>
  <c r="F21" i="8" s="1"/>
  <c r="H20" i="8"/>
  <c r="G20" i="8"/>
  <c r="E20" i="8"/>
  <c r="I20" i="8" s="1"/>
  <c r="B20" i="8"/>
  <c r="F20" i="8" s="1"/>
  <c r="M19" i="8" a="1"/>
  <c r="O20" i="8" s="1"/>
  <c r="H19" i="8"/>
  <c r="E19" i="8"/>
  <c r="I19" i="8" s="1"/>
  <c r="B19" i="8"/>
  <c r="F19" i="8" s="1"/>
  <c r="H18" i="8"/>
  <c r="E18" i="8"/>
  <c r="I18" i="8" s="1"/>
  <c r="B18" i="8"/>
  <c r="G18" i="8" s="1"/>
  <c r="E17" i="8"/>
  <c r="H17" i="8" s="1"/>
  <c r="B17" i="8"/>
  <c r="G17" i="8" s="1"/>
  <c r="N16" i="8" a="1"/>
  <c r="N16" i="8" s="1"/>
  <c r="H16" i="8"/>
  <c r="G16" i="8"/>
  <c r="F16" i="8"/>
  <c r="J16" i="8" s="1"/>
  <c r="E16" i="8"/>
  <c r="I16" i="8" s="1"/>
  <c r="B16" i="8"/>
  <c r="S15" i="8"/>
  <c r="R15" i="8"/>
  <c r="Q15" i="8"/>
  <c r="P15" i="8"/>
  <c r="O15" i="8"/>
  <c r="N15" i="8"/>
  <c r="H15" i="8"/>
  <c r="E15" i="8"/>
  <c r="I15" i="8" s="1"/>
  <c r="B15" i="8"/>
  <c r="F15" i="8" s="1"/>
  <c r="T14" i="8"/>
  <c r="P23" i="8" s="1"/>
  <c r="H14" i="8"/>
  <c r="E14" i="8"/>
  <c r="I14" i="8" s="1"/>
  <c r="B14" i="8"/>
  <c r="G14" i="8" s="1"/>
  <c r="T13" i="8"/>
  <c r="U13" i="8" s="1"/>
  <c r="E13" i="8"/>
  <c r="H13" i="8" s="1"/>
  <c r="B13" i="8"/>
  <c r="G13" i="8" s="1"/>
  <c r="T12" i="8"/>
  <c r="U12" i="8" s="1"/>
  <c r="H12" i="8"/>
  <c r="E12" i="8"/>
  <c r="I12" i="8" s="1"/>
  <c r="B12" i="8"/>
  <c r="F12" i="8" s="1"/>
  <c r="T11" i="8"/>
  <c r="M23" i="8" s="1"/>
  <c r="H11" i="8"/>
  <c r="E11" i="8"/>
  <c r="I11" i="8" s="1"/>
  <c r="B11" i="8"/>
  <c r="F11" i="8" s="1"/>
  <c r="H10" i="8"/>
  <c r="E10" i="8"/>
  <c r="I10" i="8" s="1"/>
  <c r="B10" i="8"/>
  <c r="G10" i="8" s="1"/>
  <c r="E9" i="8"/>
  <c r="H9" i="8" s="1"/>
  <c r="B9" i="8"/>
  <c r="G9" i="8" s="1"/>
  <c r="H8" i="8"/>
  <c r="E8" i="8"/>
  <c r="I8" i="8" s="1"/>
  <c r="B8" i="8"/>
  <c r="F8" i="8" s="1"/>
  <c r="H7" i="8"/>
  <c r="E7" i="8"/>
  <c r="I7" i="8" s="1"/>
  <c r="B7" i="8"/>
  <c r="F7" i="8" s="1"/>
  <c r="H6" i="8"/>
  <c r="E6" i="8"/>
  <c r="I6" i="8" s="1"/>
  <c r="B6" i="8"/>
  <c r="G6" i="8" s="1"/>
  <c r="H5" i="8"/>
  <c r="E5" i="8"/>
  <c r="I5" i="8" s="1"/>
  <c r="B5" i="8"/>
  <c r="F5" i="8" s="1"/>
  <c r="E4" i="8"/>
  <c r="H4" i="8" s="1"/>
  <c r="B4" i="8"/>
  <c r="F4" i="8" s="1"/>
  <c r="H27" i="6"/>
  <c r="E27" i="6"/>
  <c r="I27" i="6" s="1"/>
  <c r="B27" i="6"/>
  <c r="F27" i="6" s="1"/>
  <c r="H26" i="6"/>
  <c r="E26" i="6"/>
  <c r="I26" i="6" s="1"/>
  <c r="B26" i="6"/>
  <c r="G26" i="6" s="1"/>
  <c r="M25" i="6"/>
  <c r="H25" i="6"/>
  <c r="E25" i="6"/>
  <c r="I25" i="6" s="1"/>
  <c r="B25" i="6"/>
  <c r="F25" i="6" s="1"/>
  <c r="E24" i="6"/>
  <c r="H24" i="6" s="1"/>
  <c r="B24" i="6"/>
  <c r="F24" i="6" s="1"/>
  <c r="H23" i="6"/>
  <c r="E23" i="6"/>
  <c r="I23" i="6" s="1"/>
  <c r="B23" i="6"/>
  <c r="G23" i="6" s="1"/>
  <c r="Q22" i="6"/>
  <c r="H22" i="6"/>
  <c r="E22" i="6"/>
  <c r="I22" i="6" s="1"/>
  <c r="B22" i="6"/>
  <c r="G22" i="6" s="1"/>
  <c r="H21" i="6"/>
  <c r="E21" i="6"/>
  <c r="I21" i="6" s="1"/>
  <c r="B21" i="6"/>
  <c r="F21" i="6" s="1"/>
  <c r="H20" i="6"/>
  <c r="E20" i="6"/>
  <c r="I20" i="6" s="1"/>
  <c r="B20" i="6"/>
  <c r="F20" i="6" s="1"/>
  <c r="M19" i="6" a="1"/>
  <c r="O20" i="6" s="1"/>
  <c r="H19" i="6"/>
  <c r="E19" i="6"/>
  <c r="I19" i="6" s="1"/>
  <c r="B19" i="6"/>
  <c r="F19" i="6" s="1"/>
  <c r="H18" i="6"/>
  <c r="E18" i="6"/>
  <c r="I18" i="6" s="1"/>
  <c r="B18" i="6"/>
  <c r="G18" i="6" s="1"/>
  <c r="E17" i="6"/>
  <c r="H17" i="6" s="1"/>
  <c r="B17" i="6"/>
  <c r="G17" i="6" s="1"/>
  <c r="N16" i="6" a="1"/>
  <c r="N16" i="6" s="1"/>
  <c r="H16" i="6"/>
  <c r="E16" i="6"/>
  <c r="I16" i="6" s="1"/>
  <c r="B16" i="6"/>
  <c r="F16" i="6" s="1"/>
  <c r="S15" i="6"/>
  <c r="R15" i="6"/>
  <c r="Q15" i="6"/>
  <c r="P15" i="6"/>
  <c r="O15" i="6"/>
  <c r="N15" i="6"/>
  <c r="H15" i="6"/>
  <c r="E15" i="6"/>
  <c r="I15" i="6" s="1"/>
  <c r="B15" i="6"/>
  <c r="F15" i="6" s="1"/>
  <c r="T14" i="6"/>
  <c r="P23" i="6" s="1"/>
  <c r="H14" i="6"/>
  <c r="E14" i="6"/>
  <c r="I14" i="6" s="1"/>
  <c r="B14" i="6"/>
  <c r="G14" i="6" s="1"/>
  <c r="T13" i="6"/>
  <c r="U13" i="6" s="1"/>
  <c r="E13" i="6"/>
  <c r="H13" i="6" s="1"/>
  <c r="B13" i="6"/>
  <c r="G13" i="6" s="1"/>
  <c r="T12" i="6"/>
  <c r="U12" i="6" s="1"/>
  <c r="H12" i="6"/>
  <c r="E12" i="6"/>
  <c r="I12" i="6" s="1"/>
  <c r="B12" i="6"/>
  <c r="G12" i="6" s="1"/>
  <c r="T11" i="6"/>
  <c r="M23" i="6" s="1"/>
  <c r="H11" i="6"/>
  <c r="G11" i="6"/>
  <c r="E11" i="6"/>
  <c r="I11" i="6" s="1"/>
  <c r="B11" i="6"/>
  <c r="F11" i="6" s="1"/>
  <c r="H10" i="6"/>
  <c r="G10" i="6"/>
  <c r="E10" i="6"/>
  <c r="I10" i="6" s="1"/>
  <c r="B10" i="6"/>
  <c r="F10" i="6" s="1"/>
  <c r="E9" i="6"/>
  <c r="H9" i="6" s="1"/>
  <c r="B9" i="6"/>
  <c r="F9" i="6" s="1"/>
  <c r="H8" i="6"/>
  <c r="E8" i="6"/>
  <c r="I8" i="6" s="1"/>
  <c r="B8" i="6"/>
  <c r="F8" i="6" s="1"/>
  <c r="H7" i="6"/>
  <c r="E7" i="6"/>
  <c r="I7" i="6" s="1"/>
  <c r="B7" i="6"/>
  <c r="F7" i="6" s="1"/>
  <c r="H6" i="6"/>
  <c r="E6" i="6"/>
  <c r="I6" i="6" s="1"/>
  <c r="B6" i="6"/>
  <c r="G6" i="6" s="1"/>
  <c r="E5" i="6"/>
  <c r="I5" i="6" s="1"/>
  <c r="B5" i="6"/>
  <c r="G5" i="6" s="1"/>
  <c r="E4" i="6"/>
  <c r="H4" i="6" s="1"/>
  <c r="B4" i="6"/>
  <c r="G4" i="6" s="1"/>
  <c r="U12" i="4"/>
  <c r="U13" i="4"/>
  <c r="U14" i="4"/>
  <c r="U11" i="4"/>
  <c r="M25" i="4"/>
  <c r="M19" i="4" a="1"/>
  <c r="M19" i="4" s="1"/>
  <c r="N16" i="4" a="1"/>
  <c r="N16" i="4" s="1"/>
  <c r="F6" i="1"/>
  <c r="E5" i="4"/>
  <c r="I5" i="4" s="1"/>
  <c r="E6" i="4"/>
  <c r="I6" i="4" s="1"/>
  <c r="E7" i="4"/>
  <c r="I7" i="4" s="1"/>
  <c r="E8" i="4"/>
  <c r="I8" i="4" s="1"/>
  <c r="E9" i="4"/>
  <c r="I9" i="4" s="1"/>
  <c r="E10" i="4"/>
  <c r="I10" i="4" s="1"/>
  <c r="E11" i="4"/>
  <c r="I11" i="4" s="1"/>
  <c r="E12" i="4"/>
  <c r="I12" i="4" s="1"/>
  <c r="E13" i="4"/>
  <c r="I13" i="4" s="1"/>
  <c r="E14" i="4"/>
  <c r="I14" i="4" s="1"/>
  <c r="E15" i="4"/>
  <c r="I15" i="4" s="1"/>
  <c r="E16" i="4"/>
  <c r="H16" i="4" s="1"/>
  <c r="E17" i="4"/>
  <c r="I17" i="4" s="1"/>
  <c r="E18" i="4"/>
  <c r="I18" i="4" s="1"/>
  <c r="E19" i="4"/>
  <c r="I19" i="4" s="1"/>
  <c r="E20" i="4"/>
  <c r="I20" i="4" s="1"/>
  <c r="E21" i="4"/>
  <c r="I21" i="4" s="1"/>
  <c r="E22" i="4"/>
  <c r="I22" i="4" s="1"/>
  <c r="E23" i="4"/>
  <c r="I23" i="4" s="1"/>
  <c r="E24" i="4"/>
  <c r="I24" i="4" s="1"/>
  <c r="E25" i="4"/>
  <c r="I25" i="4" s="1"/>
  <c r="E26" i="4"/>
  <c r="I26" i="4" s="1"/>
  <c r="E27" i="4"/>
  <c r="I27" i="4" s="1"/>
  <c r="E4" i="4"/>
  <c r="I4" i="4" s="1"/>
  <c r="B5" i="4"/>
  <c r="G5" i="4" s="1"/>
  <c r="B6" i="4"/>
  <c r="G6" i="4" s="1"/>
  <c r="B7" i="4"/>
  <c r="G7" i="4" s="1"/>
  <c r="B8" i="4"/>
  <c r="G8" i="4" s="1"/>
  <c r="B9" i="4"/>
  <c r="G9" i="4" s="1"/>
  <c r="B10" i="4"/>
  <c r="G10" i="4" s="1"/>
  <c r="B11" i="4"/>
  <c r="G11" i="4" s="1"/>
  <c r="B12" i="4"/>
  <c r="G12" i="4" s="1"/>
  <c r="B13" i="4"/>
  <c r="G13" i="4" s="1"/>
  <c r="B14" i="4"/>
  <c r="G14" i="4" s="1"/>
  <c r="B15" i="4"/>
  <c r="G15" i="4" s="1"/>
  <c r="B16" i="4"/>
  <c r="G16" i="4" s="1"/>
  <c r="B17" i="4"/>
  <c r="G17" i="4" s="1"/>
  <c r="B18" i="4"/>
  <c r="G18" i="4" s="1"/>
  <c r="B19" i="4"/>
  <c r="G19" i="4" s="1"/>
  <c r="B20" i="4"/>
  <c r="G20" i="4" s="1"/>
  <c r="B21" i="4"/>
  <c r="G21" i="4" s="1"/>
  <c r="B22" i="4"/>
  <c r="G22" i="4" s="1"/>
  <c r="B23" i="4"/>
  <c r="G23" i="4" s="1"/>
  <c r="B24" i="4"/>
  <c r="G24" i="4" s="1"/>
  <c r="B25" i="4"/>
  <c r="G25" i="4" s="1"/>
  <c r="B26" i="4"/>
  <c r="G26" i="4" s="1"/>
  <c r="B27" i="4"/>
  <c r="G27" i="4" s="1"/>
  <c r="B4" i="4"/>
  <c r="F4" i="4" s="1"/>
  <c r="Q22" i="4"/>
  <c r="O20" i="4"/>
  <c r="N20" i="4"/>
  <c r="S15" i="4"/>
  <c r="R15" i="4"/>
  <c r="Q15" i="4"/>
  <c r="P15" i="4"/>
  <c r="O15" i="4"/>
  <c r="N15" i="4"/>
  <c r="T14" i="4"/>
  <c r="P23" i="4" s="1"/>
  <c r="T13" i="4"/>
  <c r="O23" i="4" s="1"/>
  <c r="T12" i="4"/>
  <c r="T11" i="4"/>
  <c r="G16" i="6" l="1"/>
  <c r="F18" i="6"/>
  <c r="G20" i="6"/>
  <c r="J20" i="6" s="1"/>
  <c r="G21" i="6"/>
  <c r="J21" i="6" s="1"/>
  <c r="F5" i="6"/>
  <c r="F17" i="6"/>
  <c r="G5" i="8"/>
  <c r="J5" i="8" s="1"/>
  <c r="G9" i="6"/>
  <c r="F13" i="6"/>
  <c r="G4" i="8"/>
  <c r="J4" i="8" s="1"/>
  <c r="J20" i="8"/>
  <c r="G8" i="8"/>
  <c r="J8" i="8" s="1"/>
  <c r="F9" i="8"/>
  <c r="J9" i="8" s="1"/>
  <c r="G25" i="6"/>
  <c r="F24" i="8"/>
  <c r="J24" i="8" s="1"/>
  <c r="F25" i="8"/>
  <c r="J25" i="8" s="1"/>
  <c r="F4" i="6"/>
  <c r="G15" i="6"/>
  <c r="G8" i="6"/>
  <c r="J8" i="6" s="1"/>
  <c r="G24" i="6"/>
  <c r="F26" i="6"/>
  <c r="G7" i="8"/>
  <c r="J7" i="8" s="1"/>
  <c r="F10" i="8"/>
  <c r="G12" i="8"/>
  <c r="J12" i="8" s="1"/>
  <c r="J10" i="8"/>
  <c r="F13" i="8"/>
  <c r="J13" i="8" s="1"/>
  <c r="G21" i="8"/>
  <c r="J21" i="8" s="1"/>
  <c r="F12" i="6"/>
  <c r="G19" i="6"/>
  <c r="J19" i="6" s="1"/>
  <c r="G27" i="6"/>
  <c r="J27" i="6" s="1"/>
  <c r="G11" i="8"/>
  <c r="J11" i="8" s="1"/>
  <c r="G15" i="8"/>
  <c r="J15" i="8" s="1"/>
  <c r="F17" i="8"/>
  <c r="J17" i="8" s="1"/>
  <c r="F18" i="8"/>
  <c r="J18" i="8" s="1"/>
  <c r="F26" i="8"/>
  <c r="J26" i="8" s="1"/>
  <c r="G7" i="6"/>
  <c r="J7" i="6" s="1"/>
  <c r="J11" i="6"/>
  <c r="J15" i="6"/>
  <c r="G19" i="8"/>
  <c r="J19" i="8" s="1"/>
  <c r="G27" i="8"/>
  <c r="J27" i="8" s="1"/>
  <c r="O23" i="8"/>
  <c r="U14" i="8"/>
  <c r="N23" i="8"/>
  <c r="I4" i="8"/>
  <c r="I24" i="8"/>
  <c r="U11" i="8"/>
  <c r="M19" i="8"/>
  <c r="M20" i="8" s="1"/>
  <c r="F6" i="8"/>
  <c r="J6" i="8" s="1"/>
  <c r="F14" i="8"/>
  <c r="J14" i="8" s="1"/>
  <c r="N20" i="8"/>
  <c r="F22" i="8"/>
  <c r="F23" i="8"/>
  <c r="J23" i="8" s="1"/>
  <c r="I9" i="8"/>
  <c r="I13" i="8"/>
  <c r="I17" i="8"/>
  <c r="P20" i="8"/>
  <c r="O23" i="6"/>
  <c r="U14" i="6"/>
  <c r="N23" i="6"/>
  <c r="J26" i="6"/>
  <c r="J10" i="6"/>
  <c r="J16" i="6"/>
  <c r="J4" i="6"/>
  <c r="J12" i="6"/>
  <c r="J17" i="6"/>
  <c r="J18" i="6"/>
  <c r="J24" i="6"/>
  <c r="J25" i="6"/>
  <c r="I4" i="6"/>
  <c r="I9" i="6"/>
  <c r="J9" i="6" s="1"/>
  <c r="I13" i="6"/>
  <c r="J13" i="6" s="1"/>
  <c r="I17" i="6"/>
  <c r="P20" i="6"/>
  <c r="I24" i="6"/>
  <c r="M19" i="6"/>
  <c r="M20" i="6" s="1"/>
  <c r="H5" i="6"/>
  <c r="J5" i="6" s="1"/>
  <c r="F6" i="6"/>
  <c r="J6" i="6" s="1"/>
  <c r="F14" i="6"/>
  <c r="J14" i="6" s="1"/>
  <c r="N20" i="6"/>
  <c r="F22" i="6"/>
  <c r="J22" i="6" s="1"/>
  <c r="F23" i="6"/>
  <c r="J23" i="6" s="1"/>
  <c r="U11" i="6"/>
  <c r="F20" i="4"/>
  <c r="J20" i="4" s="1"/>
  <c r="F12" i="4"/>
  <c r="J12" i="4" s="1"/>
  <c r="G4" i="4"/>
  <c r="H4" i="4"/>
  <c r="H24" i="4"/>
  <c r="H20" i="4"/>
  <c r="H12" i="4"/>
  <c r="H8" i="4"/>
  <c r="I16" i="4"/>
  <c r="N23" i="4"/>
  <c r="F27" i="4"/>
  <c r="F23" i="4"/>
  <c r="F19" i="4"/>
  <c r="F15" i="4"/>
  <c r="J15" i="4" s="1"/>
  <c r="F11" i="4"/>
  <c r="F7" i="4"/>
  <c r="J7" i="4" s="1"/>
  <c r="H27" i="4"/>
  <c r="H23" i="4"/>
  <c r="H19" i="4"/>
  <c r="H15" i="4"/>
  <c r="H11" i="4"/>
  <c r="H7" i="4"/>
  <c r="F26" i="4"/>
  <c r="F22" i="4"/>
  <c r="F18" i="4"/>
  <c r="F14" i="4"/>
  <c r="J14" i="4" s="1"/>
  <c r="F10" i="4"/>
  <c r="F6" i="4"/>
  <c r="H26" i="4"/>
  <c r="H22" i="4"/>
  <c r="H18" i="4"/>
  <c r="H14" i="4"/>
  <c r="H10" i="4"/>
  <c r="H6" i="4"/>
  <c r="F24" i="4"/>
  <c r="J24" i="4" s="1"/>
  <c r="F16" i="4"/>
  <c r="J16" i="4" s="1"/>
  <c r="F8" i="4"/>
  <c r="J8" i="4" s="1"/>
  <c r="F25" i="4"/>
  <c r="J25" i="4" s="1"/>
  <c r="F21" i="4"/>
  <c r="F17" i="4"/>
  <c r="J17" i="4" s="1"/>
  <c r="F13" i="4"/>
  <c r="F9" i="4"/>
  <c r="J9" i="4" s="1"/>
  <c r="F5" i="4"/>
  <c r="H25" i="4"/>
  <c r="H21" i="4"/>
  <c r="H17" i="4"/>
  <c r="H13" i="4"/>
  <c r="H9" i="4"/>
  <c r="H5" i="4"/>
  <c r="M23" i="4"/>
  <c r="P20" i="4"/>
  <c r="M20" i="4"/>
  <c r="J22" i="8" l="1"/>
  <c r="N8" i="8" s="1" a="1"/>
  <c r="N8" i="8" s="1"/>
  <c r="J4" i="4"/>
  <c r="N6" i="8" a="1"/>
  <c r="N6" i="8" s="1"/>
  <c r="N5" i="8" a="1"/>
  <c r="N5" i="8" s="1"/>
  <c r="N7" i="8" a="1"/>
  <c r="N7" i="8" s="1"/>
  <c r="N5" i="6" a="1"/>
  <c r="N5" i="6" s="1"/>
  <c r="N7" i="6" a="1"/>
  <c r="N7" i="6" s="1"/>
  <c r="N6" i="6" a="1"/>
  <c r="N6" i="6" s="1"/>
  <c r="N8" i="6" a="1"/>
  <c r="N8" i="6" s="1"/>
  <c r="J13" i="4"/>
  <c r="J18" i="4"/>
  <c r="J19" i="4"/>
  <c r="J6" i="4"/>
  <c r="J22" i="4"/>
  <c r="J23" i="4"/>
  <c r="J5" i="4"/>
  <c r="J21" i="4"/>
  <c r="J10" i="4"/>
  <c r="J26" i="4"/>
  <c r="J11" i="4"/>
  <c r="J27" i="4"/>
  <c r="C17" i="1"/>
  <c r="D17" i="1"/>
  <c r="B17" i="1"/>
  <c r="B15" i="1" s="1"/>
  <c r="C15" i="1"/>
  <c r="D15" i="1"/>
  <c r="B19" i="1"/>
  <c r="C19" i="1"/>
  <c r="D19" i="1"/>
  <c r="B20" i="1"/>
  <c r="C20" i="1"/>
  <c r="D20" i="1"/>
  <c r="C18" i="1"/>
  <c r="D18" i="1"/>
  <c r="B18" i="1"/>
  <c r="E12" i="1"/>
  <c r="E11" i="1"/>
  <c r="E10" i="1"/>
  <c r="N5" i="4" l="1" a="1"/>
  <c r="N5" i="4" s="1"/>
  <c r="N7" i="4" a="1"/>
  <c r="N7" i="4" s="1"/>
  <c r="V5" i="8"/>
  <c r="V5" i="6"/>
  <c r="N6" i="4" a="1"/>
  <c r="N6" i="4" s="1"/>
  <c r="N8" i="4" a="1"/>
  <c r="N8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<sst xmlns="http://schemas.openxmlformats.org/spreadsheetml/2006/main" count="118" uniqueCount="56">
  <si>
    <t>Product 1</t>
  </si>
  <si>
    <t>Product 2</t>
  </si>
  <si>
    <t>Product 3</t>
  </si>
  <si>
    <t># to Produce</t>
  </si>
  <si>
    <t>Unit Profit</t>
  </si>
  <si>
    <t>Setup Cost</t>
  </si>
  <si>
    <t>Resources</t>
  </si>
  <si>
    <t>Machining</t>
  </si>
  <si>
    <t>Grinding</t>
  </si>
  <si>
    <t>Assembly</t>
  </si>
  <si>
    <t>Hours Req'd</t>
  </si>
  <si>
    <t>Available</t>
  </si>
  <si>
    <t>Used</t>
  </si>
  <si>
    <t>Binary Variables</t>
  </si>
  <si>
    <t>Linking Constraints</t>
  </si>
  <si>
    <t>Total Profit</t>
  </si>
  <si>
    <t>Max If 1 Product</t>
  </si>
  <si>
    <t>distribution_center</t>
  </si>
  <si>
    <t>name</t>
  </si>
  <si>
    <t>demand</t>
  </si>
  <si>
    <t>latitude</t>
  </si>
  <si>
    <t>longitude</t>
  </si>
  <si>
    <t>Turkish Delight Tundra</t>
  </si>
  <si>
    <t>Maple Fudge Forest</t>
  </si>
  <si>
    <t>Vanilla Chai Vortex</t>
  </si>
  <si>
    <t>Twizzler Tunnels</t>
  </si>
  <si>
    <t>Milkshake Mire</t>
  </si>
  <si>
    <t>Peanut Butter Parlor</t>
  </si>
  <si>
    <t>max_dcs</t>
  </si>
  <si>
    <t>cost_per_unit_distance</t>
  </si>
  <si>
    <t>method_to_calculate_distance</t>
  </si>
  <si>
    <t>manhattan</t>
  </si>
  <si>
    <t>warehouse</t>
  </si>
  <si>
    <t>set_up_cost</t>
  </si>
  <si>
    <t>Jellybean Jungle</t>
  </si>
  <si>
    <t>Chocolate River Rapids</t>
  </si>
  <si>
    <t>Butterscotch Bluffs</t>
  </si>
  <si>
    <t>Lava Cake Ledges</t>
  </si>
  <si>
    <t>WH</t>
  </si>
  <si>
    <t>DC</t>
  </si>
  <si>
    <t>WH Lat</t>
  </si>
  <si>
    <t>WH Long</t>
  </si>
  <si>
    <t>DC Lat</t>
  </si>
  <si>
    <t>DC Long</t>
  </si>
  <si>
    <t>Manhattan</t>
  </si>
  <si>
    <t>WH &gt; DC</t>
  </si>
  <si>
    <t>Total Cost</t>
  </si>
  <si>
    <t>Sent by Wh</t>
  </si>
  <si>
    <t>Sum</t>
  </si>
  <si>
    <t>Demand</t>
  </si>
  <si>
    <t>Setup Costs</t>
  </si>
  <si>
    <t>Actual Costs</t>
  </si>
  <si>
    <t>Binary</t>
  </si>
  <si>
    <t>Linking</t>
  </si>
  <si>
    <t>Total Demand</t>
  </si>
  <si>
    <t>Euclidean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</si>
</sst>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1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6" tint="-0.249977111117893"/>
      <name val="Aptos Narrow"/>
      <family val="2"/>
      <scheme val="minor"/>
    </font>
    <font>
      <b/>
      <sz val="11"/>
      <color theme="3" tint="9.9978637043366805E-2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1"/>
      <color theme="0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2" fillId="0" borderId="0" xfId="0" applyFont="1" applyAlignment="1">
      <alignment horizontal="left" indent="1"/>
    </xf>
    <xf numFmtId="164" fontId="2" fillId="0" borderId="0" xfId="1" applyNumberFormat="1" applyFont="1"/>
    <xf numFmtId="0" fontId="2" fillId="0" borderId="0" xfId="0" applyFont="1" applyAlignment="1">
      <alignment horizontal="left"/>
    </xf>
    <xf numFmtId="164" fontId="5" fillId="2" borderId="0" xfId="0" applyNumberFormat="1" applyFont="1" applyFill="1"/>
    <xf numFmtId="0" fontId="6" fillId="2" borderId="0" xfId="0" applyFont="1" applyFill="1" applyAlignment="1">
      <alignment horizontal="center"/>
    </xf>
    <xf numFmtId="0" fontId="8" fillId="0" borderId="0" xfId="0" applyFont="1"/>
    <xf numFmtId="0" fontId="7" fillId="0" borderId="0" xfId="0" applyFont="1"/>
    <xf numFmtId="0" fontId="2" fillId="3" borderId="2" xfId="0" applyFont="1" applyFill="1" applyBorder="1"/>
    <xf numFmtId="0" fontId="2" fillId="3" borderId="3" xfId="0" applyFont="1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2" fillId="5" borderId="1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0" fontId="0" fillId="6" borderId="9" xfId="0" applyFill="1" applyBorder="1"/>
    <xf numFmtId="0" fontId="2" fillId="5" borderId="10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44" fontId="0" fillId="6" borderId="11" xfId="1" applyFont="1" applyFill="1" applyBorder="1"/>
    <xf numFmtId="0" fontId="0" fillId="7" borderId="4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2" fillId="5" borderId="12" xfId="0" applyFont="1" applyFill="1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0" fillId="7" borderId="14" xfId="0" applyFill="1" applyBorder="1" applyAlignment="1">
      <alignment horizontal="center"/>
    </xf>
    <xf numFmtId="0" fontId="0" fillId="7" borderId="15" xfId="0" applyFill="1" applyBorder="1" applyAlignment="1">
      <alignment horizontal="center"/>
    </xf>
    <xf numFmtId="0" fontId="2" fillId="5" borderId="9" xfId="0" applyFont="1" applyFill="1" applyBorder="1"/>
    <xf numFmtId="0" fontId="0" fillId="7" borderId="16" xfId="0" applyFill="1" applyBorder="1"/>
    <xf numFmtId="10" fontId="0" fillId="0" borderId="0" xfId="2" applyNumberFormat="1" applyFont="1"/>
    <xf numFmtId="0" fontId="0" fillId="7" borderId="11" xfId="0" applyFill="1" applyBorder="1"/>
    <xf numFmtId="0" fontId="2" fillId="5" borderId="4" xfId="0" applyFont="1" applyFill="1" applyBorder="1"/>
    <xf numFmtId="0" fontId="0" fillId="7" borderId="17" xfId="0" applyFill="1" applyBorder="1"/>
    <xf numFmtId="0" fontId="0" fillId="7" borderId="18" xfId="0" applyFill="1" applyBorder="1"/>
    <xf numFmtId="0" fontId="2" fillId="5" borderId="13" xfId="0" applyFont="1" applyFill="1" applyBorder="1"/>
    <xf numFmtId="0" fontId="0" fillId="7" borderId="14" xfId="0" applyFill="1" applyBorder="1"/>
    <xf numFmtId="0" fontId="0" fillId="7" borderId="15" xfId="0" applyFill="1" applyBorder="1"/>
    <xf numFmtId="0" fontId="2" fillId="8" borderId="19" xfId="0" applyFont="1" applyFill="1" applyBorder="1"/>
    <xf numFmtId="0" fontId="0" fillId="8" borderId="7" xfId="0" applyFill="1" applyBorder="1"/>
    <xf numFmtId="0" fontId="0" fillId="8" borderId="8" xfId="0" applyFill="1" applyBorder="1"/>
    <xf numFmtId="0" fontId="2" fillId="9" borderId="20" xfId="0" applyFont="1" applyFill="1" applyBorder="1"/>
    <xf numFmtId="0" fontId="0" fillId="9" borderId="21" xfId="0" applyFill="1" applyBorder="1"/>
    <xf numFmtId="0" fontId="0" fillId="9" borderId="22" xfId="0" applyFill="1" applyBorder="1"/>
    <xf numFmtId="0" fontId="2" fillId="10" borderId="19" xfId="0" applyFont="1" applyFill="1" applyBorder="1"/>
    <xf numFmtId="0" fontId="0" fillId="10" borderId="7" xfId="0" applyFill="1" applyBorder="1"/>
    <xf numFmtId="0" fontId="0" fillId="10" borderId="22" xfId="0" applyFill="1" applyBorder="1"/>
    <xf numFmtId="0" fontId="2" fillId="11" borderId="20" xfId="0" applyFont="1" applyFill="1" applyBorder="1"/>
    <xf numFmtId="0" fontId="0" fillId="11" borderId="21" xfId="0" applyFill="1" applyBorder="1"/>
    <xf numFmtId="0" fontId="0" fillId="11" borderId="22" xfId="0" applyFill="1" applyBorder="1"/>
    <xf numFmtId="0" fontId="9" fillId="0" borderId="0" xfId="0" applyFont="1"/>
    <xf numFmtId="0" fontId="0" fillId="4" borderId="14" xfId="0" applyFill="1" applyBorder="1"/>
    <xf numFmtId="0" fontId="0" fillId="4" borderId="15" xfId="0" applyFill="1" applyBorder="1"/>
    <xf numFmtId="0" fontId="9" fillId="12" borderId="0" xfId="0" applyFont="1" applyFill="1"/>
    <xf numFmtId="2" fontId="0" fillId="4" borderId="6" xfId="0" applyNumberFormat="1" applyFill="1" applyBorder="1"/>
    <xf numFmtId="0" fontId="2" fillId="6" borderId="3" xfId="0" applyFont="1" applyFill="1" applyBorder="1"/>
    <xf numFmtId="0" fontId="2" fillId="0" borderId="0" xfId="0" applyFont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163830</xdr:colOff>
      <xdr:row>0</xdr:row>
      <xdr:rowOff>106680</xdr:rowOff>
    </xdr:from>
    <xdr:to>
      <xdr:col>16</xdr:col>
      <xdr:colOff>202409</xdr:colOff>
      <xdr:row>12</xdr:row>
      <xdr:rowOff>64955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7FF63D-4F01-B89E-05DE-21A34C2348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86350" y="106680"/>
          <a:ext cx="5524979" cy="215283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8</xdr:col>
      <xdr:colOff>154305</xdr:colOff>
      <xdr:row>13</xdr:row>
      <xdr:rowOff>34290</xdr:rowOff>
    </xdr:from>
    <xdr:to>
      <xdr:col>15</xdr:col>
      <xdr:colOff>40364</xdr:colOff>
      <xdr:row>25</xdr:row>
      <xdr:rowOff>63056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BB23387-45E7-FFF3-DE0D-18B181B9AD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86425" y="2411730"/>
          <a:ext cx="4153259" cy="2223326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514350</xdr:colOff>
      <xdr:row>0</xdr:row>
      <xdr:rowOff>123825</xdr:rowOff>
    </xdr:from>
    <xdr:to>
      <xdr:col>16</xdr:col>
      <xdr:colOff>381479</xdr:colOff>
      <xdr:row>12</xdr:row>
      <xdr:rowOff>82100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3D13829-018B-498A-889B-BEFFC5F6DD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81550" y="123825"/>
          <a:ext cx="5353529" cy="224427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8</xdr:col>
      <xdr:colOff>257175</xdr:colOff>
      <xdr:row>13</xdr:row>
      <xdr:rowOff>142875</xdr:rowOff>
    </xdr:from>
    <xdr:to>
      <xdr:col>15</xdr:col>
      <xdr:colOff>9884</xdr:colOff>
      <xdr:row>25</xdr:row>
      <xdr:rowOff>171641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44EEC14-5C2F-4F85-BD31-D4F8B9D818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33975" y="2619375"/>
          <a:ext cx="4019909" cy="2314766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17C1A-CE7C-4429-9FF9-13D760525BA9}">
  <dimension ref="A3:F20"/>
  <sheetViews>
    <sheetView workbookViewId="0">
      <selection activeCell="G22" sqref="G22"/>
    </sheetView>
  </sheetViews>
  <sheetFormatPr baseColWidth="10" defaultColWidth="8.83203125" defaultRowHeight="15" x14ac:dyDescent="0.2"/>
  <cols>
    <col min="1" max="1" width="18.6640625" bestFit="1" customWidth="1"/>
    <col min="2" max="2" width="10.1640625" bestFit="1" customWidth="1"/>
    <col min="3" max="4" width="9" bestFit="1" customWidth="1"/>
    <col min="6" max="6" width="10" bestFit="1" customWidth="1"/>
  </cols>
  <sheetData>
    <row r="3" spans="1:6" x14ac:dyDescent="0.2">
      <c r="B3" s="2" t="s">
        <v>0</v>
      </c>
      <c r="C3" s="2" t="s">
        <v>1</v>
      </c>
      <c r="D3" s="2" t="s">
        <v>2</v>
      </c>
    </row>
    <row r="4" spans="1:6" x14ac:dyDescent="0.2">
      <c r="A4" s="1" t="s">
        <v>3</v>
      </c>
      <c r="B4" s="3">
        <v>0</v>
      </c>
      <c r="C4" s="3">
        <v>56</v>
      </c>
      <c r="D4" s="3">
        <v>32</v>
      </c>
    </row>
    <row r="5" spans="1:6" x14ac:dyDescent="0.2">
      <c r="F5" s="1" t="s">
        <v>15</v>
      </c>
    </row>
    <row r="6" spans="1:6" x14ac:dyDescent="0.2">
      <c r="A6" s="1" t="s">
        <v>4</v>
      </c>
      <c r="B6" s="5">
        <v>48</v>
      </c>
      <c r="C6" s="5">
        <v>55</v>
      </c>
      <c r="D6" s="5">
        <v>50</v>
      </c>
      <c r="F6" s="7">
        <f>SUMPRODUCT(B4:D4,B6:D6)-SUMPRODUCT(B7:D7,B14:D14)</f>
        <v>2980</v>
      </c>
    </row>
    <row r="7" spans="1:6" x14ac:dyDescent="0.2">
      <c r="A7" s="1" t="s">
        <v>5</v>
      </c>
      <c r="B7" s="5">
        <v>1000</v>
      </c>
      <c r="C7" s="5">
        <v>800</v>
      </c>
      <c r="D7" s="5">
        <v>900</v>
      </c>
    </row>
    <row r="9" spans="1:6" x14ac:dyDescent="0.2">
      <c r="A9" s="1" t="s">
        <v>6</v>
      </c>
      <c r="B9" s="60" t="s">
        <v>10</v>
      </c>
      <c r="C9" s="60"/>
      <c r="D9" s="60"/>
      <c r="E9" s="2" t="s">
        <v>12</v>
      </c>
      <c r="F9" s="2" t="s">
        <v>11</v>
      </c>
    </row>
    <row r="10" spans="1:6" x14ac:dyDescent="0.2">
      <c r="A10" s="4" t="s">
        <v>7</v>
      </c>
      <c r="B10" s="2">
        <v>2</v>
      </c>
      <c r="C10" s="2">
        <v>3</v>
      </c>
      <c r="D10" s="2">
        <v>6</v>
      </c>
      <c r="E10" s="8">
        <f>SUMPRODUCT($B$4:$D$4,B10:D10)</f>
        <v>360</v>
      </c>
      <c r="F10" s="2">
        <v>600</v>
      </c>
    </row>
    <row r="11" spans="1:6" x14ac:dyDescent="0.2">
      <c r="A11" s="4" t="s">
        <v>8</v>
      </c>
      <c r="B11" s="2">
        <v>6</v>
      </c>
      <c r="C11" s="2">
        <v>3</v>
      </c>
      <c r="D11" s="2">
        <v>4</v>
      </c>
      <c r="E11" s="8">
        <f t="shared" ref="E11:E12" si="0">SUMPRODUCT($B$4:$D$4,B11:D11)</f>
        <v>296</v>
      </c>
      <c r="F11" s="2">
        <v>300</v>
      </c>
    </row>
    <row r="12" spans="1:6" x14ac:dyDescent="0.2">
      <c r="A12" s="4" t="s">
        <v>9</v>
      </c>
      <c r="B12" s="2">
        <v>5</v>
      </c>
      <c r="C12" s="2">
        <v>6</v>
      </c>
      <c r="D12" s="2">
        <v>2</v>
      </c>
      <c r="E12" s="8">
        <f t="shared" si="0"/>
        <v>400</v>
      </c>
      <c r="F12" s="2">
        <v>400</v>
      </c>
    </row>
    <row r="14" spans="1:6" x14ac:dyDescent="0.2">
      <c r="A14" s="6" t="s">
        <v>13</v>
      </c>
      <c r="B14" s="3">
        <v>0</v>
      </c>
      <c r="C14" s="3">
        <v>1</v>
      </c>
      <c r="D14" s="3">
        <v>1</v>
      </c>
    </row>
    <row r="15" spans="1:6" x14ac:dyDescent="0.2">
      <c r="A15" s="6" t="s">
        <v>14</v>
      </c>
      <c r="B15" s="8">
        <f>B4-(B17*B14)</f>
        <v>0</v>
      </c>
      <c r="C15" s="8">
        <f t="shared" ref="C15:D15" si="1">C4-(C17*C14)</f>
        <v>-11</v>
      </c>
      <c r="D15" s="8">
        <f t="shared" si="1"/>
        <v>-43</v>
      </c>
    </row>
    <row r="17" spans="1:4" x14ac:dyDescent="0.2">
      <c r="A17" s="1" t="s">
        <v>16</v>
      </c>
      <c r="B17" s="2">
        <f>MIN(B18:B20)</f>
        <v>50</v>
      </c>
      <c r="C17" s="2">
        <f t="shared" ref="C17:D17" si="2">MIN(C18:C20)</f>
        <v>67</v>
      </c>
      <c r="D17" s="2">
        <f t="shared" si="2"/>
        <v>75</v>
      </c>
    </row>
    <row r="18" spans="1:4" x14ac:dyDescent="0.2">
      <c r="A18" s="4" t="s">
        <v>7</v>
      </c>
      <c r="B18">
        <f>ROUNDUP($F10/B10, 0)</f>
        <v>300</v>
      </c>
      <c r="C18">
        <f t="shared" ref="C18:D18" si="3">ROUNDUP($F10/C10, 0)</f>
        <v>200</v>
      </c>
      <c r="D18">
        <f t="shared" si="3"/>
        <v>100</v>
      </c>
    </row>
    <row r="19" spans="1:4" x14ac:dyDescent="0.2">
      <c r="A19" s="4" t="s">
        <v>8</v>
      </c>
      <c r="B19">
        <f t="shared" ref="B19:D19" si="4">ROUNDUP($F11/B11, 0)</f>
        <v>50</v>
      </c>
      <c r="C19">
        <f t="shared" si="4"/>
        <v>100</v>
      </c>
      <c r="D19">
        <f t="shared" si="4"/>
        <v>75</v>
      </c>
    </row>
    <row r="20" spans="1:4" x14ac:dyDescent="0.2">
      <c r="A20" s="4" t="s">
        <v>9</v>
      </c>
      <c r="B20">
        <f t="shared" ref="B20:D20" si="5">ROUNDUP($F12/B12, 0)</f>
        <v>80</v>
      </c>
      <c r="C20">
        <f t="shared" si="5"/>
        <v>67</v>
      </c>
      <c r="D20">
        <f t="shared" si="5"/>
        <v>200</v>
      </c>
    </row>
  </sheetData>
  <mergeCells count="1">
    <mergeCell ref="B9:D9"/>
  </mergeCells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5F855-651A-449D-B9E4-2EBC023EF0F2}">
  <dimension ref="A3:F20"/>
  <sheetViews>
    <sheetView workbookViewId="0">
      <selection activeCell="G18" sqref="G18"/>
    </sheetView>
  </sheetViews>
  <sheetFormatPr baseColWidth="10" defaultColWidth="8.83203125" defaultRowHeight="15" x14ac:dyDescent="0.2"/>
  <cols>
    <col min="1" max="1" width="18.6640625" bestFit="1" customWidth="1"/>
    <col min="6" max="6" width="10.83203125" bestFit="1" customWidth="1"/>
  </cols>
  <sheetData>
    <row r="3" spans="1:6" x14ac:dyDescent="0.2">
      <c r="B3" s="2" t="s">
        <v>0</v>
      </c>
      <c r="C3" s="2" t="s">
        <v>1</v>
      </c>
      <c r="D3" s="2" t="s">
        <v>2</v>
      </c>
    </row>
    <row r="4" spans="1:6" x14ac:dyDescent="0.2">
      <c r="A4" s="1" t="s">
        <v>3</v>
      </c>
      <c r="B4" s="3">
        <v>0</v>
      </c>
      <c r="C4" s="3">
        <v>56</v>
      </c>
      <c r="D4" s="3">
        <v>32</v>
      </c>
    </row>
    <row r="5" spans="1:6" x14ac:dyDescent="0.2">
      <c r="F5" s="1" t="s">
        <v>15</v>
      </c>
    </row>
    <row r="6" spans="1:6" x14ac:dyDescent="0.2">
      <c r="A6" s="1" t="s">
        <v>4</v>
      </c>
      <c r="B6" s="5">
        <v>48</v>
      </c>
      <c r="C6" s="5">
        <v>55</v>
      </c>
      <c r="D6" s="5">
        <v>50</v>
      </c>
      <c r="F6" s="7">
        <f>SUMPRODUCT(B4:D4,B6:D6)-SUMPRODUCT(B7:D7,B14:D14)</f>
        <v>2980</v>
      </c>
    </row>
    <row r="7" spans="1:6" x14ac:dyDescent="0.2">
      <c r="A7" s="1" t="s">
        <v>5</v>
      </c>
      <c r="B7" s="5">
        <v>1000</v>
      </c>
      <c r="C7" s="5">
        <v>800</v>
      </c>
      <c r="D7" s="5">
        <v>900</v>
      </c>
    </row>
    <row r="9" spans="1:6" x14ac:dyDescent="0.2">
      <c r="A9" s="1" t="s">
        <v>6</v>
      </c>
      <c r="B9" s="60" t="s">
        <v>10</v>
      </c>
      <c r="C9" s="60"/>
      <c r="D9" s="60"/>
      <c r="E9" s="2" t="s">
        <v>12</v>
      </c>
      <c r="F9" s="2" t="s">
        <v>11</v>
      </c>
    </row>
    <row r="10" spans="1:6" x14ac:dyDescent="0.2">
      <c r="A10" s="4" t="s">
        <v>7</v>
      </c>
      <c r="B10" s="2">
        <v>2</v>
      </c>
      <c r="C10" s="2">
        <v>3</v>
      </c>
      <c r="D10" s="2">
        <v>6</v>
      </c>
      <c r="E10" s="8">
        <f>SUMPRODUCT($B$4:$D$4,B10:D10)</f>
        <v>360</v>
      </c>
      <c r="F10" s="2">
        <v>600</v>
      </c>
    </row>
    <row r="11" spans="1:6" x14ac:dyDescent="0.2">
      <c r="A11" s="4" t="s">
        <v>8</v>
      </c>
      <c r="B11" s="2">
        <v>6</v>
      </c>
      <c r="C11" s="2">
        <v>3</v>
      </c>
      <c r="D11" s="2">
        <v>4</v>
      </c>
      <c r="E11" s="8">
        <f t="shared" ref="E11:E12" si="0">SUMPRODUCT($B$4:$D$4,B11:D11)</f>
        <v>296</v>
      </c>
      <c r="F11" s="2">
        <v>300</v>
      </c>
    </row>
    <row r="12" spans="1:6" x14ac:dyDescent="0.2">
      <c r="A12" s="4" t="s">
        <v>9</v>
      </c>
      <c r="B12" s="2">
        <v>5</v>
      </c>
      <c r="C12" s="2">
        <v>6</v>
      </c>
      <c r="D12" s="2">
        <v>2</v>
      </c>
      <c r="E12" s="8">
        <f t="shared" si="0"/>
        <v>400</v>
      </c>
      <c r="F12" s="2">
        <v>400</v>
      </c>
    </row>
    <row r="14" spans="1:6" x14ac:dyDescent="0.2">
      <c r="A14" s="6" t="s">
        <v>13</v>
      </c>
      <c r="B14" s="3">
        <v>0</v>
      </c>
      <c r="C14" s="3">
        <v>1</v>
      </c>
      <c r="D14" s="3">
        <v>1</v>
      </c>
    </row>
    <row r="15" spans="1:6" x14ac:dyDescent="0.2">
      <c r="A15" s="6" t="s">
        <v>14</v>
      </c>
      <c r="B15" s="8">
        <f>B4-(B17*B14)</f>
        <v>0</v>
      </c>
      <c r="C15" s="8">
        <f t="shared" ref="C15:D15" si="1">C4-(C17*C14)</f>
        <v>-11</v>
      </c>
      <c r="D15" s="8">
        <f t="shared" si="1"/>
        <v>-43</v>
      </c>
    </row>
    <row r="17" spans="1:4" x14ac:dyDescent="0.2">
      <c r="A17" s="1" t="s">
        <v>16</v>
      </c>
      <c r="B17" s="2">
        <f>MIN(B18:B20)</f>
        <v>50</v>
      </c>
      <c r="C17" s="2">
        <f t="shared" ref="C17:D17" si="2">MIN(C18:C20)</f>
        <v>67</v>
      </c>
      <c r="D17" s="2">
        <f t="shared" si="2"/>
        <v>75</v>
      </c>
    </row>
    <row r="18" spans="1:4" x14ac:dyDescent="0.2">
      <c r="A18" s="4" t="s">
        <v>7</v>
      </c>
      <c r="B18">
        <f>ROUNDUP($F10/B10, 0)</f>
        <v>300</v>
      </c>
      <c r="C18">
        <f t="shared" ref="C18:D18" si="3">ROUNDUP($F10/C10, 0)</f>
        <v>200</v>
      </c>
      <c r="D18">
        <f t="shared" si="3"/>
        <v>100</v>
      </c>
    </row>
    <row r="19" spans="1:4" x14ac:dyDescent="0.2">
      <c r="A19" s="4" t="s">
        <v>8</v>
      </c>
      <c r="B19">
        <f t="shared" ref="B19:D20" si="4">ROUNDUP($F11/B11, 0)</f>
        <v>50</v>
      </c>
      <c r="C19">
        <f t="shared" si="4"/>
        <v>100</v>
      </c>
      <c r="D19">
        <f t="shared" si="4"/>
        <v>75</v>
      </c>
    </row>
    <row r="20" spans="1:4" x14ac:dyDescent="0.2">
      <c r="A20" s="4" t="s">
        <v>9</v>
      </c>
      <c r="B20">
        <f t="shared" si="4"/>
        <v>80</v>
      </c>
      <c r="C20">
        <f t="shared" si="4"/>
        <v>67</v>
      </c>
      <c r="D20">
        <f t="shared" si="4"/>
        <v>200</v>
      </c>
    </row>
  </sheetData>
  <mergeCells count="1">
    <mergeCell ref="B9:D9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956C8-B716-4747-AB44-DE184D4EC2A0}">
  <dimension ref="B2:V27"/>
  <sheetViews>
    <sheetView zoomScale="70" zoomScaleNormal="70" workbookViewId="0">
      <selection activeCell="N34" sqref="N34"/>
    </sheetView>
  </sheetViews>
  <sheetFormatPr baseColWidth="10" defaultColWidth="8.83203125" defaultRowHeight="15" x14ac:dyDescent="0.2"/>
  <cols>
    <col min="2" max="2" width="23.1640625" customWidth="1"/>
    <col min="3" max="3" width="5.1640625" customWidth="1"/>
    <col min="4" max="4" width="5.5" customWidth="1"/>
    <col min="5" max="5" width="21.83203125" bestFit="1" customWidth="1"/>
    <col min="10" max="10" width="15.6640625" customWidth="1"/>
    <col min="12" max="12" width="13.5" bestFit="1" customWidth="1"/>
    <col min="20" max="20" width="15.5" customWidth="1"/>
    <col min="22" max="22" width="17.6640625" customWidth="1"/>
  </cols>
  <sheetData>
    <row r="2" spans="2:22" ht="16" thickBot="1" x14ac:dyDescent="0.25"/>
    <row r="3" spans="2:22" ht="16" thickBot="1" x14ac:dyDescent="0.25">
      <c r="B3" s="61" t="s">
        <v>38</v>
      </c>
      <c r="C3" s="62"/>
      <c r="D3" s="62" t="s">
        <v>39</v>
      </c>
      <c r="E3" s="62"/>
      <c r="F3" s="11" t="s">
        <v>40</v>
      </c>
      <c r="G3" s="11" t="s">
        <v>41</v>
      </c>
      <c r="H3" s="11" t="s">
        <v>42</v>
      </c>
      <c r="I3" s="11" t="s">
        <v>43</v>
      </c>
      <c r="J3" s="12" t="s">
        <v>44</v>
      </c>
    </row>
    <row r="4" spans="2:22" ht="16" thickBot="1" x14ac:dyDescent="0.25">
      <c r="B4" s="13" t="str">
        <f>_xlfn.XLOOKUP(C4,'Data '!$A$10:$A$13,'Data '!$B$10:$B$13)</f>
        <v>Jellybean Jungle</v>
      </c>
      <c r="C4" s="14">
        <v>1</v>
      </c>
      <c r="D4" s="14">
        <v>1</v>
      </c>
      <c r="E4" s="14" t="str">
        <f>_xlfn.XLOOKUP(D4,'Data '!$A$2:$A$7,'Data '!$B$2:$B$7)</f>
        <v>Turkish Delight Tundra</v>
      </c>
      <c r="F4" s="14">
        <f>_xlfn.XLOOKUP(B4,'Data '!$B$10:$B$13,'Data '!$D$10:$D$13)</f>
        <v>39.770000000000003</v>
      </c>
      <c r="G4" s="14">
        <f>_xlfn.XLOOKUP(B4,'Data '!$B$10:$B$13,'Data '!$E$10:$E$13)</f>
        <v>-89.66</v>
      </c>
      <c r="H4" s="14">
        <f>_xlfn.XLOOKUP(E4,'Data '!$B$2:$B$7,'Data '!$D$2:$D$7)</f>
        <v>26.37</v>
      </c>
      <c r="I4" s="14">
        <f>_xlfn.XLOOKUP(E4,'Data '!$B$2:$B$7,'Data '!$E$2:$E$7)</f>
        <v>-108.08</v>
      </c>
      <c r="J4" s="15">
        <f>ABS(F4-H4)+ABS(G4-I4)</f>
        <v>31.820000000000004</v>
      </c>
      <c r="M4" s="16" t="s">
        <v>45</v>
      </c>
      <c r="N4" s="17">
        <v>1</v>
      </c>
      <c r="O4" s="17">
        <v>2</v>
      </c>
      <c r="P4" s="17">
        <v>3</v>
      </c>
      <c r="Q4" s="17">
        <v>4</v>
      </c>
      <c r="R4" s="17">
        <v>5</v>
      </c>
      <c r="S4" s="18">
        <v>6</v>
      </c>
      <c r="V4" s="19" t="s">
        <v>46</v>
      </c>
    </row>
    <row r="5" spans="2:22" ht="16" thickBot="1" x14ac:dyDescent="0.25">
      <c r="B5" s="13" t="str">
        <f>_xlfn.XLOOKUP(C5,'Data '!$A$10:$A$13,'Data '!$B$10:$B$13)</f>
        <v>Jellybean Jungle</v>
      </c>
      <c r="C5" s="14">
        <v>1</v>
      </c>
      <c r="D5" s="14">
        <v>2</v>
      </c>
      <c r="E5" s="14" t="str">
        <f>_xlfn.XLOOKUP(D5,'Data '!$A$2:$A$7,'Data '!$B$2:$B$7)</f>
        <v>Maple Fudge Forest</v>
      </c>
      <c r="F5" s="14">
        <f>_xlfn.XLOOKUP(B5,'Data '!$B$10:$B$13,'Data '!$D$10:$D$13)</f>
        <v>39.770000000000003</v>
      </c>
      <c r="G5" s="14">
        <f>_xlfn.XLOOKUP(B5,'Data '!$B$10:$B$13,'Data '!$E$10:$E$13)</f>
        <v>-89.66</v>
      </c>
      <c r="H5" s="14">
        <f>_xlfn.XLOOKUP(E5,'Data '!$B$2:$B$7,'Data '!$D$2:$D$7)</f>
        <v>39.36</v>
      </c>
      <c r="I5" s="14">
        <f>_xlfn.XLOOKUP(E5,'Data '!$B$2:$B$7,'Data '!$E$2:$E$7)</f>
        <v>-89.08</v>
      </c>
      <c r="J5" s="15">
        <f t="shared" ref="J5:J27" si="0">ABS(F5-H5)+ABS(G5-I5)</f>
        <v>0.99000000000000199</v>
      </c>
      <c r="M5" s="20">
        <v>1</v>
      </c>
      <c r="N5" s="21" cm="1">
        <f t="array" ref="N5:S5">_xlfn.TOROW(J4:J9)</f>
        <v>31.820000000000004</v>
      </c>
      <c r="O5" s="22">
        <v>0.99000000000000199</v>
      </c>
      <c r="P5" s="22">
        <v>19.069999999999993</v>
      </c>
      <c r="Q5" s="22">
        <v>25.689999999999998</v>
      </c>
      <c r="R5" s="22">
        <v>16.220000000000006</v>
      </c>
      <c r="S5" s="23">
        <v>18.360000000000007</v>
      </c>
      <c r="V5" s="24">
        <f>SUMPRODUCT(N5:S8,N11:S14)+SUMPRODUCT(M19:P19,M22:P22)</f>
        <v>40816.089999999989</v>
      </c>
    </row>
    <row r="6" spans="2:22" x14ac:dyDescent="0.2">
      <c r="B6" s="13" t="str">
        <f>_xlfn.XLOOKUP(C6,'Data '!$A$10:$A$13,'Data '!$B$10:$B$13)</f>
        <v>Jellybean Jungle</v>
      </c>
      <c r="C6" s="14">
        <v>1</v>
      </c>
      <c r="D6" s="14">
        <v>3</v>
      </c>
      <c r="E6" s="14" t="str">
        <f>_xlfn.XLOOKUP(D6,'Data '!$A$2:$A$7,'Data '!$B$2:$B$7)</f>
        <v>Vanilla Chai Vortex</v>
      </c>
      <c r="F6" s="14">
        <f>_xlfn.XLOOKUP(B6,'Data '!$B$10:$B$13,'Data '!$D$10:$D$13)</f>
        <v>39.770000000000003</v>
      </c>
      <c r="G6" s="14">
        <f>_xlfn.XLOOKUP(B6,'Data '!$B$10:$B$13,'Data '!$E$10:$E$13)</f>
        <v>-89.66</v>
      </c>
      <c r="H6" s="14">
        <f>_xlfn.XLOOKUP(E6,'Data '!$B$2:$B$7,'Data '!$D$2:$D$7)</f>
        <v>33.770000000000003</v>
      </c>
      <c r="I6" s="14">
        <f>_xlfn.XLOOKUP(E6,'Data '!$B$2:$B$7,'Data '!$E$2:$E$7)</f>
        <v>-76.59</v>
      </c>
      <c r="J6" s="15">
        <f t="shared" si="0"/>
        <v>19.069999999999993</v>
      </c>
      <c r="M6" s="20">
        <v>2</v>
      </c>
      <c r="N6" s="25" cm="1">
        <f t="array" ref="N6:S6">_xlfn.TOROW(J10:J15)</f>
        <v>41.42</v>
      </c>
      <c r="O6" s="26">
        <v>13.75</v>
      </c>
      <c r="P6" s="26">
        <v>4.3299999999999912</v>
      </c>
      <c r="Q6" s="26">
        <v>10.949999999999996</v>
      </c>
      <c r="R6" s="26">
        <v>25.820000000000007</v>
      </c>
      <c r="S6" s="27">
        <v>27.960000000000008</v>
      </c>
    </row>
    <row r="7" spans="2:22" x14ac:dyDescent="0.2">
      <c r="B7" s="13" t="str">
        <f>_xlfn.XLOOKUP(C7,'Data '!$A$10:$A$13,'Data '!$B$10:$B$13)</f>
        <v>Jellybean Jungle</v>
      </c>
      <c r="C7" s="14">
        <v>1</v>
      </c>
      <c r="D7" s="14">
        <v>4</v>
      </c>
      <c r="E7" s="14" t="str">
        <f>_xlfn.XLOOKUP(D7,'Data '!$A$2:$A$7,'Data '!$B$2:$B$7)</f>
        <v>Twizzler Tunnels</v>
      </c>
      <c r="F7" s="14">
        <f>_xlfn.XLOOKUP(B7,'Data '!$B$10:$B$13,'Data '!$D$10:$D$13)</f>
        <v>39.770000000000003</v>
      </c>
      <c r="G7" s="14">
        <f>_xlfn.XLOOKUP(B7,'Data '!$B$10:$B$13,'Data '!$E$10:$E$13)</f>
        <v>-89.66</v>
      </c>
      <c r="H7" s="14">
        <f>_xlfn.XLOOKUP(E7,'Data '!$B$2:$B$7,'Data '!$D$2:$D$7)</f>
        <v>34.68</v>
      </c>
      <c r="I7" s="14">
        <f>_xlfn.XLOOKUP(E7,'Data '!$B$2:$B$7,'Data '!$E$2:$E$7)</f>
        <v>-69.06</v>
      </c>
      <c r="J7" s="15">
        <f t="shared" si="0"/>
        <v>25.689999999999998</v>
      </c>
      <c r="M7" s="20">
        <v>3</v>
      </c>
      <c r="N7" s="25" cm="1">
        <f t="array" ref="N7:S7">_xlfn.TOROW(J16:J21)</f>
        <v>8.9799999999999969</v>
      </c>
      <c r="O7" s="26">
        <v>25.930000000000003</v>
      </c>
      <c r="P7" s="26">
        <v>32.83</v>
      </c>
      <c r="Q7" s="26">
        <v>41.269999999999996</v>
      </c>
      <c r="R7" s="26">
        <v>9.5400000000000027</v>
      </c>
      <c r="S7" s="27">
        <v>14.620000000000001</v>
      </c>
    </row>
    <row r="8" spans="2:22" ht="16" thickBot="1" x14ac:dyDescent="0.25">
      <c r="B8" s="13" t="str">
        <f>_xlfn.XLOOKUP(C8,'Data '!$A$10:$A$13,'Data '!$B$10:$B$13)</f>
        <v>Jellybean Jungle</v>
      </c>
      <c r="C8" s="14">
        <v>1</v>
      </c>
      <c r="D8" s="14">
        <v>5</v>
      </c>
      <c r="E8" s="14" t="str">
        <f>_xlfn.XLOOKUP(D8,'Data '!$A$2:$A$7,'Data '!$B$2:$B$7)</f>
        <v>Milkshake Mire</v>
      </c>
      <c r="F8" s="14">
        <f>_xlfn.XLOOKUP(B8,'Data '!$B$10:$B$13,'Data '!$D$10:$D$13)</f>
        <v>39.770000000000003</v>
      </c>
      <c r="G8" s="14">
        <f>_xlfn.XLOOKUP(B8,'Data '!$B$10:$B$13,'Data '!$E$10:$E$13)</f>
        <v>-89.66</v>
      </c>
      <c r="H8" s="14">
        <f>_xlfn.XLOOKUP(E8,'Data '!$B$2:$B$7,'Data '!$D$2:$D$7)</f>
        <v>32.42</v>
      </c>
      <c r="I8" s="14">
        <f>_xlfn.XLOOKUP(E8,'Data '!$B$2:$B$7,'Data '!$E$2:$E$7)</f>
        <v>-98.53</v>
      </c>
      <c r="J8" s="15">
        <f t="shared" si="0"/>
        <v>16.220000000000006</v>
      </c>
      <c r="M8" s="28">
        <v>4</v>
      </c>
      <c r="N8" s="29" cm="1">
        <f t="array" ref="N8:S8">_xlfn.TOROW(J22:J27)</f>
        <v>15.370000000000001</v>
      </c>
      <c r="O8" s="30">
        <v>16.619999999999997</v>
      </c>
      <c r="P8" s="30">
        <v>28.719999999999985</v>
      </c>
      <c r="Q8" s="30">
        <v>35.339999999999989</v>
      </c>
      <c r="R8" s="30">
        <v>8.1299999999999883</v>
      </c>
      <c r="S8" s="31">
        <v>1.9100000000000037</v>
      </c>
    </row>
    <row r="9" spans="2:22" ht="16" thickBot="1" x14ac:dyDescent="0.25">
      <c r="B9" s="13" t="str">
        <f>_xlfn.XLOOKUP(C9,'Data '!$A$10:$A$13,'Data '!$B$10:$B$13)</f>
        <v>Jellybean Jungle</v>
      </c>
      <c r="C9" s="14">
        <v>1</v>
      </c>
      <c r="D9" s="14">
        <v>6</v>
      </c>
      <c r="E9" s="14" t="str">
        <f>_xlfn.XLOOKUP(D9,'Data '!$A$2:$A$7,'Data '!$B$2:$B$7)</f>
        <v>Peanut Butter Parlor</v>
      </c>
      <c r="F9" s="14">
        <f>_xlfn.XLOOKUP(B9,'Data '!$B$10:$B$13,'Data '!$D$10:$D$13)</f>
        <v>39.770000000000003</v>
      </c>
      <c r="G9" s="14">
        <f>_xlfn.XLOOKUP(B9,'Data '!$B$10:$B$13,'Data '!$E$10:$E$13)</f>
        <v>-89.66</v>
      </c>
      <c r="H9" s="14">
        <f>_xlfn.XLOOKUP(E9,'Data '!$B$2:$B$7,'Data '!$D$2:$D$7)</f>
        <v>35.92</v>
      </c>
      <c r="I9" s="14">
        <f>_xlfn.XLOOKUP(E9,'Data '!$B$2:$B$7,'Data '!$E$2:$E$7)</f>
        <v>-104.17</v>
      </c>
      <c r="J9" s="15">
        <f t="shared" si="0"/>
        <v>18.360000000000007</v>
      </c>
    </row>
    <row r="10" spans="2:22" ht="16" thickBot="1" x14ac:dyDescent="0.25">
      <c r="B10" s="13" t="str">
        <f>_xlfn.XLOOKUP(C10,'Data '!$A$10:$A$13,'Data '!$B$10:$B$13)</f>
        <v>Chocolate River Rapids</v>
      </c>
      <c r="C10" s="14">
        <v>2</v>
      </c>
      <c r="D10" s="14">
        <v>1</v>
      </c>
      <c r="E10" s="14" t="str">
        <f>_xlfn.XLOOKUP(D10,'Data '!$A$2:$A$7,'Data '!$B$2:$B$7)</f>
        <v>Turkish Delight Tundra</v>
      </c>
      <c r="F10" s="14">
        <f>_xlfn.XLOOKUP(B10,'Data '!$B$10:$B$13,'Data '!$D$10:$D$13)</f>
        <v>37.200000000000003</v>
      </c>
      <c r="G10" s="14">
        <f>_xlfn.XLOOKUP(B10,'Data '!$B$10:$B$13,'Data '!$E$10:$E$13)</f>
        <v>-77.489999999999995</v>
      </c>
      <c r="H10" s="14">
        <f>_xlfn.XLOOKUP(E10,'Data '!$B$2:$B$7,'Data '!$D$2:$D$7)</f>
        <v>26.37</v>
      </c>
      <c r="I10" s="14">
        <f>_xlfn.XLOOKUP(E10,'Data '!$B$2:$B$7,'Data '!$E$2:$E$7)</f>
        <v>-108.08</v>
      </c>
      <c r="J10" s="15">
        <f t="shared" si="0"/>
        <v>41.42</v>
      </c>
      <c r="M10" s="16" t="s">
        <v>45</v>
      </c>
      <c r="N10" s="17">
        <v>1</v>
      </c>
      <c r="O10" s="17">
        <v>2</v>
      </c>
      <c r="P10" s="17">
        <v>3</v>
      </c>
      <c r="Q10" s="17">
        <v>4</v>
      </c>
      <c r="R10" s="17">
        <v>5</v>
      </c>
      <c r="S10" s="18">
        <v>6</v>
      </c>
      <c r="T10" s="32" t="s">
        <v>47</v>
      </c>
    </row>
    <row r="11" spans="2:22" x14ac:dyDescent="0.2">
      <c r="B11" s="13" t="str">
        <f>_xlfn.XLOOKUP(C11,'Data '!$A$10:$A$13,'Data '!$B$10:$B$13)</f>
        <v>Chocolate River Rapids</v>
      </c>
      <c r="C11" s="14">
        <v>2</v>
      </c>
      <c r="D11" s="14">
        <v>2</v>
      </c>
      <c r="E11" s="14" t="str">
        <f>_xlfn.XLOOKUP(D11,'Data '!$A$2:$A$7,'Data '!$B$2:$B$7)</f>
        <v>Maple Fudge Forest</v>
      </c>
      <c r="F11" s="14">
        <f>_xlfn.XLOOKUP(B11,'Data '!$B$10:$B$13,'Data '!$D$10:$D$13)</f>
        <v>37.200000000000003</v>
      </c>
      <c r="G11" s="14">
        <f>_xlfn.XLOOKUP(B11,'Data '!$B$10:$B$13,'Data '!$E$10:$E$13)</f>
        <v>-77.489999999999995</v>
      </c>
      <c r="H11" s="14">
        <f>_xlfn.XLOOKUP(E11,'Data '!$B$2:$B$7,'Data '!$D$2:$D$7)</f>
        <v>39.36</v>
      </c>
      <c r="I11" s="14">
        <f>_xlfn.XLOOKUP(E11,'Data '!$B$2:$B$7,'Data '!$E$2:$E$7)</f>
        <v>-89.08</v>
      </c>
      <c r="J11" s="15">
        <f t="shared" si="0"/>
        <v>13.75</v>
      </c>
      <c r="M11" s="20">
        <v>1</v>
      </c>
      <c r="N11" s="21">
        <v>0</v>
      </c>
      <c r="O11" s="22">
        <v>0</v>
      </c>
      <c r="P11" s="22">
        <v>0</v>
      </c>
      <c r="Q11" s="22">
        <v>0</v>
      </c>
      <c r="R11" s="22">
        <v>0</v>
      </c>
      <c r="S11" s="23">
        <v>0</v>
      </c>
      <c r="T11" s="33">
        <f>SUM(N11:S11)</f>
        <v>0</v>
      </c>
      <c r="U11" s="34">
        <f>T11/3837</f>
        <v>0</v>
      </c>
    </row>
    <row r="12" spans="2:22" x14ac:dyDescent="0.2">
      <c r="B12" s="13" t="str">
        <f>_xlfn.XLOOKUP(C12,'Data '!$A$10:$A$13,'Data '!$B$10:$B$13)</f>
        <v>Chocolate River Rapids</v>
      </c>
      <c r="C12" s="14">
        <v>2</v>
      </c>
      <c r="D12" s="14">
        <v>3</v>
      </c>
      <c r="E12" s="14" t="str">
        <f>_xlfn.XLOOKUP(D12,'Data '!$A$2:$A$7,'Data '!$B$2:$B$7)</f>
        <v>Vanilla Chai Vortex</v>
      </c>
      <c r="F12" s="14">
        <f>_xlfn.XLOOKUP(B12,'Data '!$B$10:$B$13,'Data '!$D$10:$D$13)</f>
        <v>37.200000000000003</v>
      </c>
      <c r="G12" s="14">
        <f>_xlfn.XLOOKUP(B12,'Data '!$B$10:$B$13,'Data '!$E$10:$E$13)</f>
        <v>-77.489999999999995</v>
      </c>
      <c r="H12" s="14">
        <f>_xlfn.XLOOKUP(E12,'Data '!$B$2:$B$7,'Data '!$D$2:$D$7)</f>
        <v>33.770000000000003</v>
      </c>
      <c r="I12" s="14">
        <f>_xlfn.XLOOKUP(E12,'Data '!$B$2:$B$7,'Data '!$E$2:$E$7)</f>
        <v>-76.59</v>
      </c>
      <c r="J12" s="15">
        <f t="shared" si="0"/>
        <v>4.3299999999999912</v>
      </c>
      <c r="M12" s="20">
        <v>2</v>
      </c>
      <c r="N12" s="25">
        <v>0</v>
      </c>
      <c r="O12" s="26">
        <v>552</v>
      </c>
      <c r="P12" s="26">
        <v>603</v>
      </c>
      <c r="Q12" s="26">
        <v>710</v>
      </c>
      <c r="R12" s="26">
        <v>0</v>
      </c>
      <c r="S12" s="27">
        <v>0</v>
      </c>
      <c r="T12" s="33">
        <f t="shared" ref="T12:T14" si="1">SUM(N12:S12)</f>
        <v>1865</v>
      </c>
      <c r="U12" s="34">
        <f t="shared" ref="U12:U14" si="2">T12/3837</f>
        <v>0.48605681522022415</v>
      </c>
    </row>
    <row r="13" spans="2:22" x14ac:dyDescent="0.2">
      <c r="B13" s="13" t="str">
        <f>_xlfn.XLOOKUP(C13,'Data '!$A$10:$A$13,'Data '!$B$10:$B$13)</f>
        <v>Chocolate River Rapids</v>
      </c>
      <c r="C13" s="14">
        <v>2</v>
      </c>
      <c r="D13" s="14">
        <v>4</v>
      </c>
      <c r="E13" s="14" t="str">
        <f>_xlfn.XLOOKUP(D13,'Data '!$A$2:$A$7,'Data '!$B$2:$B$7)</f>
        <v>Twizzler Tunnels</v>
      </c>
      <c r="F13" s="14">
        <f>_xlfn.XLOOKUP(B13,'Data '!$B$10:$B$13,'Data '!$D$10:$D$13)</f>
        <v>37.200000000000003</v>
      </c>
      <c r="G13" s="14">
        <f>_xlfn.XLOOKUP(B13,'Data '!$B$10:$B$13,'Data '!$E$10:$E$13)</f>
        <v>-77.489999999999995</v>
      </c>
      <c r="H13" s="14">
        <f>_xlfn.XLOOKUP(E13,'Data '!$B$2:$B$7,'Data '!$D$2:$D$7)</f>
        <v>34.68</v>
      </c>
      <c r="I13" s="14">
        <f>_xlfn.XLOOKUP(E13,'Data '!$B$2:$B$7,'Data '!$E$2:$E$7)</f>
        <v>-69.06</v>
      </c>
      <c r="J13" s="15">
        <f t="shared" si="0"/>
        <v>10.949999999999996</v>
      </c>
      <c r="M13" s="20">
        <v>3</v>
      </c>
      <c r="N13" s="25">
        <v>0</v>
      </c>
      <c r="O13" s="26">
        <v>0</v>
      </c>
      <c r="P13" s="26">
        <v>0</v>
      </c>
      <c r="Q13" s="26">
        <v>0</v>
      </c>
      <c r="R13" s="26">
        <v>0</v>
      </c>
      <c r="S13" s="27">
        <v>0</v>
      </c>
      <c r="T13" s="33">
        <f t="shared" si="1"/>
        <v>0</v>
      </c>
      <c r="U13" s="34">
        <f t="shared" si="2"/>
        <v>0</v>
      </c>
    </row>
    <row r="14" spans="2:22" ht="16" thickBot="1" x14ac:dyDescent="0.25">
      <c r="B14" s="13" t="str">
        <f>_xlfn.XLOOKUP(C14,'Data '!$A$10:$A$13,'Data '!$B$10:$B$13)</f>
        <v>Chocolate River Rapids</v>
      </c>
      <c r="C14" s="14">
        <v>2</v>
      </c>
      <c r="D14" s="14">
        <v>5</v>
      </c>
      <c r="E14" s="14" t="str">
        <f>_xlfn.XLOOKUP(D14,'Data '!$A$2:$A$7,'Data '!$B$2:$B$7)</f>
        <v>Milkshake Mire</v>
      </c>
      <c r="F14" s="14">
        <f>_xlfn.XLOOKUP(B14,'Data '!$B$10:$B$13,'Data '!$D$10:$D$13)</f>
        <v>37.200000000000003</v>
      </c>
      <c r="G14" s="14">
        <f>_xlfn.XLOOKUP(B14,'Data '!$B$10:$B$13,'Data '!$E$10:$E$13)</f>
        <v>-77.489999999999995</v>
      </c>
      <c r="H14" s="14">
        <f>_xlfn.XLOOKUP(E14,'Data '!$B$2:$B$7,'Data '!$D$2:$D$7)</f>
        <v>32.42</v>
      </c>
      <c r="I14" s="14">
        <f>_xlfn.XLOOKUP(E14,'Data '!$B$2:$B$7,'Data '!$E$2:$E$7)</f>
        <v>-98.53</v>
      </c>
      <c r="J14" s="15">
        <f t="shared" si="0"/>
        <v>25.820000000000007</v>
      </c>
      <c r="M14" s="20">
        <v>4</v>
      </c>
      <c r="N14" s="29">
        <v>840</v>
      </c>
      <c r="O14" s="30">
        <v>0</v>
      </c>
      <c r="P14" s="30">
        <v>0</v>
      </c>
      <c r="Q14" s="30">
        <v>0</v>
      </c>
      <c r="R14" s="30">
        <v>544</v>
      </c>
      <c r="S14" s="31">
        <v>588</v>
      </c>
      <c r="T14" s="35">
        <f t="shared" si="1"/>
        <v>1972</v>
      </c>
      <c r="U14" s="34">
        <f t="shared" si="2"/>
        <v>0.51394318477977585</v>
      </c>
    </row>
    <row r="15" spans="2:22" x14ac:dyDescent="0.2">
      <c r="B15" s="13" t="str">
        <f>_xlfn.XLOOKUP(C15,'Data '!$A$10:$A$13,'Data '!$B$10:$B$13)</f>
        <v>Chocolate River Rapids</v>
      </c>
      <c r="C15" s="14">
        <v>2</v>
      </c>
      <c r="D15" s="14">
        <v>6</v>
      </c>
      <c r="E15" s="14" t="str">
        <f>_xlfn.XLOOKUP(D15,'Data '!$A$2:$A$7,'Data '!$B$2:$B$7)</f>
        <v>Peanut Butter Parlor</v>
      </c>
      <c r="F15" s="14">
        <f>_xlfn.XLOOKUP(B15,'Data '!$B$10:$B$13,'Data '!$D$10:$D$13)</f>
        <v>37.200000000000003</v>
      </c>
      <c r="G15" s="14">
        <f>_xlfn.XLOOKUP(B15,'Data '!$B$10:$B$13,'Data '!$E$10:$E$13)</f>
        <v>-77.489999999999995</v>
      </c>
      <c r="H15" s="14">
        <f>_xlfn.XLOOKUP(E15,'Data '!$B$2:$B$7,'Data '!$D$2:$D$7)</f>
        <v>35.92</v>
      </c>
      <c r="I15" s="14">
        <f>_xlfn.XLOOKUP(E15,'Data '!$B$2:$B$7,'Data '!$E$2:$E$7)</f>
        <v>-104.17</v>
      </c>
      <c r="J15" s="15">
        <f t="shared" si="0"/>
        <v>27.960000000000008</v>
      </c>
      <c r="M15" s="36" t="s">
        <v>48</v>
      </c>
      <c r="N15" s="37">
        <f>SUM(N11:N14)</f>
        <v>840</v>
      </c>
      <c r="O15" s="37">
        <f t="shared" ref="O15:S15" si="3">SUM(O11:O14)</f>
        <v>552</v>
      </c>
      <c r="P15" s="37">
        <f t="shared" si="3"/>
        <v>603</v>
      </c>
      <c r="Q15" s="37">
        <f t="shared" si="3"/>
        <v>710</v>
      </c>
      <c r="R15" s="37">
        <f t="shared" si="3"/>
        <v>544</v>
      </c>
      <c r="S15" s="38">
        <f t="shared" si="3"/>
        <v>588</v>
      </c>
    </row>
    <row r="16" spans="2:22" ht="16" thickBot="1" x14ac:dyDescent="0.25">
      <c r="B16" s="13" t="str">
        <f>_xlfn.XLOOKUP(C16,'Data '!$A$10:$A$13,'Data '!$B$10:$B$13)</f>
        <v>Butterscotch Bluffs</v>
      </c>
      <c r="C16" s="14">
        <v>3</v>
      </c>
      <c r="D16" s="14">
        <v>1</v>
      </c>
      <c r="E16" s="14" t="str">
        <f>_xlfn.XLOOKUP(D16,'Data '!$A$2:$A$7,'Data '!$B$2:$B$7)</f>
        <v>Turkish Delight Tundra</v>
      </c>
      <c r="F16" s="14">
        <f>_xlfn.XLOOKUP(B16,'Data '!$B$10:$B$13,'Data '!$D$10:$D$13)</f>
        <v>24.91</v>
      </c>
      <c r="G16" s="14">
        <f>_xlfn.XLOOKUP(B16,'Data '!$B$10:$B$13,'Data '!$E$10:$E$13)</f>
        <v>-100.56</v>
      </c>
      <c r="H16" s="14">
        <f>_xlfn.XLOOKUP(E16,'Data '!$B$2:$B$7,'Data '!$D$2:$D$7)</f>
        <v>26.37</v>
      </c>
      <c r="I16" s="14">
        <f>_xlfn.XLOOKUP(E16,'Data '!$B$2:$B$7,'Data '!$E$2:$E$7)</f>
        <v>-108.08</v>
      </c>
      <c r="J16" s="15">
        <f t="shared" si="0"/>
        <v>8.9799999999999969</v>
      </c>
      <c r="M16" s="39" t="s">
        <v>49</v>
      </c>
      <c r="N16" s="40" cm="1">
        <f t="array" ref="N16:S16">_xlfn.TOROW('Data '!C2:C7)</f>
        <v>840</v>
      </c>
      <c r="O16" s="40">
        <v>552</v>
      </c>
      <c r="P16" s="40">
        <v>603</v>
      </c>
      <c r="Q16" s="40">
        <v>710</v>
      </c>
      <c r="R16" s="40">
        <v>544</v>
      </c>
      <c r="S16" s="41">
        <v>588</v>
      </c>
    </row>
    <row r="17" spans="2:17" x14ac:dyDescent="0.2">
      <c r="B17" s="13" t="str">
        <f>_xlfn.XLOOKUP(C17,'Data '!$A$10:$A$13,'Data '!$B$10:$B$13)</f>
        <v>Butterscotch Bluffs</v>
      </c>
      <c r="C17" s="14">
        <v>3</v>
      </c>
      <c r="D17" s="14">
        <v>2</v>
      </c>
      <c r="E17" s="14" t="str">
        <f>_xlfn.XLOOKUP(D17,'Data '!$A$2:$A$7,'Data '!$B$2:$B$7)</f>
        <v>Maple Fudge Forest</v>
      </c>
      <c r="F17" s="14">
        <f>_xlfn.XLOOKUP(B17,'Data '!$B$10:$B$13,'Data '!$D$10:$D$13)</f>
        <v>24.91</v>
      </c>
      <c r="G17" s="14">
        <f>_xlfn.XLOOKUP(B17,'Data '!$B$10:$B$13,'Data '!$E$10:$E$13)</f>
        <v>-100.56</v>
      </c>
      <c r="H17" s="14">
        <f>_xlfn.XLOOKUP(E17,'Data '!$B$2:$B$7,'Data '!$D$2:$D$7)</f>
        <v>39.36</v>
      </c>
      <c r="I17" s="14">
        <f>_xlfn.XLOOKUP(E17,'Data '!$B$2:$B$7,'Data '!$E$2:$E$7)</f>
        <v>-89.08</v>
      </c>
      <c r="J17" s="15">
        <f t="shared" si="0"/>
        <v>25.930000000000003</v>
      </c>
    </row>
    <row r="18" spans="2:17" ht="16" thickBot="1" x14ac:dyDescent="0.25">
      <c r="B18" s="13" t="str">
        <f>_xlfn.XLOOKUP(C18,'Data '!$A$10:$A$13,'Data '!$B$10:$B$13)</f>
        <v>Butterscotch Bluffs</v>
      </c>
      <c r="C18" s="14">
        <v>3</v>
      </c>
      <c r="D18" s="14">
        <v>3</v>
      </c>
      <c r="E18" s="14" t="str">
        <f>_xlfn.XLOOKUP(D18,'Data '!$A$2:$A$7,'Data '!$B$2:$B$7)</f>
        <v>Vanilla Chai Vortex</v>
      </c>
      <c r="F18" s="14">
        <f>_xlfn.XLOOKUP(B18,'Data '!$B$10:$B$13,'Data '!$D$10:$D$13)</f>
        <v>24.91</v>
      </c>
      <c r="G18" s="14">
        <f>_xlfn.XLOOKUP(B18,'Data '!$B$10:$B$13,'Data '!$E$10:$E$13)</f>
        <v>-100.56</v>
      </c>
      <c r="H18" s="14">
        <f>_xlfn.XLOOKUP(E18,'Data '!$B$2:$B$7,'Data '!$D$2:$D$7)</f>
        <v>33.770000000000003</v>
      </c>
      <c r="I18" s="14">
        <f>_xlfn.XLOOKUP(E18,'Data '!$B$2:$B$7,'Data '!$E$2:$E$7)</f>
        <v>-76.59</v>
      </c>
      <c r="J18" s="15">
        <f t="shared" si="0"/>
        <v>32.83</v>
      </c>
    </row>
    <row r="19" spans="2:17" ht="16" thickBot="1" x14ac:dyDescent="0.25">
      <c r="B19" s="13" t="str">
        <f>_xlfn.XLOOKUP(C19,'Data '!$A$10:$A$13,'Data '!$B$10:$B$13)</f>
        <v>Butterscotch Bluffs</v>
      </c>
      <c r="C19" s="14">
        <v>3</v>
      </c>
      <c r="D19" s="14">
        <v>4</v>
      </c>
      <c r="E19" s="14" t="str">
        <f>_xlfn.XLOOKUP(D19,'Data '!$A$2:$A$7,'Data '!$B$2:$B$7)</f>
        <v>Twizzler Tunnels</v>
      </c>
      <c r="F19" s="14">
        <f>_xlfn.XLOOKUP(B19,'Data '!$B$10:$B$13,'Data '!$D$10:$D$13)</f>
        <v>24.91</v>
      </c>
      <c r="G19" s="14">
        <f>_xlfn.XLOOKUP(B19,'Data '!$B$10:$B$13,'Data '!$E$10:$E$13)</f>
        <v>-100.56</v>
      </c>
      <c r="H19" s="14">
        <f>_xlfn.XLOOKUP(E19,'Data '!$B$2:$B$7,'Data '!$D$2:$D$7)</f>
        <v>34.68</v>
      </c>
      <c r="I19" s="14">
        <f>_xlfn.XLOOKUP(E19,'Data '!$B$2:$B$7,'Data '!$E$2:$E$7)</f>
        <v>-69.06</v>
      </c>
      <c r="J19" s="15">
        <f t="shared" si="0"/>
        <v>41.269999999999996</v>
      </c>
      <c r="L19" s="42" t="s">
        <v>50</v>
      </c>
      <c r="M19" s="43" cm="1">
        <f t="array" ref="M19:P19">_xlfn.TOROW('Data '!C10:C13)</f>
        <v>1418</v>
      </c>
      <c r="N19" s="43">
        <v>1714</v>
      </c>
      <c r="O19" s="43">
        <v>2774</v>
      </c>
      <c r="P19" s="44">
        <v>2670</v>
      </c>
    </row>
    <row r="20" spans="2:17" ht="16" thickBot="1" x14ac:dyDescent="0.25">
      <c r="B20" s="13" t="str">
        <f>_xlfn.XLOOKUP(C20,'Data '!$A$10:$A$13,'Data '!$B$10:$B$13)</f>
        <v>Butterscotch Bluffs</v>
      </c>
      <c r="C20" s="14">
        <v>3</v>
      </c>
      <c r="D20" s="14">
        <v>5</v>
      </c>
      <c r="E20" s="14" t="str">
        <f>_xlfn.XLOOKUP(D20,'Data '!$A$2:$A$7,'Data '!$B$2:$B$7)</f>
        <v>Milkshake Mire</v>
      </c>
      <c r="F20" s="14">
        <f>_xlfn.XLOOKUP(B20,'Data '!$B$10:$B$13,'Data '!$D$10:$D$13)</f>
        <v>24.91</v>
      </c>
      <c r="G20" s="14">
        <f>_xlfn.XLOOKUP(B20,'Data '!$B$10:$B$13,'Data '!$E$10:$E$13)</f>
        <v>-100.56</v>
      </c>
      <c r="H20" s="14">
        <f>_xlfn.XLOOKUP(E20,'Data '!$B$2:$B$7,'Data '!$D$2:$D$7)</f>
        <v>32.42</v>
      </c>
      <c r="I20" s="14">
        <f>_xlfn.XLOOKUP(E20,'Data '!$B$2:$B$7,'Data '!$E$2:$E$7)</f>
        <v>-98.53</v>
      </c>
      <c r="J20" s="15">
        <f t="shared" si="0"/>
        <v>9.5400000000000027</v>
      </c>
      <c r="L20" s="45" t="s">
        <v>51</v>
      </c>
      <c r="M20" s="46">
        <f>M19*M22</f>
        <v>0</v>
      </c>
      <c r="N20" s="46">
        <f t="shared" ref="N20:P20" si="4">N19*N22</f>
        <v>1714</v>
      </c>
      <c r="O20" s="46">
        <f t="shared" si="4"/>
        <v>0</v>
      </c>
      <c r="P20" s="47">
        <f t="shared" si="4"/>
        <v>2670</v>
      </c>
    </row>
    <row r="21" spans="2:17" ht="16" thickBot="1" x14ac:dyDescent="0.25">
      <c r="B21" s="13" t="str">
        <f>_xlfn.XLOOKUP(C21,'Data '!$A$10:$A$13,'Data '!$B$10:$B$13)</f>
        <v>Butterscotch Bluffs</v>
      </c>
      <c r="C21" s="14">
        <v>3</v>
      </c>
      <c r="D21" s="14">
        <v>6</v>
      </c>
      <c r="E21" s="14" t="str">
        <f>_xlfn.XLOOKUP(D21,'Data '!$A$2:$A$7,'Data '!$B$2:$B$7)</f>
        <v>Peanut Butter Parlor</v>
      </c>
      <c r="F21" s="14">
        <f>_xlfn.XLOOKUP(B21,'Data '!$B$10:$B$13,'Data '!$D$10:$D$13)</f>
        <v>24.91</v>
      </c>
      <c r="G21" s="14">
        <f>_xlfn.XLOOKUP(B21,'Data '!$B$10:$B$13,'Data '!$E$10:$E$13)</f>
        <v>-100.56</v>
      </c>
      <c r="H21" s="14">
        <f>_xlfn.XLOOKUP(E21,'Data '!$B$2:$B$7,'Data '!$D$2:$D$7)</f>
        <v>35.92</v>
      </c>
      <c r="I21" s="14">
        <f>_xlfn.XLOOKUP(E21,'Data '!$B$2:$B$7,'Data '!$E$2:$E$7)</f>
        <v>-104.17</v>
      </c>
      <c r="J21" s="15">
        <f t="shared" si="0"/>
        <v>14.620000000000001</v>
      </c>
    </row>
    <row r="22" spans="2:17" ht="16" thickBot="1" x14ac:dyDescent="0.25">
      <c r="B22" s="13" t="str">
        <f>_xlfn.XLOOKUP(C22,'Data '!$A$10:$A$13,'Data '!$B$10:$B$13)</f>
        <v>Lava Cake Ledges</v>
      </c>
      <c r="C22" s="14">
        <v>4</v>
      </c>
      <c r="D22" s="14">
        <v>1</v>
      </c>
      <c r="E22" s="14" t="str">
        <f>_xlfn.XLOOKUP(D22,'Data '!$A$2:$A$7,'Data '!$B$2:$B$7)</f>
        <v>Turkish Delight Tundra</v>
      </c>
      <c r="F22" s="14">
        <f>_xlfn.XLOOKUP(B22,'Data '!$B$10:$B$13,'Data '!$D$10:$D$13)</f>
        <v>36.369999999999997</v>
      </c>
      <c r="G22" s="14">
        <f>_xlfn.XLOOKUP(B22,'Data '!$B$10:$B$13,'Data '!$E$10:$E$13)</f>
        <v>-102.71</v>
      </c>
      <c r="H22" s="14">
        <f>_xlfn.XLOOKUP(E22,'Data '!$B$2:$B$7,'Data '!$D$2:$D$7)</f>
        <v>26.37</v>
      </c>
      <c r="I22" s="14">
        <f>_xlfn.XLOOKUP(E22,'Data '!$B$2:$B$7,'Data '!$E$2:$E$7)</f>
        <v>-108.08</v>
      </c>
      <c r="J22" s="15">
        <f t="shared" si="0"/>
        <v>15.370000000000001</v>
      </c>
      <c r="L22" s="48" t="s">
        <v>52</v>
      </c>
      <c r="M22" s="49">
        <v>0</v>
      </c>
      <c r="N22" s="49">
        <v>1</v>
      </c>
      <c r="O22" s="49">
        <v>0</v>
      </c>
      <c r="P22" s="49">
        <v>1</v>
      </c>
      <c r="Q22" s="50">
        <f>SUM(M22:P22)</f>
        <v>2</v>
      </c>
    </row>
    <row r="23" spans="2:17" ht="16" thickBot="1" x14ac:dyDescent="0.25">
      <c r="B23" s="13" t="str">
        <f>_xlfn.XLOOKUP(C23,'Data '!$A$10:$A$13,'Data '!$B$10:$B$13)</f>
        <v>Lava Cake Ledges</v>
      </c>
      <c r="C23" s="14">
        <v>4</v>
      </c>
      <c r="D23" s="14">
        <v>2</v>
      </c>
      <c r="E23" s="14" t="str">
        <f>_xlfn.XLOOKUP(D23,'Data '!$A$2:$A$7,'Data '!$B$2:$B$7)</f>
        <v>Maple Fudge Forest</v>
      </c>
      <c r="F23" s="14">
        <f>_xlfn.XLOOKUP(B23,'Data '!$B$10:$B$13,'Data '!$D$10:$D$13)</f>
        <v>36.369999999999997</v>
      </c>
      <c r="G23" s="14">
        <f>_xlfn.XLOOKUP(B23,'Data '!$B$10:$B$13,'Data '!$E$10:$E$13)</f>
        <v>-102.71</v>
      </c>
      <c r="H23" s="14">
        <f>_xlfn.XLOOKUP(E23,'Data '!$B$2:$B$7,'Data '!$D$2:$D$7)</f>
        <v>39.36</v>
      </c>
      <c r="I23" s="14">
        <f>_xlfn.XLOOKUP(E23,'Data '!$B$2:$B$7,'Data '!$E$2:$E$7)</f>
        <v>-89.08</v>
      </c>
      <c r="J23" s="15">
        <f t="shared" si="0"/>
        <v>16.619999999999997</v>
      </c>
      <c r="L23" s="51" t="s">
        <v>53</v>
      </c>
      <c r="M23" s="52">
        <f>T11-(M25*M22)</f>
        <v>0</v>
      </c>
      <c r="N23" s="52">
        <f>T12-(N25*N22)</f>
        <v>-2650</v>
      </c>
      <c r="O23" s="52">
        <f>T13-(O25*O22)</f>
        <v>0</v>
      </c>
      <c r="P23" s="53">
        <f>T14-(P25*P22)</f>
        <v>-2543</v>
      </c>
    </row>
    <row r="24" spans="2:17" x14ac:dyDescent="0.2">
      <c r="B24" s="13" t="str">
        <f>_xlfn.XLOOKUP(C24,'Data '!$A$10:$A$13,'Data '!$B$10:$B$13)</f>
        <v>Lava Cake Ledges</v>
      </c>
      <c r="C24" s="14">
        <v>4</v>
      </c>
      <c r="D24" s="14">
        <v>3</v>
      </c>
      <c r="E24" s="14" t="str">
        <f>_xlfn.XLOOKUP(D24,'Data '!$A$2:$A$7,'Data '!$B$2:$B$7)</f>
        <v>Vanilla Chai Vortex</v>
      </c>
      <c r="F24" s="14">
        <f>_xlfn.XLOOKUP(B24,'Data '!$B$10:$B$13,'Data '!$D$10:$D$13)</f>
        <v>36.369999999999997</v>
      </c>
      <c r="G24" s="14">
        <f>_xlfn.XLOOKUP(B24,'Data '!$B$10:$B$13,'Data '!$E$10:$E$13)</f>
        <v>-102.71</v>
      </c>
      <c r="H24" s="14">
        <f>_xlfn.XLOOKUP(E24,'Data '!$B$2:$B$7,'Data '!$D$2:$D$7)</f>
        <v>33.770000000000003</v>
      </c>
      <c r="I24" s="14">
        <f>_xlfn.XLOOKUP(E24,'Data '!$B$2:$B$7,'Data '!$E$2:$E$7)</f>
        <v>-76.59</v>
      </c>
      <c r="J24" s="15">
        <f t="shared" si="0"/>
        <v>28.719999999999985</v>
      </c>
    </row>
    <row r="25" spans="2:17" x14ac:dyDescent="0.2">
      <c r="B25" s="13" t="str">
        <f>_xlfn.XLOOKUP(C25,'Data '!$A$10:$A$13,'Data '!$B$10:$B$13)</f>
        <v>Lava Cake Ledges</v>
      </c>
      <c r="C25" s="14">
        <v>4</v>
      </c>
      <c r="D25" s="14">
        <v>4</v>
      </c>
      <c r="E25" s="14" t="str">
        <f>_xlfn.XLOOKUP(D25,'Data '!$A$2:$A$7,'Data '!$B$2:$B$7)</f>
        <v>Twizzler Tunnels</v>
      </c>
      <c r="F25" s="14">
        <f>_xlfn.XLOOKUP(B25,'Data '!$B$10:$B$13,'Data '!$D$10:$D$13)</f>
        <v>36.369999999999997</v>
      </c>
      <c r="G25" s="14">
        <f>_xlfn.XLOOKUP(B25,'Data '!$B$10:$B$13,'Data '!$E$10:$E$13)</f>
        <v>-102.71</v>
      </c>
      <c r="H25" s="14">
        <f>_xlfn.XLOOKUP(E25,'Data '!$B$2:$B$7,'Data '!$D$2:$D$7)</f>
        <v>34.68</v>
      </c>
      <c r="I25" s="14">
        <f>_xlfn.XLOOKUP(E25,'Data '!$B$2:$B$7,'Data '!$E$2:$E$7)</f>
        <v>-69.06</v>
      </c>
      <c r="J25" s="15">
        <f t="shared" si="0"/>
        <v>35.339999999999989</v>
      </c>
      <c r="L25" t="s">
        <v>54</v>
      </c>
      <c r="M25" s="57">
        <f>3837</f>
        <v>3837</v>
      </c>
      <c r="N25" s="54">
        <v>4515</v>
      </c>
      <c r="O25" s="54">
        <v>4515</v>
      </c>
      <c r="P25" s="54">
        <v>4515</v>
      </c>
    </row>
    <row r="26" spans="2:17" x14ac:dyDescent="0.2">
      <c r="B26" s="13" t="str">
        <f>_xlfn.XLOOKUP(C26,'Data '!$A$10:$A$13,'Data '!$B$10:$B$13)</f>
        <v>Lava Cake Ledges</v>
      </c>
      <c r="C26" s="14">
        <v>4</v>
      </c>
      <c r="D26" s="14">
        <v>5</v>
      </c>
      <c r="E26" s="14" t="str">
        <f>_xlfn.XLOOKUP(D26,'Data '!$A$2:$A$7,'Data '!$B$2:$B$7)</f>
        <v>Milkshake Mire</v>
      </c>
      <c r="F26" s="14">
        <f>_xlfn.XLOOKUP(B26,'Data '!$B$10:$B$13,'Data '!$D$10:$D$13)</f>
        <v>36.369999999999997</v>
      </c>
      <c r="G26" s="14">
        <f>_xlfn.XLOOKUP(B26,'Data '!$B$10:$B$13,'Data '!$E$10:$E$13)</f>
        <v>-102.71</v>
      </c>
      <c r="H26" s="14">
        <f>_xlfn.XLOOKUP(E26,'Data '!$B$2:$B$7,'Data '!$D$2:$D$7)</f>
        <v>32.42</v>
      </c>
      <c r="I26" s="14">
        <f>_xlfn.XLOOKUP(E26,'Data '!$B$2:$B$7,'Data '!$E$2:$E$7)</f>
        <v>-98.53</v>
      </c>
      <c r="J26" s="15">
        <f t="shared" si="0"/>
        <v>8.1299999999999883</v>
      </c>
    </row>
    <row r="27" spans="2:17" ht="16" thickBot="1" x14ac:dyDescent="0.25">
      <c r="B27" s="13" t="str">
        <f>_xlfn.XLOOKUP(C27,'Data '!$A$10:$A$13,'Data '!$B$10:$B$13)</f>
        <v>Lava Cake Ledges</v>
      </c>
      <c r="C27" s="55">
        <v>4</v>
      </c>
      <c r="D27" s="55">
        <v>6</v>
      </c>
      <c r="E27" s="14" t="str">
        <f>_xlfn.XLOOKUP(D27,'Data '!$A$2:$A$7,'Data '!$B$2:$B$7)</f>
        <v>Peanut Butter Parlor</v>
      </c>
      <c r="F27" s="14">
        <f>_xlfn.XLOOKUP(B27,'Data '!$B$10:$B$13,'Data '!$D$10:$D$13)</f>
        <v>36.369999999999997</v>
      </c>
      <c r="G27" s="14">
        <f>_xlfn.XLOOKUP(B27,'Data '!$B$10:$B$13,'Data '!$E$10:$E$13)</f>
        <v>-102.71</v>
      </c>
      <c r="H27" s="14">
        <f>_xlfn.XLOOKUP(E27,'Data '!$B$2:$B$7,'Data '!$D$2:$D$7)</f>
        <v>35.92</v>
      </c>
      <c r="I27" s="14">
        <f>_xlfn.XLOOKUP(E27,'Data '!$B$2:$B$7,'Data '!$E$2:$E$7)</f>
        <v>-104.17</v>
      </c>
      <c r="J27" s="56">
        <f t="shared" si="0"/>
        <v>1.9100000000000037</v>
      </c>
    </row>
  </sheetData>
  <mergeCells count="2">
    <mergeCell ref="B3:C3"/>
    <mergeCell ref="D3:E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1A0F8-05B0-4C57-A6C7-07120791AEAA}">
  <dimension ref="B2:V27"/>
  <sheetViews>
    <sheetView zoomScale="70" zoomScaleNormal="70" workbookViewId="0">
      <selection activeCell="T26" sqref="T26"/>
    </sheetView>
  </sheetViews>
  <sheetFormatPr baseColWidth="10" defaultColWidth="8.83203125" defaultRowHeight="15" x14ac:dyDescent="0.2"/>
  <cols>
    <col min="2" max="2" width="23.1640625" customWidth="1"/>
    <col min="3" max="3" width="5.1640625" customWidth="1"/>
    <col min="4" max="4" width="5.5" customWidth="1"/>
    <col min="5" max="5" width="21.83203125" bestFit="1" customWidth="1"/>
    <col min="10" max="10" width="10.5" bestFit="1" customWidth="1"/>
    <col min="12" max="12" width="13.5" bestFit="1" customWidth="1"/>
    <col min="20" max="20" width="15.5" customWidth="1"/>
    <col min="22" max="22" width="13.1640625" bestFit="1" customWidth="1"/>
  </cols>
  <sheetData>
    <row r="2" spans="2:22" ht="16" thickBot="1" x14ac:dyDescent="0.25"/>
    <row r="3" spans="2:22" ht="16" thickBot="1" x14ac:dyDescent="0.25">
      <c r="B3" s="61" t="s">
        <v>38</v>
      </c>
      <c r="C3" s="62"/>
      <c r="D3" s="62" t="s">
        <v>39</v>
      </c>
      <c r="E3" s="62"/>
      <c r="F3" s="11" t="s">
        <v>40</v>
      </c>
      <c r="G3" s="11" t="s">
        <v>41</v>
      </c>
      <c r="H3" s="11" t="s">
        <v>42</v>
      </c>
      <c r="I3" s="11" t="s">
        <v>43</v>
      </c>
      <c r="J3" s="12" t="s">
        <v>44</v>
      </c>
    </row>
    <row r="4" spans="2:22" ht="16" thickBot="1" x14ac:dyDescent="0.25">
      <c r="B4" s="13" t="str">
        <f>_xlfn.XLOOKUP(C4,'Data '!$A$10:$A$13,'Data '!$B$10:$B$13)</f>
        <v>Jellybean Jungle</v>
      </c>
      <c r="C4" s="14">
        <v>1</v>
      </c>
      <c r="D4" s="14">
        <v>1</v>
      </c>
      <c r="E4" s="14" t="str">
        <f>_xlfn.XLOOKUP(D4,'Data '!$A$2:$A$7,'Data '!$B$2:$B$7)</f>
        <v>Turkish Delight Tundra</v>
      </c>
      <c r="F4" s="14">
        <f>_xlfn.XLOOKUP(B4,'Data '!$B$10:$B$13,'Data '!$D$10:$D$13)</f>
        <v>39.770000000000003</v>
      </c>
      <c r="G4" s="14">
        <f>_xlfn.XLOOKUP(B4,'Data '!$B$10:$B$13,'Data '!$E$10:$E$13)</f>
        <v>-89.66</v>
      </c>
      <c r="H4" s="14">
        <f>_xlfn.XLOOKUP(E4,'Data '!$B$2:$B$7,'Data '!$D$2:$D$7)</f>
        <v>26.37</v>
      </c>
      <c r="I4" s="14">
        <f>_xlfn.XLOOKUP(E4,'Data '!$B$2:$B$7,'Data '!$E$2:$E$7)</f>
        <v>-108.08</v>
      </c>
      <c r="J4" s="15">
        <f>ABS(F4-H4)+ABS(G4-I4)</f>
        <v>31.820000000000004</v>
      </c>
      <c r="M4" s="16" t="s">
        <v>45</v>
      </c>
      <c r="N4" s="17">
        <v>1</v>
      </c>
      <c r="O4" s="17">
        <v>2</v>
      </c>
      <c r="P4" s="17">
        <v>3</v>
      </c>
      <c r="Q4" s="17">
        <v>4</v>
      </c>
      <c r="R4" s="17">
        <v>5</v>
      </c>
      <c r="S4" s="18">
        <v>6</v>
      </c>
      <c r="V4" s="19" t="s">
        <v>46</v>
      </c>
    </row>
    <row r="5" spans="2:22" ht="16" thickBot="1" x14ac:dyDescent="0.25">
      <c r="B5" s="13" t="str">
        <f>_xlfn.XLOOKUP(C5,'Data '!$A$10:$A$13,'Data '!$B$10:$B$13)</f>
        <v>Jellybean Jungle</v>
      </c>
      <c r="C5" s="14">
        <v>1</v>
      </c>
      <c r="D5" s="14">
        <v>2</v>
      </c>
      <c r="E5" s="14" t="str">
        <f>_xlfn.XLOOKUP(D5,'Data '!$A$2:$A$7,'Data '!$B$2:$B$7)</f>
        <v>Maple Fudge Forest</v>
      </c>
      <c r="F5" s="14">
        <f>_xlfn.XLOOKUP(B5,'Data '!$B$10:$B$13,'Data '!$D$10:$D$13)</f>
        <v>39.770000000000003</v>
      </c>
      <c r="G5" s="14">
        <f>_xlfn.XLOOKUP(B5,'Data '!$B$10:$B$13,'Data '!$E$10:$E$13)</f>
        <v>-89.66</v>
      </c>
      <c r="H5" s="14">
        <f>_xlfn.XLOOKUP(E5,'Data '!$B$2:$B$7,'Data '!$D$2:$D$7)</f>
        <v>39.36</v>
      </c>
      <c r="I5" s="14">
        <f>_xlfn.XLOOKUP(E5,'Data '!$B$2:$B$7,'Data '!$E$2:$E$7)</f>
        <v>-89.08</v>
      </c>
      <c r="J5" s="15">
        <f t="shared" ref="J5:J27" si="0">ABS(F5-H5)+ABS(G5-I5)</f>
        <v>0.99000000000000199</v>
      </c>
      <c r="M5" s="20">
        <v>1</v>
      </c>
      <c r="N5" s="21" cm="1">
        <f t="array" ref="N5:S5">_xlfn.TOROW(J4:J9)</f>
        <v>31.820000000000004</v>
      </c>
      <c r="O5" s="22">
        <v>0.99000000000000199</v>
      </c>
      <c r="P5" s="22">
        <v>19.069999999999993</v>
      </c>
      <c r="Q5" s="22">
        <v>25.689999999999998</v>
      </c>
      <c r="R5" s="22">
        <v>16.220000000000006</v>
      </c>
      <c r="S5" s="23">
        <v>18.360000000000007</v>
      </c>
      <c r="V5" s="24">
        <f>SUMPRODUCT(N5:S8,N11:S14)+SUMPRODUCT(M19:P19,M22:P22)</f>
        <v>72710.39999999998</v>
      </c>
    </row>
    <row r="6" spans="2:22" x14ac:dyDescent="0.2">
      <c r="B6" s="13" t="str">
        <f>_xlfn.XLOOKUP(C6,'Data '!$A$10:$A$13,'Data '!$B$10:$B$13)</f>
        <v>Jellybean Jungle</v>
      </c>
      <c r="C6" s="14">
        <v>1</v>
      </c>
      <c r="D6" s="14">
        <v>3</v>
      </c>
      <c r="E6" s="14" t="str">
        <f>_xlfn.XLOOKUP(D6,'Data '!$A$2:$A$7,'Data '!$B$2:$B$7)</f>
        <v>Vanilla Chai Vortex</v>
      </c>
      <c r="F6" s="14">
        <f>_xlfn.XLOOKUP(B6,'Data '!$B$10:$B$13,'Data '!$D$10:$D$13)</f>
        <v>39.770000000000003</v>
      </c>
      <c r="G6" s="14">
        <f>_xlfn.XLOOKUP(B6,'Data '!$B$10:$B$13,'Data '!$E$10:$E$13)</f>
        <v>-89.66</v>
      </c>
      <c r="H6" s="14">
        <f>_xlfn.XLOOKUP(E6,'Data '!$B$2:$B$7,'Data '!$D$2:$D$7)</f>
        <v>33.770000000000003</v>
      </c>
      <c r="I6" s="14">
        <f>_xlfn.XLOOKUP(E6,'Data '!$B$2:$B$7,'Data '!$E$2:$E$7)</f>
        <v>-76.59</v>
      </c>
      <c r="J6" s="15">
        <f t="shared" si="0"/>
        <v>19.069999999999993</v>
      </c>
      <c r="M6" s="20">
        <v>2</v>
      </c>
      <c r="N6" s="25" cm="1">
        <f t="array" ref="N6:S6">_xlfn.TOROW(J10:J15)</f>
        <v>41.42</v>
      </c>
      <c r="O6" s="26">
        <v>13.75</v>
      </c>
      <c r="P6" s="26">
        <v>4.3299999999999912</v>
      </c>
      <c r="Q6" s="26">
        <v>10.949999999999996</v>
      </c>
      <c r="R6" s="26">
        <v>25.820000000000007</v>
      </c>
      <c r="S6" s="27">
        <v>27.960000000000008</v>
      </c>
    </row>
    <row r="7" spans="2:22" x14ac:dyDescent="0.2">
      <c r="B7" s="13" t="str">
        <f>_xlfn.XLOOKUP(C7,'Data '!$A$10:$A$13,'Data '!$B$10:$B$13)</f>
        <v>Jellybean Jungle</v>
      </c>
      <c r="C7" s="14">
        <v>1</v>
      </c>
      <c r="D7" s="14">
        <v>4</v>
      </c>
      <c r="E7" s="14" t="str">
        <f>_xlfn.XLOOKUP(D7,'Data '!$A$2:$A$7,'Data '!$B$2:$B$7)</f>
        <v>Twizzler Tunnels</v>
      </c>
      <c r="F7" s="14">
        <f>_xlfn.XLOOKUP(B7,'Data '!$B$10:$B$13,'Data '!$D$10:$D$13)</f>
        <v>39.770000000000003</v>
      </c>
      <c r="G7" s="14">
        <f>_xlfn.XLOOKUP(B7,'Data '!$B$10:$B$13,'Data '!$E$10:$E$13)</f>
        <v>-89.66</v>
      </c>
      <c r="H7" s="14">
        <f>_xlfn.XLOOKUP(E7,'Data '!$B$2:$B$7,'Data '!$D$2:$D$7)</f>
        <v>34.68</v>
      </c>
      <c r="I7" s="14">
        <f>_xlfn.XLOOKUP(E7,'Data '!$B$2:$B$7,'Data '!$E$2:$E$7)</f>
        <v>-69.06</v>
      </c>
      <c r="J7" s="15">
        <f t="shared" si="0"/>
        <v>25.689999999999998</v>
      </c>
      <c r="M7" s="20">
        <v>3</v>
      </c>
      <c r="N7" s="25" cm="1">
        <f t="array" ref="N7:S7">_xlfn.TOROW(J16:J21)</f>
        <v>8.9799999999999969</v>
      </c>
      <c r="O7" s="26">
        <v>25.930000000000003</v>
      </c>
      <c r="P7" s="26">
        <v>32.83</v>
      </c>
      <c r="Q7" s="26">
        <v>41.269999999999996</v>
      </c>
      <c r="R7" s="26">
        <v>9.5400000000000027</v>
      </c>
      <c r="S7" s="27">
        <v>14.620000000000001</v>
      </c>
    </row>
    <row r="8" spans="2:22" ht="16" thickBot="1" x14ac:dyDescent="0.25">
      <c r="B8" s="13" t="str">
        <f>_xlfn.XLOOKUP(C8,'Data '!$A$10:$A$13,'Data '!$B$10:$B$13)</f>
        <v>Jellybean Jungle</v>
      </c>
      <c r="C8" s="14">
        <v>1</v>
      </c>
      <c r="D8" s="14">
        <v>5</v>
      </c>
      <c r="E8" s="14" t="str">
        <f>_xlfn.XLOOKUP(D8,'Data '!$A$2:$A$7,'Data '!$B$2:$B$7)</f>
        <v>Milkshake Mire</v>
      </c>
      <c r="F8" s="14">
        <f>_xlfn.XLOOKUP(B8,'Data '!$B$10:$B$13,'Data '!$D$10:$D$13)</f>
        <v>39.770000000000003</v>
      </c>
      <c r="G8" s="14">
        <f>_xlfn.XLOOKUP(B8,'Data '!$B$10:$B$13,'Data '!$E$10:$E$13)</f>
        <v>-89.66</v>
      </c>
      <c r="H8" s="14">
        <f>_xlfn.XLOOKUP(E8,'Data '!$B$2:$B$7,'Data '!$D$2:$D$7)</f>
        <v>32.42</v>
      </c>
      <c r="I8" s="14">
        <f>_xlfn.XLOOKUP(E8,'Data '!$B$2:$B$7,'Data '!$E$2:$E$7)</f>
        <v>-98.53</v>
      </c>
      <c r="J8" s="15">
        <f t="shared" si="0"/>
        <v>16.220000000000006</v>
      </c>
      <c r="M8" s="28">
        <v>4</v>
      </c>
      <c r="N8" s="29" cm="1">
        <f t="array" ref="N8:S8">_xlfn.TOROW(J22:J27)</f>
        <v>15.370000000000001</v>
      </c>
      <c r="O8" s="30">
        <v>16.619999999999997</v>
      </c>
      <c r="P8" s="30">
        <v>28.719999999999985</v>
      </c>
      <c r="Q8" s="30">
        <v>35.339999999999989</v>
      </c>
      <c r="R8" s="30">
        <v>8.1299999999999883</v>
      </c>
      <c r="S8" s="31">
        <v>1.9100000000000037</v>
      </c>
    </row>
    <row r="9" spans="2:22" ht="16" thickBot="1" x14ac:dyDescent="0.25">
      <c r="B9" s="13" t="str">
        <f>_xlfn.XLOOKUP(C9,'Data '!$A$10:$A$13,'Data '!$B$10:$B$13)</f>
        <v>Jellybean Jungle</v>
      </c>
      <c r="C9" s="14">
        <v>1</v>
      </c>
      <c r="D9" s="14">
        <v>6</v>
      </c>
      <c r="E9" s="14" t="str">
        <f>_xlfn.XLOOKUP(D9,'Data '!$A$2:$A$7,'Data '!$B$2:$B$7)</f>
        <v>Peanut Butter Parlor</v>
      </c>
      <c r="F9" s="14">
        <f>_xlfn.XLOOKUP(B9,'Data '!$B$10:$B$13,'Data '!$D$10:$D$13)</f>
        <v>39.770000000000003</v>
      </c>
      <c r="G9" s="14">
        <f>_xlfn.XLOOKUP(B9,'Data '!$B$10:$B$13,'Data '!$E$10:$E$13)</f>
        <v>-89.66</v>
      </c>
      <c r="H9" s="14">
        <f>_xlfn.XLOOKUP(E9,'Data '!$B$2:$B$7,'Data '!$D$2:$D$7)</f>
        <v>35.92</v>
      </c>
      <c r="I9" s="14">
        <f>_xlfn.XLOOKUP(E9,'Data '!$B$2:$B$7,'Data '!$E$2:$E$7)</f>
        <v>-104.17</v>
      </c>
      <c r="J9" s="15">
        <f t="shared" si="0"/>
        <v>18.360000000000007</v>
      </c>
    </row>
    <row r="10" spans="2:22" ht="16" thickBot="1" x14ac:dyDescent="0.25">
      <c r="B10" s="13" t="str">
        <f>_xlfn.XLOOKUP(C10,'Data '!$A$10:$A$13,'Data '!$B$10:$B$13)</f>
        <v>Chocolate River Rapids</v>
      </c>
      <c r="C10" s="14">
        <v>2</v>
      </c>
      <c r="D10" s="14">
        <v>1</v>
      </c>
      <c r="E10" s="14" t="str">
        <f>_xlfn.XLOOKUP(D10,'Data '!$A$2:$A$7,'Data '!$B$2:$B$7)</f>
        <v>Turkish Delight Tundra</v>
      </c>
      <c r="F10" s="14">
        <f>_xlfn.XLOOKUP(B10,'Data '!$B$10:$B$13,'Data '!$D$10:$D$13)</f>
        <v>37.200000000000003</v>
      </c>
      <c r="G10" s="14">
        <f>_xlfn.XLOOKUP(B10,'Data '!$B$10:$B$13,'Data '!$E$10:$E$13)</f>
        <v>-77.489999999999995</v>
      </c>
      <c r="H10" s="14">
        <f>_xlfn.XLOOKUP(E10,'Data '!$B$2:$B$7,'Data '!$D$2:$D$7)</f>
        <v>26.37</v>
      </c>
      <c r="I10" s="14">
        <f>_xlfn.XLOOKUP(E10,'Data '!$B$2:$B$7,'Data '!$E$2:$E$7)</f>
        <v>-108.08</v>
      </c>
      <c r="J10" s="15">
        <f t="shared" si="0"/>
        <v>41.42</v>
      </c>
      <c r="M10" s="16" t="s">
        <v>45</v>
      </c>
      <c r="N10" s="17">
        <v>1</v>
      </c>
      <c r="O10" s="17">
        <v>2</v>
      </c>
      <c r="P10" s="17">
        <v>3</v>
      </c>
      <c r="Q10" s="17">
        <v>4</v>
      </c>
      <c r="R10" s="17">
        <v>5</v>
      </c>
      <c r="S10" s="18">
        <v>6</v>
      </c>
      <c r="T10" s="32" t="s">
        <v>47</v>
      </c>
    </row>
    <row r="11" spans="2:22" x14ac:dyDescent="0.2">
      <c r="B11" s="13" t="str">
        <f>_xlfn.XLOOKUP(C11,'Data '!$A$10:$A$13,'Data '!$B$10:$B$13)</f>
        <v>Chocolate River Rapids</v>
      </c>
      <c r="C11" s="14">
        <v>2</v>
      </c>
      <c r="D11" s="14">
        <v>2</v>
      </c>
      <c r="E11" s="14" t="str">
        <f>_xlfn.XLOOKUP(D11,'Data '!$A$2:$A$7,'Data '!$B$2:$B$7)</f>
        <v>Maple Fudge Forest</v>
      </c>
      <c r="F11" s="14">
        <f>_xlfn.XLOOKUP(B11,'Data '!$B$10:$B$13,'Data '!$D$10:$D$13)</f>
        <v>37.200000000000003</v>
      </c>
      <c r="G11" s="14">
        <f>_xlfn.XLOOKUP(B11,'Data '!$B$10:$B$13,'Data '!$E$10:$E$13)</f>
        <v>-77.489999999999995</v>
      </c>
      <c r="H11" s="14">
        <f>_xlfn.XLOOKUP(E11,'Data '!$B$2:$B$7,'Data '!$D$2:$D$7)</f>
        <v>39.36</v>
      </c>
      <c r="I11" s="14">
        <f>_xlfn.XLOOKUP(E11,'Data '!$B$2:$B$7,'Data '!$E$2:$E$7)</f>
        <v>-89.08</v>
      </c>
      <c r="J11" s="15">
        <f t="shared" si="0"/>
        <v>13.75</v>
      </c>
      <c r="M11" s="20">
        <v>1</v>
      </c>
      <c r="N11" s="21">
        <v>0</v>
      </c>
      <c r="O11" s="22">
        <v>0</v>
      </c>
      <c r="P11" s="22">
        <v>0</v>
      </c>
      <c r="Q11" s="22">
        <v>0</v>
      </c>
      <c r="R11" s="22">
        <v>0</v>
      </c>
      <c r="S11" s="23">
        <v>0</v>
      </c>
      <c r="T11" s="33">
        <f>SUM(N11:S11)</f>
        <v>0</v>
      </c>
      <c r="U11" s="34">
        <f>T11/3837</f>
        <v>0</v>
      </c>
    </row>
    <row r="12" spans="2:22" x14ac:dyDescent="0.2">
      <c r="B12" s="13" t="str">
        <f>_xlfn.XLOOKUP(C12,'Data '!$A$10:$A$13,'Data '!$B$10:$B$13)</f>
        <v>Chocolate River Rapids</v>
      </c>
      <c r="C12" s="14">
        <v>2</v>
      </c>
      <c r="D12" s="14">
        <v>3</v>
      </c>
      <c r="E12" s="14" t="str">
        <f>_xlfn.XLOOKUP(D12,'Data '!$A$2:$A$7,'Data '!$B$2:$B$7)</f>
        <v>Vanilla Chai Vortex</v>
      </c>
      <c r="F12" s="14">
        <f>_xlfn.XLOOKUP(B12,'Data '!$B$10:$B$13,'Data '!$D$10:$D$13)</f>
        <v>37.200000000000003</v>
      </c>
      <c r="G12" s="14">
        <f>_xlfn.XLOOKUP(B12,'Data '!$B$10:$B$13,'Data '!$E$10:$E$13)</f>
        <v>-77.489999999999995</v>
      </c>
      <c r="H12" s="14">
        <f>_xlfn.XLOOKUP(E12,'Data '!$B$2:$B$7,'Data '!$D$2:$D$7)</f>
        <v>33.770000000000003</v>
      </c>
      <c r="I12" s="14">
        <f>_xlfn.XLOOKUP(E12,'Data '!$B$2:$B$7,'Data '!$E$2:$E$7)</f>
        <v>-76.59</v>
      </c>
      <c r="J12" s="15">
        <f t="shared" si="0"/>
        <v>4.3299999999999912</v>
      </c>
      <c r="M12" s="20">
        <v>2</v>
      </c>
      <c r="N12" s="25">
        <v>0</v>
      </c>
      <c r="O12" s="26">
        <v>0</v>
      </c>
      <c r="P12" s="26">
        <v>0</v>
      </c>
      <c r="Q12" s="26">
        <v>0</v>
      </c>
      <c r="R12" s="26">
        <v>0</v>
      </c>
      <c r="S12" s="27">
        <v>0</v>
      </c>
      <c r="T12" s="33">
        <f t="shared" ref="T12:T14" si="1">SUM(N12:S12)</f>
        <v>0</v>
      </c>
      <c r="U12" s="34">
        <f t="shared" ref="U12:U14" si="2">T12/3837</f>
        <v>0</v>
      </c>
    </row>
    <row r="13" spans="2:22" x14ac:dyDescent="0.2">
      <c r="B13" s="13" t="str">
        <f>_xlfn.XLOOKUP(C13,'Data '!$A$10:$A$13,'Data '!$B$10:$B$13)</f>
        <v>Chocolate River Rapids</v>
      </c>
      <c r="C13" s="14">
        <v>2</v>
      </c>
      <c r="D13" s="14">
        <v>4</v>
      </c>
      <c r="E13" s="14" t="str">
        <f>_xlfn.XLOOKUP(D13,'Data '!$A$2:$A$7,'Data '!$B$2:$B$7)</f>
        <v>Twizzler Tunnels</v>
      </c>
      <c r="F13" s="14">
        <f>_xlfn.XLOOKUP(B13,'Data '!$B$10:$B$13,'Data '!$D$10:$D$13)</f>
        <v>37.200000000000003</v>
      </c>
      <c r="G13" s="14">
        <f>_xlfn.XLOOKUP(B13,'Data '!$B$10:$B$13,'Data '!$E$10:$E$13)</f>
        <v>-77.489999999999995</v>
      </c>
      <c r="H13" s="14">
        <f>_xlfn.XLOOKUP(E13,'Data '!$B$2:$B$7,'Data '!$D$2:$D$7)</f>
        <v>34.68</v>
      </c>
      <c r="I13" s="14">
        <f>_xlfn.XLOOKUP(E13,'Data '!$B$2:$B$7,'Data '!$E$2:$E$7)</f>
        <v>-69.06</v>
      </c>
      <c r="J13" s="15">
        <f t="shared" si="0"/>
        <v>10.949999999999996</v>
      </c>
      <c r="M13" s="20">
        <v>3</v>
      </c>
      <c r="N13" s="25">
        <v>0</v>
      </c>
      <c r="O13" s="26">
        <v>0</v>
      </c>
      <c r="P13" s="26">
        <v>0</v>
      </c>
      <c r="Q13" s="26">
        <v>0</v>
      </c>
      <c r="R13" s="26">
        <v>0</v>
      </c>
      <c r="S13" s="27">
        <v>0</v>
      </c>
      <c r="T13" s="33">
        <f t="shared" si="1"/>
        <v>0</v>
      </c>
      <c r="U13" s="34">
        <f t="shared" si="2"/>
        <v>0</v>
      </c>
    </row>
    <row r="14" spans="2:22" ht="16" thickBot="1" x14ac:dyDescent="0.25">
      <c r="B14" s="13" t="str">
        <f>_xlfn.XLOOKUP(C14,'Data '!$A$10:$A$13,'Data '!$B$10:$B$13)</f>
        <v>Chocolate River Rapids</v>
      </c>
      <c r="C14" s="14">
        <v>2</v>
      </c>
      <c r="D14" s="14">
        <v>5</v>
      </c>
      <c r="E14" s="14" t="str">
        <f>_xlfn.XLOOKUP(D14,'Data '!$A$2:$A$7,'Data '!$B$2:$B$7)</f>
        <v>Milkshake Mire</v>
      </c>
      <c r="F14" s="14">
        <f>_xlfn.XLOOKUP(B14,'Data '!$B$10:$B$13,'Data '!$D$10:$D$13)</f>
        <v>37.200000000000003</v>
      </c>
      <c r="G14" s="14">
        <f>_xlfn.XLOOKUP(B14,'Data '!$B$10:$B$13,'Data '!$E$10:$E$13)</f>
        <v>-77.489999999999995</v>
      </c>
      <c r="H14" s="14">
        <f>_xlfn.XLOOKUP(E14,'Data '!$B$2:$B$7,'Data '!$D$2:$D$7)</f>
        <v>32.42</v>
      </c>
      <c r="I14" s="14">
        <f>_xlfn.XLOOKUP(E14,'Data '!$B$2:$B$7,'Data '!$E$2:$E$7)</f>
        <v>-98.53</v>
      </c>
      <c r="J14" s="15">
        <f t="shared" si="0"/>
        <v>25.820000000000007</v>
      </c>
      <c r="M14" s="20">
        <v>4</v>
      </c>
      <c r="N14" s="29">
        <v>840</v>
      </c>
      <c r="O14" s="30">
        <v>552</v>
      </c>
      <c r="P14" s="30">
        <v>603</v>
      </c>
      <c r="Q14" s="30">
        <v>710</v>
      </c>
      <c r="R14" s="30">
        <v>544</v>
      </c>
      <c r="S14" s="31">
        <v>588</v>
      </c>
      <c r="T14" s="35">
        <f t="shared" si="1"/>
        <v>3837</v>
      </c>
      <c r="U14" s="34">
        <f t="shared" si="2"/>
        <v>1</v>
      </c>
    </row>
    <row r="15" spans="2:22" x14ac:dyDescent="0.2">
      <c r="B15" s="13" t="str">
        <f>_xlfn.XLOOKUP(C15,'Data '!$A$10:$A$13,'Data '!$B$10:$B$13)</f>
        <v>Chocolate River Rapids</v>
      </c>
      <c r="C15" s="14">
        <v>2</v>
      </c>
      <c r="D15" s="14">
        <v>6</v>
      </c>
      <c r="E15" s="14" t="str">
        <f>_xlfn.XLOOKUP(D15,'Data '!$A$2:$A$7,'Data '!$B$2:$B$7)</f>
        <v>Peanut Butter Parlor</v>
      </c>
      <c r="F15" s="14">
        <f>_xlfn.XLOOKUP(B15,'Data '!$B$10:$B$13,'Data '!$D$10:$D$13)</f>
        <v>37.200000000000003</v>
      </c>
      <c r="G15" s="14">
        <f>_xlfn.XLOOKUP(B15,'Data '!$B$10:$B$13,'Data '!$E$10:$E$13)</f>
        <v>-77.489999999999995</v>
      </c>
      <c r="H15" s="14">
        <f>_xlfn.XLOOKUP(E15,'Data '!$B$2:$B$7,'Data '!$D$2:$D$7)</f>
        <v>35.92</v>
      </c>
      <c r="I15" s="14">
        <f>_xlfn.XLOOKUP(E15,'Data '!$B$2:$B$7,'Data '!$E$2:$E$7)</f>
        <v>-104.17</v>
      </c>
      <c r="J15" s="15">
        <f t="shared" si="0"/>
        <v>27.960000000000008</v>
      </c>
      <c r="M15" s="36" t="s">
        <v>48</v>
      </c>
      <c r="N15" s="37">
        <f>SUM(N11:N14)</f>
        <v>840</v>
      </c>
      <c r="O15" s="37">
        <f t="shared" ref="O15:S15" si="3">SUM(O11:O14)</f>
        <v>552</v>
      </c>
      <c r="P15" s="37">
        <f t="shared" si="3"/>
        <v>603</v>
      </c>
      <c r="Q15" s="37">
        <f t="shared" si="3"/>
        <v>710</v>
      </c>
      <c r="R15" s="37">
        <f t="shared" si="3"/>
        <v>544</v>
      </c>
      <c r="S15" s="38">
        <f t="shared" si="3"/>
        <v>588</v>
      </c>
    </row>
    <row r="16" spans="2:22" ht="16" thickBot="1" x14ac:dyDescent="0.25">
      <c r="B16" s="13" t="str">
        <f>_xlfn.XLOOKUP(C16,'Data '!$A$10:$A$13,'Data '!$B$10:$B$13)</f>
        <v>Butterscotch Bluffs</v>
      </c>
      <c r="C16" s="14">
        <v>3</v>
      </c>
      <c r="D16" s="14">
        <v>1</v>
      </c>
      <c r="E16" s="14" t="str">
        <f>_xlfn.XLOOKUP(D16,'Data '!$A$2:$A$7,'Data '!$B$2:$B$7)</f>
        <v>Turkish Delight Tundra</v>
      </c>
      <c r="F16" s="14">
        <f>_xlfn.XLOOKUP(B16,'Data '!$B$10:$B$13,'Data '!$D$10:$D$13)</f>
        <v>24.91</v>
      </c>
      <c r="G16" s="14">
        <f>_xlfn.XLOOKUP(B16,'Data '!$B$10:$B$13,'Data '!$E$10:$E$13)</f>
        <v>-100.56</v>
      </c>
      <c r="H16" s="14">
        <f>_xlfn.XLOOKUP(E16,'Data '!$B$2:$B$7,'Data '!$D$2:$D$7)</f>
        <v>26.37</v>
      </c>
      <c r="I16" s="14">
        <f>_xlfn.XLOOKUP(E16,'Data '!$B$2:$B$7,'Data '!$E$2:$E$7)</f>
        <v>-108.08</v>
      </c>
      <c r="J16" s="15">
        <f t="shared" si="0"/>
        <v>8.9799999999999969</v>
      </c>
      <c r="M16" s="39" t="s">
        <v>49</v>
      </c>
      <c r="N16" s="40" cm="1">
        <f t="array" ref="N16:S16">_xlfn.TOROW('Data '!C2:C7)</f>
        <v>840</v>
      </c>
      <c r="O16" s="40">
        <v>552</v>
      </c>
      <c r="P16" s="40">
        <v>603</v>
      </c>
      <c r="Q16" s="40">
        <v>710</v>
      </c>
      <c r="R16" s="40">
        <v>544</v>
      </c>
      <c r="S16" s="41">
        <v>588</v>
      </c>
    </row>
    <row r="17" spans="2:17" x14ac:dyDescent="0.2">
      <c r="B17" s="13" t="str">
        <f>_xlfn.XLOOKUP(C17,'Data '!$A$10:$A$13,'Data '!$B$10:$B$13)</f>
        <v>Butterscotch Bluffs</v>
      </c>
      <c r="C17" s="14">
        <v>3</v>
      </c>
      <c r="D17" s="14">
        <v>2</v>
      </c>
      <c r="E17" s="14" t="str">
        <f>_xlfn.XLOOKUP(D17,'Data '!$A$2:$A$7,'Data '!$B$2:$B$7)</f>
        <v>Maple Fudge Forest</v>
      </c>
      <c r="F17" s="14">
        <f>_xlfn.XLOOKUP(B17,'Data '!$B$10:$B$13,'Data '!$D$10:$D$13)</f>
        <v>24.91</v>
      </c>
      <c r="G17" s="14">
        <f>_xlfn.XLOOKUP(B17,'Data '!$B$10:$B$13,'Data '!$E$10:$E$13)</f>
        <v>-100.56</v>
      </c>
      <c r="H17" s="14">
        <f>_xlfn.XLOOKUP(E17,'Data '!$B$2:$B$7,'Data '!$D$2:$D$7)</f>
        <v>39.36</v>
      </c>
      <c r="I17" s="14">
        <f>_xlfn.XLOOKUP(E17,'Data '!$B$2:$B$7,'Data '!$E$2:$E$7)</f>
        <v>-89.08</v>
      </c>
      <c r="J17" s="15">
        <f t="shared" si="0"/>
        <v>25.930000000000003</v>
      </c>
    </row>
    <row r="18" spans="2:17" ht="16" thickBot="1" x14ac:dyDescent="0.25">
      <c r="B18" s="13" t="str">
        <f>_xlfn.XLOOKUP(C18,'Data '!$A$10:$A$13,'Data '!$B$10:$B$13)</f>
        <v>Butterscotch Bluffs</v>
      </c>
      <c r="C18" s="14">
        <v>3</v>
      </c>
      <c r="D18" s="14">
        <v>3</v>
      </c>
      <c r="E18" s="14" t="str">
        <f>_xlfn.XLOOKUP(D18,'Data '!$A$2:$A$7,'Data '!$B$2:$B$7)</f>
        <v>Vanilla Chai Vortex</v>
      </c>
      <c r="F18" s="14">
        <f>_xlfn.XLOOKUP(B18,'Data '!$B$10:$B$13,'Data '!$D$10:$D$13)</f>
        <v>24.91</v>
      </c>
      <c r="G18" s="14">
        <f>_xlfn.XLOOKUP(B18,'Data '!$B$10:$B$13,'Data '!$E$10:$E$13)</f>
        <v>-100.56</v>
      </c>
      <c r="H18" s="14">
        <f>_xlfn.XLOOKUP(E18,'Data '!$B$2:$B$7,'Data '!$D$2:$D$7)</f>
        <v>33.770000000000003</v>
      </c>
      <c r="I18" s="14">
        <f>_xlfn.XLOOKUP(E18,'Data '!$B$2:$B$7,'Data '!$E$2:$E$7)</f>
        <v>-76.59</v>
      </c>
      <c r="J18" s="15">
        <f t="shared" si="0"/>
        <v>32.83</v>
      </c>
    </row>
    <row r="19" spans="2:17" ht="16" thickBot="1" x14ac:dyDescent="0.25">
      <c r="B19" s="13" t="str">
        <f>_xlfn.XLOOKUP(C19,'Data '!$A$10:$A$13,'Data '!$B$10:$B$13)</f>
        <v>Butterscotch Bluffs</v>
      </c>
      <c r="C19" s="14">
        <v>3</v>
      </c>
      <c r="D19" s="14">
        <v>4</v>
      </c>
      <c r="E19" s="14" t="str">
        <f>_xlfn.XLOOKUP(D19,'Data '!$A$2:$A$7,'Data '!$B$2:$B$7)</f>
        <v>Twizzler Tunnels</v>
      </c>
      <c r="F19" s="14">
        <f>_xlfn.XLOOKUP(B19,'Data '!$B$10:$B$13,'Data '!$D$10:$D$13)</f>
        <v>24.91</v>
      </c>
      <c r="G19" s="14">
        <f>_xlfn.XLOOKUP(B19,'Data '!$B$10:$B$13,'Data '!$E$10:$E$13)</f>
        <v>-100.56</v>
      </c>
      <c r="H19" s="14">
        <f>_xlfn.XLOOKUP(E19,'Data '!$B$2:$B$7,'Data '!$D$2:$D$7)</f>
        <v>34.68</v>
      </c>
      <c r="I19" s="14">
        <f>_xlfn.XLOOKUP(E19,'Data '!$B$2:$B$7,'Data '!$E$2:$E$7)</f>
        <v>-69.06</v>
      </c>
      <c r="J19" s="15">
        <f t="shared" si="0"/>
        <v>41.269999999999996</v>
      </c>
      <c r="L19" s="42" t="s">
        <v>50</v>
      </c>
      <c r="M19" s="43" cm="1">
        <f t="array" ref="M19:P19">_xlfn.TOROW('Data '!C10:C13)</f>
        <v>1418</v>
      </c>
      <c r="N19" s="43">
        <v>1714</v>
      </c>
      <c r="O19" s="43">
        <v>2774</v>
      </c>
      <c r="P19" s="44">
        <v>2670</v>
      </c>
    </row>
    <row r="20" spans="2:17" ht="16" thickBot="1" x14ac:dyDescent="0.25">
      <c r="B20" s="13" t="str">
        <f>_xlfn.XLOOKUP(C20,'Data '!$A$10:$A$13,'Data '!$B$10:$B$13)</f>
        <v>Butterscotch Bluffs</v>
      </c>
      <c r="C20" s="14">
        <v>3</v>
      </c>
      <c r="D20" s="14">
        <v>5</v>
      </c>
      <c r="E20" s="14" t="str">
        <f>_xlfn.XLOOKUP(D20,'Data '!$A$2:$A$7,'Data '!$B$2:$B$7)</f>
        <v>Milkshake Mire</v>
      </c>
      <c r="F20" s="14">
        <f>_xlfn.XLOOKUP(B20,'Data '!$B$10:$B$13,'Data '!$D$10:$D$13)</f>
        <v>24.91</v>
      </c>
      <c r="G20" s="14">
        <f>_xlfn.XLOOKUP(B20,'Data '!$B$10:$B$13,'Data '!$E$10:$E$13)</f>
        <v>-100.56</v>
      </c>
      <c r="H20" s="14">
        <f>_xlfn.XLOOKUP(E20,'Data '!$B$2:$B$7,'Data '!$D$2:$D$7)</f>
        <v>32.42</v>
      </c>
      <c r="I20" s="14">
        <f>_xlfn.XLOOKUP(E20,'Data '!$B$2:$B$7,'Data '!$E$2:$E$7)</f>
        <v>-98.53</v>
      </c>
      <c r="J20" s="15">
        <f t="shared" si="0"/>
        <v>9.5400000000000027</v>
      </c>
      <c r="L20" s="45" t="s">
        <v>51</v>
      </c>
      <c r="M20" s="46">
        <f>M19*M22</f>
        <v>0</v>
      </c>
      <c r="N20" s="46">
        <f t="shared" ref="N20:P20" si="4">N19*N22</f>
        <v>0</v>
      </c>
      <c r="O20" s="46">
        <f t="shared" si="4"/>
        <v>0</v>
      </c>
      <c r="P20" s="47">
        <f t="shared" si="4"/>
        <v>2670</v>
      </c>
    </row>
    <row r="21" spans="2:17" ht="16" thickBot="1" x14ac:dyDescent="0.25">
      <c r="B21" s="13" t="str">
        <f>_xlfn.XLOOKUP(C21,'Data '!$A$10:$A$13,'Data '!$B$10:$B$13)</f>
        <v>Butterscotch Bluffs</v>
      </c>
      <c r="C21" s="14">
        <v>3</v>
      </c>
      <c r="D21" s="14">
        <v>6</v>
      </c>
      <c r="E21" s="14" t="str">
        <f>_xlfn.XLOOKUP(D21,'Data '!$A$2:$A$7,'Data '!$B$2:$B$7)</f>
        <v>Peanut Butter Parlor</v>
      </c>
      <c r="F21" s="14">
        <f>_xlfn.XLOOKUP(B21,'Data '!$B$10:$B$13,'Data '!$D$10:$D$13)</f>
        <v>24.91</v>
      </c>
      <c r="G21" s="14">
        <f>_xlfn.XLOOKUP(B21,'Data '!$B$10:$B$13,'Data '!$E$10:$E$13)</f>
        <v>-100.56</v>
      </c>
      <c r="H21" s="14">
        <f>_xlfn.XLOOKUP(E21,'Data '!$B$2:$B$7,'Data '!$D$2:$D$7)</f>
        <v>35.92</v>
      </c>
      <c r="I21" s="14">
        <f>_xlfn.XLOOKUP(E21,'Data '!$B$2:$B$7,'Data '!$E$2:$E$7)</f>
        <v>-104.17</v>
      </c>
      <c r="J21" s="15">
        <f t="shared" si="0"/>
        <v>14.620000000000001</v>
      </c>
    </row>
    <row r="22" spans="2:17" ht="16" thickBot="1" x14ac:dyDescent="0.25">
      <c r="B22" s="13" t="str">
        <f>_xlfn.XLOOKUP(C22,'Data '!$A$10:$A$13,'Data '!$B$10:$B$13)</f>
        <v>Lava Cake Ledges</v>
      </c>
      <c r="C22" s="14">
        <v>4</v>
      </c>
      <c r="D22" s="14">
        <v>1</v>
      </c>
      <c r="E22" s="14" t="str">
        <f>_xlfn.XLOOKUP(D22,'Data '!$A$2:$A$7,'Data '!$B$2:$B$7)</f>
        <v>Turkish Delight Tundra</v>
      </c>
      <c r="F22" s="14">
        <f>_xlfn.XLOOKUP(B22,'Data '!$B$10:$B$13,'Data '!$D$10:$D$13)</f>
        <v>36.369999999999997</v>
      </c>
      <c r="G22" s="14">
        <f>_xlfn.XLOOKUP(B22,'Data '!$B$10:$B$13,'Data '!$E$10:$E$13)</f>
        <v>-102.71</v>
      </c>
      <c r="H22" s="14">
        <f>_xlfn.XLOOKUP(E22,'Data '!$B$2:$B$7,'Data '!$D$2:$D$7)</f>
        <v>26.37</v>
      </c>
      <c r="I22" s="14">
        <f>_xlfn.XLOOKUP(E22,'Data '!$B$2:$B$7,'Data '!$E$2:$E$7)</f>
        <v>-108.08</v>
      </c>
      <c r="J22" s="15">
        <f t="shared" si="0"/>
        <v>15.370000000000001</v>
      </c>
      <c r="L22" s="48" t="s">
        <v>52</v>
      </c>
      <c r="M22" s="49">
        <v>0</v>
      </c>
      <c r="N22" s="49">
        <v>0</v>
      </c>
      <c r="O22" s="49">
        <v>0</v>
      </c>
      <c r="P22" s="49">
        <v>1</v>
      </c>
      <c r="Q22" s="50">
        <f>SUM(M22:P22)</f>
        <v>1</v>
      </c>
    </row>
    <row r="23" spans="2:17" ht="16" thickBot="1" x14ac:dyDescent="0.25">
      <c r="B23" s="13" t="str">
        <f>_xlfn.XLOOKUP(C23,'Data '!$A$10:$A$13,'Data '!$B$10:$B$13)</f>
        <v>Lava Cake Ledges</v>
      </c>
      <c r="C23" s="14">
        <v>4</v>
      </c>
      <c r="D23" s="14">
        <v>2</v>
      </c>
      <c r="E23" s="14" t="str">
        <f>_xlfn.XLOOKUP(D23,'Data '!$A$2:$A$7,'Data '!$B$2:$B$7)</f>
        <v>Maple Fudge Forest</v>
      </c>
      <c r="F23" s="14">
        <f>_xlfn.XLOOKUP(B23,'Data '!$B$10:$B$13,'Data '!$D$10:$D$13)</f>
        <v>36.369999999999997</v>
      </c>
      <c r="G23" s="14">
        <f>_xlfn.XLOOKUP(B23,'Data '!$B$10:$B$13,'Data '!$E$10:$E$13)</f>
        <v>-102.71</v>
      </c>
      <c r="H23" s="14">
        <f>_xlfn.XLOOKUP(E23,'Data '!$B$2:$B$7,'Data '!$D$2:$D$7)</f>
        <v>39.36</v>
      </c>
      <c r="I23" s="14">
        <f>_xlfn.XLOOKUP(E23,'Data '!$B$2:$B$7,'Data '!$E$2:$E$7)</f>
        <v>-89.08</v>
      </c>
      <c r="J23" s="15">
        <f t="shared" si="0"/>
        <v>16.619999999999997</v>
      </c>
      <c r="L23" s="51" t="s">
        <v>53</v>
      </c>
      <c r="M23" s="52">
        <f>T11-(M25*M22)</f>
        <v>0</v>
      </c>
      <c r="N23" s="52">
        <f>T12-(N25*N22)</f>
        <v>0</v>
      </c>
      <c r="O23" s="52">
        <f>T13-(O25*O22)</f>
        <v>0</v>
      </c>
      <c r="P23" s="53">
        <f>T14-(P25*P22)</f>
        <v>-678</v>
      </c>
    </row>
    <row r="24" spans="2:17" x14ac:dyDescent="0.2">
      <c r="B24" s="13" t="str">
        <f>_xlfn.XLOOKUP(C24,'Data '!$A$10:$A$13,'Data '!$B$10:$B$13)</f>
        <v>Lava Cake Ledges</v>
      </c>
      <c r="C24" s="14">
        <v>4</v>
      </c>
      <c r="D24" s="14">
        <v>3</v>
      </c>
      <c r="E24" s="14" t="str">
        <f>_xlfn.XLOOKUP(D24,'Data '!$A$2:$A$7,'Data '!$B$2:$B$7)</f>
        <v>Vanilla Chai Vortex</v>
      </c>
      <c r="F24" s="14">
        <f>_xlfn.XLOOKUP(B24,'Data '!$B$10:$B$13,'Data '!$D$10:$D$13)</f>
        <v>36.369999999999997</v>
      </c>
      <c r="G24" s="14">
        <f>_xlfn.XLOOKUP(B24,'Data '!$B$10:$B$13,'Data '!$E$10:$E$13)</f>
        <v>-102.71</v>
      </c>
      <c r="H24" s="14">
        <f>_xlfn.XLOOKUP(E24,'Data '!$B$2:$B$7,'Data '!$D$2:$D$7)</f>
        <v>33.770000000000003</v>
      </c>
      <c r="I24" s="14">
        <f>_xlfn.XLOOKUP(E24,'Data '!$B$2:$B$7,'Data '!$E$2:$E$7)</f>
        <v>-76.59</v>
      </c>
      <c r="J24" s="15">
        <f t="shared" si="0"/>
        <v>28.719999999999985</v>
      </c>
    </row>
    <row r="25" spans="2:17" x14ac:dyDescent="0.2">
      <c r="B25" s="13" t="str">
        <f>_xlfn.XLOOKUP(C25,'Data '!$A$10:$A$13,'Data '!$B$10:$B$13)</f>
        <v>Lava Cake Ledges</v>
      </c>
      <c r="C25" s="14">
        <v>4</v>
      </c>
      <c r="D25" s="14">
        <v>4</v>
      </c>
      <c r="E25" s="14" t="str">
        <f>_xlfn.XLOOKUP(D25,'Data '!$A$2:$A$7,'Data '!$B$2:$B$7)</f>
        <v>Twizzler Tunnels</v>
      </c>
      <c r="F25" s="14">
        <f>_xlfn.XLOOKUP(B25,'Data '!$B$10:$B$13,'Data '!$D$10:$D$13)</f>
        <v>36.369999999999997</v>
      </c>
      <c r="G25" s="14">
        <f>_xlfn.XLOOKUP(B25,'Data '!$B$10:$B$13,'Data '!$E$10:$E$13)</f>
        <v>-102.71</v>
      </c>
      <c r="H25" s="14">
        <f>_xlfn.XLOOKUP(E25,'Data '!$B$2:$B$7,'Data '!$D$2:$D$7)</f>
        <v>34.68</v>
      </c>
      <c r="I25" s="14">
        <f>_xlfn.XLOOKUP(E25,'Data '!$B$2:$B$7,'Data '!$E$2:$E$7)</f>
        <v>-69.06</v>
      </c>
      <c r="J25" s="15">
        <f t="shared" si="0"/>
        <v>35.339999999999989</v>
      </c>
      <c r="L25" t="s">
        <v>54</v>
      </c>
      <c r="M25" s="57">
        <f>3837</f>
        <v>3837</v>
      </c>
      <c r="N25" s="54">
        <v>4515</v>
      </c>
      <c r="O25" s="54">
        <v>4515</v>
      </c>
      <c r="P25" s="54">
        <v>4515</v>
      </c>
    </row>
    <row r="26" spans="2:17" x14ac:dyDescent="0.2">
      <c r="B26" s="13" t="str">
        <f>_xlfn.XLOOKUP(C26,'Data '!$A$10:$A$13,'Data '!$B$10:$B$13)</f>
        <v>Lava Cake Ledges</v>
      </c>
      <c r="C26" s="14">
        <v>4</v>
      </c>
      <c r="D26" s="14">
        <v>5</v>
      </c>
      <c r="E26" s="14" t="str">
        <f>_xlfn.XLOOKUP(D26,'Data '!$A$2:$A$7,'Data '!$B$2:$B$7)</f>
        <v>Milkshake Mire</v>
      </c>
      <c r="F26" s="14">
        <f>_xlfn.XLOOKUP(B26,'Data '!$B$10:$B$13,'Data '!$D$10:$D$13)</f>
        <v>36.369999999999997</v>
      </c>
      <c r="G26" s="14">
        <f>_xlfn.XLOOKUP(B26,'Data '!$B$10:$B$13,'Data '!$E$10:$E$13)</f>
        <v>-102.71</v>
      </c>
      <c r="H26" s="14">
        <f>_xlfn.XLOOKUP(E26,'Data '!$B$2:$B$7,'Data '!$D$2:$D$7)</f>
        <v>32.42</v>
      </c>
      <c r="I26" s="14">
        <f>_xlfn.XLOOKUP(E26,'Data '!$B$2:$B$7,'Data '!$E$2:$E$7)</f>
        <v>-98.53</v>
      </c>
      <c r="J26" s="15">
        <f t="shared" si="0"/>
        <v>8.1299999999999883</v>
      </c>
    </row>
    <row r="27" spans="2:17" ht="16" thickBot="1" x14ac:dyDescent="0.25">
      <c r="B27" s="13" t="str">
        <f>_xlfn.XLOOKUP(C27,'Data '!$A$10:$A$13,'Data '!$B$10:$B$13)</f>
        <v>Lava Cake Ledges</v>
      </c>
      <c r="C27" s="55">
        <v>4</v>
      </c>
      <c r="D27" s="55">
        <v>6</v>
      </c>
      <c r="E27" s="14" t="str">
        <f>_xlfn.XLOOKUP(D27,'Data '!$A$2:$A$7,'Data '!$B$2:$B$7)</f>
        <v>Peanut Butter Parlor</v>
      </c>
      <c r="F27" s="14">
        <f>_xlfn.XLOOKUP(B27,'Data '!$B$10:$B$13,'Data '!$D$10:$D$13)</f>
        <v>36.369999999999997</v>
      </c>
      <c r="G27" s="14">
        <f>_xlfn.XLOOKUP(B27,'Data '!$B$10:$B$13,'Data '!$E$10:$E$13)</f>
        <v>-102.71</v>
      </c>
      <c r="H27" s="14">
        <f>_xlfn.XLOOKUP(E27,'Data '!$B$2:$B$7,'Data '!$D$2:$D$7)</f>
        <v>35.92</v>
      </c>
      <c r="I27" s="14">
        <f>_xlfn.XLOOKUP(E27,'Data '!$B$2:$B$7,'Data '!$E$2:$E$7)</f>
        <v>-104.17</v>
      </c>
      <c r="J27" s="56">
        <f t="shared" si="0"/>
        <v>1.9100000000000037</v>
      </c>
    </row>
  </sheetData>
  <mergeCells count="2">
    <mergeCell ref="B3:C3"/>
    <mergeCell ref="D3:E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AB5EB-F211-4ACA-95EB-AC51779BCA63}">
  <dimension ref="B2:V27"/>
  <sheetViews>
    <sheetView tabSelected="1" zoomScale="70" zoomScaleNormal="70" workbookViewId="0">
      <selection activeCell="V5" sqref="V5"/>
    </sheetView>
  </sheetViews>
  <sheetFormatPr baseColWidth="10" defaultColWidth="8.83203125" defaultRowHeight="15" x14ac:dyDescent="0.2"/>
  <cols>
    <col min="2" max="2" width="23.1640625" customWidth="1"/>
    <col min="3" max="3" width="5.1640625" customWidth="1"/>
    <col min="4" max="4" width="5.5" customWidth="1"/>
    <col min="5" max="5" width="21.83203125" bestFit="1" customWidth="1"/>
    <col min="10" max="10" width="10.5" bestFit="1" customWidth="1"/>
    <col min="12" max="12" width="13.5" bestFit="1" customWidth="1"/>
    <col min="20" max="20" width="15.5" customWidth="1"/>
    <col min="22" max="22" width="13.5" bestFit="1" customWidth="1"/>
  </cols>
  <sheetData>
    <row r="2" spans="2:22" ht="16" thickBot="1" x14ac:dyDescent="0.25"/>
    <row r="3" spans="2:22" ht="16" thickBot="1" x14ac:dyDescent="0.25">
      <c r="B3" s="61" t="s">
        <v>38</v>
      </c>
      <c r="C3" s="62"/>
      <c r="D3" s="62" t="s">
        <v>39</v>
      </c>
      <c r="E3" s="62"/>
      <c r="F3" s="11" t="s">
        <v>40</v>
      </c>
      <c r="G3" s="11" t="s">
        <v>41</v>
      </c>
      <c r="H3" s="11" t="s">
        <v>42</v>
      </c>
      <c r="I3" s="11" t="s">
        <v>43</v>
      </c>
      <c r="J3" s="59" t="s">
        <v>55</v>
      </c>
    </row>
    <row r="4" spans="2:22" ht="16" thickBot="1" x14ac:dyDescent="0.25">
      <c r="B4" s="13" t="str">
        <f>_xlfn.XLOOKUP(C4,'Data '!$A$10:$A$13,'Data '!$B$10:$B$13)</f>
        <v>Jellybean Jungle</v>
      </c>
      <c r="C4" s="14">
        <v>1</v>
      </c>
      <c r="D4" s="14">
        <v>1</v>
      </c>
      <c r="E4" s="14" t="str">
        <f>_xlfn.XLOOKUP(D4,'Data '!$A$2:$A$7,'Data '!$B$2:$B$7)</f>
        <v>Turkish Delight Tundra</v>
      </c>
      <c r="F4" s="14">
        <f>_xlfn.XLOOKUP(B4,'Data '!$B$10:$B$13,'Data '!$D$10:$D$13)</f>
        <v>39.770000000000003</v>
      </c>
      <c r="G4" s="14">
        <f>_xlfn.XLOOKUP(B4,'Data '!$B$10:$B$13,'Data '!$E$10:$E$13)</f>
        <v>-89.66</v>
      </c>
      <c r="H4" s="14">
        <f>_xlfn.XLOOKUP(E4,'Data '!$B$2:$B$7,'Data '!$D$2:$D$7)</f>
        <v>26.37</v>
      </c>
      <c r="I4" s="14">
        <f>_xlfn.XLOOKUP(E4,'Data '!$B$2:$B$7,'Data '!$E$2:$E$7)</f>
        <v>-108.08</v>
      </c>
      <c r="J4" s="58">
        <f>SQRT((F4-H4)^2+ABS(G4-I4)^2)</f>
        <v>22.778419611553392</v>
      </c>
      <c r="M4" s="16" t="s">
        <v>45</v>
      </c>
      <c r="N4" s="17">
        <v>1</v>
      </c>
      <c r="O4" s="17">
        <v>2</v>
      </c>
      <c r="P4" s="17">
        <v>3</v>
      </c>
      <c r="Q4" s="17">
        <v>4</v>
      </c>
      <c r="R4" s="17">
        <v>5</v>
      </c>
      <c r="S4" s="18">
        <v>6</v>
      </c>
      <c r="V4" s="19" t="s">
        <v>46</v>
      </c>
    </row>
    <row r="5" spans="2:22" ht="16" thickBot="1" x14ac:dyDescent="0.25">
      <c r="B5" s="13" t="str">
        <f>_xlfn.XLOOKUP(C5,'Data '!$A$10:$A$13,'Data '!$B$10:$B$13)</f>
        <v>Jellybean Jungle</v>
      </c>
      <c r="C5" s="14">
        <v>1</v>
      </c>
      <c r="D5" s="14">
        <v>2</v>
      </c>
      <c r="E5" s="14" t="str">
        <f>_xlfn.XLOOKUP(D5,'Data '!$A$2:$A$7,'Data '!$B$2:$B$7)</f>
        <v>Maple Fudge Forest</v>
      </c>
      <c r="F5" s="14">
        <f>_xlfn.XLOOKUP(B5,'Data '!$B$10:$B$13,'Data '!$D$10:$D$13)</f>
        <v>39.770000000000003</v>
      </c>
      <c r="G5" s="14">
        <f>_xlfn.XLOOKUP(B5,'Data '!$B$10:$B$13,'Data '!$E$10:$E$13)</f>
        <v>-89.66</v>
      </c>
      <c r="H5" s="14">
        <f>_xlfn.XLOOKUP(E5,'Data '!$B$2:$B$7,'Data '!$D$2:$D$7)</f>
        <v>39.36</v>
      </c>
      <c r="I5" s="14">
        <f>_xlfn.XLOOKUP(E5,'Data '!$B$2:$B$7,'Data '!$E$2:$E$7)</f>
        <v>-89.08</v>
      </c>
      <c r="J5" s="58">
        <f t="shared" ref="J5:J27" si="0">SQRT((F5-H5)^2+ABS(G5-I5)^2)</f>
        <v>0.71028163428319124</v>
      </c>
      <c r="M5" s="20">
        <v>1</v>
      </c>
      <c r="N5" s="21" cm="1">
        <f t="array" ref="N5:S5">_xlfn.TOROW(J4:J9)</f>
        <v>22.778419611553392</v>
      </c>
      <c r="O5" s="22">
        <v>0.71028163428319124</v>
      </c>
      <c r="P5" s="22">
        <v>14.381408136896741</v>
      </c>
      <c r="Q5" s="22">
        <v>21.219521672271497</v>
      </c>
      <c r="R5" s="22">
        <v>11.519522559550811</v>
      </c>
      <c r="S5" s="23">
        <v>15.012081801002823</v>
      </c>
      <c r="V5" s="24">
        <f>SUMPRODUCT(N5:S8,N11:S14)+SUMPRODUCT(M19:P19,M22:P22)</f>
        <v>32838.596444325507</v>
      </c>
    </row>
    <row r="6" spans="2:22" x14ac:dyDescent="0.2">
      <c r="B6" s="13" t="str">
        <f>_xlfn.XLOOKUP(C6,'Data '!$A$10:$A$13,'Data '!$B$10:$B$13)</f>
        <v>Jellybean Jungle</v>
      </c>
      <c r="C6" s="14">
        <v>1</v>
      </c>
      <c r="D6" s="14">
        <v>3</v>
      </c>
      <c r="E6" s="14" t="str">
        <f>_xlfn.XLOOKUP(D6,'Data '!$A$2:$A$7,'Data '!$B$2:$B$7)</f>
        <v>Vanilla Chai Vortex</v>
      </c>
      <c r="F6" s="14">
        <f>_xlfn.XLOOKUP(B6,'Data '!$B$10:$B$13,'Data '!$D$10:$D$13)</f>
        <v>39.770000000000003</v>
      </c>
      <c r="G6" s="14">
        <f>_xlfn.XLOOKUP(B6,'Data '!$B$10:$B$13,'Data '!$E$10:$E$13)</f>
        <v>-89.66</v>
      </c>
      <c r="H6" s="14">
        <f>_xlfn.XLOOKUP(E6,'Data '!$B$2:$B$7,'Data '!$D$2:$D$7)</f>
        <v>33.770000000000003</v>
      </c>
      <c r="I6" s="14">
        <f>_xlfn.XLOOKUP(E6,'Data '!$B$2:$B$7,'Data '!$E$2:$E$7)</f>
        <v>-76.59</v>
      </c>
      <c r="J6" s="58">
        <f t="shared" si="0"/>
        <v>14.381408136896741</v>
      </c>
      <c r="M6" s="20">
        <v>2</v>
      </c>
      <c r="N6" s="25" cm="1">
        <f t="array" ref="N6:S6">_xlfn.TOROW(J10:J15)</f>
        <v>32.450531582702929</v>
      </c>
      <c r="O6" s="26">
        <v>11.789558940011288</v>
      </c>
      <c r="P6" s="26">
        <v>3.5461105453722084</v>
      </c>
      <c r="Q6" s="26">
        <v>8.7985964789845834</v>
      </c>
      <c r="R6" s="26">
        <v>21.576144233852357</v>
      </c>
      <c r="S6" s="27">
        <v>26.710686999775959</v>
      </c>
    </row>
    <row r="7" spans="2:22" x14ac:dyDescent="0.2">
      <c r="B7" s="13" t="str">
        <f>_xlfn.XLOOKUP(C7,'Data '!$A$10:$A$13,'Data '!$B$10:$B$13)</f>
        <v>Jellybean Jungle</v>
      </c>
      <c r="C7" s="14">
        <v>1</v>
      </c>
      <c r="D7" s="14">
        <v>4</v>
      </c>
      <c r="E7" s="14" t="str">
        <f>_xlfn.XLOOKUP(D7,'Data '!$A$2:$A$7,'Data '!$B$2:$B$7)</f>
        <v>Twizzler Tunnels</v>
      </c>
      <c r="F7" s="14">
        <f>_xlfn.XLOOKUP(B7,'Data '!$B$10:$B$13,'Data '!$D$10:$D$13)</f>
        <v>39.770000000000003</v>
      </c>
      <c r="G7" s="14">
        <f>_xlfn.XLOOKUP(B7,'Data '!$B$10:$B$13,'Data '!$E$10:$E$13)</f>
        <v>-89.66</v>
      </c>
      <c r="H7" s="14">
        <f>_xlfn.XLOOKUP(E7,'Data '!$B$2:$B$7,'Data '!$D$2:$D$7)</f>
        <v>34.68</v>
      </c>
      <c r="I7" s="14">
        <f>_xlfn.XLOOKUP(E7,'Data '!$B$2:$B$7,'Data '!$E$2:$E$7)</f>
        <v>-69.06</v>
      </c>
      <c r="J7" s="58">
        <f t="shared" si="0"/>
        <v>21.219521672271497</v>
      </c>
      <c r="M7" s="20">
        <v>3</v>
      </c>
      <c r="N7" s="25" cm="1">
        <f t="array" ref="N7:S7">_xlfn.TOROW(J16:J21)</f>
        <v>7.6604177431782361</v>
      </c>
      <c r="O7" s="26">
        <v>18.45515917026998</v>
      </c>
      <c r="P7" s="26">
        <v>25.555048424919882</v>
      </c>
      <c r="Q7" s="26">
        <v>32.980341114063691</v>
      </c>
      <c r="R7" s="26">
        <v>7.7795244070572869</v>
      </c>
      <c r="S7" s="27">
        <v>11.58672516287497</v>
      </c>
    </row>
    <row r="8" spans="2:22" ht="16" thickBot="1" x14ac:dyDescent="0.25">
      <c r="B8" s="13" t="str">
        <f>_xlfn.XLOOKUP(C8,'Data '!$A$10:$A$13,'Data '!$B$10:$B$13)</f>
        <v>Jellybean Jungle</v>
      </c>
      <c r="C8" s="14">
        <v>1</v>
      </c>
      <c r="D8" s="14">
        <v>5</v>
      </c>
      <c r="E8" s="14" t="str">
        <f>_xlfn.XLOOKUP(D8,'Data '!$A$2:$A$7,'Data '!$B$2:$B$7)</f>
        <v>Milkshake Mire</v>
      </c>
      <c r="F8" s="14">
        <f>_xlfn.XLOOKUP(B8,'Data '!$B$10:$B$13,'Data '!$D$10:$D$13)</f>
        <v>39.770000000000003</v>
      </c>
      <c r="G8" s="14">
        <f>_xlfn.XLOOKUP(B8,'Data '!$B$10:$B$13,'Data '!$E$10:$E$13)</f>
        <v>-89.66</v>
      </c>
      <c r="H8" s="14">
        <f>_xlfn.XLOOKUP(E8,'Data '!$B$2:$B$7,'Data '!$D$2:$D$7)</f>
        <v>32.42</v>
      </c>
      <c r="I8" s="14">
        <f>_xlfn.XLOOKUP(E8,'Data '!$B$2:$B$7,'Data '!$E$2:$E$7)</f>
        <v>-98.53</v>
      </c>
      <c r="J8" s="58">
        <f t="shared" si="0"/>
        <v>11.519522559550811</v>
      </c>
      <c r="M8" s="28">
        <v>4</v>
      </c>
      <c r="N8" s="29" cm="1">
        <f t="array" ref="N8:S8">_xlfn.TOROW(J22:J27)</f>
        <v>11.350634343506973</v>
      </c>
      <c r="O8" s="30">
        <v>13.954103339161563</v>
      </c>
      <c r="P8" s="30">
        <v>26.249083793534574</v>
      </c>
      <c r="Q8" s="30">
        <v>33.692411608550664</v>
      </c>
      <c r="R8" s="30">
        <v>5.7510781597888156</v>
      </c>
      <c r="S8" s="31">
        <v>1.5277761616153132</v>
      </c>
    </row>
    <row r="9" spans="2:22" ht="16" thickBot="1" x14ac:dyDescent="0.25">
      <c r="B9" s="13" t="str">
        <f>_xlfn.XLOOKUP(C9,'Data '!$A$10:$A$13,'Data '!$B$10:$B$13)</f>
        <v>Jellybean Jungle</v>
      </c>
      <c r="C9" s="14">
        <v>1</v>
      </c>
      <c r="D9" s="14">
        <v>6</v>
      </c>
      <c r="E9" s="14" t="str">
        <f>_xlfn.XLOOKUP(D9,'Data '!$A$2:$A$7,'Data '!$B$2:$B$7)</f>
        <v>Peanut Butter Parlor</v>
      </c>
      <c r="F9" s="14">
        <f>_xlfn.XLOOKUP(B9,'Data '!$B$10:$B$13,'Data '!$D$10:$D$13)</f>
        <v>39.770000000000003</v>
      </c>
      <c r="G9" s="14">
        <f>_xlfn.XLOOKUP(B9,'Data '!$B$10:$B$13,'Data '!$E$10:$E$13)</f>
        <v>-89.66</v>
      </c>
      <c r="H9" s="14">
        <f>_xlfn.XLOOKUP(E9,'Data '!$B$2:$B$7,'Data '!$D$2:$D$7)</f>
        <v>35.92</v>
      </c>
      <c r="I9" s="14">
        <f>_xlfn.XLOOKUP(E9,'Data '!$B$2:$B$7,'Data '!$E$2:$E$7)</f>
        <v>-104.17</v>
      </c>
      <c r="J9" s="58">
        <f t="shared" si="0"/>
        <v>15.012081801002823</v>
      </c>
    </row>
    <row r="10" spans="2:22" ht="16" thickBot="1" x14ac:dyDescent="0.25">
      <c r="B10" s="13" t="str">
        <f>_xlfn.XLOOKUP(C10,'Data '!$A$10:$A$13,'Data '!$B$10:$B$13)</f>
        <v>Chocolate River Rapids</v>
      </c>
      <c r="C10" s="14">
        <v>2</v>
      </c>
      <c r="D10" s="14">
        <v>1</v>
      </c>
      <c r="E10" s="14" t="str">
        <f>_xlfn.XLOOKUP(D10,'Data '!$A$2:$A$7,'Data '!$B$2:$B$7)</f>
        <v>Turkish Delight Tundra</v>
      </c>
      <c r="F10" s="14">
        <f>_xlfn.XLOOKUP(B10,'Data '!$B$10:$B$13,'Data '!$D$10:$D$13)</f>
        <v>37.200000000000003</v>
      </c>
      <c r="G10" s="14">
        <f>_xlfn.XLOOKUP(B10,'Data '!$B$10:$B$13,'Data '!$E$10:$E$13)</f>
        <v>-77.489999999999995</v>
      </c>
      <c r="H10" s="14">
        <f>_xlfn.XLOOKUP(E10,'Data '!$B$2:$B$7,'Data '!$D$2:$D$7)</f>
        <v>26.37</v>
      </c>
      <c r="I10" s="14">
        <f>_xlfn.XLOOKUP(E10,'Data '!$B$2:$B$7,'Data '!$E$2:$E$7)</f>
        <v>-108.08</v>
      </c>
      <c r="J10" s="58">
        <f t="shared" si="0"/>
        <v>32.450531582702929</v>
      </c>
      <c r="M10" s="16" t="s">
        <v>45</v>
      </c>
      <c r="N10" s="17">
        <v>1</v>
      </c>
      <c r="O10" s="17">
        <v>2</v>
      </c>
      <c r="P10" s="17">
        <v>3</v>
      </c>
      <c r="Q10" s="17">
        <v>4</v>
      </c>
      <c r="R10" s="17">
        <v>5</v>
      </c>
      <c r="S10" s="18">
        <v>6</v>
      </c>
      <c r="T10" s="32" t="s">
        <v>47</v>
      </c>
    </row>
    <row r="11" spans="2:22" x14ac:dyDescent="0.2">
      <c r="B11" s="13" t="str">
        <f>_xlfn.XLOOKUP(C11,'Data '!$A$10:$A$13,'Data '!$B$10:$B$13)</f>
        <v>Chocolate River Rapids</v>
      </c>
      <c r="C11" s="14">
        <v>2</v>
      </c>
      <c r="D11" s="14">
        <v>2</v>
      </c>
      <c r="E11" s="14" t="str">
        <f>_xlfn.XLOOKUP(D11,'Data '!$A$2:$A$7,'Data '!$B$2:$B$7)</f>
        <v>Maple Fudge Forest</v>
      </c>
      <c r="F11" s="14">
        <f>_xlfn.XLOOKUP(B11,'Data '!$B$10:$B$13,'Data '!$D$10:$D$13)</f>
        <v>37.200000000000003</v>
      </c>
      <c r="G11" s="14">
        <f>_xlfn.XLOOKUP(B11,'Data '!$B$10:$B$13,'Data '!$E$10:$E$13)</f>
        <v>-77.489999999999995</v>
      </c>
      <c r="H11" s="14">
        <f>_xlfn.XLOOKUP(E11,'Data '!$B$2:$B$7,'Data '!$D$2:$D$7)</f>
        <v>39.36</v>
      </c>
      <c r="I11" s="14">
        <f>_xlfn.XLOOKUP(E11,'Data '!$B$2:$B$7,'Data '!$E$2:$E$7)</f>
        <v>-89.08</v>
      </c>
      <c r="J11" s="58">
        <f t="shared" si="0"/>
        <v>11.789558940011288</v>
      </c>
      <c r="M11" s="20">
        <v>1</v>
      </c>
      <c r="N11" s="21">
        <v>0</v>
      </c>
      <c r="O11" s="22">
        <v>0</v>
      </c>
      <c r="P11" s="22">
        <v>0</v>
      </c>
      <c r="Q11" s="22">
        <v>0</v>
      </c>
      <c r="R11" s="22">
        <v>0</v>
      </c>
      <c r="S11" s="23">
        <v>0</v>
      </c>
      <c r="T11" s="33">
        <f>SUM(N11:S11)</f>
        <v>0</v>
      </c>
      <c r="U11" s="34">
        <f>T11/3837</f>
        <v>0</v>
      </c>
    </row>
    <row r="12" spans="2:22" x14ac:dyDescent="0.2">
      <c r="B12" s="13" t="str">
        <f>_xlfn.XLOOKUP(C12,'Data '!$A$10:$A$13,'Data '!$B$10:$B$13)</f>
        <v>Chocolate River Rapids</v>
      </c>
      <c r="C12" s="14">
        <v>2</v>
      </c>
      <c r="D12" s="14">
        <v>3</v>
      </c>
      <c r="E12" s="14" t="str">
        <f>_xlfn.XLOOKUP(D12,'Data '!$A$2:$A$7,'Data '!$B$2:$B$7)</f>
        <v>Vanilla Chai Vortex</v>
      </c>
      <c r="F12" s="14">
        <f>_xlfn.XLOOKUP(B12,'Data '!$B$10:$B$13,'Data '!$D$10:$D$13)</f>
        <v>37.200000000000003</v>
      </c>
      <c r="G12" s="14">
        <f>_xlfn.XLOOKUP(B12,'Data '!$B$10:$B$13,'Data '!$E$10:$E$13)</f>
        <v>-77.489999999999995</v>
      </c>
      <c r="H12" s="14">
        <f>_xlfn.XLOOKUP(E12,'Data '!$B$2:$B$7,'Data '!$D$2:$D$7)</f>
        <v>33.770000000000003</v>
      </c>
      <c r="I12" s="14">
        <f>_xlfn.XLOOKUP(E12,'Data '!$B$2:$B$7,'Data '!$E$2:$E$7)</f>
        <v>-76.59</v>
      </c>
      <c r="J12" s="58">
        <f t="shared" si="0"/>
        <v>3.5461105453722084</v>
      </c>
      <c r="M12" s="20">
        <v>2</v>
      </c>
      <c r="N12" s="25">
        <v>0</v>
      </c>
      <c r="O12" s="26">
        <v>552</v>
      </c>
      <c r="P12" s="26">
        <v>603</v>
      </c>
      <c r="Q12" s="26">
        <v>710</v>
      </c>
      <c r="R12" s="26">
        <v>0</v>
      </c>
      <c r="S12" s="27">
        <v>0</v>
      </c>
      <c r="T12" s="33">
        <f t="shared" ref="T12:T14" si="1">SUM(N12:S12)</f>
        <v>1865</v>
      </c>
      <c r="U12" s="34">
        <f t="shared" ref="U12:U14" si="2">T12/3837</f>
        <v>0.48605681522022415</v>
      </c>
    </row>
    <row r="13" spans="2:22" x14ac:dyDescent="0.2">
      <c r="B13" s="13" t="str">
        <f>_xlfn.XLOOKUP(C13,'Data '!$A$10:$A$13,'Data '!$B$10:$B$13)</f>
        <v>Chocolate River Rapids</v>
      </c>
      <c r="C13" s="14">
        <v>2</v>
      </c>
      <c r="D13" s="14">
        <v>4</v>
      </c>
      <c r="E13" s="14" t="str">
        <f>_xlfn.XLOOKUP(D13,'Data '!$A$2:$A$7,'Data '!$B$2:$B$7)</f>
        <v>Twizzler Tunnels</v>
      </c>
      <c r="F13" s="14">
        <f>_xlfn.XLOOKUP(B13,'Data '!$B$10:$B$13,'Data '!$D$10:$D$13)</f>
        <v>37.200000000000003</v>
      </c>
      <c r="G13" s="14">
        <f>_xlfn.XLOOKUP(B13,'Data '!$B$10:$B$13,'Data '!$E$10:$E$13)</f>
        <v>-77.489999999999995</v>
      </c>
      <c r="H13" s="14">
        <f>_xlfn.XLOOKUP(E13,'Data '!$B$2:$B$7,'Data '!$D$2:$D$7)</f>
        <v>34.68</v>
      </c>
      <c r="I13" s="14">
        <f>_xlfn.XLOOKUP(E13,'Data '!$B$2:$B$7,'Data '!$E$2:$E$7)</f>
        <v>-69.06</v>
      </c>
      <c r="J13" s="58">
        <f t="shared" si="0"/>
        <v>8.7985964789845834</v>
      </c>
      <c r="M13" s="20">
        <v>3</v>
      </c>
      <c r="N13" s="25">
        <v>0</v>
      </c>
      <c r="O13" s="26">
        <v>0</v>
      </c>
      <c r="P13" s="26">
        <v>0</v>
      </c>
      <c r="Q13" s="26">
        <v>0</v>
      </c>
      <c r="R13" s="26">
        <v>0</v>
      </c>
      <c r="S13" s="27">
        <v>0</v>
      </c>
      <c r="T13" s="33">
        <f t="shared" si="1"/>
        <v>0</v>
      </c>
      <c r="U13" s="34">
        <f t="shared" si="2"/>
        <v>0</v>
      </c>
    </row>
    <row r="14" spans="2:22" ht="16" thickBot="1" x14ac:dyDescent="0.25">
      <c r="B14" s="13" t="str">
        <f>_xlfn.XLOOKUP(C14,'Data '!$A$10:$A$13,'Data '!$B$10:$B$13)</f>
        <v>Chocolate River Rapids</v>
      </c>
      <c r="C14" s="14">
        <v>2</v>
      </c>
      <c r="D14" s="14">
        <v>5</v>
      </c>
      <c r="E14" s="14" t="str">
        <f>_xlfn.XLOOKUP(D14,'Data '!$A$2:$A$7,'Data '!$B$2:$B$7)</f>
        <v>Milkshake Mire</v>
      </c>
      <c r="F14" s="14">
        <f>_xlfn.XLOOKUP(B14,'Data '!$B$10:$B$13,'Data '!$D$10:$D$13)</f>
        <v>37.200000000000003</v>
      </c>
      <c r="G14" s="14">
        <f>_xlfn.XLOOKUP(B14,'Data '!$B$10:$B$13,'Data '!$E$10:$E$13)</f>
        <v>-77.489999999999995</v>
      </c>
      <c r="H14" s="14">
        <f>_xlfn.XLOOKUP(E14,'Data '!$B$2:$B$7,'Data '!$D$2:$D$7)</f>
        <v>32.42</v>
      </c>
      <c r="I14" s="14">
        <f>_xlfn.XLOOKUP(E14,'Data '!$B$2:$B$7,'Data '!$E$2:$E$7)</f>
        <v>-98.53</v>
      </c>
      <c r="J14" s="58">
        <f t="shared" si="0"/>
        <v>21.576144233852357</v>
      </c>
      <c r="M14" s="20">
        <v>4</v>
      </c>
      <c r="N14" s="29">
        <v>840</v>
      </c>
      <c r="O14" s="30">
        <v>0</v>
      </c>
      <c r="P14" s="30">
        <v>0</v>
      </c>
      <c r="Q14" s="30">
        <v>0</v>
      </c>
      <c r="R14" s="30">
        <v>544</v>
      </c>
      <c r="S14" s="31">
        <v>588</v>
      </c>
      <c r="T14" s="35">
        <f t="shared" si="1"/>
        <v>1972</v>
      </c>
      <c r="U14" s="34">
        <f t="shared" si="2"/>
        <v>0.51394318477977585</v>
      </c>
    </row>
    <row r="15" spans="2:22" x14ac:dyDescent="0.2">
      <c r="B15" s="13" t="str">
        <f>_xlfn.XLOOKUP(C15,'Data '!$A$10:$A$13,'Data '!$B$10:$B$13)</f>
        <v>Chocolate River Rapids</v>
      </c>
      <c r="C15" s="14">
        <v>2</v>
      </c>
      <c r="D15" s="14">
        <v>6</v>
      </c>
      <c r="E15" s="14" t="str">
        <f>_xlfn.XLOOKUP(D15,'Data '!$A$2:$A$7,'Data '!$B$2:$B$7)</f>
        <v>Peanut Butter Parlor</v>
      </c>
      <c r="F15" s="14">
        <f>_xlfn.XLOOKUP(B15,'Data '!$B$10:$B$13,'Data '!$D$10:$D$13)</f>
        <v>37.200000000000003</v>
      </c>
      <c r="G15" s="14">
        <f>_xlfn.XLOOKUP(B15,'Data '!$B$10:$B$13,'Data '!$E$10:$E$13)</f>
        <v>-77.489999999999995</v>
      </c>
      <c r="H15" s="14">
        <f>_xlfn.XLOOKUP(E15,'Data '!$B$2:$B$7,'Data '!$D$2:$D$7)</f>
        <v>35.92</v>
      </c>
      <c r="I15" s="14">
        <f>_xlfn.XLOOKUP(E15,'Data '!$B$2:$B$7,'Data '!$E$2:$E$7)</f>
        <v>-104.17</v>
      </c>
      <c r="J15" s="58">
        <f t="shared" si="0"/>
        <v>26.710686999775959</v>
      </c>
      <c r="M15" s="36" t="s">
        <v>48</v>
      </c>
      <c r="N15" s="37">
        <f>SUM(N11:N14)</f>
        <v>840</v>
      </c>
      <c r="O15" s="37">
        <f t="shared" ref="O15:S15" si="3">SUM(O11:O14)</f>
        <v>552</v>
      </c>
      <c r="P15" s="37">
        <f t="shared" si="3"/>
        <v>603</v>
      </c>
      <c r="Q15" s="37">
        <f t="shared" si="3"/>
        <v>710</v>
      </c>
      <c r="R15" s="37">
        <f t="shared" si="3"/>
        <v>544</v>
      </c>
      <c r="S15" s="38">
        <f t="shared" si="3"/>
        <v>588</v>
      </c>
    </row>
    <row r="16" spans="2:22" ht="16" thickBot="1" x14ac:dyDescent="0.25">
      <c r="B16" s="13" t="str">
        <f>_xlfn.XLOOKUP(C16,'Data '!$A$10:$A$13,'Data '!$B$10:$B$13)</f>
        <v>Butterscotch Bluffs</v>
      </c>
      <c r="C16" s="14">
        <v>3</v>
      </c>
      <c r="D16" s="14">
        <v>1</v>
      </c>
      <c r="E16" s="14" t="str">
        <f>_xlfn.XLOOKUP(D16,'Data '!$A$2:$A$7,'Data '!$B$2:$B$7)</f>
        <v>Turkish Delight Tundra</v>
      </c>
      <c r="F16" s="14">
        <f>_xlfn.XLOOKUP(B16,'Data '!$B$10:$B$13,'Data '!$D$10:$D$13)</f>
        <v>24.91</v>
      </c>
      <c r="G16" s="14">
        <f>_xlfn.XLOOKUP(B16,'Data '!$B$10:$B$13,'Data '!$E$10:$E$13)</f>
        <v>-100.56</v>
      </c>
      <c r="H16" s="14">
        <f>_xlfn.XLOOKUP(E16,'Data '!$B$2:$B$7,'Data '!$D$2:$D$7)</f>
        <v>26.37</v>
      </c>
      <c r="I16" s="14">
        <f>_xlfn.XLOOKUP(E16,'Data '!$B$2:$B$7,'Data '!$E$2:$E$7)</f>
        <v>-108.08</v>
      </c>
      <c r="J16" s="58">
        <f t="shared" si="0"/>
        <v>7.6604177431782361</v>
      </c>
      <c r="M16" s="39" t="s">
        <v>49</v>
      </c>
      <c r="N16" s="40" cm="1">
        <f t="array" ref="N16:S16">_xlfn.TOROW('Data '!C2:C7)</f>
        <v>840</v>
      </c>
      <c r="O16" s="40">
        <v>552</v>
      </c>
      <c r="P16" s="40">
        <v>603</v>
      </c>
      <c r="Q16" s="40">
        <v>710</v>
      </c>
      <c r="R16" s="40">
        <v>544</v>
      </c>
      <c r="S16" s="41">
        <v>588</v>
      </c>
    </row>
    <row r="17" spans="2:17" x14ac:dyDescent="0.2">
      <c r="B17" s="13" t="str">
        <f>_xlfn.XLOOKUP(C17,'Data '!$A$10:$A$13,'Data '!$B$10:$B$13)</f>
        <v>Butterscotch Bluffs</v>
      </c>
      <c r="C17" s="14">
        <v>3</v>
      </c>
      <c r="D17" s="14">
        <v>2</v>
      </c>
      <c r="E17" s="14" t="str">
        <f>_xlfn.XLOOKUP(D17,'Data '!$A$2:$A$7,'Data '!$B$2:$B$7)</f>
        <v>Maple Fudge Forest</v>
      </c>
      <c r="F17" s="14">
        <f>_xlfn.XLOOKUP(B17,'Data '!$B$10:$B$13,'Data '!$D$10:$D$13)</f>
        <v>24.91</v>
      </c>
      <c r="G17" s="14">
        <f>_xlfn.XLOOKUP(B17,'Data '!$B$10:$B$13,'Data '!$E$10:$E$13)</f>
        <v>-100.56</v>
      </c>
      <c r="H17" s="14">
        <f>_xlfn.XLOOKUP(E17,'Data '!$B$2:$B$7,'Data '!$D$2:$D$7)</f>
        <v>39.36</v>
      </c>
      <c r="I17" s="14">
        <f>_xlfn.XLOOKUP(E17,'Data '!$B$2:$B$7,'Data '!$E$2:$E$7)</f>
        <v>-89.08</v>
      </c>
      <c r="J17" s="58">
        <f t="shared" si="0"/>
        <v>18.45515917026998</v>
      </c>
    </row>
    <row r="18" spans="2:17" ht="16" thickBot="1" x14ac:dyDescent="0.25">
      <c r="B18" s="13" t="str">
        <f>_xlfn.XLOOKUP(C18,'Data '!$A$10:$A$13,'Data '!$B$10:$B$13)</f>
        <v>Butterscotch Bluffs</v>
      </c>
      <c r="C18" s="14">
        <v>3</v>
      </c>
      <c r="D18" s="14">
        <v>3</v>
      </c>
      <c r="E18" s="14" t="str">
        <f>_xlfn.XLOOKUP(D18,'Data '!$A$2:$A$7,'Data '!$B$2:$B$7)</f>
        <v>Vanilla Chai Vortex</v>
      </c>
      <c r="F18" s="14">
        <f>_xlfn.XLOOKUP(B18,'Data '!$B$10:$B$13,'Data '!$D$10:$D$13)</f>
        <v>24.91</v>
      </c>
      <c r="G18" s="14">
        <f>_xlfn.XLOOKUP(B18,'Data '!$B$10:$B$13,'Data '!$E$10:$E$13)</f>
        <v>-100.56</v>
      </c>
      <c r="H18" s="14">
        <f>_xlfn.XLOOKUP(E18,'Data '!$B$2:$B$7,'Data '!$D$2:$D$7)</f>
        <v>33.770000000000003</v>
      </c>
      <c r="I18" s="14">
        <f>_xlfn.XLOOKUP(E18,'Data '!$B$2:$B$7,'Data '!$E$2:$E$7)</f>
        <v>-76.59</v>
      </c>
      <c r="J18" s="58">
        <f t="shared" si="0"/>
        <v>25.555048424919882</v>
      </c>
    </row>
    <row r="19" spans="2:17" ht="16" thickBot="1" x14ac:dyDescent="0.25">
      <c r="B19" s="13" t="str">
        <f>_xlfn.XLOOKUP(C19,'Data '!$A$10:$A$13,'Data '!$B$10:$B$13)</f>
        <v>Butterscotch Bluffs</v>
      </c>
      <c r="C19" s="14">
        <v>3</v>
      </c>
      <c r="D19" s="14">
        <v>4</v>
      </c>
      <c r="E19" s="14" t="str">
        <f>_xlfn.XLOOKUP(D19,'Data '!$A$2:$A$7,'Data '!$B$2:$B$7)</f>
        <v>Twizzler Tunnels</v>
      </c>
      <c r="F19" s="14">
        <f>_xlfn.XLOOKUP(B19,'Data '!$B$10:$B$13,'Data '!$D$10:$D$13)</f>
        <v>24.91</v>
      </c>
      <c r="G19" s="14">
        <f>_xlfn.XLOOKUP(B19,'Data '!$B$10:$B$13,'Data '!$E$10:$E$13)</f>
        <v>-100.56</v>
      </c>
      <c r="H19" s="14">
        <f>_xlfn.XLOOKUP(E19,'Data '!$B$2:$B$7,'Data '!$D$2:$D$7)</f>
        <v>34.68</v>
      </c>
      <c r="I19" s="14">
        <f>_xlfn.XLOOKUP(E19,'Data '!$B$2:$B$7,'Data '!$E$2:$E$7)</f>
        <v>-69.06</v>
      </c>
      <c r="J19" s="58">
        <f t="shared" si="0"/>
        <v>32.980341114063691</v>
      </c>
      <c r="L19" s="42" t="s">
        <v>50</v>
      </c>
      <c r="M19" s="43" cm="1">
        <f t="array" ref="M19:P19">_xlfn.TOROW('Data '!C10:C13)</f>
        <v>1418</v>
      </c>
      <c r="N19" s="43">
        <v>1714</v>
      </c>
      <c r="O19" s="43">
        <v>2774</v>
      </c>
      <c r="P19" s="44">
        <v>2670</v>
      </c>
    </row>
    <row r="20" spans="2:17" ht="16" thickBot="1" x14ac:dyDescent="0.25">
      <c r="B20" s="13" t="str">
        <f>_xlfn.XLOOKUP(C20,'Data '!$A$10:$A$13,'Data '!$B$10:$B$13)</f>
        <v>Butterscotch Bluffs</v>
      </c>
      <c r="C20" s="14">
        <v>3</v>
      </c>
      <c r="D20" s="14">
        <v>5</v>
      </c>
      <c r="E20" s="14" t="str">
        <f>_xlfn.XLOOKUP(D20,'Data '!$A$2:$A$7,'Data '!$B$2:$B$7)</f>
        <v>Milkshake Mire</v>
      </c>
      <c r="F20" s="14">
        <f>_xlfn.XLOOKUP(B20,'Data '!$B$10:$B$13,'Data '!$D$10:$D$13)</f>
        <v>24.91</v>
      </c>
      <c r="G20" s="14">
        <f>_xlfn.XLOOKUP(B20,'Data '!$B$10:$B$13,'Data '!$E$10:$E$13)</f>
        <v>-100.56</v>
      </c>
      <c r="H20" s="14">
        <f>_xlfn.XLOOKUP(E20,'Data '!$B$2:$B$7,'Data '!$D$2:$D$7)</f>
        <v>32.42</v>
      </c>
      <c r="I20" s="14">
        <f>_xlfn.XLOOKUP(E20,'Data '!$B$2:$B$7,'Data '!$E$2:$E$7)</f>
        <v>-98.53</v>
      </c>
      <c r="J20" s="58">
        <f t="shared" si="0"/>
        <v>7.7795244070572869</v>
      </c>
      <c r="L20" s="45" t="s">
        <v>51</v>
      </c>
      <c r="M20" s="46">
        <f>M19*M22</f>
        <v>0</v>
      </c>
      <c r="N20" s="46">
        <f t="shared" ref="N20:P20" si="4">N19*N22</f>
        <v>1714</v>
      </c>
      <c r="O20" s="46">
        <f t="shared" si="4"/>
        <v>0</v>
      </c>
      <c r="P20" s="47">
        <f t="shared" si="4"/>
        <v>2670</v>
      </c>
    </row>
    <row r="21" spans="2:17" ht="16" thickBot="1" x14ac:dyDescent="0.25">
      <c r="B21" s="13" t="str">
        <f>_xlfn.XLOOKUP(C21,'Data '!$A$10:$A$13,'Data '!$B$10:$B$13)</f>
        <v>Butterscotch Bluffs</v>
      </c>
      <c r="C21" s="14">
        <v>3</v>
      </c>
      <c r="D21" s="14">
        <v>6</v>
      </c>
      <c r="E21" s="14" t="str">
        <f>_xlfn.XLOOKUP(D21,'Data '!$A$2:$A$7,'Data '!$B$2:$B$7)</f>
        <v>Peanut Butter Parlor</v>
      </c>
      <c r="F21" s="14">
        <f>_xlfn.XLOOKUP(B21,'Data '!$B$10:$B$13,'Data '!$D$10:$D$13)</f>
        <v>24.91</v>
      </c>
      <c r="G21" s="14">
        <f>_xlfn.XLOOKUP(B21,'Data '!$B$10:$B$13,'Data '!$E$10:$E$13)</f>
        <v>-100.56</v>
      </c>
      <c r="H21" s="14">
        <f>_xlfn.XLOOKUP(E21,'Data '!$B$2:$B$7,'Data '!$D$2:$D$7)</f>
        <v>35.92</v>
      </c>
      <c r="I21" s="14">
        <f>_xlfn.XLOOKUP(E21,'Data '!$B$2:$B$7,'Data '!$E$2:$E$7)</f>
        <v>-104.17</v>
      </c>
      <c r="J21" s="58">
        <f t="shared" si="0"/>
        <v>11.58672516287497</v>
      </c>
    </row>
    <row r="22" spans="2:17" ht="16" thickBot="1" x14ac:dyDescent="0.25">
      <c r="B22" s="13" t="str">
        <f>_xlfn.XLOOKUP(C22,'Data '!$A$10:$A$13,'Data '!$B$10:$B$13)</f>
        <v>Lava Cake Ledges</v>
      </c>
      <c r="C22" s="14">
        <v>4</v>
      </c>
      <c r="D22" s="14">
        <v>1</v>
      </c>
      <c r="E22" s="14" t="str">
        <f>_xlfn.XLOOKUP(D22,'Data '!$A$2:$A$7,'Data '!$B$2:$B$7)</f>
        <v>Turkish Delight Tundra</v>
      </c>
      <c r="F22" s="14">
        <f>_xlfn.XLOOKUP(B22,'Data '!$B$10:$B$13,'Data '!$D$10:$D$13)</f>
        <v>36.369999999999997</v>
      </c>
      <c r="G22" s="14">
        <f>_xlfn.XLOOKUP(B22,'Data '!$B$10:$B$13,'Data '!$E$10:$E$13)</f>
        <v>-102.71</v>
      </c>
      <c r="H22" s="14">
        <f>_xlfn.XLOOKUP(E22,'Data '!$B$2:$B$7,'Data '!$D$2:$D$7)</f>
        <v>26.37</v>
      </c>
      <c r="I22" s="14">
        <f>_xlfn.XLOOKUP(E22,'Data '!$B$2:$B$7,'Data '!$E$2:$E$7)</f>
        <v>-108.08</v>
      </c>
      <c r="J22" s="58">
        <f t="shared" si="0"/>
        <v>11.350634343506973</v>
      </c>
      <c r="L22" s="48" t="s">
        <v>52</v>
      </c>
      <c r="M22" s="49">
        <v>0</v>
      </c>
      <c r="N22" s="49">
        <v>1</v>
      </c>
      <c r="O22" s="49">
        <v>0</v>
      </c>
      <c r="P22" s="49">
        <v>1</v>
      </c>
      <c r="Q22" s="50">
        <f>SUM(M22:P22)</f>
        <v>2</v>
      </c>
    </row>
    <row r="23" spans="2:17" ht="16" thickBot="1" x14ac:dyDescent="0.25">
      <c r="B23" s="13" t="str">
        <f>_xlfn.XLOOKUP(C23,'Data '!$A$10:$A$13,'Data '!$B$10:$B$13)</f>
        <v>Lava Cake Ledges</v>
      </c>
      <c r="C23" s="14">
        <v>4</v>
      </c>
      <c r="D23" s="14">
        <v>2</v>
      </c>
      <c r="E23" s="14" t="str">
        <f>_xlfn.XLOOKUP(D23,'Data '!$A$2:$A$7,'Data '!$B$2:$B$7)</f>
        <v>Maple Fudge Forest</v>
      </c>
      <c r="F23" s="14">
        <f>_xlfn.XLOOKUP(B23,'Data '!$B$10:$B$13,'Data '!$D$10:$D$13)</f>
        <v>36.369999999999997</v>
      </c>
      <c r="G23" s="14">
        <f>_xlfn.XLOOKUP(B23,'Data '!$B$10:$B$13,'Data '!$E$10:$E$13)</f>
        <v>-102.71</v>
      </c>
      <c r="H23" s="14">
        <f>_xlfn.XLOOKUP(E23,'Data '!$B$2:$B$7,'Data '!$D$2:$D$7)</f>
        <v>39.36</v>
      </c>
      <c r="I23" s="14">
        <f>_xlfn.XLOOKUP(E23,'Data '!$B$2:$B$7,'Data '!$E$2:$E$7)</f>
        <v>-89.08</v>
      </c>
      <c r="J23" s="58">
        <f t="shared" si="0"/>
        <v>13.954103339161563</v>
      </c>
      <c r="L23" s="51" t="s">
        <v>53</v>
      </c>
      <c r="M23" s="52">
        <f>T11-(M25*M22)</f>
        <v>0</v>
      </c>
      <c r="N23" s="52">
        <f>T12-(N25*N22)</f>
        <v>-2650</v>
      </c>
      <c r="O23" s="52">
        <f>T13-(O25*O22)</f>
        <v>0</v>
      </c>
      <c r="P23" s="53">
        <f>T14-(P25*P22)</f>
        <v>-2543</v>
      </c>
    </row>
    <row r="24" spans="2:17" x14ac:dyDescent="0.2">
      <c r="B24" s="13" t="str">
        <f>_xlfn.XLOOKUP(C24,'Data '!$A$10:$A$13,'Data '!$B$10:$B$13)</f>
        <v>Lava Cake Ledges</v>
      </c>
      <c r="C24" s="14">
        <v>4</v>
      </c>
      <c r="D24" s="14">
        <v>3</v>
      </c>
      <c r="E24" s="14" t="str">
        <f>_xlfn.XLOOKUP(D24,'Data '!$A$2:$A$7,'Data '!$B$2:$B$7)</f>
        <v>Vanilla Chai Vortex</v>
      </c>
      <c r="F24" s="14">
        <f>_xlfn.XLOOKUP(B24,'Data '!$B$10:$B$13,'Data '!$D$10:$D$13)</f>
        <v>36.369999999999997</v>
      </c>
      <c r="G24" s="14">
        <f>_xlfn.XLOOKUP(B24,'Data '!$B$10:$B$13,'Data '!$E$10:$E$13)</f>
        <v>-102.71</v>
      </c>
      <c r="H24" s="14">
        <f>_xlfn.XLOOKUP(E24,'Data '!$B$2:$B$7,'Data '!$D$2:$D$7)</f>
        <v>33.770000000000003</v>
      </c>
      <c r="I24" s="14">
        <f>_xlfn.XLOOKUP(E24,'Data '!$B$2:$B$7,'Data '!$E$2:$E$7)</f>
        <v>-76.59</v>
      </c>
      <c r="J24" s="58">
        <f t="shared" si="0"/>
        <v>26.249083793534574</v>
      </c>
    </row>
    <row r="25" spans="2:17" x14ac:dyDescent="0.2">
      <c r="B25" s="13" t="str">
        <f>_xlfn.XLOOKUP(C25,'Data '!$A$10:$A$13,'Data '!$B$10:$B$13)</f>
        <v>Lava Cake Ledges</v>
      </c>
      <c r="C25" s="14">
        <v>4</v>
      </c>
      <c r="D25" s="14">
        <v>4</v>
      </c>
      <c r="E25" s="14" t="str">
        <f>_xlfn.XLOOKUP(D25,'Data '!$A$2:$A$7,'Data '!$B$2:$B$7)</f>
        <v>Twizzler Tunnels</v>
      </c>
      <c r="F25" s="14">
        <f>_xlfn.XLOOKUP(B25,'Data '!$B$10:$B$13,'Data '!$D$10:$D$13)</f>
        <v>36.369999999999997</v>
      </c>
      <c r="G25" s="14">
        <f>_xlfn.XLOOKUP(B25,'Data '!$B$10:$B$13,'Data '!$E$10:$E$13)</f>
        <v>-102.71</v>
      </c>
      <c r="H25" s="14">
        <f>_xlfn.XLOOKUP(E25,'Data '!$B$2:$B$7,'Data '!$D$2:$D$7)</f>
        <v>34.68</v>
      </c>
      <c r="I25" s="14">
        <f>_xlfn.XLOOKUP(E25,'Data '!$B$2:$B$7,'Data '!$E$2:$E$7)</f>
        <v>-69.06</v>
      </c>
      <c r="J25" s="58">
        <f t="shared" si="0"/>
        <v>33.692411608550664</v>
      </c>
      <c r="L25" t="s">
        <v>54</v>
      </c>
      <c r="M25" s="57">
        <f>3837</f>
        <v>3837</v>
      </c>
      <c r="N25" s="54">
        <v>4515</v>
      </c>
      <c r="O25" s="54">
        <v>4515</v>
      </c>
      <c r="P25" s="54">
        <v>4515</v>
      </c>
    </row>
    <row r="26" spans="2:17" x14ac:dyDescent="0.2">
      <c r="B26" s="13" t="str">
        <f>_xlfn.XLOOKUP(C26,'Data '!$A$10:$A$13,'Data '!$B$10:$B$13)</f>
        <v>Lava Cake Ledges</v>
      </c>
      <c r="C26" s="14">
        <v>4</v>
      </c>
      <c r="D26" s="14">
        <v>5</v>
      </c>
      <c r="E26" s="14" t="str">
        <f>_xlfn.XLOOKUP(D26,'Data '!$A$2:$A$7,'Data '!$B$2:$B$7)</f>
        <v>Milkshake Mire</v>
      </c>
      <c r="F26" s="14">
        <f>_xlfn.XLOOKUP(B26,'Data '!$B$10:$B$13,'Data '!$D$10:$D$13)</f>
        <v>36.369999999999997</v>
      </c>
      <c r="G26" s="14">
        <f>_xlfn.XLOOKUP(B26,'Data '!$B$10:$B$13,'Data '!$E$10:$E$13)</f>
        <v>-102.71</v>
      </c>
      <c r="H26" s="14">
        <f>_xlfn.XLOOKUP(E26,'Data '!$B$2:$B$7,'Data '!$D$2:$D$7)</f>
        <v>32.42</v>
      </c>
      <c r="I26" s="14">
        <f>_xlfn.XLOOKUP(E26,'Data '!$B$2:$B$7,'Data '!$E$2:$E$7)</f>
        <v>-98.53</v>
      </c>
      <c r="J26" s="58">
        <f t="shared" si="0"/>
        <v>5.7510781597888156</v>
      </c>
    </row>
    <row r="27" spans="2:17" ht="16" thickBot="1" x14ac:dyDescent="0.25">
      <c r="B27" s="13" t="str">
        <f>_xlfn.XLOOKUP(C27,'Data '!$A$10:$A$13,'Data '!$B$10:$B$13)</f>
        <v>Lava Cake Ledges</v>
      </c>
      <c r="C27" s="55">
        <v>4</v>
      </c>
      <c r="D27" s="55">
        <v>6</v>
      </c>
      <c r="E27" s="14" t="str">
        <f>_xlfn.XLOOKUP(D27,'Data '!$A$2:$A$7,'Data '!$B$2:$B$7)</f>
        <v>Peanut Butter Parlor</v>
      </c>
      <c r="F27" s="14">
        <f>_xlfn.XLOOKUP(B27,'Data '!$B$10:$B$13,'Data '!$D$10:$D$13)</f>
        <v>36.369999999999997</v>
      </c>
      <c r="G27" s="14">
        <f>_xlfn.XLOOKUP(B27,'Data '!$B$10:$B$13,'Data '!$E$10:$E$13)</f>
        <v>-102.71</v>
      </c>
      <c r="H27" s="14">
        <f>_xlfn.XLOOKUP(E27,'Data '!$B$2:$B$7,'Data '!$D$2:$D$7)</f>
        <v>35.92</v>
      </c>
      <c r="I27" s="14">
        <f>_xlfn.XLOOKUP(E27,'Data '!$B$2:$B$7,'Data '!$E$2:$E$7)</f>
        <v>-104.17</v>
      </c>
      <c r="J27" s="58">
        <f t="shared" si="0"/>
        <v>1.5277761616153132</v>
      </c>
    </row>
  </sheetData>
  <mergeCells count="2">
    <mergeCell ref="B3:C3"/>
    <mergeCell ref="D3:E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9E4C7-01E4-6E40-970A-346FC7B48F96}">
  <dimension ref="A1:I13"/>
  <sheetViews>
    <sheetView workbookViewId="0">
      <selection activeCell="F22" sqref="F22"/>
    </sheetView>
  </sheetViews>
  <sheetFormatPr baseColWidth="10" defaultColWidth="11.5" defaultRowHeight="15" x14ac:dyDescent="0.2"/>
  <cols>
    <col min="1" max="1" width="16.83203125" bestFit="1" customWidth="1"/>
    <col min="2" max="2" width="21.6640625" customWidth="1"/>
    <col min="3" max="3" width="10.83203125" bestFit="1" customWidth="1"/>
    <col min="8" max="8" width="22" bestFit="1" customWidth="1"/>
    <col min="9" max="9" width="26.6640625" bestFit="1" customWidth="1"/>
  </cols>
  <sheetData>
    <row r="1" spans="1:9" x14ac:dyDescent="0.2">
      <c r="A1" s="9" t="s">
        <v>17</v>
      </c>
      <c r="B1" s="9" t="s">
        <v>18</v>
      </c>
      <c r="C1" s="9" t="s">
        <v>19</v>
      </c>
      <c r="D1" s="9" t="s">
        <v>20</v>
      </c>
      <c r="E1" s="9" t="s">
        <v>21</v>
      </c>
      <c r="G1" s="9" t="s">
        <v>28</v>
      </c>
      <c r="H1" s="9" t="s">
        <v>29</v>
      </c>
      <c r="I1" s="9" t="s">
        <v>30</v>
      </c>
    </row>
    <row r="2" spans="1:9" x14ac:dyDescent="0.2">
      <c r="A2" s="9">
        <v>1</v>
      </c>
      <c r="B2" s="10" t="s">
        <v>22</v>
      </c>
      <c r="C2" s="10">
        <v>840</v>
      </c>
      <c r="D2" s="10">
        <v>26.37</v>
      </c>
      <c r="E2" s="10">
        <v>-108.08</v>
      </c>
      <c r="G2" s="9">
        <v>2</v>
      </c>
      <c r="H2" s="10">
        <v>1</v>
      </c>
      <c r="I2" s="10" t="s">
        <v>31</v>
      </c>
    </row>
    <row r="3" spans="1:9" x14ac:dyDescent="0.2">
      <c r="A3" s="9">
        <v>2</v>
      </c>
      <c r="B3" s="10" t="s">
        <v>23</v>
      </c>
      <c r="C3" s="10">
        <v>552</v>
      </c>
      <c r="D3" s="10">
        <v>39.36</v>
      </c>
      <c r="E3" s="10">
        <v>-89.08</v>
      </c>
    </row>
    <row r="4" spans="1:9" x14ac:dyDescent="0.2">
      <c r="A4" s="9">
        <v>3</v>
      </c>
      <c r="B4" s="10" t="s">
        <v>24</v>
      </c>
      <c r="C4" s="10">
        <v>603</v>
      </c>
      <c r="D4" s="10">
        <v>33.770000000000003</v>
      </c>
      <c r="E4" s="10">
        <v>-76.59</v>
      </c>
    </row>
    <row r="5" spans="1:9" x14ac:dyDescent="0.2">
      <c r="A5" s="9">
        <v>4</v>
      </c>
      <c r="B5" s="10" t="s">
        <v>25</v>
      </c>
      <c r="C5" s="10">
        <v>710</v>
      </c>
      <c r="D5" s="10">
        <v>34.68</v>
      </c>
      <c r="E5" s="10">
        <v>-69.06</v>
      </c>
    </row>
    <row r="6" spans="1:9" x14ac:dyDescent="0.2">
      <c r="A6" s="9">
        <v>5</v>
      </c>
      <c r="B6" s="10" t="s">
        <v>26</v>
      </c>
      <c r="C6" s="10">
        <v>544</v>
      </c>
      <c r="D6" s="10">
        <v>32.42</v>
      </c>
      <c r="E6" s="10">
        <v>-98.53</v>
      </c>
    </row>
    <row r="7" spans="1:9" x14ac:dyDescent="0.2">
      <c r="A7" s="9">
        <v>6</v>
      </c>
      <c r="B7" s="10" t="s">
        <v>27</v>
      </c>
      <c r="C7" s="10">
        <v>588</v>
      </c>
      <c r="D7" s="10">
        <v>35.92</v>
      </c>
      <c r="E7" s="10">
        <v>-104.17</v>
      </c>
    </row>
    <row r="9" spans="1:9" x14ac:dyDescent="0.2">
      <c r="A9" s="9" t="s">
        <v>32</v>
      </c>
      <c r="B9" s="9" t="s">
        <v>18</v>
      </c>
      <c r="C9" s="9" t="s">
        <v>33</v>
      </c>
      <c r="D9" s="9" t="s">
        <v>20</v>
      </c>
      <c r="E9" s="9" t="s">
        <v>21</v>
      </c>
    </row>
    <row r="10" spans="1:9" x14ac:dyDescent="0.2">
      <c r="A10" s="9">
        <v>1</v>
      </c>
      <c r="B10" s="10" t="s">
        <v>34</v>
      </c>
      <c r="C10" s="10">
        <v>1418</v>
      </c>
      <c r="D10" s="10">
        <v>39.770000000000003</v>
      </c>
      <c r="E10" s="10">
        <v>-89.66</v>
      </c>
    </row>
    <row r="11" spans="1:9" x14ac:dyDescent="0.2">
      <c r="A11" s="9">
        <v>2</v>
      </c>
      <c r="B11" s="10" t="s">
        <v>35</v>
      </c>
      <c r="C11" s="10">
        <v>1714</v>
      </c>
      <c r="D11" s="10">
        <v>37.200000000000003</v>
      </c>
      <c r="E11" s="10">
        <v>-77.489999999999995</v>
      </c>
    </row>
    <row r="12" spans="1:9" x14ac:dyDescent="0.2">
      <c r="A12" s="9">
        <v>3</v>
      </c>
      <c r="B12" s="10" t="s">
        <v>36</v>
      </c>
      <c r="C12" s="10">
        <v>2774</v>
      </c>
      <c r="D12" s="10">
        <v>24.91</v>
      </c>
      <c r="E12" s="10">
        <v>-100.56</v>
      </c>
    </row>
    <row r="13" spans="1:9" x14ac:dyDescent="0.2">
      <c r="A13" s="9">
        <v>4</v>
      </c>
      <c r="B13" s="10" t="s">
        <v>37</v>
      </c>
      <c r="C13" s="10">
        <v>2670</v>
      </c>
      <c r="D13" s="10">
        <v>36.369999999999997</v>
      </c>
      <c r="E13" s="10">
        <v>-102.71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Solution</vt:lpstr>
      <vt:lpstr>Solve It</vt:lpstr>
      <vt:lpstr>Model</vt:lpstr>
      <vt:lpstr>Model Stepulation 1</vt:lpstr>
      <vt:lpstr>Model Stepulation 2</vt:lpstr>
      <vt:lpstr>Data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Harris</dc:creator>
  <cp:lastModifiedBy>Jose Ricardo Feris</cp:lastModifiedBy>
  <dcterms:created xsi:type="dcterms:W3CDTF">2025-04-07T10:58:54Z</dcterms:created>
  <dcterms:modified xsi:type="dcterms:W3CDTF">2025-04-22T15:41:05Z</dcterms:modified>
</cp:coreProperties>
</file>