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oseferisgonzalez/Desktop/"/>
    </mc:Choice>
  </mc:AlternateContent>
  <xr:revisionPtr revIDLastSave="0" documentId="8_{B48C4394-0F55-E744-B99A-92C3CF15FC19}" xr6:coauthVersionLast="47" xr6:coauthVersionMax="47" xr10:uidLastSave="{00000000-0000-0000-0000-000000000000}"/>
  <bookViews>
    <workbookView xWindow="0" yWindow="740" windowWidth="34560" windowHeight="21600" activeTab="2" xr2:uid="{CF03D53B-5031-4960-AF8B-03075C7721D8}"/>
  </bookViews>
  <sheets>
    <sheet name="Solve-It" sheetId="4" r:id="rId1"/>
    <sheet name="Solution" sheetId="1" r:id="rId2"/>
    <sheet name="Model" sheetId="6" r:id="rId3"/>
    <sheet name="Stepulation" sheetId="7" r:id="rId4"/>
    <sheet name="Sheet2" sheetId="8" state="hidden" r:id="rId5"/>
    <sheet name="Sheet3" sheetId="9" state="hidden" r:id="rId6"/>
    <sheet name="Data" sheetId="5" r:id="rId7"/>
  </sheets>
  <definedNames>
    <definedName name="solver_adj" localSheetId="2" hidden="1">Model!$B$4:$B$27,Model!$Q$18</definedName>
    <definedName name="solver_adj" localSheetId="1" hidden="1">Solution!$B$5:$C$5,Solution!$B$18</definedName>
    <definedName name="solver_adj" localSheetId="0" hidden="1">'Solve-It'!$B$5:$C$5,'Solve-It'!$B$18</definedName>
    <definedName name="solver_adj" localSheetId="3" hidden="1">Stepulation!$B$4:$B$27,Stepulation!$Q$18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drv" localSheetId="2" hidden="1">2</definedName>
    <definedName name="solver_drv" localSheetId="1" hidden="1">1</definedName>
    <definedName name="solver_drv" localSheetId="0" hidden="1">1</definedName>
    <definedName name="solver_drv" localSheetId="3" hidden="1">2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ng" localSheetId="3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lhs1" localSheetId="2" hidden="1">Model!$B$4:$B$27</definedName>
    <definedName name="solver_lhs1" localSheetId="1" hidden="1">Solution!$B$5:$C$5</definedName>
    <definedName name="solver_lhs1" localSheetId="0" hidden="1">'Solve-It'!$B$5:$C$5</definedName>
    <definedName name="solver_lhs1" localSheetId="3" hidden="1">Stepulation!$B$4:$B$27</definedName>
    <definedName name="solver_lhs2" localSheetId="2" hidden="1">Model!$B$4:$B$27</definedName>
    <definedName name="solver_lhs2" localSheetId="1" hidden="1">Solution!$D$13:$D$15</definedName>
    <definedName name="solver_lhs2" localSheetId="0" hidden="1">'Solve-It'!$D$13:$D$15</definedName>
    <definedName name="solver_lhs2" localSheetId="3" hidden="1">Stepulation!$B$4:$B$27</definedName>
    <definedName name="solver_lhs3" localSheetId="2" hidden="1">Model!$S$4:$S$10</definedName>
    <definedName name="solver_lhs3" localSheetId="1" hidden="1">Solution!$I$8:$I$10</definedName>
    <definedName name="solver_lhs3" localSheetId="0" hidden="1">'Solve-It'!$I$8:$I$10</definedName>
    <definedName name="solver_lhs3" localSheetId="3" hidden="1">Stepulation!$S$4:$S$10</definedName>
    <definedName name="solver_lhs4" localSheetId="2" hidden="1">Model!$W$13:$W$16</definedName>
    <definedName name="solver_lhs4" localSheetId="3" hidden="1">Stepulation!$W$13:$W$16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um" localSheetId="2" hidden="1">4</definedName>
    <definedName name="solver_num" localSheetId="1" hidden="1">3</definedName>
    <definedName name="solver_num" localSheetId="0" hidden="1">3</definedName>
    <definedName name="solver_num" localSheetId="3" hidden="1">4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opt" localSheetId="2" hidden="1">Model!$Q$18</definedName>
    <definedName name="solver_opt" localSheetId="1" hidden="1">Solution!$B$18</definedName>
    <definedName name="solver_opt" localSheetId="0" hidden="1">'Solve-It'!$B$18</definedName>
    <definedName name="solver_opt" localSheetId="3" hidden="1">Stepulation!$Q$18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rbv" localSheetId="2" hidden="1">2</definedName>
    <definedName name="solver_rbv" localSheetId="1" hidden="1">1</definedName>
    <definedName name="solver_rbv" localSheetId="0" hidden="1">1</definedName>
    <definedName name="solver_rbv" localSheetId="3" hidden="1">2</definedName>
    <definedName name="solver_rel1" localSheetId="2" hidden="1">4</definedName>
    <definedName name="solver_rel1" localSheetId="1" hidden="1">3</definedName>
    <definedName name="solver_rel1" localSheetId="0" hidden="1">3</definedName>
    <definedName name="solver_rel1" localSheetId="3" hidden="1">4</definedName>
    <definedName name="solver_rel2" localSheetId="2" hidden="1">3</definedName>
    <definedName name="solver_rel2" localSheetId="1" hidden="1">3</definedName>
    <definedName name="solver_rel2" localSheetId="0" hidden="1">3</definedName>
    <definedName name="solver_rel2" localSheetId="3" hidden="1">3</definedName>
    <definedName name="solver_rel3" localSheetId="2" hidden="1">3</definedName>
    <definedName name="solver_rel3" localSheetId="1" hidden="1">1</definedName>
    <definedName name="solver_rel3" localSheetId="0" hidden="1">1</definedName>
    <definedName name="solver_rel3" localSheetId="3" hidden="1">3</definedName>
    <definedName name="solver_rel4" localSheetId="2" hidden="1">1</definedName>
    <definedName name="solver_rel4" localSheetId="3" hidden="1">1</definedName>
    <definedName name="solver_rhs1" localSheetId="2" hidden="1">"integer"</definedName>
    <definedName name="solver_rhs1" localSheetId="1" hidden="1">0</definedName>
    <definedName name="solver_rhs1" localSheetId="0" hidden="1">0</definedName>
    <definedName name="solver_rhs1" localSheetId="3" hidden="1">"integer"</definedName>
    <definedName name="solver_rhs2" localSheetId="2" hidden="1">0</definedName>
    <definedName name="solver_rhs2" localSheetId="1" hidden="1">Solution!$E$13:$E$15</definedName>
    <definedName name="solver_rhs2" localSheetId="0" hidden="1">'Solve-It'!$E$13:$E$15</definedName>
    <definedName name="solver_rhs2" localSheetId="3" hidden="1">0</definedName>
    <definedName name="solver_rhs3" localSheetId="2" hidden="1">Model!$T$4:$T$10</definedName>
    <definedName name="solver_rhs3" localSheetId="1" hidden="1">Solution!$B$18</definedName>
    <definedName name="solver_rhs3" localSheetId="0" hidden="1">'Solve-It'!$B$18</definedName>
    <definedName name="solver_rhs3" localSheetId="3" hidden="1">Stepulation!$T$4:$T$10</definedName>
    <definedName name="solver_rhs4" localSheetId="2" hidden="1">Model!$Q$18</definedName>
    <definedName name="solver_rhs4" localSheetId="3" hidden="1">Stepulation!$Q$18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scl" localSheetId="2" hidden="1">2</definedName>
    <definedName name="solver_scl" localSheetId="1" hidden="1">1</definedName>
    <definedName name="solver_scl" localSheetId="0" hidden="1">1</definedName>
    <definedName name="solver_scl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yp" localSheetId="2" hidden="1">2</definedName>
    <definedName name="solver_typ" localSheetId="1" hidden="1">2</definedName>
    <definedName name="solver_typ" localSheetId="0" hidden="1">1</definedName>
    <definedName name="solver_typ" localSheetId="3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3" hidden="1">3</definedName>
  </definedNames>
  <calcPr calcId="191029"/>
  <pivotCaches>
    <pivotCache cacheId="47" r:id="rId8"/>
    <pivotCache cacheId="4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7" l="1"/>
  <c r="V13" i="7"/>
  <c r="R5" i="6" l="1"/>
  <c r="R6" i="6"/>
  <c r="R7" i="6"/>
  <c r="R8" i="6"/>
  <c r="R9" i="6"/>
  <c r="R10" i="6"/>
  <c r="R4" i="6"/>
  <c r="R5" i="7"/>
  <c r="R6" i="7"/>
  <c r="R7" i="7"/>
  <c r="R8" i="7"/>
  <c r="R9" i="7"/>
  <c r="R10" i="7"/>
  <c r="R4" i="7"/>
  <c r="N27" i="7"/>
  <c r="H27" i="7"/>
  <c r="G27" i="7"/>
  <c r="E27" i="7"/>
  <c r="D27" i="7"/>
  <c r="N26" i="7"/>
  <c r="H26" i="7"/>
  <c r="G26" i="7"/>
  <c r="E26" i="7"/>
  <c r="D26" i="7"/>
  <c r="N25" i="7"/>
  <c r="H25" i="7"/>
  <c r="G25" i="7"/>
  <c r="E25" i="7"/>
  <c r="D25" i="7"/>
  <c r="N24" i="7"/>
  <c r="H24" i="7"/>
  <c r="G24" i="7"/>
  <c r="E24" i="7"/>
  <c r="D24" i="7"/>
  <c r="N23" i="7"/>
  <c r="H23" i="7"/>
  <c r="G23" i="7"/>
  <c r="E23" i="7"/>
  <c r="D23" i="7"/>
  <c r="N22" i="7"/>
  <c r="H22" i="7"/>
  <c r="G22" i="7"/>
  <c r="E22" i="7"/>
  <c r="D22" i="7"/>
  <c r="N21" i="7"/>
  <c r="H21" i="7"/>
  <c r="G21" i="7"/>
  <c r="E21" i="7"/>
  <c r="D21" i="7"/>
  <c r="N20" i="7"/>
  <c r="H20" i="7"/>
  <c r="G20" i="7"/>
  <c r="E20" i="7"/>
  <c r="D20" i="7"/>
  <c r="N19" i="7"/>
  <c r="H19" i="7"/>
  <c r="G19" i="7"/>
  <c r="E19" i="7"/>
  <c r="D19" i="7"/>
  <c r="N18" i="7"/>
  <c r="H18" i="7"/>
  <c r="G18" i="7"/>
  <c r="E18" i="7"/>
  <c r="D18" i="7"/>
  <c r="N17" i="7"/>
  <c r="H17" i="7"/>
  <c r="G17" i="7"/>
  <c r="E17" i="7"/>
  <c r="D17" i="7"/>
  <c r="N16" i="7"/>
  <c r="H16" i="7"/>
  <c r="G16" i="7"/>
  <c r="E16" i="7"/>
  <c r="D16" i="7"/>
  <c r="P15" i="7"/>
  <c r="T15" i="7" s="1"/>
  <c r="U15" i="7" s="1"/>
  <c r="W15" i="7" s="1"/>
  <c r="N15" i="7"/>
  <c r="H15" i="7"/>
  <c r="G15" i="7"/>
  <c r="E15" i="7"/>
  <c r="D15" i="7"/>
  <c r="N14" i="7"/>
  <c r="H14" i="7"/>
  <c r="G14" i="7"/>
  <c r="E14" i="7"/>
  <c r="D14" i="7"/>
  <c r="P13" i="7"/>
  <c r="T13" i="7" s="1"/>
  <c r="U13" i="7" s="1"/>
  <c r="W13" i="7" s="1"/>
  <c r="N13" i="7"/>
  <c r="H13" i="7"/>
  <c r="G13" i="7"/>
  <c r="E13" i="7"/>
  <c r="D13" i="7"/>
  <c r="N12" i="7"/>
  <c r="H12" i="7"/>
  <c r="G12" i="7"/>
  <c r="E12" i="7"/>
  <c r="D12" i="7"/>
  <c r="N11" i="7"/>
  <c r="H11" i="7"/>
  <c r="G11" i="7"/>
  <c r="E11" i="7"/>
  <c r="D11" i="7"/>
  <c r="Q10" i="7"/>
  <c r="N10" i="7"/>
  <c r="H10" i="7"/>
  <c r="G10" i="7"/>
  <c r="E10" i="7"/>
  <c r="D10" i="7"/>
  <c r="Q9" i="7"/>
  <c r="N9" i="7"/>
  <c r="H9" i="7"/>
  <c r="G9" i="7"/>
  <c r="E9" i="7"/>
  <c r="D9" i="7"/>
  <c r="Q8" i="7"/>
  <c r="N8" i="7"/>
  <c r="H8" i="7"/>
  <c r="G8" i="7"/>
  <c r="E8" i="7"/>
  <c r="D8" i="7"/>
  <c r="Q7" i="7"/>
  <c r="N7" i="7"/>
  <c r="H7" i="7"/>
  <c r="G7" i="7"/>
  <c r="E7" i="7"/>
  <c r="D7" i="7"/>
  <c r="Q6" i="7"/>
  <c r="N6" i="7"/>
  <c r="H6" i="7"/>
  <c r="G6" i="7"/>
  <c r="E6" i="7"/>
  <c r="D6" i="7"/>
  <c r="Q5" i="7"/>
  <c r="N5" i="7"/>
  <c r="H5" i="7"/>
  <c r="G5" i="7"/>
  <c r="E5" i="7"/>
  <c r="D5" i="7"/>
  <c r="Q4" i="7"/>
  <c r="N4" i="7"/>
  <c r="P16" i="7" s="1"/>
  <c r="T16" i="7" s="1"/>
  <c r="U16" i="7" s="1"/>
  <c r="W16" i="7" s="1"/>
  <c r="H4" i="7"/>
  <c r="G4" i="7"/>
  <c r="E4" i="7"/>
  <c r="D4" i="7"/>
  <c r="P16" i="6"/>
  <c r="P15" i="6"/>
  <c r="P13" i="6"/>
  <c r="Q5" i="6"/>
  <c r="Q6" i="6"/>
  <c r="Q7" i="6"/>
  <c r="Q8" i="6"/>
  <c r="Q9" i="6"/>
  <c r="Q10" i="6"/>
  <c r="Q4" i="6"/>
  <c r="J15" i="7" l="1"/>
  <c r="J16" i="7"/>
  <c r="J20" i="7"/>
  <c r="J5" i="7"/>
  <c r="J14" i="7"/>
  <c r="J12" i="7"/>
  <c r="J18" i="7"/>
  <c r="J22" i="7"/>
  <c r="J26" i="7"/>
  <c r="J10" i="7"/>
  <c r="J4" i="7"/>
  <c r="J7" i="7"/>
  <c r="J8" i="7"/>
  <c r="J11" i="7"/>
  <c r="J17" i="7"/>
  <c r="J21" i="7"/>
  <c r="J25" i="7"/>
  <c r="J24" i="7"/>
  <c r="J6" i="7"/>
  <c r="J9" i="7"/>
  <c r="J13" i="7"/>
  <c r="J19" i="7"/>
  <c r="J23" i="7"/>
  <c r="J27" i="7"/>
  <c r="S8" i="7"/>
  <c r="S4" i="7"/>
  <c r="S7" i="7"/>
  <c r="S5" i="7"/>
  <c r="S9" i="7"/>
  <c r="S6" i="7"/>
  <c r="S10" i="7"/>
  <c r="D14" i="4"/>
  <c r="D15" i="4"/>
  <c r="D13" i="4"/>
  <c r="D13" i="1"/>
  <c r="D9" i="4"/>
  <c r="F9" i="4" s="1"/>
  <c r="G9" i="4" s="1"/>
  <c r="I9" i="4" s="1"/>
  <c r="D10" i="4"/>
  <c r="F10" i="4" s="1"/>
  <c r="G10" i="4" s="1"/>
  <c r="I10" i="4" s="1"/>
  <c r="D8" i="4"/>
  <c r="F8" i="4" s="1"/>
  <c r="G8" i="4" s="1"/>
  <c r="I8" i="4" s="1"/>
  <c r="D8" i="1"/>
  <c r="F8" i="1" s="1"/>
  <c r="G8" i="1" s="1"/>
  <c r="I8" i="1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4" i="6"/>
  <c r="N27" i="6"/>
  <c r="N26" i="6"/>
  <c r="N25" i="6"/>
  <c r="N24" i="6"/>
  <c r="N23" i="6"/>
  <c r="N22" i="6"/>
  <c r="N21" i="6"/>
  <c r="N20" i="6"/>
  <c r="N19" i="6"/>
  <c r="N18" i="6"/>
  <c r="N17" i="6"/>
  <c r="N16" i="6"/>
  <c r="T15" i="6"/>
  <c r="U15" i="6" s="1"/>
  <c r="W15" i="6" s="1"/>
  <c r="N15" i="6"/>
  <c r="N14" i="6"/>
  <c r="T13" i="6"/>
  <c r="U13" i="6" s="1"/>
  <c r="W13" i="6" s="1"/>
  <c r="N13" i="6"/>
  <c r="N12" i="6"/>
  <c r="N11" i="6"/>
  <c r="N10" i="6"/>
  <c r="N9" i="6"/>
  <c r="N8" i="6"/>
  <c r="S7" i="6"/>
  <c r="N7" i="6"/>
  <c r="N6" i="6"/>
  <c r="N5" i="6"/>
  <c r="N4" i="6"/>
  <c r="D10" i="1"/>
  <c r="F10" i="1" s="1"/>
  <c r="G10" i="1" s="1"/>
  <c r="I10" i="1" s="1"/>
  <c r="D9" i="1"/>
  <c r="F9" i="1" s="1"/>
  <c r="G9" i="1" s="1"/>
  <c r="I9" i="1" s="1"/>
  <c r="D14" i="1"/>
  <c r="D15" i="1"/>
  <c r="P14" i="7" l="1"/>
  <c r="T14" i="7" s="1"/>
  <c r="U14" i="7" s="1"/>
  <c r="W14" i="7" s="1"/>
  <c r="J8" i="6"/>
  <c r="J18" i="6"/>
  <c r="J22" i="6"/>
  <c r="J26" i="6"/>
  <c r="T16" i="6"/>
  <c r="U16" i="6" s="1"/>
  <c r="W16" i="6" s="1"/>
  <c r="J5" i="6"/>
  <c r="J13" i="6"/>
  <c r="J15" i="6"/>
  <c r="S6" i="6"/>
  <c r="S5" i="6"/>
  <c r="S9" i="6"/>
  <c r="J17" i="6"/>
  <c r="J21" i="6"/>
  <c r="J25" i="6"/>
  <c r="J4" i="6"/>
  <c r="J7" i="6"/>
  <c r="J9" i="6"/>
  <c r="S10" i="6"/>
  <c r="J19" i="6"/>
  <c r="J23" i="6"/>
  <c r="J27" i="6"/>
  <c r="S4" i="6"/>
  <c r="J10" i="6"/>
  <c r="J12" i="6"/>
  <c r="J14" i="6"/>
  <c r="J16" i="6"/>
  <c r="J20" i="6"/>
  <c r="J24" i="6"/>
  <c r="J6" i="6"/>
  <c r="S8" i="6"/>
  <c r="J11" i="6"/>
  <c r="P14" i="6" l="1"/>
  <c r="T14" i="6" s="1"/>
  <c r="U14" i="6" s="1"/>
  <c r="W14" i="6" s="1"/>
</calcChain>
</file>

<file path=xl/sharedStrings.xml><?xml version="1.0" encoding="utf-8"?>
<sst xmlns="http://schemas.openxmlformats.org/spreadsheetml/2006/main" count="207" uniqueCount="69">
  <si>
    <t>Months to operate</t>
  </si>
  <si>
    <t>Objectives</t>
  </si>
  <si>
    <t>Cost per month</t>
  </si>
  <si>
    <t>Toxins per month</t>
  </si>
  <si>
    <t>Accidents per month</t>
  </si>
  <si>
    <t>Constraints</t>
  </si>
  <si>
    <t>HG coal produced</t>
  </si>
  <si>
    <t>MG coal produced</t>
  </si>
  <si>
    <t>LG coal produced</t>
  </si>
  <si>
    <t>Wythe</t>
  </si>
  <si>
    <t>Giles</t>
  </si>
  <si>
    <t>Available</t>
  </si>
  <si>
    <t>Required</t>
  </si>
  <si>
    <t>Totals</t>
  </si>
  <si>
    <t>Target Value</t>
  </si>
  <si>
    <t>% Deviation</t>
  </si>
  <si>
    <t>Weight</t>
  </si>
  <si>
    <t>Weighted % Deviation</t>
  </si>
  <si>
    <t>Objective</t>
  </si>
  <si>
    <t>MiniMax Variable</t>
  </si>
  <si>
    <t>Blackstone Mining Co.</t>
  </si>
  <si>
    <t>Deviation</t>
  </si>
  <si>
    <t>from</t>
  </si>
  <si>
    <t>to</t>
  </si>
  <si>
    <t>cost_per_unit_shipped</t>
  </si>
  <si>
    <t>transportation_method</t>
  </si>
  <si>
    <t>congestion_level</t>
  </si>
  <si>
    <t>Diesel Rail</t>
  </si>
  <si>
    <t>Slow Steaming Cargo Ships</t>
  </si>
  <si>
    <t>Diesel Trucks</t>
  </si>
  <si>
    <t>Air Freight</t>
  </si>
  <si>
    <t>Cargo Ships (Heavy Fuel Oil)</t>
  </si>
  <si>
    <t>Electric/Hybrid Trucks</t>
  </si>
  <si>
    <t>Wind-powered Ships</t>
  </si>
  <si>
    <t>location_id</t>
  </si>
  <si>
    <t>location_name</t>
  </si>
  <si>
    <t>latitude</t>
  </si>
  <si>
    <t>longitude</t>
  </si>
  <si>
    <t>supply</t>
  </si>
  <si>
    <t>demand</t>
  </si>
  <si>
    <t>Cherry Jubilee Junction</t>
  </si>
  <si>
    <t>Coconut Cream Cove</t>
  </si>
  <si>
    <t>Fruity Gusher Geyser</t>
  </si>
  <si>
    <t>Honeycomb Highlands</t>
  </si>
  <si>
    <t>Tangerine Taffy Tropics</t>
  </si>
  <si>
    <t>Toblerone Tower</t>
  </si>
  <si>
    <t>Waffle Cone Wonderland</t>
  </si>
  <si>
    <t>Units Shipped</t>
  </si>
  <si>
    <t>Lat</t>
  </si>
  <si>
    <t>Lon</t>
  </si>
  <si>
    <t>Latitude</t>
  </si>
  <si>
    <t>Longitude</t>
  </si>
  <si>
    <t>Euclidian Distance</t>
  </si>
  <si>
    <t>Binary</t>
  </si>
  <si>
    <t>Nodes</t>
  </si>
  <si>
    <t>Inflow</t>
  </si>
  <si>
    <t>Outflow</t>
  </si>
  <si>
    <t>Netflow</t>
  </si>
  <si>
    <t>Supply/Demand</t>
  </si>
  <si>
    <t>Weighted Deviation %</t>
  </si>
  <si>
    <t>Target Values</t>
  </si>
  <si>
    <t>Minimax Variable</t>
  </si>
  <si>
    <t>Target 
Value</t>
  </si>
  <si>
    <t>%
Deviation</t>
  </si>
  <si>
    <t>Weighted % 
Deviation</t>
  </si>
  <si>
    <t>Objective Min_Max Variable</t>
  </si>
  <si>
    <t>Eco friendly 1, otherwise 0</t>
  </si>
  <si>
    <t>Sum of cost_per_unit_shipped</t>
  </si>
  <si>
    <t>Sum of congestion_level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</si>
</sst>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.0_);_(&quot;$&quot;* \(#,##0.0\);_(&quot;$&quot;* &quot;-&quot;?_);_(@_)"/>
    <numFmt numFmtId="168" formatCode="&quot;$&quot;#,##0.00"/>
    <numFmt numFmtId="169" formatCode="[$$-45C]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2" fontId="0" fillId="0" borderId="0" xfId="0" applyNumberFormat="1"/>
    <xf numFmtId="6" fontId="2" fillId="0" borderId="0" xfId="0" applyNumberFormat="1" applyFont="1"/>
    <xf numFmtId="2" fontId="2" fillId="0" borderId="0" xfId="0" applyNumberFormat="1" applyFont="1"/>
    <xf numFmtId="165" fontId="2" fillId="0" borderId="0" xfId="1" applyNumberFormat="1" applyFont="1"/>
    <xf numFmtId="1" fontId="6" fillId="3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164" fontId="0" fillId="0" borderId="0" xfId="0" applyNumberFormat="1"/>
    <xf numFmtId="167" fontId="0" fillId="0" borderId="0" xfId="0" applyNumberFormat="1"/>
    <xf numFmtId="166" fontId="3" fillId="0" borderId="0" xfId="2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6" fillId="3" borderId="0" xfId="3" applyNumberFormat="1" applyFont="1" applyFill="1" applyAlignment="1">
      <alignment horizontal="center"/>
    </xf>
    <xf numFmtId="10" fontId="0" fillId="0" borderId="0" xfId="3" applyNumberFormat="1" applyFont="1"/>
    <xf numFmtId="0" fontId="2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68" fontId="2" fillId="7" borderId="10" xfId="2" applyNumberFormat="1" applyFont="1" applyFill="1" applyBorder="1" applyAlignment="1">
      <alignment horizontal="center"/>
    </xf>
    <xf numFmtId="168" fontId="11" fillId="0" borderId="0" xfId="0" applyNumberFormat="1" applyFont="1" applyAlignment="1">
      <alignment horizontal="center"/>
    </xf>
    <xf numFmtId="10" fontId="2" fillId="0" borderId="0" xfId="3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7" borderId="18" xfId="1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10" fontId="7" fillId="3" borderId="18" xfId="3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0" fillId="0" borderId="0" xfId="0" applyNumberFormat="1"/>
    <xf numFmtId="10" fontId="0" fillId="0" borderId="0" xfId="3" applyNumberFormat="1" applyFont="1" applyAlignment="1">
      <alignment horizontal="center"/>
    </xf>
    <xf numFmtId="10" fontId="6" fillId="6" borderId="0" xfId="3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6" fontId="7" fillId="3" borderId="0" xfId="2" applyNumberFormat="1" applyFont="1" applyFill="1" applyAlignment="1">
      <alignment horizontal="right"/>
    </xf>
    <xf numFmtId="2" fontId="7" fillId="3" borderId="0" xfId="2" applyNumberFormat="1" applyFont="1" applyFill="1" applyAlignment="1">
      <alignment horizontal="right"/>
    </xf>
    <xf numFmtId="0" fontId="0" fillId="0" borderId="0" xfId="0" pivotButton="1"/>
    <xf numFmtId="2" fontId="12" fillId="6" borderId="0" xfId="3" applyNumberFormat="1" applyFont="1" applyFill="1"/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3" fillId="0" borderId="21" xfId="0" applyFont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8" fontId="2" fillId="7" borderId="19" xfId="2" applyNumberFormat="1" applyFont="1" applyFill="1" applyBorder="1" applyAlignment="1">
      <alignment horizontal="center"/>
    </xf>
    <xf numFmtId="168" fontId="2" fillId="7" borderId="5" xfId="2" applyNumberFormat="1" applyFont="1" applyFill="1" applyBorder="1" applyAlignment="1">
      <alignment horizontal="center"/>
    </xf>
    <xf numFmtId="168" fontId="2" fillId="7" borderId="6" xfId="2" applyNumberFormat="1" applyFont="1" applyFill="1" applyBorder="1" applyAlignment="1">
      <alignment horizontal="center"/>
    </xf>
    <xf numFmtId="2" fontId="2" fillId="7" borderId="19" xfId="1" applyNumberFormat="1" applyFont="1" applyFill="1" applyBorder="1" applyAlignment="1">
      <alignment horizontal="center"/>
    </xf>
    <xf numFmtId="2" fontId="2" fillId="7" borderId="5" xfId="1" applyNumberFormat="1" applyFont="1" applyFill="1" applyBorder="1" applyAlignment="1">
      <alignment horizontal="center"/>
    </xf>
    <xf numFmtId="2" fontId="2" fillId="7" borderId="6" xfId="1" applyNumberFormat="1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2" fontId="2" fillId="9" borderId="8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left"/>
    </xf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2" fontId="2" fillId="9" borderId="13" xfId="0" applyNumberFormat="1" applyFont="1" applyFill="1" applyBorder="1" applyAlignment="1">
      <alignment horizontal="center"/>
    </xf>
    <xf numFmtId="0" fontId="0" fillId="9" borderId="13" xfId="0" applyFill="1" applyBorder="1" applyAlignment="1">
      <alignment horizontal="left"/>
    </xf>
    <xf numFmtId="0" fontId="2" fillId="9" borderId="14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2" fontId="2" fillId="9" borderId="16" xfId="0" applyNumberFormat="1" applyFont="1" applyFill="1" applyBorder="1" applyAlignment="1">
      <alignment horizontal="center"/>
    </xf>
    <xf numFmtId="0" fontId="0" fillId="9" borderId="16" xfId="0" applyFill="1" applyBorder="1" applyAlignment="1">
      <alignment horizontal="left"/>
    </xf>
    <xf numFmtId="0" fontId="2" fillId="9" borderId="1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[MOLP Excel.xlsx]Sheet2!PivotTable9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Sum of cost_per_unit_shipped by transportation_method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Air Freight</c:v>
                </c:pt>
                <c:pt idx="1">
                  <c:v>Cargo Ships (Heavy Fuel Oil)</c:v>
                </c:pt>
                <c:pt idx="2">
                  <c:v>Diesel Rail</c:v>
                </c:pt>
                <c:pt idx="3">
                  <c:v>Diesel Trucks</c:v>
                </c:pt>
                <c:pt idx="4">
                  <c:v>Electric/Hybrid Trucks</c:v>
                </c:pt>
                <c:pt idx="5">
                  <c:v>Slow Steaming Cargo Ships</c:v>
                </c:pt>
                <c:pt idx="6">
                  <c:v>Wind-powered Ships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79</c:v>
                </c:pt>
                <c:pt idx="1">
                  <c:v>80</c:v>
                </c:pt>
                <c:pt idx="2">
                  <c:v>70</c:v>
                </c:pt>
                <c:pt idx="3">
                  <c:v>54</c:v>
                </c:pt>
                <c:pt idx="4">
                  <c:v>56</c:v>
                </c:pt>
                <c:pt idx="5">
                  <c:v>34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8-4BA4-A641-8E693C11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9988960"/>
        <c:axId val="1620013440"/>
      </c:barChart>
      <c:catAx>
        <c:axId val="161998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3440"/>
        <c:crosses val="autoZero"/>
        <c:auto val="1"/>
        <c:lblAlgn val="ctr"/>
        <c:lblOffset val="100"/>
        <c:noMultiLvlLbl val="0"/>
      </c:catAx>
      <c:valAx>
        <c:axId val="16200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[MOLP Excel.xlsx]Sheet3!PivotTable14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Sum of congestion_level by transportation_method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7"/>
                <c:pt idx="0">
                  <c:v>Air Freight</c:v>
                </c:pt>
                <c:pt idx="1">
                  <c:v>Cargo Ships (Heavy Fuel Oil)</c:v>
                </c:pt>
                <c:pt idx="2">
                  <c:v>Diesel Rail</c:v>
                </c:pt>
                <c:pt idx="3">
                  <c:v>Diesel Trucks</c:v>
                </c:pt>
                <c:pt idx="4">
                  <c:v>Electric/Hybrid Trucks</c:v>
                </c:pt>
                <c:pt idx="5">
                  <c:v>Slow Steaming Cargo Ships</c:v>
                </c:pt>
                <c:pt idx="6">
                  <c:v>Wind-powered Ships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7"/>
                <c:pt idx="0">
                  <c:v>407</c:v>
                </c:pt>
                <c:pt idx="1">
                  <c:v>386</c:v>
                </c:pt>
                <c:pt idx="2">
                  <c:v>356</c:v>
                </c:pt>
                <c:pt idx="3">
                  <c:v>332</c:v>
                </c:pt>
                <c:pt idx="4">
                  <c:v>276</c:v>
                </c:pt>
                <c:pt idx="5">
                  <c:v>120</c:v>
                </c:pt>
                <c:pt idx="6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B-4699-9B10-17A4D26587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20011520"/>
        <c:axId val="1619989440"/>
      </c:barChart>
      <c:catAx>
        <c:axId val="162001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89440"/>
        <c:crosses val="autoZero"/>
        <c:auto val="1"/>
        <c:lblAlgn val="ctr"/>
        <c:lblOffset val="100"/>
        <c:noMultiLvlLbl val="0"/>
      </c:catAx>
      <c:valAx>
        <c:axId val="16199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[MOLP Excel.xlsx]Sheet2!PivotTable9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Sum of cost_per_unit_shipped by transportation_method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Air Freight</c:v>
                </c:pt>
                <c:pt idx="1">
                  <c:v>Cargo Ships (Heavy Fuel Oil)</c:v>
                </c:pt>
                <c:pt idx="2">
                  <c:v>Diesel Rail</c:v>
                </c:pt>
                <c:pt idx="3">
                  <c:v>Diesel Trucks</c:v>
                </c:pt>
                <c:pt idx="4">
                  <c:v>Electric/Hybrid Trucks</c:v>
                </c:pt>
                <c:pt idx="5">
                  <c:v>Slow Steaming Cargo Ships</c:v>
                </c:pt>
                <c:pt idx="6">
                  <c:v>Wind-powered Ships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79</c:v>
                </c:pt>
                <c:pt idx="1">
                  <c:v>80</c:v>
                </c:pt>
                <c:pt idx="2">
                  <c:v>70</c:v>
                </c:pt>
                <c:pt idx="3">
                  <c:v>54</c:v>
                </c:pt>
                <c:pt idx="4">
                  <c:v>56</c:v>
                </c:pt>
                <c:pt idx="5">
                  <c:v>34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5-4FF8-8474-F2E1349292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9988960"/>
        <c:axId val="1620013440"/>
      </c:barChart>
      <c:catAx>
        <c:axId val="161998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3440"/>
        <c:crosses val="autoZero"/>
        <c:auto val="1"/>
        <c:lblAlgn val="ctr"/>
        <c:lblOffset val="100"/>
        <c:noMultiLvlLbl val="0"/>
      </c:catAx>
      <c:valAx>
        <c:axId val="16200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[MOLP Excel.xlsx]Sheet3!PivotTable14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Sum of congestion_level by transportation_method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7"/>
                <c:pt idx="0">
                  <c:v>Air Freight</c:v>
                </c:pt>
                <c:pt idx="1">
                  <c:v>Cargo Ships (Heavy Fuel Oil)</c:v>
                </c:pt>
                <c:pt idx="2">
                  <c:v>Diesel Rail</c:v>
                </c:pt>
                <c:pt idx="3">
                  <c:v>Diesel Trucks</c:v>
                </c:pt>
                <c:pt idx="4">
                  <c:v>Electric/Hybrid Trucks</c:v>
                </c:pt>
                <c:pt idx="5">
                  <c:v>Slow Steaming Cargo Ships</c:v>
                </c:pt>
                <c:pt idx="6">
                  <c:v>Wind-powered Ships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7"/>
                <c:pt idx="0">
                  <c:v>407</c:v>
                </c:pt>
                <c:pt idx="1">
                  <c:v>386</c:v>
                </c:pt>
                <c:pt idx="2">
                  <c:v>356</c:v>
                </c:pt>
                <c:pt idx="3">
                  <c:v>332</c:v>
                </c:pt>
                <c:pt idx="4">
                  <c:v>276</c:v>
                </c:pt>
                <c:pt idx="5">
                  <c:v>120</c:v>
                </c:pt>
                <c:pt idx="6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F-44C5-B868-D9115F6DAF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20011520"/>
        <c:axId val="1619989440"/>
      </c:barChart>
      <c:catAx>
        <c:axId val="162001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89440"/>
        <c:crosses val="autoZero"/>
        <c:auto val="1"/>
        <c:lblAlgn val="ctr"/>
        <c:lblOffset val="100"/>
        <c:noMultiLvlLbl val="0"/>
      </c:catAx>
      <c:valAx>
        <c:axId val="16199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Supply/Demand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Data!$I$4:$I$10</c:f>
              <c:strCache>
                <c:ptCount val="7"/>
                <c:pt idx="0">
                  <c:v>Cherry Jubilee Junction</c:v>
                </c:pt>
                <c:pt idx="1">
                  <c:v>Coconut Cream Cove</c:v>
                </c:pt>
                <c:pt idx="2">
                  <c:v>Fruity Gusher Geyser</c:v>
                </c:pt>
                <c:pt idx="3">
                  <c:v>Honeycomb Highlands</c:v>
                </c:pt>
                <c:pt idx="4">
                  <c:v>Tangerine Taffy Tropics</c:v>
                </c:pt>
                <c:pt idx="5">
                  <c:v>Toblerone Tower</c:v>
                </c:pt>
                <c:pt idx="6">
                  <c:v>Waffle Cone Wonderland</c:v>
                </c:pt>
              </c:strCache>
            </c:strRef>
          </c:cat>
          <c:val>
            <c:numRef>
              <c:f>Data!$M$4:$M$10</c:f>
              <c:numCache>
                <c:formatCode>General</c:formatCode>
                <c:ptCount val="7"/>
                <c:pt idx="0">
                  <c:v>-9160</c:v>
                </c:pt>
                <c:pt idx="1">
                  <c:v>1321</c:v>
                </c:pt>
                <c:pt idx="2">
                  <c:v>1568</c:v>
                </c:pt>
                <c:pt idx="3">
                  <c:v>1752</c:v>
                </c:pt>
                <c:pt idx="4">
                  <c:v>1278</c:v>
                </c:pt>
                <c:pt idx="5">
                  <c:v>1969</c:v>
                </c:pt>
                <c:pt idx="6">
                  <c:v>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A-4D45-836D-FAA30DE1C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20010080"/>
        <c:axId val="1620005280"/>
      </c:barChart>
      <c:catAx>
        <c:axId val="16200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05280"/>
        <c:crosses val="autoZero"/>
        <c:auto val="1"/>
        <c:lblAlgn val="ctr"/>
        <c:lblOffset val="100"/>
        <c:noMultiLvlLbl val="0"/>
      </c:catAx>
      <c:valAx>
        <c:axId val="16200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Supply/Demand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Data!$Q$4:$Q$5</c:f>
              <c:strCache>
                <c:ptCount val="2"/>
                <c:pt idx="0">
                  <c:v>Cherry Jubilee Junction</c:v>
                </c:pt>
                <c:pt idx="1">
                  <c:v>Coconut Cream Cove</c:v>
                </c:pt>
              </c:strCache>
            </c:strRef>
          </c:cat>
          <c:val>
            <c:numRef>
              <c:f>Data!$P$4:$P$5</c:f>
              <c:numCache>
                <c:formatCode>General</c:formatCode>
                <c:ptCount val="2"/>
                <c:pt idx="0">
                  <c:v>9060</c:v>
                </c:pt>
                <c:pt idx="1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8-48B5-B396-A212E8F7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681280"/>
        <c:axId val="1485663040"/>
      </c:barChart>
      <c:catAx>
        <c:axId val="14856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63040"/>
        <c:crosses val="autoZero"/>
        <c:auto val="1"/>
        <c:lblAlgn val="ctr"/>
        <c:lblOffset val="100"/>
        <c:noMultiLvlLbl val="0"/>
      </c:catAx>
      <c:valAx>
        <c:axId val="14856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6</xdr:row>
      <xdr:rowOff>33337</xdr:rowOff>
    </xdr:from>
    <xdr:to>
      <xdr:col>10</xdr:col>
      <xdr:colOff>38100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4110E-1602-6F3A-36AE-EFCD79DE7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6</xdr:row>
      <xdr:rowOff>33337</xdr:rowOff>
    </xdr:from>
    <xdr:to>
      <xdr:col>7</xdr:col>
      <xdr:colOff>542925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C8DEE-9DFF-4900-544A-E57233612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28</xdr:row>
      <xdr:rowOff>57150</xdr:rowOff>
    </xdr:from>
    <xdr:to>
      <xdr:col>11</xdr:col>
      <xdr:colOff>609600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86CB9-08FB-4C6B-8567-2A3F687B8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28</xdr:row>
      <xdr:rowOff>38100</xdr:rowOff>
    </xdr:from>
    <xdr:to>
      <xdr:col>6</xdr:col>
      <xdr:colOff>57150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5B821-2875-4E97-AEC8-8C42B60B0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11</xdr:row>
      <xdr:rowOff>4762</xdr:rowOff>
    </xdr:from>
    <xdr:to>
      <xdr:col>12</xdr:col>
      <xdr:colOff>695325</xdr:colOff>
      <xdr:row>25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F733F4-56B6-CA5C-B44C-CF3E18798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15</xdr:row>
      <xdr:rowOff>23812</xdr:rowOff>
    </xdr:from>
    <xdr:to>
      <xdr:col>18</xdr:col>
      <xdr:colOff>57150</xdr:colOff>
      <xdr:row>29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B55CC1-CE33-75C5-9AC8-52D7031C7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73.399764236114" createdVersion="8" refreshedVersion="8" minRefreshableVersion="3" recordCount="24" xr:uid="{FEEF04CF-F7FB-4B89-98AC-EA0E712B8D33}">
  <cacheSource type="worksheet">
    <worksheetSource ref="A1:E25" sheet="Data"/>
  </cacheSource>
  <cacheFields count="5">
    <cacheField name="from" numFmtId="0">
      <sharedItems containsSemiMixedTypes="0" containsString="0" containsNumber="1" containsInteger="1" minValue="1" maxValue="7"/>
    </cacheField>
    <cacheField name="to" numFmtId="0">
      <sharedItems containsSemiMixedTypes="0" containsString="0" containsNumber="1" containsInteger="1" minValue="1" maxValue="7"/>
    </cacheField>
    <cacheField name="cost_per_unit_shipped" numFmtId="0">
      <sharedItems containsSemiMixedTypes="0" containsString="0" containsNumber="1" containsInteger="1" minValue="5" maxValue="23"/>
    </cacheField>
    <cacheField name="transportation_method" numFmtId="0">
      <sharedItems count="7">
        <s v="Diesel Rail"/>
        <s v="Slow Steaming Cargo Ships"/>
        <s v="Diesel Trucks"/>
        <s v="Air Freight"/>
        <s v="Cargo Ships (Heavy Fuel Oil)"/>
        <s v="Electric/Hybrid Trucks"/>
        <s v="Wind-powered Ships"/>
      </sharedItems>
    </cacheField>
    <cacheField name="congestion_level" numFmtId="0">
      <sharedItems containsSemiMixedTypes="0" containsString="0" containsNumber="1" containsInteger="1" minValue="29" maxValue="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73.401147453704" createdVersion="8" refreshedVersion="8" minRefreshableVersion="3" recordCount="24" xr:uid="{FB4EC796-DA2E-4ED6-B1EC-BA02A25DCE78}">
  <cacheSource type="worksheet">
    <worksheetSource ref="A1:E25" sheet="Data"/>
  </cacheSource>
  <cacheFields count="5">
    <cacheField name="from" numFmtId="0">
      <sharedItems containsSemiMixedTypes="0" containsString="0" containsNumber="1" containsInteger="1" minValue="1" maxValue="7"/>
    </cacheField>
    <cacheField name="to" numFmtId="0">
      <sharedItems containsSemiMixedTypes="0" containsString="0" containsNumber="1" containsInteger="1" minValue="1" maxValue="7"/>
    </cacheField>
    <cacheField name="cost_per_unit_shipped" numFmtId="0">
      <sharedItems containsSemiMixedTypes="0" containsString="0" containsNumber="1" containsInteger="1" minValue="5" maxValue="23"/>
    </cacheField>
    <cacheField name="transportation_method" numFmtId="0">
      <sharedItems count="7">
        <s v="Diesel Rail"/>
        <s v="Slow Steaming Cargo Ships"/>
        <s v="Diesel Trucks"/>
        <s v="Air Freight"/>
        <s v="Cargo Ships (Heavy Fuel Oil)"/>
        <s v="Electric/Hybrid Trucks"/>
        <s v="Wind-powered Ships"/>
      </sharedItems>
    </cacheField>
    <cacheField name="congestion_level" numFmtId="0">
      <sharedItems containsSemiMixedTypes="0" containsString="0" containsNumber="1" containsInteger="1" minValue="29" maxValue="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n v="2"/>
    <n v="8"/>
    <x v="0"/>
    <n v="93"/>
  </r>
  <r>
    <n v="1"/>
    <n v="4"/>
    <n v="11"/>
    <x v="1"/>
    <n v="32"/>
  </r>
  <r>
    <n v="1"/>
    <n v="5"/>
    <n v="18"/>
    <x v="2"/>
    <n v="90"/>
  </r>
  <r>
    <n v="1"/>
    <n v="6"/>
    <n v="14"/>
    <x v="2"/>
    <n v="70"/>
  </r>
  <r>
    <n v="1"/>
    <n v="7"/>
    <n v="22"/>
    <x v="0"/>
    <n v="87"/>
  </r>
  <r>
    <n v="2"/>
    <n v="3"/>
    <n v="21"/>
    <x v="3"/>
    <n v="90"/>
  </r>
  <r>
    <n v="2"/>
    <n v="5"/>
    <n v="22"/>
    <x v="3"/>
    <n v="88"/>
  </r>
  <r>
    <n v="3"/>
    <n v="1"/>
    <n v="5"/>
    <x v="2"/>
    <n v="90"/>
  </r>
  <r>
    <n v="3"/>
    <n v="2"/>
    <n v="20"/>
    <x v="0"/>
    <n v="79"/>
  </r>
  <r>
    <n v="3"/>
    <n v="4"/>
    <n v="23"/>
    <x v="1"/>
    <n v="88"/>
  </r>
  <r>
    <n v="3"/>
    <n v="6"/>
    <n v="9"/>
    <x v="4"/>
    <n v="29"/>
  </r>
  <r>
    <n v="3"/>
    <n v="7"/>
    <n v="10"/>
    <x v="3"/>
    <n v="84"/>
  </r>
  <r>
    <n v="4"/>
    <n v="1"/>
    <n v="18"/>
    <x v="5"/>
    <n v="109"/>
  </r>
  <r>
    <n v="4"/>
    <n v="2"/>
    <n v="8"/>
    <x v="3"/>
    <n v="30"/>
  </r>
  <r>
    <n v="4"/>
    <n v="6"/>
    <n v="18"/>
    <x v="3"/>
    <n v="115"/>
  </r>
  <r>
    <n v="4"/>
    <n v="7"/>
    <n v="7"/>
    <x v="6"/>
    <n v="95"/>
  </r>
  <r>
    <n v="5"/>
    <n v="1"/>
    <n v="14"/>
    <x v="4"/>
    <n v="88"/>
  </r>
  <r>
    <n v="5"/>
    <n v="6"/>
    <n v="23"/>
    <x v="4"/>
    <n v="85"/>
  </r>
  <r>
    <n v="6"/>
    <n v="1"/>
    <n v="22"/>
    <x v="5"/>
    <n v="75"/>
  </r>
  <r>
    <n v="6"/>
    <n v="5"/>
    <n v="21"/>
    <x v="4"/>
    <n v="83"/>
  </r>
  <r>
    <n v="7"/>
    <n v="1"/>
    <n v="20"/>
    <x v="0"/>
    <n v="97"/>
  </r>
  <r>
    <n v="7"/>
    <n v="3"/>
    <n v="17"/>
    <x v="2"/>
    <n v="82"/>
  </r>
  <r>
    <n v="7"/>
    <n v="4"/>
    <n v="13"/>
    <x v="4"/>
    <n v="101"/>
  </r>
  <r>
    <n v="7"/>
    <n v="6"/>
    <n v="16"/>
    <x v="5"/>
    <n v="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n v="2"/>
    <n v="8"/>
    <x v="0"/>
    <n v="93"/>
  </r>
  <r>
    <n v="1"/>
    <n v="4"/>
    <n v="11"/>
    <x v="1"/>
    <n v="32"/>
  </r>
  <r>
    <n v="1"/>
    <n v="5"/>
    <n v="18"/>
    <x v="2"/>
    <n v="90"/>
  </r>
  <r>
    <n v="1"/>
    <n v="6"/>
    <n v="14"/>
    <x v="2"/>
    <n v="70"/>
  </r>
  <r>
    <n v="1"/>
    <n v="7"/>
    <n v="22"/>
    <x v="0"/>
    <n v="87"/>
  </r>
  <r>
    <n v="2"/>
    <n v="3"/>
    <n v="21"/>
    <x v="3"/>
    <n v="90"/>
  </r>
  <r>
    <n v="2"/>
    <n v="5"/>
    <n v="22"/>
    <x v="3"/>
    <n v="88"/>
  </r>
  <r>
    <n v="3"/>
    <n v="1"/>
    <n v="5"/>
    <x v="2"/>
    <n v="90"/>
  </r>
  <r>
    <n v="3"/>
    <n v="2"/>
    <n v="20"/>
    <x v="0"/>
    <n v="79"/>
  </r>
  <r>
    <n v="3"/>
    <n v="4"/>
    <n v="23"/>
    <x v="1"/>
    <n v="88"/>
  </r>
  <r>
    <n v="3"/>
    <n v="6"/>
    <n v="9"/>
    <x v="4"/>
    <n v="29"/>
  </r>
  <r>
    <n v="3"/>
    <n v="7"/>
    <n v="10"/>
    <x v="3"/>
    <n v="84"/>
  </r>
  <r>
    <n v="4"/>
    <n v="1"/>
    <n v="18"/>
    <x v="5"/>
    <n v="109"/>
  </r>
  <r>
    <n v="4"/>
    <n v="2"/>
    <n v="8"/>
    <x v="3"/>
    <n v="30"/>
  </r>
  <r>
    <n v="4"/>
    <n v="6"/>
    <n v="18"/>
    <x v="3"/>
    <n v="115"/>
  </r>
  <r>
    <n v="4"/>
    <n v="7"/>
    <n v="7"/>
    <x v="6"/>
    <n v="95"/>
  </r>
  <r>
    <n v="5"/>
    <n v="1"/>
    <n v="14"/>
    <x v="4"/>
    <n v="88"/>
  </r>
  <r>
    <n v="5"/>
    <n v="6"/>
    <n v="23"/>
    <x v="4"/>
    <n v="85"/>
  </r>
  <r>
    <n v="6"/>
    <n v="1"/>
    <n v="22"/>
    <x v="5"/>
    <n v="75"/>
  </r>
  <r>
    <n v="6"/>
    <n v="5"/>
    <n v="21"/>
    <x v="4"/>
    <n v="83"/>
  </r>
  <r>
    <n v="7"/>
    <n v="1"/>
    <n v="20"/>
    <x v="0"/>
    <n v="97"/>
  </r>
  <r>
    <n v="7"/>
    <n v="3"/>
    <n v="17"/>
    <x v="2"/>
    <n v="82"/>
  </r>
  <r>
    <n v="7"/>
    <n v="4"/>
    <n v="13"/>
    <x v="4"/>
    <n v="101"/>
  </r>
  <r>
    <n v="7"/>
    <n v="6"/>
    <n v="16"/>
    <x v="5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944FA-C989-46CA-9581-A087FF8169B3}" name="PivotTable9" cacheId="4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0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3"/>
        <item x="4"/>
        <item x="0"/>
        <item x="2"/>
        <item x="5"/>
        <item x="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cost_per_unit_shippe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703C0-DDF2-4312-9D62-13C0F6A969F3}" name="PivotTable14" cacheId="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0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3"/>
        <item x="4"/>
        <item x="0"/>
        <item x="2"/>
        <item x="5"/>
        <item x="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congestion_level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7419-EE53-4FFB-8490-FEA5CC19C1B8}">
  <dimension ref="A2:I18"/>
  <sheetViews>
    <sheetView topLeftCell="A4" zoomScale="120" zoomScaleNormal="120" workbookViewId="0">
      <selection activeCell="C6" sqref="C6"/>
    </sheetView>
  </sheetViews>
  <sheetFormatPr baseColWidth="10" defaultColWidth="8.83203125" defaultRowHeight="15" x14ac:dyDescent="0.2"/>
  <cols>
    <col min="1" max="1" width="27.5" bestFit="1" customWidth="1"/>
    <col min="2" max="2" width="9" bestFit="1" customWidth="1"/>
    <col min="3" max="3" width="9.5" bestFit="1" customWidth="1"/>
    <col min="4" max="4" width="11.33203125" bestFit="1" customWidth="1"/>
    <col min="5" max="6" width="9.83203125" bestFit="1" customWidth="1"/>
    <col min="9" max="9" width="11.5" customWidth="1"/>
  </cols>
  <sheetData>
    <row r="2" spans="1:9" x14ac:dyDescent="0.2">
      <c r="B2" s="54" t="s">
        <v>20</v>
      </c>
      <c r="C2" s="54"/>
      <c r="D2" s="54"/>
      <c r="E2" s="54"/>
      <c r="F2" s="54"/>
    </row>
    <row r="3" spans="1:9" x14ac:dyDescent="0.2">
      <c r="B3" s="54"/>
      <c r="C3" s="54"/>
      <c r="D3" s="54"/>
      <c r="E3" s="54"/>
      <c r="F3" s="54"/>
    </row>
    <row r="4" spans="1:9" x14ac:dyDescent="0.2">
      <c r="B4" s="4" t="s">
        <v>9</v>
      </c>
      <c r="C4" s="4" t="s">
        <v>10</v>
      </c>
    </row>
    <row r="5" spans="1:9" x14ac:dyDescent="0.2">
      <c r="A5" s="3" t="s">
        <v>0</v>
      </c>
      <c r="B5" s="2">
        <v>4.2300000000000004</v>
      </c>
      <c r="C5" s="2">
        <v>2.88</v>
      </c>
    </row>
    <row r="6" spans="1:9" x14ac:dyDescent="0.2">
      <c r="A6" s="3"/>
      <c r="E6" s="55" t="s">
        <v>62</v>
      </c>
      <c r="G6" s="57" t="s">
        <v>63</v>
      </c>
      <c r="I6" s="57" t="s">
        <v>64</v>
      </c>
    </row>
    <row r="7" spans="1:9" x14ac:dyDescent="0.2">
      <c r="A7" s="3" t="s">
        <v>1</v>
      </c>
      <c r="D7" s="4" t="s">
        <v>13</v>
      </c>
      <c r="E7" s="56"/>
      <c r="F7" t="s">
        <v>21</v>
      </c>
      <c r="G7" s="58"/>
      <c r="H7" t="s">
        <v>16</v>
      </c>
      <c r="I7" s="58"/>
    </row>
    <row r="8" spans="1:9" x14ac:dyDescent="0.2">
      <c r="A8" s="5" t="s">
        <v>2</v>
      </c>
      <c r="B8" s="7">
        <v>40</v>
      </c>
      <c r="C8" s="7">
        <v>32</v>
      </c>
      <c r="D8" s="50">
        <f>SUMPRODUCT($B$5:$C$5,B8:C8)</f>
        <v>261.36</v>
      </c>
      <c r="E8" s="45">
        <v>244</v>
      </c>
      <c r="F8" s="46">
        <f>D8-E8</f>
        <v>17.360000000000014</v>
      </c>
      <c r="G8" s="47">
        <f>F8/E8</f>
        <v>7.1147540983606608E-2</v>
      </c>
      <c r="H8">
        <v>1</v>
      </c>
      <c r="I8" s="48">
        <f>G8*H8</f>
        <v>7.1147540983606608E-2</v>
      </c>
    </row>
    <row r="9" spans="1:9" x14ac:dyDescent="0.2">
      <c r="A9" s="5" t="s">
        <v>3</v>
      </c>
      <c r="B9" s="9">
        <v>800</v>
      </c>
      <c r="C9" s="9">
        <v>1250</v>
      </c>
      <c r="D9" s="51">
        <f t="shared" ref="D9:D10" si="0">SUMPRODUCT($B$5:$C$5,B9:C9)</f>
        <v>6984</v>
      </c>
      <c r="E9" s="49">
        <v>6950</v>
      </c>
      <c r="F9" s="6">
        <f t="shared" ref="F9:F10" si="1">D9-E9</f>
        <v>34</v>
      </c>
      <c r="G9" s="47">
        <f t="shared" ref="G9:G10" si="2">F9/E9</f>
        <v>4.8920863309352518E-3</v>
      </c>
      <c r="H9">
        <v>1</v>
      </c>
      <c r="I9" s="48">
        <f t="shared" ref="I9:I10" si="3">G9*H9</f>
        <v>4.8920863309352518E-3</v>
      </c>
    </row>
    <row r="10" spans="1:9" x14ac:dyDescent="0.2">
      <c r="A10" s="5" t="s">
        <v>4</v>
      </c>
      <c r="B10" s="8">
        <v>0.2</v>
      </c>
      <c r="C10" s="3">
        <v>0.45</v>
      </c>
      <c r="D10" s="51">
        <f t="shared" si="0"/>
        <v>2.1420000000000003</v>
      </c>
      <c r="E10" s="49">
        <v>2</v>
      </c>
      <c r="F10" s="6">
        <f t="shared" si="1"/>
        <v>0.14200000000000035</v>
      </c>
      <c r="G10" s="47">
        <f t="shared" si="2"/>
        <v>7.1000000000000174E-2</v>
      </c>
      <c r="H10">
        <v>1</v>
      </c>
      <c r="I10" s="48">
        <f t="shared" si="3"/>
        <v>7.1000000000000174E-2</v>
      </c>
    </row>
    <row r="11" spans="1:9" x14ac:dyDescent="0.2">
      <c r="A11" s="3"/>
    </row>
    <row r="12" spans="1:9" x14ac:dyDescent="0.2">
      <c r="A12" s="3" t="s">
        <v>5</v>
      </c>
      <c r="D12" s="4" t="s">
        <v>11</v>
      </c>
      <c r="E12" s="4" t="s">
        <v>12</v>
      </c>
    </row>
    <row r="13" spans="1:9" x14ac:dyDescent="0.2">
      <c r="A13" s="5" t="s">
        <v>6</v>
      </c>
      <c r="B13">
        <v>12</v>
      </c>
      <c r="C13">
        <v>4</v>
      </c>
      <c r="D13" s="10">
        <f>SUMPRODUCT($B$5:$C$5,B13:C13)</f>
        <v>62.28</v>
      </c>
      <c r="E13" s="4">
        <v>48</v>
      </c>
    </row>
    <row r="14" spans="1:9" x14ac:dyDescent="0.2">
      <c r="A14" s="5" t="s">
        <v>7</v>
      </c>
      <c r="B14">
        <v>4</v>
      </c>
      <c r="C14">
        <v>4</v>
      </c>
      <c r="D14" s="10">
        <f t="shared" ref="D14:D15" si="4">SUMPRODUCT($B$5:$C$5,B14:C14)</f>
        <v>28.44</v>
      </c>
      <c r="E14" s="4">
        <v>28</v>
      </c>
    </row>
    <row r="15" spans="1:9" x14ac:dyDescent="0.2">
      <c r="A15" s="5" t="s">
        <v>8</v>
      </c>
      <c r="B15">
        <v>10</v>
      </c>
      <c r="C15">
        <v>20</v>
      </c>
      <c r="D15" s="10">
        <f t="shared" si="4"/>
        <v>99.9</v>
      </c>
      <c r="E15" s="4">
        <v>100</v>
      </c>
    </row>
    <row r="18" spans="1:2" x14ac:dyDescent="0.2">
      <c r="A18" s="5" t="s">
        <v>65</v>
      </c>
      <c r="B18" s="53">
        <v>7.0000000000000007E-2</v>
      </c>
    </row>
  </sheetData>
  <mergeCells count="4">
    <mergeCell ref="B2:F3"/>
    <mergeCell ref="E6:E7"/>
    <mergeCell ref="G6:G7"/>
    <mergeCell ref="I6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2869-6CA2-4209-A58E-388315AB8333}">
  <dimension ref="A2:I18"/>
  <sheetViews>
    <sheetView zoomScale="120" zoomScaleNormal="120" workbookViewId="0">
      <selection activeCell="B18" sqref="B18"/>
    </sheetView>
  </sheetViews>
  <sheetFormatPr baseColWidth="10" defaultColWidth="8.83203125" defaultRowHeight="15" x14ac:dyDescent="0.2"/>
  <cols>
    <col min="1" max="1" width="20.5" bestFit="1" customWidth="1"/>
    <col min="2" max="2" width="9" bestFit="1" customWidth="1"/>
    <col min="3" max="3" width="9.5" bestFit="1" customWidth="1"/>
    <col min="9" max="9" width="11.5" customWidth="1"/>
  </cols>
  <sheetData>
    <row r="2" spans="1:9" x14ac:dyDescent="0.2">
      <c r="B2" s="54" t="s">
        <v>20</v>
      </c>
      <c r="C2" s="54"/>
      <c r="D2" s="54"/>
      <c r="E2" s="54"/>
      <c r="F2" s="54"/>
    </row>
    <row r="3" spans="1:9" x14ac:dyDescent="0.2">
      <c r="B3" s="54"/>
      <c r="C3" s="54"/>
      <c r="D3" s="54"/>
      <c r="E3" s="54"/>
      <c r="F3" s="54"/>
    </row>
    <row r="4" spans="1:9" x14ac:dyDescent="0.2">
      <c r="B4" s="4" t="s">
        <v>9</v>
      </c>
      <c r="C4" s="4" t="s">
        <v>10</v>
      </c>
    </row>
    <row r="5" spans="1:9" x14ac:dyDescent="0.2">
      <c r="A5" s="3" t="s">
        <v>0</v>
      </c>
      <c r="B5" s="2">
        <v>4.232902033271718</v>
      </c>
      <c r="C5" s="2">
        <v>2.8835489833641414</v>
      </c>
    </row>
    <row r="6" spans="1:9" x14ac:dyDescent="0.2">
      <c r="A6" s="3"/>
      <c r="E6" s="55" t="s">
        <v>14</v>
      </c>
      <c r="F6" s="59" t="s">
        <v>21</v>
      </c>
      <c r="G6" s="55" t="s">
        <v>15</v>
      </c>
      <c r="I6" s="55" t="s">
        <v>17</v>
      </c>
    </row>
    <row r="7" spans="1:9" x14ac:dyDescent="0.2">
      <c r="A7" s="3" t="s">
        <v>1</v>
      </c>
      <c r="D7" s="4" t="s">
        <v>13</v>
      </c>
      <c r="E7" s="55"/>
      <c r="F7" s="59"/>
      <c r="G7" s="55"/>
      <c r="H7" s="4" t="s">
        <v>16</v>
      </c>
      <c r="I7" s="55"/>
    </row>
    <row r="8" spans="1:9" x14ac:dyDescent="0.2">
      <c r="A8" s="5" t="s">
        <v>2</v>
      </c>
      <c r="B8" s="7">
        <v>40</v>
      </c>
      <c r="C8" s="7">
        <v>32</v>
      </c>
      <c r="D8" s="14">
        <f>SUMPRODUCT($B$5:$C$5,B8:C8)</f>
        <v>261.58964879852124</v>
      </c>
      <c r="E8" s="4">
        <v>244</v>
      </c>
      <c r="F8" s="13">
        <f>D8-E8</f>
        <v>17.589648798521239</v>
      </c>
      <c r="G8" s="18">
        <f>F8/E8</f>
        <v>7.2088724584103439E-2</v>
      </c>
      <c r="H8" s="1">
        <v>1</v>
      </c>
      <c r="I8" s="17">
        <f>H8*G8</f>
        <v>7.2088724584103439E-2</v>
      </c>
    </row>
    <row r="9" spans="1:9" x14ac:dyDescent="0.2">
      <c r="A9" s="5" t="s">
        <v>3</v>
      </c>
      <c r="B9" s="9">
        <v>800</v>
      </c>
      <c r="C9" s="9">
        <v>1250</v>
      </c>
      <c r="D9" s="15">
        <f t="shared" ref="D9:D10" si="0">SUMPRODUCT($B$5:$C$5,B9:C9)</f>
        <v>6990.7578558225514</v>
      </c>
      <c r="E9" s="4">
        <v>6950</v>
      </c>
      <c r="F9" s="12">
        <f>D9-E9</f>
        <v>40.757855822551392</v>
      </c>
      <c r="G9" s="18">
        <f t="shared" ref="G9:G10" si="1">F9/E9</f>
        <v>5.8644396866980421E-3</v>
      </c>
      <c r="H9" s="1">
        <v>1</v>
      </c>
      <c r="I9" s="17">
        <f t="shared" ref="I9:I10" si="2">H9*G9</f>
        <v>5.8644396866980421E-3</v>
      </c>
    </row>
    <row r="10" spans="1:9" x14ac:dyDescent="0.2">
      <c r="A10" s="5" t="s">
        <v>4</v>
      </c>
      <c r="B10" s="8">
        <v>0.2</v>
      </c>
      <c r="C10" s="3">
        <v>0.45</v>
      </c>
      <c r="D10" s="16">
        <f t="shared" si="0"/>
        <v>2.1441774491682075</v>
      </c>
      <c r="E10" s="4">
        <v>2</v>
      </c>
      <c r="F10" s="6">
        <f>D10-E10</f>
        <v>0.14417744916820752</v>
      </c>
      <c r="G10" s="18">
        <f t="shared" si="1"/>
        <v>7.2088724584103758E-2</v>
      </c>
      <c r="H10" s="1">
        <v>1</v>
      </c>
      <c r="I10" s="17">
        <f t="shared" si="2"/>
        <v>7.2088724584103758E-2</v>
      </c>
    </row>
    <row r="11" spans="1:9" x14ac:dyDescent="0.2">
      <c r="A11" s="3"/>
    </row>
    <row r="12" spans="1:9" x14ac:dyDescent="0.2">
      <c r="A12" s="3" t="s">
        <v>5</v>
      </c>
      <c r="D12" s="4" t="s">
        <v>11</v>
      </c>
      <c r="E12" s="4" t="s">
        <v>12</v>
      </c>
    </row>
    <row r="13" spans="1:9" x14ac:dyDescent="0.2">
      <c r="A13" s="5" t="s">
        <v>6</v>
      </c>
      <c r="B13">
        <v>12</v>
      </c>
      <c r="C13">
        <v>4</v>
      </c>
      <c r="D13" s="10">
        <f>SUMPRODUCT($B$5:$C$5,B13:C13)</f>
        <v>62.329020332717185</v>
      </c>
      <c r="E13" s="4">
        <v>48</v>
      </c>
    </row>
    <row r="14" spans="1:9" x14ac:dyDescent="0.2">
      <c r="A14" s="5" t="s">
        <v>7</v>
      </c>
      <c r="B14">
        <v>4</v>
      </c>
      <c r="C14">
        <v>4</v>
      </c>
      <c r="D14" s="10">
        <f t="shared" ref="D14:D15" si="3">SUMPRODUCT($B$5:$C$5,B14:C14)</f>
        <v>28.465804066543438</v>
      </c>
      <c r="E14" s="4">
        <v>28</v>
      </c>
    </row>
    <row r="15" spans="1:9" x14ac:dyDescent="0.2">
      <c r="A15" s="5" t="s">
        <v>8</v>
      </c>
      <c r="B15">
        <v>10</v>
      </c>
      <c r="C15">
        <v>20</v>
      </c>
      <c r="D15" s="10">
        <f t="shared" si="3"/>
        <v>100</v>
      </c>
      <c r="E15" s="4">
        <v>100</v>
      </c>
    </row>
    <row r="17" spans="1:2" x14ac:dyDescent="0.2">
      <c r="A17" s="19" t="s">
        <v>18</v>
      </c>
    </row>
    <row r="18" spans="1:2" x14ac:dyDescent="0.2">
      <c r="A18" s="5" t="s">
        <v>19</v>
      </c>
      <c r="B18" s="11">
        <v>7.2088724584103411E-2</v>
      </c>
    </row>
  </sheetData>
  <mergeCells count="5">
    <mergeCell ref="B2:F3"/>
    <mergeCell ref="E6:E7"/>
    <mergeCell ref="F6:F7"/>
    <mergeCell ref="G6:G7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4CF4-D760-4087-B083-7145F44D0CF7}">
  <dimension ref="B2:W27"/>
  <sheetViews>
    <sheetView tabSelected="1" zoomScale="75" zoomScaleNormal="100" workbookViewId="0">
      <selection activeCell="I38" sqref="I38"/>
    </sheetView>
  </sheetViews>
  <sheetFormatPr baseColWidth="10" defaultColWidth="8.83203125" defaultRowHeight="15" x14ac:dyDescent="0.2"/>
  <cols>
    <col min="2" max="2" width="13.6640625" bestFit="1" customWidth="1"/>
    <col min="8" max="8" width="10" bestFit="1" customWidth="1"/>
    <col min="9" max="9" width="21.6640625" bestFit="1" customWidth="1"/>
    <col min="10" max="10" width="18" bestFit="1" customWidth="1"/>
    <col min="11" max="11" width="26.1640625" bestFit="1" customWidth="1"/>
    <col min="13" max="13" width="16.5" bestFit="1" customWidth="1"/>
    <col min="16" max="16" width="21" bestFit="1" customWidth="1"/>
    <col min="17" max="17" width="10.33203125" bestFit="1" customWidth="1"/>
    <col min="20" max="20" width="19.6640625" bestFit="1" customWidth="1"/>
    <col min="21" max="21" width="15" bestFit="1" customWidth="1"/>
    <col min="23" max="23" width="12.83203125" customWidth="1"/>
  </cols>
  <sheetData>
    <row r="2" spans="2:23" ht="17" thickBot="1" x14ac:dyDescent="0.25">
      <c r="K2" s="60" t="s">
        <v>66</v>
      </c>
      <c r="L2" s="60"/>
    </row>
    <row r="3" spans="2:23" ht="16" thickBot="1" x14ac:dyDescent="0.25">
      <c r="B3" s="71" t="s">
        <v>47</v>
      </c>
      <c r="C3" s="72" t="s">
        <v>22</v>
      </c>
      <c r="D3" s="72" t="s">
        <v>48</v>
      </c>
      <c r="E3" s="72" t="s">
        <v>49</v>
      </c>
      <c r="F3" s="72" t="s">
        <v>23</v>
      </c>
      <c r="G3" s="72" t="s">
        <v>50</v>
      </c>
      <c r="H3" s="72" t="s">
        <v>51</v>
      </c>
      <c r="I3" s="72" t="s">
        <v>24</v>
      </c>
      <c r="J3" s="72" t="s">
        <v>52</v>
      </c>
      <c r="K3" s="72" t="s">
        <v>25</v>
      </c>
      <c r="L3" s="72" t="s">
        <v>53</v>
      </c>
      <c r="M3" s="72" t="s">
        <v>26</v>
      </c>
      <c r="N3" s="73" t="s">
        <v>53</v>
      </c>
      <c r="O3" s="1"/>
      <c r="P3" s="23" t="s">
        <v>54</v>
      </c>
      <c r="Q3" s="24" t="s">
        <v>55</v>
      </c>
      <c r="R3" s="24" t="s">
        <v>56</v>
      </c>
      <c r="S3" s="24" t="s">
        <v>57</v>
      </c>
      <c r="T3" s="25" t="s">
        <v>58</v>
      </c>
      <c r="U3" s="1"/>
      <c r="V3" s="1"/>
      <c r="W3" s="1"/>
    </row>
    <row r="4" spans="2:23" ht="16" thickBot="1" x14ac:dyDescent="0.25">
      <c r="B4" s="74">
        <v>2789</v>
      </c>
      <c r="C4" s="75">
        <v>1</v>
      </c>
      <c r="D4" s="75">
        <f>_xlfn.XLOOKUP(C4,Data!$H$4:$H$10,Data!$J$4:$J$10)</f>
        <v>37.5</v>
      </c>
      <c r="E4" s="75">
        <f>_xlfn.XLOOKUP(C4,Data!$H$4:$H$10,Data!$K$4:$K$10)</f>
        <v>-102.5</v>
      </c>
      <c r="F4" s="75">
        <v>2</v>
      </c>
      <c r="G4" s="75">
        <f>_xlfn.XLOOKUP(F4,Data!$H$4:$H$10,Data!$J$4:$J$10)</f>
        <v>40.68</v>
      </c>
      <c r="H4" s="75">
        <f>_xlfn.XLOOKUP(F4,Data!$H$4:$H$10,Data!$K$4:$K$10)</f>
        <v>-108.12</v>
      </c>
      <c r="I4" s="76">
        <v>8</v>
      </c>
      <c r="J4" s="77">
        <f>SQRT(((G4-D4)^2)+((H4-E4)^2))</f>
        <v>6.4573059397863481</v>
      </c>
      <c r="K4" s="78" t="s">
        <v>27</v>
      </c>
      <c r="L4" s="76">
        <v>0</v>
      </c>
      <c r="M4" s="75">
        <v>93</v>
      </c>
      <c r="N4" s="79">
        <f>IF(M4&gt;=70,1,0)</f>
        <v>1</v>
      </c>
      <c r="O4" s="1"/>
      <c r="P4" s="26">
        <v>1</v>
      </c>
      <c r="Q4" s="27">
        <f>SUMIF($F$4:$F$27,P4,$B$4:$B$27)</f>
        <v>0</v>
      </c>
      <c r="R4" s="28">
        <f>SUMIF($C$4:$C$27,P4,$B$4:$B$27)</f>
        <v>9060</v>
      </c>
      <c r="S4" s="28">
        <f>Q4-R4</f>
        <v>-9060</v>
      </c>
      <c r="T4" s="29">
        <v>-9060</v>
      </c>
      <c r="U4" s="1"/>
      <c r="V4" s="1"/>
      <c r="W4" s="1"/>
    </row>
    <row r="5" spans="2:23" ht="16" thickBot="1" x14ac:dyDescent="0.25">
      <c r="B5" s="80">
        <v>1752</v>
      </c>
      <c r="C5" s="81">
        <v>1</v>
      </c>
      <c r="D5" s="75">
        <f>_xlfn.XLOOKUP(C5,Data!$H$4:$H$10,Data!$J$4:$J$10)</f>
        <v>37.5</v>
      </c>
      <c r="E5" s="75">
        <f>_xlfn.XLOOKUP(C5,Data!$H$4:$H$10,Data!$K$4:$K$10)</f>
        <v>-102.5</v>
      </c>
      <c r="F5" s="81">
        <v>4</v>
      </c>
      <c r="G5" s="75">
        <f>_xlfn.XLOOKUP(F5,Data!$H$4:$H$10,Data!$J$4:$J$10)</f>
        <v>41.35</v>
      </c>
      <c r="H5" s="75">
        <f>_xlfn.XLOOKUP(F5,Data!$H$4:$H$10,Data!$K$4:$K$10)</f>
        <v>-115.86</v>
      </c>
      <c r="I5" s="82">
        <v>11</v>
      </c>
      <c r="J5" s="83">
        <f t="shared" ref="J5:J27" si="0">SQRT(((G5-D5)^2)+((H5-E5)^2))</f>
        <v>13.90367217680279</v>
      </c>
      <c r="K5" s="84" t="s">
        <v>28</v>
      </c>
      <c r="L5" s="82">
        <v>1</v>
      </c>
      <c r="M5" s="81">
        <v>32</v>
      </c>
      <c r="N5" s="85">
        <f t="shared" ref="N5:N27" si="1">IF(M5&gt;=70,1,0)</f>
        <v>0</v>
      </c>
      <c r="O5" s="1"/>
      <c r="P5" s="26">
        <v>2</v>
      </c>
      <c r="Q5" s="27">
        <f t="shared" ref="Q5:Q10" si="2">SUMIF($F$4:$F$27,P5,$B$4:$B$27)</f>
        <v>2789</v>
      </c>
      <c r="R5" s="28">
        <f t="shared" ref="R5:R10" si="3">SUMIF($C$4:$C$27,P5,$B$4:$B$27)</f>
        <v>1468</v>
      </c>
      <c r="S5" s="30">
        <f t="shared" ref="S5:S10" si="4">Q5-R5</f>
        <v>1321</v>
      </c>
      <c r="T5" s="31">
        <v>1321</v>
      </c>
      <c r="U5" s="1"/>
      <c r="V5" s="1"/>
      <c r="W5" s="1"/>
    </row>
    <row r="6" spans="2:23" ht="16" thickBot="1" x14ac:dyDescent="0.25">
      <c r="B6" s="80">
        <v>1278</v>
      </c>
      <c r="C6" s="81">
        <v>1</v>
      </c>
      <c r="D6" s="75">
        <f>_xlfn.XLOOKUP(C6,Data!$H$4:$H$10,Data!$J$4:$J$10)</f>
        <v>37.5</v>
      </c>
      <c r="E6" s="75">
        <f>_xlfn.XLOOKUP(C6,Data!$H$4:$H$10,Data!$K$4:$K$10)</f>
        <v>-102.5</v>
      </c>
      <c r="F6" s="81">
        <v>5</v>
      </c>
      <c r="G6" s="75">
        <f>_xlfn.XLOOKUP(F6,Data!$H$4:$H$10,Data!$J$4:$J$10)</f>
        <v>38.33</v>
      </c>
      <c r="H6" s="75">
        <f>_xlfn.XLOOKUP(F6,Data!$H$4:$H$10,Data!$K$4:$K$10)</f>
        <v>-105.4</v>
      </c>
      <c r="I6" s="82">
        <v>18</v>
      </c>
      <c r="J6" s="83">
        <f t="shared" si="0"/>
        <v>3.0164382970649388</v>
      </c>
      <c r="K6" s="84" t="s">
        <v>29</v>
      </c>
      <c r="L6" s="82">
        <v>0</v>
      </c>
      <c r="M6" s="81">
        <v>90</v>
      </c>
      <c r="N6" s="85">
        <f t="shared" si="1"/>
        <v>1</v>
      </c>
      <c r="O6" s="1"/>
      <c r="P6" s="26">
        <v>3</v>
      </c>
      <c r="Q6" s="27">
        <f t="shared" si="2"/>
        <v>1468</v>
      </c>
      <c r="R6" s="28">
        <f t="shared" si="3"/>
        <v>0</v>
      </c>
      <c r="S6" s="30">
        <f t="shared" si="4"/>
        <v>1468</v>
      </c>
      <c r="T6" s="31">
        <v>1568</v>
      </c>
      <c r="U6" s="1"/>
      <c r="V6" s="1"/>
      <c r="W6" s="1"/>
    </row>
    <row r="7" spans="2:23" ht="16" thickBot="1" x14ac:dyDescent="0.25">
      <c r="B7" s="80">
        <v>1969</v>
      </c>
      <c r="C7" s="81">
        <v>1</v>
      </c>
      <c r="D7" s="75">
        <f>_xlfn.XLOOKUP(C7,Data!$H$4:$H$10,Data!$J$4:$J$10)</f>
        <v>37.5</v>
      </c>
      <c r="E7" s="75">
        <f>_xlfn.XLOOKUP(C7,Data!$H$4:$H$10,Data!$K$4:$K$10)</f>
        <v>-102.5</v>
      </c>
      <c r="F7" s="81">
        <v>6</v>
      </c>
      <c r="G7" s="75">
        <f>_xlfn.XLOOKUP(F7,Data!$H$4:$H$10,Data!$J$4:$J$10)</f>
        <v>35.67</v>
      </c>
      <c r="H7" s="75">
        <f>_xlfn.XLOOKUP(F7,Data!$H$4:$H$10,Data!$K$4:$K$10)</f>
        <v>-103.89</v>
      </c>
      <c r="I7" s="82">
        <v>14</v>
      </c>
      <c r="J7" s="83">
        <f t="shared" si="0"/>
        <v>2.298042645383239</v>
      </c>
      <c r="K7" s="84" t="s">
        <v>29</v>
      </c>
      <c r="L7" s="82">
        <v>0</v>
      </c>
      <c r="M7" s="81">
        <v>70</v>
      </c>
      <c r="N7" s="85">
        <f t="shared" si="1"/>
        <v>1</v>
      </c>
      <c r="O7" s="1"/>
      <c r="P7" s="26">
        <v>4</v>
      </c>
      <c r="Q7" s="27">
        <f t="shared" si="2"/>
        <v>1752</v>
      </c>
      <c r="R7" s="28">
        <f t="shared" si="3"/>
        <v>0</v>
      </c>
      <c r="S7" s="30">
        <f t="shared" si="4"/>
        <v>1752</v>
      </c>
      <c r="T7" s="31">
        <v>1752</v>
      </c>
      <c r="U7" s="1"/>
      <c r="V7" s="1"/>
      <c r="W7" s="1"/>
    </row>
    <row r="8" spans="2:23" ht="16" thickBot="1" x14ac:dyDescent="0.25">
      <c r="B8" s="80">
        <v>1272</v>
      </c>
      <c r="C8" s="81">
        <v>1</v>
      </c>
      <c r="D8" s="75">
        <f>_xlfn.XLOOKUP(C8,Data!$H$4:$H$10,Data!$J$4:$J$10)</f>
        <v>37.5</v>
      </c>
      <c r="E8" s="75">
        <f>_xlfn.XLOOKUP(C8,Data!$H$4:$H$10,Data!$K$4:$K$10)</f>
        <v>-102.5</v>
      </c>
      <c r="F8" s="81">
        <v>7</v>
      </c>
      <c r="G8" s="75">
        <f>_xlfn.XLOOKUP(F8,Data!$H$4:$H$10,Data!$J$4:$J$10)</f>
        <v>43.89</v>
      </c>
      <c r="H8" s="75">
        <f>_xlfn.XLOOKUP(F8,Data!$H$4:$H$10,Data!$K$4:$K$10)</f>
        <v>-90.16</v>
      </c>
      <c r="I8" s="82">
        <v>22</v>
      </c>
      <c r="J8" s="83">
        <f t="shared" si="0"/>
        <v>13.896319656657301</v>
      </c>
      <c r="K8" s="84" t="s">
        <v>27</v>
      </c>
      <c r="L8" s="82">
        <v>0</v>
      </c>
      <c r="M8" s="81">
        <v>87</v>
      </c>
      <c r="N8" s="85">
        <f t="shared" si="1"/>
        <v>1</v>
      </c>
      <c r="O8" s="1"/>
      <c r="P8" s="26">
        <v>5</v>
      </c>
      <c r="Q8" s="27">
        <f t="shared" si="2"/>
        <v>1278</v>
      </c>
      <c r="R8" s="28">
        <f t="shared" si="3"/>
        <v>0</v>
      </c>
      <c r="S8" s="30">
        <f t="shared" si="4"/>
        <v>1278</v>
      </c>
      <c r="T8" s="31">
        <v>1278</v>
      </c>
      <c r="U8" s="1"/>
      <c r="V8" s="1"/>
      <c r="W8" s="1"/>
    </row>
    <row r="9" spans="2:23" ht="16" thickBot="1" x14ac:dyDescent="0.25">
      <c r="B9" s="80">
        <v>1468</v>
      </c>
      <c r="C9" s="81">
        <v>2</v>
      </c>
      <c r="D9" s="75">
        <f>_xlfn.XLOOKUP(C9,Data!$H$4:$H$10,Data!$J$4:$J$10)</f>
        <v>40.68</v>
      </c>
      <c r="E9" s="75">
        <f>_xlfn.XLOOKUP(C9,Data!$H$4:$H$10,Data!$K$4:$K$10)</f>
        <v>-108.12</v>
      </c>
      <c r="F9" s="81">
        <v>3</v>
      </c>
      <c r="G9" s="75">
        <f>_xlfn.XLOOKUP(F9,Data!$H$4:$H$10,Data!$J$4:$J$10)</f>
        <v>36.229999999999997</v>
      </c>
      <c r="H9" s="75">
        <f>_xlfn.XLOOKUP(F9,Data!$H$4:$H$10,Data!$K$4:$K$10)</f>
        <v>-105.23</v>
      </c>
      <c r="I9" s="82">
        <v>21</v>
      </c>
      <c r="J9" s="83">
        <f t="shared" si="0"/>
        <v>5.3060908397802642</v>
      </c>
      <c r="K9" s="84" t="s">
        <v>30</v>
      </c>
      <c r="L9" s="82">
        <v>0</v>
      </c>
      <c r="M9" s="81">
        <v>90</v>
      </c>
      <c r="N9" s="85">
        <f t="shared" si="1"/>
        <v>1</v>
      </c>
      <c r="O9" s="1"/>
      <c r="P9" s="26">
        <v>6</v>
      </c>
      <c r="Q9" s="27">
        <f t="shared" si="2"/>
        <v>1969</v>
      </c>
      <c r="R9" s="28">
        <f t="shared" si="3"/>
        <v>0</v>
      </c>
      <c r="S9" s="30">
        <f t="shared" si="4"/>
        <v>1969</v>
      </c>
      <c r="T9" s="31">
        <v>1969</v>
      </c>
      <c r="U9" s="1"/>
      <c r="V9" s="1"/>
      <c r="W9" s="1"/>
    </row>
    <row r="10" spans="2:23" ht="16" thickBot="1" x14ac:dyDescent="0.25">
      <c r="B10" s="80">
        <v>0</v>
      </c>
      <c r="C10" s="81">
        <v>2</v>
      </c>
      <c r="D10" s="75">
        <f>_xlfn.XLOOKUP(C10,Data!$H$4:$H$10,Data!$J$4:$J$10)</f>
        <v>40.68</v>
      </c>
      <c r="E10" s="75">
        <f>_xlfn.XLOOKUP(C10,Data!$H$4:$H$10,Data!$K$4:$K$10)</f>
        <v>-108.12</v>
      </c>
      <c r="F10" s="81">
        <v>5</v>
      </c>
      <c r="G10" s="75">
        <f>_xlfn.XLOOKUP(F10,Data!$H$4:$H$10,Data!$J$4:$J$10)</f>
        <v>38.33</v>
      </c>
      <c r="H10" s="75">
        <f>_xlfn.XLOOKUP(F10,Data!$H$4:$H$10,Data!$K$4:$K$10)</f>
        <v>-105.4</v>
      </c>
      <c r="I10" s="82">
        <v>22</v>
      </c>
      <c r="J10" s="83">
        <f t="shared" si="0"/>
        <v>3.5945653422910535</v>
      </c>
      <c r="K10" s="84" t="s">
        <v>30</v>
      </c>
      <c r="L10" s="82">
        <v>0</v>
      </c>
      <c r="M10" s="81">
        <v>88</v>
      </c>
      <c r="N10" s="85">
        <f t="shared" si="1"/>
        <v>1</v>
      </c>
      <c r="O10" s="1"/>
      <c r="P10" s="32">
        <v>7</v>
      </c>
      <c r="Q10" s="27">
        <f t="shared" si="2"/>
        <v>1272</v>
      </c>
      <c r="R10" s="28">
        <f t="shared" si="3"/>
        <v>0</v>
      </c>
      <c r="S10" s="33">
        <f t="shared" si="4"/>
        <v>1272</v>
      </c>
      <c r="T10" s="34">
        <v>1272</v>
      </c>
      <c r="U10" s="1"/>
      <c r="V10" s="1"/>
      <c r="W10" s="1"/>
    </row>
    <row r="11" spans="2:23" ht="16" thickBot="1" x14ac:dyDescent="0.25">
      <c r="B11" s="80">
        <v>0</v>
      </c>
      <c r="C11" s="81">
        <v>3</v>
      </c>
      <c r="D11" s="75">
        <f>_xlfn.XLOOKUP(C11,Data!$H$4:$H$10,Data!$J$4:$J$10)</f>
        <v>36.229999999999997</v>
      </c>
      <c r="E11" s="75">
        <f>_xlfn.XLOOKUP(C11,Data!$H$4:$H$10,Data!$K$4:$K$10)</f>
        <v>-105.23</v>
      </c>
      <c r="F11" s="81">
        <v>1</v>
      </c>
      <c r="G11" s="75">
        <f>_xlfn.XLOOKUP(F11,Data!$H$4:$H$10,Data!$J$4:$J$10)</f>
        <v>37.5</v>
      </c>
      <c r="H11" s="75">
        <f>_xlfn.XLOOKUP(F11,Data!$H$4:$H$10,Data!$K$4:$K$10)</f>
        <v>-102.5</v>
      </c>
      <c r="I11" s="82">
        <v>5</v>
      </c>
      <c r="J11" s="83">
        <f t="shared" si="0"/>
        <v>3.0109466949781809</v>
      </c>
      <c r="K11" s="84" t="s">
        <v>29</v>
      </c>
      <c r="L11" s="82">
        <v>0</v>
      </c>
      <c r="M11" s="81">
        <v>90</v>
      </c>
      <c r="N11" s="85">
        <f t="shared" si="1"/>
        <v>1</v>
      </c>
      <c r="O11" s="1"/>
      <c r="P11" s="4"/>
      <c r="Q11" s="4"/>
      <c r="R11" s="4"/>
      <c r="S11" s="4"/>
      <c r="T11" s="4"/>
      <c r="U11" s="55" t="s">
        <v>15</v>
      </c>
      <c r="V11" s="4"/>
      <c r="W11" s="55" t="s">
        <v>59</v>
      </c>
    </row>
    <row r="12" spans="2:23" ht="16" thickBot="1" x14ac:dyDescent="0.25">
      <c r="B12" s="80">
        <v>0</v>
      </c>
      <c r="C12" s="81">
        <v>3</v>
      </c>
      <c r="D12" s="75">
        <f>_xlfn.XLOOKUP(C12,Data!$H$4:$H$10,Data!$J$4:$J$10)</f>
        <v>36.229999999999997</v>
      </c>
      <c r="E12" s="75">
        <f>_xlfn.XLOOKUP(C12,Data!$H$4:$H$10,Data!$K$4:$K$10)</f>
        <v>-105.23</v>
      </c>
      <c r="F12" s="81">
        <v>2</v>
      </c>
      <c r="G12" s="75">
        <f>_xlfn.XLOOKUP(F12,Data!$H$4:$H$10,Data!$J$4:$J$10)</f>
        <v>40.68</v>
      </c>
      <c r="H12" s="75">
        <f>_xlfn.XLOOKUP(F12,Data!$H$4:$H$10,Data!$K$4:$K$10)</f>
        <v>-108.12</v>
      </c>
      <c r="I12" s="82">
        <v>20</v>
      </c>
      <c r="J12" s="83">
        <f t="shared" si="0"/>
        <v>5.3060908397802642</v>
      </c>
      <c r="K12" s="84" t="s">
        <v>27</v>
      </c>
      <c r="L12" s="82">
        <v>0</v>
      </c>
      <c r="M12" s="81">
        <v>79</v>
      </c>
      <c r="N12" s="85">
        <f t="shared" si="1"/>
        <v>1</v>
      </c>
      <c r="O12" s="1"/>
      <c r="P12" s="35" t="s">
        <v>13</v>
      </c>
      <c r="Q12" s="62" t="s">
        <v>60</v>
      </c>
      <c r="R12" s="62"/>
      <c r="S12" s="63"/>
      <c r="T12" s="4" t="s">
        <v>21</v>
      </c>
      <c r="U12" s="55"/>
      <c r="V12" s="4" t="s">
        <v>16</v>
      </c>
      <c r="W12" s="55"/>
    </row>
    <row r="13" spans="2:23" ht="16" thickBot="1" x14ac:dyDescent="0.25">
      <c r="B13" s="80">
        <v>0</v>
      </c>
      <c r="C13" s="81">
        <v>3</v>
      </c>
      <c r="D13" s="75">
        <f>_xlfn.XLOOKUP(C13,Data!$H$4:$H$10,Data!$J$4:$J$10)</f>
        <v>36.229999999999997</v>
      </c>
      <c r="E13" s="75">
        <f>_xlfn.XLOOKUP(C13,Data!$H$4:$H$10,Data!$K$4:$K$10)</f>
        <v>-105.23</v>
      </c>
      <c r="F13" s="81">
        <v>4</v>
      </c>
      <c r="G13" s="75">
        <f>_xlfn.XLOOKUP(F13,Data!$H$4:$H$10,Data!$J$4:$J$10)</f>
        <v>41.35</v>
      </c>
      <c r="H13" s="75">
        <f>_xlfn.XLOOKUP(F13,Data!$H$4:$H$10,Data!$K$4:$K$10)</f>
        <v>-115.86</v>
      </c>
      <c r="I13" s="82">
        <v>23</v>
      </c>
      <c r="J13" s="83">
        <f t="shared" si="0"/>
        <v>11.798783835633227</v>
      </c>
      <c r="K13" s="84" t="s">
        <v>28</v>
      </c>
      <c r="L13" s="82">
        <v>1</v>
      </c>
      <c r="M13" s="81">
        <v>88</v>
      </c>
      <c r="N13" s="85">
        <f t="shared" si="1"/>
        <v>1</v>
      </c>
      <c r="O13" s="1"/>
      <c r="P13" s="36">
        <f>SUMPRODUCT($I$4:$I$27,$B$4:$B$27)</f>
        <v>150966</v>
      </c>
      <c r="Q13" s="64">
        <v>110000</v>
      </c>
      <c r="R13" s="65"/>
      <c r="S13" s="66"/>
      <c r="T13" s="37">
        <f>P13-Q13</f>
        <v>40966</v>
      </c>
      <c r="U13" s="38">
        <f>T13/Q13</f>
        <v>0.37241818181818181</v>
      </c>
      <c r="V13" s="39">
        <v>1</v>
      </c>
      <c r="W13" s="17">
        <f>U13*V13</f>
        <v>0.37241818181818181</v>
      </c>
    </row>
    <row r="14" spans="2:23" ht="16" thickBot="1" x14ac:dyDescent="0.25">
      <c r="B14" s="80">
        <v>0</v>
      </c>
      <c r="C14" s="81">
        <v>3</v>
      </c>
      <c r="D14" s="75">
        <f>_xlfn.XLOOKUP(C14,Data!$H$4:$H$10,Data!$J$4:$J$10)</f>
        <v>36.229999999999997</v>
      </c>
      <c r="E14" s="75">
        <f>_xlfn.XLOOKUP(C14,Data!$H$4:$H$10,Data!$K$4:$K$10)</f>
        <v>-105.23</v>
      </c>
      <c r="F14" s="81">
        <v>6</v>
      </c>
      <c r="G14" s="75">
        <f>_xlfn.XLOOKUP(F14,Data!$H$4:$H$10,Data!$J$4:$J$10)</f>
        <v>35.67</v>
      </c>
      <c r="H14" s="75">
        <f>_xlfn.XLOOKUP(F14,Data!$H$4:$H$10,Data!$K$4:$K$10)</f>
        <v>-103.89</v>
      </c>
      <c r="I14" s="82">
        <v>9</v>
      </c>
      <c r="J14" s="83">
        <f t="shared" si="0"/>
        <v>1.4523085071705681</v>
      </c>
      <c r="K14" s="84" t="s">
        <v>31</v>
      </c>
      <c r="L14" s="82">
        <v>0</v>
      </c>
      <c r="M14" s="81">
        <v>29</v>
      </c>
      <c r="N14" s="85">
        <f t="shared" si="1"/>
        <v>0</v>
      </c>
      <c r="O14" s="1"/>
      <c r="P14" s="40">
        <f>SUMPRODUCT($B$4:$B$27,$J$4:$J$27)</f>
        <v>76213.973988296726</v>
      </c>
      <c r="Q14" s="67">
        <v>75250</v>
      </c>
      <c r="R14" s="68"/>
      <c r="S14" s="69"/>
      <c r="T14" s="41">
        <f t="shared" ref="T14:T16" si="5">P14-Q14</f>
        <v>963.97398829672602</v>
      </c>
      <c r="U14" s="38">
        <f t="shared" ref="U14:U16" si="6">T14/Q14</f>
        <v>1.2810285558760478E-2</v>
      </c>
      <c r="V14" s="39">
        <v>1</v>
      </c>
      <c r="W14" s="17">
        <f t="shared" ref="W14:W16" si="7">U14*V14</f>
        <v>1.2810285558760478E-2</v>
      </c>
    </row>
    <row r="15" spans="2:23" ht="16" thickBot="1" x14ac:dyDescent="0.25">
      <c r="B15" s="80">
        <v>0</v>
      </c>
      <c r="C15" s="81">
        <v>3</v>
      </c>
      <c r="D15" s="75">
        <f>_xlfn.XLOOKUP(C15,Data!$H$4:$H$10,Data!$J$4:$J$10)</f>
        <v>36.229999999999997</v>
      </c>
      <c r="E15" s="75">
        <f>_xlfn.XLOOKUP(C15,Data!$H$4:$H$10,Data!$K$4:$K$10)</f>
        <v>-105.23</v>
      </c>
      <c r="F15" s="81">
        <v>7</v>
      </c>
      <c r="G15" s="75">
        <f>_xlfn.XLOOKUP(F15,Data!$H$4:$H$10,Data!$J$4:$J$10)</f>
        <v>43.89</v>
      </c>
      <c r="H15" s="75">
        <f>_xlfn.XLOOKUP(F15,Data!$H$4:$H$10,Data!$K$4:$K$10)</f>
        <v>-90.16</v>
      </c>
      <c r="I15" s="82">
        <v>10</v>
      </c>
      <c r="J15" s="83">
        <f t="shared" si="0"/>
        <v>16.905043626089828</v>
      </c>
      <c r="K15" s="84" t="s">
        <v>30</v>
      </c>
      <c r="L15" s="82">
        <v>0</v>
      </c>
      <c r="M15" s="81">
        <v>84</v>
      </c>
      <c r="N15" s="85">
        <f t="shared" si="1"/>
        <v>1</v>
      </c>
      <c r="O15" s="1"/>
      <c r="P15" s="42">
        <f>SUMPRODUCT($B$4:$B$27,$L$4:$L$27)</f>
        <v>1752</v>
      </c>
      <c r="Q15" s="61">
        <v>1335.55</v>
      </c>
      <c r="R15" s="62"/>
      <c r="S15" s="63"/>
      <c r="T15" s="41">
        <f t="shared" si="5"/>
        <v>416.45000000000005</v>
      </c>
      <c r="U15" s="38">
        <f t="shared" si="6"/>
        <v>0.31181910074501146</v>
      </c>
      <c r="V15" s="39">
        <v>1</v>
      </c>
      <c r="W15" s="17">
        <f t="shared" si="7"/>
        <v>0.31181910074501146</v>
      </c>
    </row>
    <row r="16" spans="2:23" ht="16" thickBot="1" x14ac:dyDescent="0.25">
      <c r="B16" s="80">
        <v>0</v>
      </c>
      <c r="C16" s="81">
        <v>4</v>
      </c>
      <c r="D16" s="75">
        <f>_xlfn.XLOOKUP(C16,Data!$H$4:$H$10,Data!$J$4:$J$10)</f>
        <v>41.35</v>
      </c>
      <c r="E16" s="75">
        <f>_xlfn.XLOOKUP(C16,Data!$H$4:$H$10,Data!$K$4:$K$10)</f>
        <v>-115.86</v>
      </c>
      <c r="F16" s="81">
        <v>1</v>
      </c>
      <c r="G16" s="75">
        <f>_xlfn.XLOOKUP(F16,Data!$H$4:$H$10,Data!$J$4:$J$10)</f>
        <v>37.5</v>
      </c>
      <c r="H16" s="75">
        <f>_xlfn.XLOOKUP(F16,Data!$H$4:$H$10,Data!$K$4:$K$10)</f>
        <v>-102.5</v>
      </c>
      <c r="I16" s="82">
        <v>18</v>
      </c>
      <c r="J16" s="83">
        <f t="shared" si="0"/>
        <v>13.90367217680279</v>
      </c>
      <c r="K16" s="84" t="s">
        <v>32</v>
      </c>
      <c r="L16" s="82">
        <v>1</v>
      </c>
      <c r="M16" s="81">
        <v>109</v>
      </c>
      <c r="N16" s="85">
        <f t="shared" si="1"/>
        <v>1</v>
      </c>
      <c r="O16" s="1"/>
      <c r="P16" s="35">
        <f>SUMPRODUCT($B$4:$B$27,$N$4:$N$27)</f>
        <v>8776</v>
      </c>
      <c r="Q16" s="61">
        <v>8700</v>
      </c>
      <c r="R16" s="62"/>
      <c r="S16" s="63"/>
      <c r="T16" s="41">
        <f t="shared" si="5"/>
        <v>76</v>
      </c>
      <c r="U16" s="38">
        <f t="shared" si="6"/>
        <v>8.7356321839080452E-3</v>
      </c>
      <c r="V16" s="39">
        <v>1</v>
      </c>
      <c r="W16" s="17">
        <f t="shared" si="7"/>
        <v>8.7356321839080452E-3</v>
      </c>
    </row>
    <row r="17" spans="2:23" ht="16" thickBot="1" x14ac:dyDescent="0.25">
      <c r="B17" s="80">
        <v>0</v>
      </c>
      <c r="C17" s="81">
        <v>4</v>
      </c>
      <c r="D17" s="75">
        <f>_xlfn.XLOOKUP(C17,Data!$H$4:$H$10,Data!$J$4:$J$10)</f>
        <v>41.35</v>
      </c>
      <c r="E17" s="75">
        <f>_xlfn.XLOOKUP(C17,Data!$H$4:$H$10,Data!$K$4:$K$10)</f>
        <v>-115.86</v>
      </c>
      <c r="F17" s="81">
        <v>2</v>
      </c>
      <c r="G17" s="75">
        <f>_xlfn.XLOOKUP(F17,Data!$H$4:$H$10,Data!$J$4:$J$10)</f>
        <v>40.68</v>
      </c>
      <c r="H17" s="75">
        <f>_xlfn.XLOOKUP(F17,Data!$H$4:$H$10,Data!$K$4:$K$10)</f>
        <v>-108.12</v>
      </c>
      <c r="I17" s="82">
        <v>8</v>
      </c>
      <c r="J17" s="83">
        <f t="shared" si="0"/>
        <v>7.7689445872653726</v>
      </c>
      <c r="K17" s="84" t="s">
        <v>30</v>
      </c>
      <c r="L17" s="82">
        <v>0</v>
      </c>
      <c r="M17" s="81">
        <v>30</v>
      </c>
      <c r="N17" s="85">
        <f t="shared" si="1"/>
        <v>0</v>
      </c>
      <c r="O17" s="1"/>
      <c r="P17" s="4"/>
      <c r="Q17" s="4"/>
      <c r="R17" s="4"/>
      <c r="S17" s="4"/>
      <c r="T17" s="4"/>
      <c r="U17" s="4"/>
      <c r="V17" s="4"/>
      <c r="W17" s="4"/>
    </row>
    <row r="18" spans="2:23" ht="16" thickBot="1" x14ac:dyDescent="0.25">
      <c r="B18" s="80">
        <v>0</v>
      </c>
      <c r="C18" s="81">
        <v>4</v>
      </c>
      <c r="D18" s="75">
        <f>_xlfn.XLOOKUP(C18,Data!$H$4:$H$10,Data!$J$4:$J$10)</f>
        <v>41.35</v>
      </c>
      <c r="E18" s="75">
        <f>_xlfn.XLOOKUP(C18,Data!$H$4:$H$10,Data!$K$4:$K$10)</f>
        <v>-115.86</v>
      </c>
      <c r="F18" s="81">
        <v>6</v>
      </c>
      <c r="G18" s="75">
        <f>_xlfn.XLOOKUP(F18,Data!$H$4:$H$10,Data!$J$4:$J$10)</f>
        <v>35.67</v>
      </c>
      <c r="H18" s="75">
        <f>_xlfn.XLOOKUP(F18,Data!$H$4:$H$10,Data!$K$4:$K$10)</f>
        <v>-103.89</v>
      </c>
      <c r="I18" s="82">
        <v>18</v>
      </c>
      <c r="J18" s="83">
        <f t="shared" si="0"/>
        <v>13.249275451887925</v>
      </c>
      <c r="K18" s="84" t="s">
        <v>30</v>
      </c>
      <c r="L18" s="82">
        <v>0</v>
      </c>
      <c r="M18" s="81">
        <v>115</v>
      </c>
      <c r="N18" s="85">
        <f t="shared" si="1"/>
        <v>1</v>
      </c>
      <c r="O18" s="1"/>
      <c r="P18" s="43" t="s">
        <v>61</v>
      </c>
      <c r="Q18" s="44">
        <v>0.37241818181808811</v>
      </c>
      <c r="R18" s="4"/>
      <c r="S18" s="4"/>
      <c r="T18" s="4"/>
      <c r="U18" s="4"/>
      <c r="V18" s="4"/>
      <c r="W18" s="4"/>
    </row>
    <row r="19" spans="2:23" ht="16" thickBot="1" x14ac:dyDescent="0.25">
      <c r="B19" s="80">
        <v>0</v>
      </c>
      <c r="C19" s="81">
        <v>4</v>
      </c>
      <c r="D19" s="75">
        <f>_xlfn.XLOOKUP(C19,Data!$H$4:$H$10,Data!$J$4:$J$10)</f>
        <v>41.35</v>
      </c>
      <c r="E19" s="75">
        <f>_xlfn.XLOOKUP(C19,Data!$H$4:$H$10,Data!$K$4:$K$10)</f>
        <v>-115.86</v>
      </c>
      <c r="F19" s="81">
        <v>7</v>
      </c>
      <c r="G19" s="75">
        <f>_xlfn.XLOOKUP(F19,Data!$H$4:$H$10,Data!$J$4:$J$10)</f>
        <v>43.89</v>
      </c>
      <c r="H19" s="75">
        <f>_xlfn.XLOOKUP(F19,Data!$H$4:$H$10,Data!$K$4:$K$10)</f>
        <v>-90.16</v>
      </c>
      <c r="I19" s="82">
        <v>7</v>
      </c>
      <c r="J19" s="83">
        <f t="shared" si="0"/>
        <v>25.825212487025158</v>
      </c>
      <c r="K19" s="84" t="s">
        <v>33</v>
      </c>
      <c r="L19" s="82">
        <v>1</v>
      </c>
      <c r="M19" s="81">
        <v>95</v>
      </c>
      <c r="N19" s="85">
        <f t="shared" si="1"/>
        <v>1</v>
      </c>
      <c r="O19" s="1"/>
      <c r="P19" s="4"/>
      <c r="Q19" s="4"/>
      <c r="R19" s="4"/>
      <c r="S19" s="4"/>
      <c r="T19" s="4"/>
      <c r="U19" s="4"/>
      <c r="V19" s="4"/>
      <c r="W19" s="4"/>
    </row>
    <row r="20" spans="2:23" ht="16" thickBot="1" x14ac:dyDescent="0.25">
      <c r="B20" s="80">
        <v>0</v>
      </c>
      <c r="C20" s="81">
        <v>5</v>
      </c>
      <c r="D20" s="75">
        <f>_xlfn.XLOOKUP(C20,Data!$H$4:$H$10,Data!$J$4:$J$10)</f>
        <v>38.33</v>
      </c>
      <c r="E20" s="75">
        <f>_xlfn.XLOOKUP(C20,Data!$H$4:$H$10,Data!$K$4:$K$10)</f>
        <v>-105.4</v>
      </c>
      <c r="F20" s="81">
        <v>1</v>
      </c>
      <c r="G20" s="75">
        <f>_xlfn.XLOOKUP(F20,Data!$H$4:$H$10,Data!$J$4:$J$10)</f>
        <v>37.5</v>
      </c>
      <c r="H20" s="75">
        <f>_xlfn.XLOOKUP(F20,Data!$H$4:$H$10,Data!$K$4:$K$10)</f>
        <v>-102.5</v>
      </c>
      <c r="I20" s="82">
        <v>14</v>
      </c>
      <c r="J20" s="83">
        <f t="shared" si="0"/>
        <v>3.0164382970649388</v>
      </c>
      <c r="K20" s="84" t="s">
        <v>31</v>
      </c>
      <c r="L20" s="82">
        <v>0</v>
      </c>
      <c r="M20" s="81">
        <v>88</v>
      </c>
      <c r="N20" s="85">
        <f t="shared" si="1"/>
        <v>1</v>
      </c>
      <c r="O20" s="1"/>
      <c r="P20" s="1"/>
      <c r="Q20" s="1"/>
      <c r="R20" s="1"/>
      <c r="S20" s="1"/>
      <c r="T20" s="1"/>
      <c r="U20" s="1"/>
      <c r="V20" s="1"/>
      <c r="W20" s="1"/>
    </row>
    <row r="21" spans="2:23" ht="16" thickBot="1" x14ac:dyDescent="0.25">
      <c r="B21" s="80">
        <v>0</v>
      </c>
      <c r="C21" s="81">
        <v>5</v>
      </c>
      <c r="D21" s="75">
        <f>_xlfn.XLOOKUP(C21,Data!$H$4:$H$10,Data!$J$4:$J$10)</f>
        <v>38.33</v>
      </c>
      <c r="E21" s="75">
        <f>_xlfn.XLOOKUP(C21,Data!$H$4:$H$10,Data!$K$4:$K$10)</f>
        <v>-105.4</v>
      </c>
      <c r="F21" s="81">
        <v>6</v>
      </c>
      <c r="G21" s="75">
        <f>_xlfn.XLOOKUP(F21,Data!$H$4:$H$10,Data!$J$4:$J$10)</f>
        <v>35.67</v>
      </c>
      <c r="H21" s="75">
        <f>_xlfn.XLOOKUP(F21,Data!$H$4:$H$10,Data!$K$4:$K$10)</f>
        <v>-103.89</v>
      </c>
      <c r="I21" s="82">
        <v>23</v>
      </c>
      <c r="J21" s="83">
        <f t="shared" si="0"/>
        <v>3.0587088779418021</v>
      </c>
      <c r="K21" s="84" t="s">
        <v>31</v>
      </c>
      <c r="L21" s="82">
        <v>0</v>
      </c>
      <c r="M21" s="81">
        <v>85</v>
      </c>
      <c r="N21" s="85">
        <f t="shared" si="1"/>
        <v>1</v>
      </c>
      <c r="O21" s="1"/>
      <c r="P21" s="1"/>
      <c r="Q21" s="1"/>
      <c r="R21" s="1"/>
      <c r="S21" s="1"/>
      <c r="T21" s="1"/>
      <c r="U21" s="1"/>
      <c r="V21" s="1"/>
      <c r="W21" s="1"/>
    </row>
    <row r="22" spans="2:23" ht="16" thickBot="1" x14ac:dyDescent="0.25">
      <c r="B22" s="80">
        <v>0</v>
      </c>
      <c r="C22" s="81">
        <v>6</v>
      </c>
      <c r="D22" s="75">
        <f>_xlfn.XLOOKUP(C22,Data!$H$4:$H$10,Data!$J$4:$J$10)</f>
        <v>35.67</v>
      </c>
      <c r="E22" s="75">
        <f>_xlfn.XLOOKUP(C22,Data!$H$4:$H$10,Data!$K$4:$K$10)</f>
        <v>-103.89</v>
      </c>
      <c r="F22" s="81">
        <v>1</v>
      </c>
      <c r="G22" s="75">
        <f>_xlfn.XLOOKUP(F22,Data!$H$4:$H$10,Data!$J$4:$J$10)</f>
        <v>37.5</v>
      </c>
      <c r="H22" s="75">
        <f>_xlfn.XLOOKUP(F22,Data!$H$4:$H$10,Data!$K$4:$K$10)</f>
        <v>-102.5</v>
      </c>
      <c r="I22" s="82">
        <v>22</v>
      </c>
      <c r="J22" s="83">
        <f t="shared" si="0"/>
        <v>2.298042645383239</v>
      </c>
      <c r="K22" s="84" t="s">
        <v>32</v>
      </c>
      <c r="L22" s="82">
        <v>1</v>
      </c>
      <c r="M22" s="81">
        <v>75</v>
      </c>
      <c r="N22" s="85">
        <f t="shared" si="1"/>
        <v>1</v>
      </c>
      <c r="O22" s="1"/>
      <c r="P22" s="1"/>
      <c r="Q22" s="1"/>
      <c r="R22" s="1"/>
      <c r="S22" s="1"/>
      <c r="T22" s="1"/>
      <c r="U22" s="1"/>
      <c r="V22" s="1"/>
      <c r="W22" s="1"/>
    </row>
    <row r="23" spans="2:23" ht="16" thickBot="1" x14ac:dyDescent="0.25">
      <c r="B23" s="80">
        <v>0</v>
      </c>
      <c r="C23" s="81">
        <v>6</v>
      </c>
      <c r="D23" s="75">
        <f>_xlfn.XLOOKUP(C23,Data!$H$4:$H$10,Data!$J$4:$J$10)</f>
        <v>35.67</v>
      </c>
      <c r="E23" s="75">
        <f>_xlfn.XLOOKUP(C23,Data!$H$4:$H$10,Data!$K$4:$K$10)</f>
        <v>-103.89</v>
      </c>
      <c r="F23" s="81">
        <v>5</v>
      </c>
      <c r="G23" s="75">
        <f>_xlfn.XLOOKUP(F23,Data!$H$4:$H$10,Data!$J$4:$J$10)</f>
        <v>38.33</v>
      </c>
      <c r="H23" s="75">
        <f>_xlfn.XLOOKUP(F23,Data!$H$4:$H$10,Data!$K$4:$K$10)</f>
        <v>-105.4</v>
      </c>
      <c r="I23" s="82">
        <v>21</v>
      </c>
      <c r="J23" s="83">
        <f t="shared" si="0"/>
        <v>3.0587088779418021</v>
      </c>
      <c r="K23" s="84" t="s">
        <v>31</v>
      </c>
      <c r="L23" s="82">
        <v>0</v>
      </c>
      <c r="M23" s="81">
        <v>83</v>
      </c>
      <c r="N23" s="85">
        <f t="shared" si="1"/>
        <v>1</v>
      </c>
      <c r="O23" s="1"/>
      <c r="P23" s="1"/>
      <c r="Q23" s="1"/>
      <c r="R23" s="1"/>
      <c r="S23" s="1"/>
      <c r="T23" s="1"/>
      <c r="U23" s="1"/>
      <c r="V23" s="1"/>
      <c r="W23" s="1"/>
    </row>
    <row r="24" spans="2:23" ht="16" thickBot="1" x14ac:dyDescent="0.25">
      <c r="B24" s="80">
        <v>0</v>
      </c>
      <c r="C24" s="81">
        <v>7</v>
      </c>
      <c r="D24" s="75">
        <f>_xlfn.XLOOKUP(C24,Data!$H$4:$H$10,Data!$J$4:$J$10)</f>
        <v>43.89</v>
      </c>
      <c r="E24" s="75">
        <f>_xlfn.XLOOKUP(C24,Data!$H$4:$H$10,Data!$K$4:$K$10)</f>
        <v>-90.16</v>
      </c>
      <c r="F24" s="81">
        <v>1</v>
      </c>
      <c r="G24" s="75">
        <f>_xlfn.XLOOKUP(F24,Data!$H$4:$H$10,Data!$J$4:$J$10)</f>
        <v>37.5</v>
      </c>
      <c r="H24" s="75">
        <f>_xlfn.XLOOKUP(F24,Data!$H$4:$H$10,Data!$K$4:$K$10)</f>
        <v>-102.5</v>
      </c>
      <c r="I24" s="82">
        <v>20</v>
      </c>
      <c r="J24" s="83">
        <f t="shared" si="0"/>
        <v>13.896319656657301</v>
      </c>
      <c r="K24" s="84" t="s">
        <v>27</v>
      </c>
      <c r="L24" s="82">
        <v>0</v>
      </c>
      <c r="M24" s="81">
        <v>97</v>
      </c>
      <c r="N24" s="85">
        <f t="shared" si="1"/>
        <v>1</v>
      </c>
      <c r="O24" s="1"/>
      <c r="P24" s="1"/>
      <c r="Q24" s="1"/>
      <c r="R24" s="1"/>
      <c r="S24" s="1"/>
      <c r="T24" s="1"/>
      <c r="U24" s="1"/>
      <c r="V24" s="1"/>
      <c r="W24" s="1"/>
    </row>
    <row r="25" spans="2:23" ht="16" thickBot="1" x14ac:dyDescent="0.25">
      <c r="B25" s="80">
        <v>0</v>
      </c>
      <c r="C25" s="81">
        <v>7</v>
      </c>
      <c r="D25" s="75">
        <f>_xlfn.XLOOKUP(C25,Data!$H$4:$H$10,Data!$J$4:$J$10)</f>
        <v>43.89</v>
      </c>
      <c r="E25" s="75">
        <f>_xlfn.XLOOKUP(C25,Data!$H$4:$H$10,Data!$K$4:$K$10)</f>
        <v>-90.16</v>
      </c>
      <c r="F25" s="81">
        <v>3</v>
      </c>
      <c r="G25" s="75">
        <f>_xlfn.XLOOKUP(F25,Data!$H$4:$H$10,Data!$J$4:$J$10)</f>
        <v>36.229999999999997</v>
      </c>
      <c r="H25" s="75">
        <f>_xlfn.XLOOKUP(F25,Data!$H$4:$H$10,Data!$K$4:$K$10)</f>
        <v>-105.23</v>
      </c>
      <c r="I25" s="82">
        <v>17</v>
      </c>
      <c r="J25" s="83">
        <f t="shared" si="0"/>
        <v>16.905043626089828</v>
      </c>
      <c r="K25" s="84" t="s">
        <v>29</v>
      </c>
      <c r="L25" s="82">
        <v>0</v>
      </c>
      <c r="M25" s="81">
        <v>82</v>
      </c>
      <c r="N25" s="85">
        <f t="shared" si="1"/>
        <v>1</v>
      </c>
      <c r="O25" s="1"/>
      <c r="P25" s="1"/>
      <c r="Q25" s="1"/>
      <c r="R25" s="1"/>
      <c r="S25" s="1"/>
      <c r="T25" s="1"/>
      <c r="U25" s="1"/>
      <c r="V25" s="1"/>
      <c r="W25" s="1"/>
    </row>
    <row r="26" spans="2:23" ht="16" thickBot="1" x14ac:dyDescent="0.25">
      <c r="B26" s="80">
        <v>0</v>
      </c>
      <c r="C26" s="81">
        <v>7</v>
      </c>
      <c r="D26" s="75">
        <f>_xlfn.XLOOKUP(C26,Data!$H$4:$H$10,Data!$J$4:$J$10)</f>
        <v>43.89</v>
      </c>
      <c r="E26" s="75">
        <f>_xlfn.XLOOKUP(C26,Data!$H$4:$H$10,Data!$K$4:$K$10)</f>
        <v>-90.16</v>
      </c>
      <c r="F26" s="81">
        <v>4</v>
      </c>
      <c r="G26" s="75">
        <f>_xlfn.XLOOKUP(F26,Data!$H$4:$H$10,Data!$J$4:$J$10)</f>
        <v>41.35</v>
      </c>
      <c r="H26" s="75">
        <f>_xlfn.XLOOKUP(F26,Data!$H$4:$H$10,Data!$K$4:$K$10)</f>
        <v>-115.86</v>
      </c>
      <c r="I26" s="82">
        <v>13</v>
      </c>
      <c r="J26" s="83">
        <f t="shared" si="0"/>
        <v>25.825212487025158</v>
      </c>
      <c r="K26" s="84" t="s">
        <v>31</v>
      </c>
      <c r="L26" s="82">
        <v>0</v>
      </c>
      <c r="M26" s="81">
        <v>101</v>
      </c>
      <c r="N26" s="85">
        <f t="shared" si="1"/>
        <v>1</v>
      </c>
      <c r="O26" s="1"/>
      <c r="P26" s="1"/>
      <c r="Q26" s="1"/>
      <c r="R26" s="1"/>
      <c r="S26" s="1"/>
      <c r="T26" s="1"/>
      <c r="U26" s="1"/>
      <c r="V26" s="1"/>
      <c r="W26" s="1"/>
    </row>
    <row r="27" spans="2:23" ht="16" thickBot="1" x14ac:dyDescent="0.25">
      <c r="B27" s="86">
        <v>0</v>
      </c>
      <c r="C27" s="87">
        <v>7</v>
      </c>
      <c r="D27" s="75">
        <f>_xlfn.XLOOKUP(C27,Data!$H$4:$H$10,Data!$J$4:$J$10)</f>
        <v>43.89</v>
      </c>
      <c r="E27" s="75">
        <f>_xlfn.XLOOKUP(C27,Data!$H$4:$H$10,Data!$K$4:$K$10)</f>
        <v>-90.16</v>
      </c>
      <c r="F27" s="87">
        <v>6</v>
      </c>
      <c r="G27" s="75">
        <f>_xlfn.XLOOKUP(F27,Data!$H$4:$H$10,Data!$J$4:$J$10)</f>
        <v>35.67</v>
      </c>
      <c r="H27" s="75">
        <f>_xlfn.XLOOKUP(F27,Data!$H$4:$H$10,Data!$K$4:$K$10)</f>
        <v>-103.89</v>
      </c>
      <c r="I27" s="88">
        <v>16</v>
      </c>
      <c r="J27" s="89">
        <f t="shared" si="0"/>
        <v>16.002540423320294</v>
      </c>
      <c r="K27" s="90" t="s">
        <v>32</v>
      </c>
      <c r="L27" s="88">
        <v>1</v>
      </c>
      <c r="M27" s="87">
        <v>92</v>
      </c>
      <c r="N27" s="91">
        <f t="shared" si="1"/>
        <v>1</v>
      </c>
      <c r="O27" s="1"/>
      <c r="P27" s="1"/>
      <c r="Q27" s="1"/>
      <c r="R27" s="1"/>
      <c r="S27" s="1"/>
      <c r="T27" s="1"/>
      <c r="U27" s="1"/>
      <c r="V27" s="1"/>
      <c r="W27" s="1"/>
    </row>
  </sheetData>
  <mergeCells count="8">
    <mergeCell ref="K2:L2"/>
    <mergeCell ref="Q16:S16"/>
    <mergeCell ref="U11:U12"/>
    <mergeCell ref="W11:W12"/>
    <mergeCell ref="Q12:S12"/>
    <mergeCell ref="Q13:S13"/>
    <mergeCell ref="Q14:S14"/>
    <mergeCell ref="Q15:S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974C-351F-49DC-8C82-5795A49C2BC1}">
  <dimension ref="B2:W27"/>
  <sheetViews>
    <sheetView zoomScale="81" zoomScaleNormal="55" workbookViewId="0">
      <selection activeCell="N54" sqref="N54"/>
    </sheetView>
  </sheetViews>
  <sheetFormatPr baseColWidth="10" defaultColWidth="8.83203125" defaultRowHeight="15" x14ac:dyDescent="0.2"/>
  <cols>
    <col min="2" max="2" width="13.6640625" bestFit="1" customWidth="1"/>
    <col min="8" max="8" width="10" bestFit="1" customWidth="1"/>
    <col min="9" max="9" width="21.6640625" bestFit="1" customWidth="1"/>
    <col min="10" max="10" width="18" bestFit="1" customWidth="1"/>
    <col min="11" max="11" width="26.1640625" bestFit="1" customWidth="1"/>
    <col min="13" max="13" width="16.5" bestFit="1" customWidth="1"/>
    <col min="16" max="16" width="24.5" customWidth="1"/>
    <col min="20" max="20" width="15.5" bestFit="1" customWidth="1"/>
    <col min="21" max="21" width="17.1640625" customWidth="1"/>
  </cols>
  <sheetData>
    <row r="2" spans="2:23" ht="16" thickBot="1" x14ac:dyDescent="0.25">
      <c r="K2" s="70" t="s">
        <v>66</v>
      </c>
      <c r="L2" s="70"/>
    </row>
    <row r="3" spans="2:23" ht="16" thickBot="1" x14ac:dyDescent="0.25">
      <c r="B3" s="92" t="s">
        <v>47</v>
      </c>
      <c r="C3" s="93" t="s">
        <v>22</v>
      </c>
      <c r="D3" s="93" t="s">
        <v>48</v>
      </c>
      <c r="E3" s="93" t="s">
        <v>49</v>
      </c>
      <c r="F3" s="93" t="s">
        <v>23</v>
      </c>
      <c r="G3" s="93" t="s">
        <v>50</v>
      </c>
      <c r="H3" s="93" t="s">
        <v>51</v>
      </c>
      <c r="I3" s="93" t="s">
        <v>24</v>
      </c>
      <c r="J3" s="93" t="s">
        <v>52</v>
      </c>
      <c r="K3" s="93" t="s">
        <v>25</v>
      </c>
      <c r="L3" s="93" t="s">
        <v>53</v>
      </c>
      <c r="M3" s="93" t="s">
        <v>26</v>
      </c>
      <c r="N3" s="94" t="s">
        <v>53</v>
      </c>
      <c r="O3" s="1"/>
      <c r="P3" s="23" t="s">
        <v>54</v>
      </c>
      <c r="Q3" s="24" t="s">
        <v>55</v>
      </c>
      <c r="R3" s="24" t="s">
        <v>56</v>
      </c>
      <c r="S3" s="24" t="s">
        <v>57</v>
      </c>
      <c r="T3" s="25" t="s">
        <v>58</v>
      </c>
      <c r="U3" s="1"/>
      <c r="V3" s="1"/>
      <c r="W3" s="1"/>
    </row>
    <row r="4" spans="2:23" ht="16" thickBot="1" x14ac:dyDescent="0.25">
      <c r="B4" s="74">
        <v>2789</v>
      </c>
      <c r="C4" s="75">
        <v>1</v>
      </c>
      <c r="D4" s="75">
        <f>_xlfn.XLOOKUP(C4,Data!$H$4:$H$10,Data!$J$4:$J$10)</f>
        <v>37.5</v>
      </c>
      <c r="E4" s="75">
        <f>_xlfn.XLOOKUP(C4,Data!$H$4:$H$10,Data!$K$4:$K$10)</f>
        <v>-102.5</v>
      </c>
      <c r="F4" s="75">
        <v>2</v>
      </c>
      <c r="G4" s="75">
        <f>_xlfn.XLOOKUP(F4,Data!$H$4:$H$10,Data!$J$4:$J$10)</f>
        <v>40.68</v>
      </c>
      <c r="H4" s="75">
        <f>_xlfn.XLOOKUP(F4,Data!$H$4:$H$10,Data!$K$4:$K$10)</f>
        <v>-108.12</v>
      </c>
      <c r="I4" s="76">
        <v>8</v>
      </c>
      <c r="J4" s="77">
        <f>SQRT(((G4-D4)^2)+((H4-E4)^2))</f>
        <v>6.4573059397863481</v>
      </c>
      <c r="K4" s="78" t="s">
        <v>27</v>
      </c>
      <c r="L4" s="76">
        <v>0</v>
      </c>
      <c r="M4" s="75">
        <v>93</v>
      </c>
      <c r="N4" s="79">
        <f>IF(M4&gt;=70,1,0)</f>
        <v>1</v>
      </c>
      <c r="O4" s="1"/>
      <c r="P4" s="26">
        <v>1</v>
      </c>
      <c r="Q4" s="27">
        <f>SUMIF($F$4:$F$27,P4,$B$4:$B$27)</f>
        <v>0</v>
      </c>
      <c r="R4" s="28">
        <f>SUMIF($C$4:$C$27,P4,$B$4:$B$27)</f>
        <v>9060</v>
      </c>
      <c r="S4" s="28">
        <f>Q4-R4</f>
        <v>-9060</v>
      </c>
      <c r="T4" s="29">
        <v>-9060</v>
      </c>
      <c r="U4" s="1"/>
      <c r="V4" s="1"/>
      <c r="W4" s="1"/>
    </row>
    <row r="5" spans="2:23" ht="16" thickBot="1" x14ac:dyDescent="0.25">
      <c r="B5" s="80">
        <v>1752</v>
      </c>
      <c r="C5" s="81">
        <v>1</v>
      </c>
      <c r="D5" s="75">
        <f>_xlfn.XLOOKUP(C5,Data!$H$4:$H$10,Data!$J$4:$J$10)</f>
        <v>37.5</v>
      </c>
      <c r="E5" s="75">
        <f>_xlfn.XLOOKUP(C5,Data!$H$4:$H$10,Data!$K$4:$K$10)</f>
        <v>-102.5</v>
      </c>
      <c r="F5" s="81">
        <v>4</v>
      </c>
      <c r="G5" s="75">
        <f>_xlfn.XLOOKUP(F5,Data!$H$4:$H$10,Data!$J$4:$J$10)</f>
        <v>41.35</v>
      </c>
      <c r="H5" s="75">
        <f>_xlfn.XLOOKUP(F5,Data!$H$4:$H$10,Data!$K$4:$K$10)</f>
        <v>-115.86</v>
      </c>
      <c r="I5" s="82">
        <v>11</v>
      </c>
      <c r="J5" s="83">
        <f t="shared" ref="J5:J27" si="0">SQRT(((G5-D5)^2)+((H5-E5)^2))</f>
        <v>13.90367217680279</v>
      </c>
      <c r="K5" s="84" t="s">
        <v>28</v>
      </c>
      <c r="L5" s="82">
        <v>1</v>
      </c>
      <c r="M5" s="81">
        <v>32</v>
      </c>
      <c r="N5" s="85">
        <f t="shared" ref="N5:N27" si="1">IF(M5&gt;=70,1,0)</f>
        <v>0</v>
      </c>
      <c r="O5" s="1"/>
      <c r="P5" s="26">
        <v>2</v>
      </c>
      <c r="Q5" s="27">
        <f t="shared" ref="Q5:Q10" si="2">SUMIF($F$4:$F$27,P5,$B$4:$B$27)</f>
        <v>2789</v>
      </c>
      <c r="R5" s="28">
        <f t="shared" ref="R5:R10" si="3">SUMIF($C$4:$C$27,P5,$B$4:$B$27)</f>
        <v>1468</v>
      </c>
      <c r="S5" s="30">
        <f t="shared" ref="S5:S10" si="4">Q5-R5</f>
        <v>1321</v>
      </c>
      <c r="T5" s="31">
        <v>1321</v>
      </c>
      <c r="U5" s="1"/>
      <c r="V5" s="1"/>
      <c r="W5" s="1"/>
    </row>
    <row r="6" spans="2:23" ht="16" thickBot="1" x14ac:dyDescent="0.25">
      <c r="B6" s="80">
        <v>1278</v>
      </c>
      <c r="C6" s="81">
        <v>1</v>
      </c>
      <c r="D6" s="75">
        <f>_xlfn.XLOOKUP(C6,Data!$H$4:$H$10,Data!$J$4:$J$10)</f>
        <v>37.5</v>
      </c>
      <c r="E6" s="75">
        <f>_xlfn.XLOOKUP(C6,Data!$H$4:$H$10,Data!$K$4:$K$10)</f>
        <v>-102.5</v>
      </c>
      <c r="F6" s="81">
        <v>5</v>
      </c>
      <c r="G6" s="75">
        <f>_xlfn.XLOOKUP(F6,Data!$H$4:$H$10,Data!$J$4:$J$10)</f>
        <v>38.33</v>
      </c>
      <c r="H6" s="75">
        <f>_xlfn.XLOOKUP(F6,Data!$H$4:$H$10,Data!$K$4:$K$10)</f>
        <v>-105.4</v>
      </c>
      <c r="I6" s="82">
        <v>18</v>
      </c>
      <c r="J6" s="83">
        <f t="shared" si="0"/>
        <v>3.0164382970649388</v>
      </c>
      <c r="K6" s="84" t="s">
        <v>29</v>
      </c>
      <c r="L6" s="82">
        <v>0</v>
      </c>
      <c r="M6" s="81">
        <v>90</v>
      </c>
      <c r="N6" s="85">
        <f t="shared" si="1"/>
        <v>1</v>
      </c>
      <c r="O6" s="1"/>
      <c r="P6" s="26">
        <v>3</v>
      </c>
      <c r="Q6" s="27">
        <f t="shared" si="2"/>
        <v>1468</v>
      </c>
      <c r="R6" s="28">
        <f t="shared" si="3"/>
        <v>0</v>
      </c>
      <c r="S6" s="30">
        <f t="shared" si="4"/>
        <v>1468</v>
      </c>
      <c r="T6" s="31">
        <v>1568</v>
      </c>
      <c r="U6" s="1"/>
      <c r="V6" s="1"/>
      <c r="W6" s="1"/>
    </row>
    <row r="7" spans="2:23" ht="16" thickBot="1" x14ac:dyDescent="0.25">
      <c r="B7" s="80">
        <v>1969</v>
      </c>
      <c r="C7" s="81">
        <v>1</v>
      </c>
      <c r="D7" s="75">
        <f>_xlfn.XLOOKUP(C7,Data!$H$4:$H$10,Data!$J$4:$J$10)</f>
        <v>37.5</v>
      </c>
      <c r="E7" s="75">
        <f>_xlfn.XLOOKUP(C7,Data!$H$4:$H$10,Data!$K$4:$K$10)</f>
        <v>-102.5</v>
      </c>
      <c r="F7" s="81">
        <v>6</v>
      </c>
      <c r="G7" s="75">
        <f>_xlfn.XLOOKUP(F7,Data!$H$4:$H$10,Data!$J$4:$J$10)</f>
        <v>35.67</v>
      </c>
      <c r="H7" s="75">
        <f>_xlfn.XLOOKUP(F7,Data!$H$4:$H$10,Data!$K$4:$K$10)</f>
        <v>-103.89</v>
      </c>
      <c r="I7" s="82">
        <v>14</v>
      </c>
      <c r="J7" s="83">
        <f t="shared" si="0"/>
        <v>2.298042645383239</v>
      </c>
      <c r="K7" s="84" t="s">
        <v>29</v>
      </c>
      <c r="L7" s="82">
        <v>0</v>
      </c>
      <c r="M7" s="81">
        <v>70</v>
      </c>
      <c r="N7" s="85">
        <f t="shared" si="1"/>
        <v>1</v>
      </c>
      <c r="O7" s="1"/>
      <c r="P7" s="26">
        <v>4</v>
      </c>
      <c r="Q7" s="27">
        <f t="shared" si="2"/>
        <v>1752</v>
      </c>
      <c r="R7" s="28">
        <f t="shared" si="3"/>
        <v>0</v>
      </c>
      <c r="S7" s="30">
        <f t="shared" si="4"/>
        <v>1752</v>
      </c>
      <c r="T7" s="31">
        <v>1752</v>
      </c>
      <c r="U7" s="1"/>
      <c r="V7" s="1"/>
      <c r="W7" s="1"/>
    </row>
    <row r="8" spans="2:23" ht="16" thickBot="1" x14ac:dyDescent="0.25">
      <c r="B8" s="80">
        <v>1272</v>
      </c>
      <c r="C8" s="81">
        <v>1</v>
      </c>
      <c r="D8" s="75">
        <f>_xlfn.XLOOKUP(C8,Data!$H$4:$H$10,Data!$J$4:$J$10)</f>
        <v>37.5</v>
      </c>
      <c r="E8" s="75">
        <f>_xlfn.XLOOKUP(C8,Data!$H$4:$H$10,Data!$K$4:$K$10)</f>
        <v>-102.5</v>
      </c>
      <c r="F8" s="81">
        <v>7</v>
      </c>
      <c r="G8" s="75">
        <f>_xlfn.XLOOKUP(F8,Data!$H$4:$H$10,Data!$J$4:$J$10)</f>
        <v>43.89</v>
      </c>
      <c r="H8" s="75">
        <f>_xlfn.XLOOKUP(F8,Data!$H$4:$H$10,Data!$K$4:$K$10)</f>
        <v>-90.16</v>
      </c>
      <c r="I8" s="82">
        <v>22</v>
      </c>
      <c r="J8" s="83">
        <f t="shared" si="0"/>
        <v>13.896319656657301</v>
      </c>
      <c r="K8" s="84" t="s">
        <v>27</v>
      </c>
      <c r="L8" s="82">
        <v>0</v>
      </c>
      <c r="M8" s="81">
        <v>87</v>
      </c>
      <c r="N8" s="85">
        <f t="shared" si="1"/>
        <v>1</v>
      </c>
      <c r="O8" s="1"/>
      <c r="P8" s="26">
        <v>5</v>
      </c>
      <c r="Q8" s="27">
        <f t="shared" si="2"/>
        <v>1278</v>
      </c>
      <c r="R8" s="28">
        <f t="shared" si="3"/>
        <v>0</v>
      </c>
      <c r="S8" s="30">
        <f t="shared" si="4"/>
        <v>1278</v>
      </c>
      <c r="T8" s="31">
        <v>1278</v>
      </c>
      <c r="U8" s="1"/>
      <c r="V8" s="1"/>
      <c r="W8" s="1"/>
    </row>
    <row r="9" spans="2:23" ht="16" thickBot="1" x14ac:dyDescent="0.25">
      <c r="B9" s="80">
        <v>1468</v>
      </c>
      <c r="C9" s="81">
        <v>2</v>
      </c>
      <c r="D9" s="75">
        <f>_xlfn.XLOOKUP(C9,Data!$H$4:$H$10,Data!$J$4:$J$10)</f>
        <v>40.68</v>
      </c>
      <c r="E9" s="75">
        <f>_xlfn.XLOOKUP(C9,Data!$H$4:$H$10,Data!$K$4:$K$10)</f>
        <v>-108.12</v>
      </c>
      <c r="F9" s="81">
        <v>3</v>
      </c>
      <c r="G9" s="75">
        <f>_xlfn.XLOOKUP(F9,Data!$H$4:$H$10,Data!$J$4:$J$10)</f>
        <v>36.229999999999997</v>
      </c>
      <c r="H9" s="75">
        <f>_xlfn.XLOOKUP(F9,Data!$H$4:$H$10,Data!$K$4:$K$10)</f>
        <v>-105.23</v>
      </c>
      <c r="I9" s="82">
        <v>21</v>
      </c>
      <c r="J9" s="83">
        <f t="shared" si="0"/>
        <v>5.3060908397802642</v>
      </c>
      <c r="K9" s="84" t="s">
        <v>30</v>
      </c>
      <c r="L9" s="82">
        <v>0</v>
      </c>
      <c r="M9" s="81">
        <v>90</v>
      </c>
      <c r="N9" s="85">
        <f t="shared" si="1"/>
        <v>1</v>
      </c>
      <c r="O9" s="1"/>
      <c r="P9" s="26">
        <v>6</v>
      </c>
      <c r="Q9" s="27">
        <f t="shared" si="2"/>
        <v>1969</v>
      </c>
      <c r="R9" s="28">
        <f t="shared" si="3"/>
        <v>0</v>
      </c>
      <c r="S9" s="30">
        <f t="shared" si="4"/>
        <v>1969</v>
      </c>
      <c r="T9" s="31">
        <v>1969</v>
      </c>
      <c r="U9" s="1"/>
      <c r="V9" s="1"/>
      <c r="W9" s="1"/>
    </row>
    <row r="10" spans="2:23" ht="16" thickBot="1" x14ac:dyDescent="0.25">
      <c r="B10" s="80">
        <v>0</v>
      </c>
      <c r="C10" s="81">
        <v>2</v>
      </c>
      <c r="D10" s="75">
        <f>_xlfn.XLOOKUP(C10,Data!$H$4:$H$10,Data!$J$4:$J$10)</f>
        <v>40.68</v>
      </c>
      <c r="E10" s="75">
        <f>_xlfn.XLOOKUP(C10,Data!$H$4:$H$10,Data!$K$4:$K$10)</f>
        <v>-108.12</v>
      </c>
      <c r="F10" s="81">
        <v>5</v>
      </c>
      <c r="G10" s="75">
        <f>_xlfn.XLOOKUP(F10,Data!$H$4:$H$10,Data!$J$4:$J$10)</f>
        <v>38.33</v>
      </c>
      <c r="H10" s="75">
        <f>_xlfn.XLOOKUP(F10,Data!$H$4:$H$10,Data!$K$4:$K$10)</f>
        <v>-105.4</v>
      </c>
      <c r="I10" s="82">
        <v>22</v>
      </c>
      <c r="J10" s="83">
        <f t="shared" si="0"/>
        <v>3.5945653422910535</v>
      </c>
      <c r="K10" s="84" t="s">
        <v>30</v>
      </c>
      <c r="L10" s="82">
        <v>0</v>
      </c>
      <c r="M10" s="81">
        <v>88</v>
      </c>
      <c r="N10" s="85">
        <f t="shared" si="1"/>
        <v>1</v>
      </c>
      <c r="O10" s="1"/>
      <c r="P10" s="32">
        <v>7</v>
      </c>
      <c r="Q10" s="27">
        <f t="shared" si="2"/>
        <v>1272</v>
      </c>
      <c r="R10" s="28">
        <f t="shared" si="3"/>
        <v>0</v>
      </c>
      <c r="S10" s="33">
        <f t="shared" si="4"/>
        <v>1272</v>
      </c>
      <c r="T10" s="34">
        <v>1272</v>
      </c>
      <c r="U10" s="1"/>
      <c r="V10" s="1"/>
      <c r="W10" s="1"/>
    </row>
    <row r="11" spans="2:23" ht="16" thickBot="1" x14ac:dyDescent="0.25">
      <c r="B11" s="80">
        <v>0</v>
      </c>
      <c r="C11" s="81">
        <v>3</v>
      </c>
      <c r="D11" s="75">
        <f>_xlfn.XLOOKUP(C11,Data!$H$4:$H$10,Data!$J$4:$J$10)</f>
        <v>36.229999999999997</v>
      </c>
      <c r="E11" s="75">
        <f>_xlfn.XLOOKUP(C11,Data!$H$4:$H$10,Data!$K$4:$K$10)</f>
        <v>-105.23</v>
      </c>
      <c r="F11" s="81">
        <v>1</v>
      </c>
      <c r="G11" s="75">
        <f>_xlfn.XLOOKUP(F11,Data!$H$4:$H$10,Data!$J$4:$J$10)</f>
        <v>37.5</v>
      </c>
      <c r="H11" s="75">
        <f>_xlfn.XLOOKUP(F11,Data!$H$4:$H$10,Data!$K$4:$K$10)</f>
        <v>-102.5</v>
      </c>
      <c r="I11" s="82">
        <v>5</v>
      </c>
      <c r="J11" s="83">
        <f t="shared" si="0"/>
        <v>3.0109466949781809</v>
      </c>
      <c r="K11" s="84" t="s">
        <v>29</v>
      </c>
      <c r="L11" s="82">
        <v>0</v>
      </c>
      <c r="M11" s="81">
        <v>90</v>
      </c>
      <c r="N11" s="85">
        <f t="shared" si="1"/>
        <v>1</v>
      </c>
      <c r="O11" s="1"/>
      <c r="P11" s="4"/>
      <c r="Q11" s="4"/>
      <c r="R11" s="4"/>
      <c r="S11" s="4"/>
      <c r="T11" s="4"/>
      <c r="U11" s="55" t="s">
        <v>15</v>
      </c>
      <c r="V11" s="4"/>
      <c r="W11" s="55" t="s">
        <v>59</v>
      </c>
    </row>
    <row r="12" spans="2:23" ht="16" thickBot="1" x14ac:dyDescent="0.25">
      <c r="B12" s="80">
        <v>0</v>
      </c>
      <c r="C12" s="81">
        <v>3</v>
      </c>
      <c r="D12" s="75">
        <f>_xlfn.XLOOKUP(C12,Data!$H$4:$H$10,Data!$J$4:$J$10)</f>
        <v>36.229999999999997</v>
      </c>
      <c r="E12" s="75">
        <f>_xlfn.XLOOKUP(C12,Data!$H$4:$H$10,Data!$K$4:$K$10)</f>
        <v>-105.23</v>
      </c>
      <c r="F12" s="81">
        <v>2</v>
      </c>
      <c r="G12" s="75">
        <f>_xlfn.XLOOKUP(F12,Data!$H$4:$H$10,Data!$J$4:$J$10)</f>
        <v>40.68</v>
      </c>
      <c r="H12" s="75">
        <f>_xlfn.XLOOKUP(F12,Data!$H$4:$H$10,Data!$K$4:$K$10)</f>
        <v>-108.12</v>
      </c>
      <c r="I12" s="82">
        <v>20</v>
      </c>
      <c r="J12" s="83">
        <f t="shared" si="0"/>
        <v>5.3060908397802642</v>
      </c>
      <c r="K12" s="84" t="s">
        <v>27</v>
      </c>
      <c r="L12" s="82">
        <v>0</v>
      </c>
      <c r="M12" s="81">
        <v>79</v>
      </c>
      <c r="N12" s="85">
        <f t="shared" si="1"/>
        <v>1</v>
      </c>
      <c r="O12" s="1"/>
      <c r="P12" s="35" t="s">
        <v>13</v>
      </c>
      <c r="Q12" s="62" t="s">
        <v>60</v>
      </c>
      <c r="R12" s="62"/>
      <c r="S12" s="63"/>
      <c r="T12" s="4" t="s">
        <v>21</v>
      </c>
      <c r="U12" s="55"/>
      <c r="V12" s="4" t="s">
        <v>16</v>
      </c>
      <c r="W12" s="55"/>
    </row>
    <row r="13" spans="2:23" ht="16" thickBot="1" x14ac:dyDescent="0.25">
      <c r="B13" s="80">
        <v>0</v>
      </c>
      <c r="C13" s="81">
        <v>3</v>
      </c>
      <c r="D13" s="75">
        <f>_xlfn.XLOOKUP(C13,Data!$H$4:$H$10,Data!$J$4:$J$10)</f>
        <v>36.229999999999997</v>
      </c>
      <c r="E13" s="75">
        <f>_xlfn.XLOOKUP(C13,Data!$H$4:$H$10,Data!$K$4:$K$10)</f>
        <v>-105.23</v>
      </c>
      <c r="F13" s="81">
        <v>4</v>
      </c>
      <c r="G13" s="75">
        <f>_xlfn.XLOOKUP(F13,Data!$H$4:$H$10,Data!$J$4:$J$10)</f>
        <v>41.35</v>
      </c>
      <c r="H13" s="75">
        <f>_xlfn.XLOOKUP(F13,Data!$H$4:$H$10,Data!$K$4:$K$10)</f>
        <v>-115.86</v>
      </c>
      <c r="I13" s="82">
        <v>23</v>
      </c>
      <c r="J13" s="83">
        <f t="shared" si="0"/>
        <v>11.798783835633227</v>
      </c>
      <c r="K13" s="84" t="s">
        <v>28</v>
      </c>
      <c r="L13" s="82">
        <v>1</v>
      </c>
      <c r="M13" s="81">
        <v>88</v>
      </c>
      <c r="N13" s="85">
        <f t="shared" si="1"/>
        <v>1</v>
      </c>
      <c r="O13" s="1"/>
      <c r="P13" s="36">
        <f>SUMPRODUCT($I$4:$I$27,$B$4:$B$27)</f>
        <v>150966</v>
      </c>
      <c r="Q13" s="64">
        <v>150966</v>
      </c>
      <c r="R13" s="65"/>
      <c r="S13" s="66"/>
      <c r="T13" s="37">
        <f>P13-Q13</f>
        <v>0</v>
      </c>
      <c r="U13" s="38">
        <f>T13/Q13</f>
        <v>0</v>
      </c>
      <c r="V13" s="39">
        <f>0.6</f>
        <v>0.6</v>
      </c>
      <c r="W13" s="17">
        <f>U13*V13</f>
        <v>0</v>
      </c>
    </row>
    <row r="14" spans="2:23" ht="16" thickBot="1" x14ac:dyDescent="0.25">
      <c r="B14" s="80">
        <v>0</v>
      </c>
      <c r="C14" s="81">
        <v>3</v>
      </c>
      <c r="D14" s="75">
        <f>_xlfn.XLOOKUP(C14,Data!$H$4:$H$10,Data!$J$4:$J$10)</f>
        <v>36.229999999999997</v>
      </c>
      <c r="E14" s="75">
        <f>_xlfn.XLOOKUP(C14,Data!$H$4:$H$10,Data!$K$4:$K$10)</f>
        <v>-105.23</v>
      </c>
      <c r="F14" s="81">
        <v>6</v>
      </c>
      <c r="G14" s="75">
        <f>_xlfn.XLOOKUP(F14,Data!$H$4:$H$10,Data!$J$4:$J$10)</f>
        <v>35.67</v>
      </c>
      <c r="H14" s="75">
        <f>_xlfn.XLOOKUP(F14,Data!$H$4:$H$10,Data!$K$4:$K$10)</f>
        <v>-103.89</v>
      </c>
      <c r="I14" s="82">
        <v>9</v>
      </c>
      <c r="J14" s="83">
        <f t="shared" si="0"/>
        <v>1.4523085071705681</v>
      </c>
      <c r="K14" s="84" t="s">
        <v>31</v>
      </c>
      <c r="L14" s="82">
        <v>0</v>
      </c>
      <c r="M14" s="81">
        <v>29</v>
      </c>
      <c r="N14" s="85">
        <f t="shared" si="1"/>
        <v>0</v>
      </c>
      <c r="O14" s="1"/>
      <c r="P14" s="40">
        <f>SUMPRODUCT($B$4:$B$27,$J$4:$J$27)</f>
        <v>76213.973988296726</v>
      </c>
      <c r="Q14" s="67">
        <v>75250</v>
      </c>
      <c r="R14" s="68"/>
      <c r="S14" s="69"/>
      <c r="T14" s="41">
        <f t="shared" ref="T14:T16" si="5">P14-Q14</f>
        <v>963.97398829672602</v>
      </c>
      <c r="U14" s="38">
        <f t="shared" ref="U14:U16" si="6">T14/Q14</f>
        <v>1.2810285558760478E-2</v>
      </c>
      <c r="V14" s="39">
        <v>0.35</v>
      </c>
      <c r="W14" s="17">
        <f t="shared" ref="W14:W16" si="7">U14*V14</f>
        <v>4.4835999455661675E-3</v>
      </c>
    </row>
    <row r="15" spans="2:23" ht="16" thickBot="1" x14ac:dyDescent="0.25">
      <c r="B15" s="80">
        <v>0</v>
      </c>
      <c r="C15" s="81">
        <v>3</v>
      </c>
      <c r="D15" s="75">
        <f>_xlfn.XLOOKUP(C15,Data!$H$4:$H$10,Data!$J$4:$J$10)</f>
        <v>36.229999999999997</v>
      </c>
      <c r="E15" s="75">
        <f>_xlfn.XLOOKUP(C15,Data!$H$4:$H$10,Data!$K$4:$K$10)</f>
        <v>-105.23</v>
      </c>
      <c r="F15" s="81">
        <v>7</v>
      </c>
      <c r="G15" s="75">
        <f>_xlfn.XLOOKUP(F15,Data!$H$4:$H$10,Data!$J$4:$J$10)</f>
        <v>43.89</v>
      </c>
      <c r="H15" s="75">
        <f>_xlfn.XLOOKUP(F15,Data!$H$4:$H$10,Data!$K$4:$K$10)</f>
        <v>-90.16</v>
      </c>
      <c r="I15" s="82">
        <v>10</v>
      </c>
      <c r="J15" s="83">
        <f t="shared" si="0"/>
        <v>16.905043626089828</v>
      </c>
      <c r="K15" s="84" t="s">
        <v>30</v>
      </c>
      <c r="L15" s="82">
        <v>0</v>
      </c>
      <c r="M15" s="81">
        <v>84</v>
      </c>
      <c r="N15" s="85">
        <f t="shared" si="1"/>
        <v>1</v>
      </c>
      <c r="O15" s="1"/>
      <c r="P15" s="42">
        <f>SUMPRODUCT($B$4:$B$27,$L$4:$L$27)</f>
        <v>1752</v>
      </c>
      <c r="Q15" s="61">
        <v>1400</v>
      </c>
      <c r="R15" s="62"/>
      <c r="S15" s="63"/>
      <c r="T15" s="41">
        <f t="shared" si="5"/>
        <v>352</v>
      </c>
      <c r="U15" s="38">
        <f t="shared" si="6"/>
        <v>0.25142857142857145</v>
      </c>
      <c r="V15" s="39">
        <f>0.02</f>
        <v>0.02</v>
      </c>
      <c r="W15" s="17">
        <f t="shared" si="7"/>
        <v>5.0285714285714291E-3</v>
      </c>
    </row>
    <row r="16" spans="2:23" ht="16" thickBot="1" x14ac:dyDescent="0.25">
      <c r="B16" s="80">
        <v>0</v>
      </c>
      <c r="C16" s="81">
        <v>4</v>
      </c>
      <c r="D16" s="75">
        <f>_xlfn.XLOOKUP(C16,Data!$H$4:$H$10,Data!$J$4:$J$10)</f>
        <v>41.35</v>
      </c>
      <c r="E16" s="75">
        <f>_xlfn.XLOOKUP(C16,Data!$H$4:$H$10,Data!$K$4:$K$10)</f>
        <v>-115.86</v>
      </c>
      <c r="F16" s="81">
        <v>1</v>
      </c>
      <c r="G16" s="75">
        <f>_xlfn.XLOOKUP(F16,Data!$H$4:$H$10,Data!$J$4:$J$10)</f>
        <v>37.5</v>
      </c>
      <c r="H16" s="75">
        <f>_xlfn.XLOOKUP(F16,Data!$H$4:$H$10,Data!$K$4:$K$10)</f>
        <v>-102.5</v>
      </c>
      <c r="I16" s="82">
        <v>18</v>
      </c>
      <c r="J16" s="83">
        <f t="shared" si="0"/>
        <v>13.90367217680279</v>
      </c>
      <c r="K16" s="84" t="s">
        <v>32</v>
      </c>
      <c r="L16" s="82">
        <v>1</v>
      </c>
      <c r="M16" s="81">
        <v>109</v>
      </c>
      <c r="N16" s="85">
        <f t="shared" si="1"/>
        <v>1</v>
      </c>
      <c r="O16" s="1"/>
      <c r="P16" s="35">
        <f>SUMPRODUCT($B$4:$B$27,$N$4:$N$27)</f>
        <v>8776</v>
      </c>
      <c r="Q16" s="61">
        <v>8700</v>
      </c>
      <c r="R16" s="62"/>
      <c r="S16" s="63"/>
      <c r="T16" s="41">
        <f t="shared" si="5"/>
        <v>76</v>
      </c>
      <c r="U16" s="38">
        <f t="shared" si="6"/>
        <v>8.7356321839080452E-3</v>
      </c>
      <c r="V16" s="39">
        <v>0.03</v>
      </c>
      <c r="W16" s="17">
        <f t="shared" si="7"/>
        <v>2.6206896551724137E-4</v>
      </c>
    </row>
    <row r="17" spans="2:23" ht="16" thickBot="1" x14ac:dyDescent="0.25">
      <c r="B17" s="80">
        <v>0</v>
      </c>
      <c r="C17" s="81">
        <v>4</v>
      </c>
      <c r="D17" s="75">
        <f>_xlfn.XLOOKUP(C17,Data!$H$4:$H$10,Data!$J$4:$J$10)</f>
        <v>41.35</v>
      </c>
      <c r="E17" s="75">
        <f>_xlfn.XLOOKUP(C17,Data!$H$4:$H$10,Data!$K$4:$K$10)</f>
        <v>-115.86</v>
      </c>
      <c r="F17" s="81">
        <v>2</v>
      </c>
      <c r="G17" s="75">
        <f>_xlfn.XLOOKUP(F17,Data!$H$4:$H$10,Data!$J$4:$J$10)</f>
        <v>40.68</v>
      </c>
      <c r="H17" s="75">
        <f>_xlfn.XLOOKUP(F17,Data!$H$4:$H$10,Data!$K$4:$K$10)</f>
        <v>-108.12</v>
      </c>
      <c r="I17" s="82">
        <v>8</v>
      </c>
      <c r="J17" s="83">
        <f t="shared" si="0"/>
        <v>7.7689445872653726</v>
      </c>
      <c r="K17" s="84" t="s">
        <v>30</v>
      </c>
      <c r="L17" s="82">
        <v>0</v>
      </c>
      <c r="M17" s="81">
        <v>30</v>
      </c>
      <c r="N17" s="85">
        <f t="shared" si="1"/>
        <v>0</v>
      </c>
      <c r="O17" s="1"/>
      <c r="P17" s="4"/>
      <c r="Q17" s="4"/>
      <c r="R17" s="4"/>
      <c r="S17" s="4"/>
      <c r="T17" s="4"/>
      <c r="U17" s="4"/>
      <c r="V17" s="4"/>
      <c r="W17" s="4"/>
    </row>
    <row r="18" spans="2:23" ht="16" thickBot="1" x14ac:dyDescent="0.25">
      <c r="B18" s="80">
        <v>0</v>
      </c>
      <c r="C18" s="81">
        <v>4</v>
      </c>
      <c r="D18" s="75">
        <f>_xlfn.XLOOKUP(C18,Data!$H$4:$H$10,Data!$J$4:$J$10)</f>
        <v>41.35</v>
      </c>
      <c r="E18" s="75">
        <f>_xlfn.XLOOKUP(C18,Data!$H$4:$H$10,Data!$K$4:$K$10)</f>
        <v>-115.86</v>
      </c>
      <c r="F18" s="81">
        <v>6</v>
      </c>
      <c r="G18" s="75">
        <f>_xlfn.XLOOKUP(F18,Data!$H$4:$H$10,Data!$J$4:$J$10)</f>
        <v>35.67</v>
      </c>
      <c r="H18" s="75">
        <f>_xlfn.XLOOKUP(F18,Data!$H$4:$H$10,Data!$K$4:$K$10)</f>
        <v>-103.89</v>
      </c>
      <c r="I18" s="82">
        <v>18</v>
      </c>
      <c r="J18" s="83">
        <f t="shared" si="0"/>
        <v>13.249275451887925</v>
      </c>
      <c r="K18" s="84" t="s">
        <v>30</v>
      </c>
      <c r="L18" s="82">
        <v>0</v>
      </c>
      <c r="M18" s="81">
        <v>115</v>
      </c>
      <c r="N18" s="85">
        <f t="shared" si="1"/>
        <v>1</v>
      </c>
      <c r="O18" s="1"/>
      <c r="P18" s="43" t="s">
        <v>61</v>
      </c>
      <c r="Q18" s="44">
        <v>5.0285714285695391E-3</v>
      </c>
      <c r="R18" s="4"/>
      <c r="S18" s="4"/>
      <c r="T18" s="4"/>
      <c r="U18" s="4"/>
      <c r="V18" s="4"/>
      <c r="W18" s="4"/>
    </row>
    <row r="19" spans="2:23" ht="16" thickBot="1" x14ac:dyDescent="0.25">
      <c r="B19" s="80">
        <v>0</v>
      </c>
      <c r="C19" s="81">
        <v>4</v>
      </c>
      <c r="D19" s="75">
        <f>_xlfn.XLOOKUP(C19,Data!$H$4:$H$10,Data!$J$4:$J$10)</f>
        <v>41.35</v>
      </c>
      <c r="E19" s="75">
        <f>_xlfn.XLOOKUP(C19,Data!$H$4:$H$10,Data!$K$4:$K$10)</f>
        <v>-115.86</v>
      </c>
      <c r="F19" s="81">
        <v>7</v>
      </c>
      <c r="G19" s="75">
        <f>_xlfn.XLOOKUP(F19,Data!$H$4:$H$10,Data!$J$4:$J$10)</f>
        <v>43.89</v>
      </c>
      <c r="H19" s="75">
        <f>_xlfn.XLOOKUP(F19,Data!$H$4:$H$10,Data!$K$4:$K$10)</f>
        <v>-90.16</v>
      </c>
      <c r="I19" s="82">
        <v>7</v>
      </c>
      <c r="J19" s="83">
        <f t="shared" si="0"/>
        <v>25.825212487025158</v>
      </c>
      <c r="K19" s="84" t="s">
        <v>33</v>
      </c>
      <c r="L19" s="82">
        <v>1</v>
      </c>
      <c r="M19" s="81">
        <v>95</v>
      </c>
      <c r="N19" s="85">
        <f t="shared" si="1"/>
        <v>1</v>
      </c>
      <c r="O19" s="1"/>
      <c r="P19" s="4"/>
      <c r="Q19" s="4"/>
      <c r="R19" s="4"/>
      <c r="S19" s="4"/>
      <c r="T19" s="4"/>
      <c r="U19" s="4"/>
      <c r="V19" s="4"/>
      <c r="W19" s="4"/>
    </row>
    <row r="20" spans="2:23" ht="16" thickBot="1" x14ac:dyDescent="0.25">
      <c r="B20" s="80">
        <v>0</v>
      </c>
      <c r="C20" s="81">
        <v>5</v>
      </c>
      <c r="D20" s="75">
        <f>_xlfn.XLOOKUP(C20,Data!$H$4:$H$10,Data!$J$4:$J$10)</f>
        <v>38.33</v>
      </c>
      <c r="E20" s="75">
        <f>_xlfn.XLOOKUP(C20,Data!$H$4:$H$10,Data!$K$4:$K$10)</f>
        <v>-105.4</v>
      </c>
      <c r="F20" s="81">
        <v>1</v>
      </c>
      <c r="G20" s="75">
        <f>_xlfn.XLOOKUP(F20,Data!$H$4:$H$10,Data!$J$4:$J$10)</f>
        <v>37.5</v>
      </c>
      <c r="H20" s="75">
        <f>_xlfn.XLOOKUP(F20,Data!$H$4:$H$10,Data!$K$4:$K$10)</f>
        <v>-102.5</v>
      </c>
      <c r="I20" s="82">
        <v>14</v>
      </c>
      <c r="J20" s="83">
        <f t="shared" si="0"/>
        <v>3.0164382970649388</v>
      </c>
      <c r="K20" s="84" t="s">
        <v>31</v>
      </c>
      <c r="L20" s="82">
        <v>0</v>
      </c>
      <c r="M20" s="81">
        <v>88</v>
      </c>
      <c r="N20" s="85">
        <f t="shared" si="1"/>
        <v>1</v>
      </c>
      <c r="O20" s="1"/>
      <c r="P20" s="1"/>
      <c r="Q20" s="1"/>
      <c r="R20" s="1"/>
      <c r="S20" s="1"/>
      <c r="T20" s="1"/>
      <c r="U20" s="1"/>
      <c r="V20" s="1"/>
      <c r="W20" s="1"/>
    </row>
    <row r="21" spans="2:23" ht="16" thickBot="1" x14ac:dyDescent="0.25">
      <c r="B21" s="80">
        <v>0</v>
      </c>
      <c r="C21" s="81">
        <v>5</v>
      </c>
      <c r="D21" s="75">
        <f>_xlfn.XLOOKUP(C21,Data!$H$4:$H$10,Data!$J$4:$J$10)</f>
        <v>38.33</v>
      </c>
      <c r="E21" s="75">
        <f>_xlfn.XLOOKUP(C21,Data!$H$4:$H$10,Data!$K$4:$K$10)</f>
        <v>-105.4</v>
      </c>
      <c r="F21" s="81">
        <v>6</v>
      </c>
      <c r="G21" s="75">
        <f>_xlfn.XLOOKUP(F21,Data!$H$4:$H$10,Data!$J$4:$J$10)</f>
        <v>35.67</v>
      </c>
      <c r="H21" s="75">
        <f>_xlfn.XLOOKUP(F21,Data!$H$4:$H$10,Data!$K$4:$K$10)</f>
        <v>-103.89</v>
      </c>
      <c r="I21" s="82">
        <v>23</v>
      </c>
      <c r="J21" s="83">
        <f t="shared" si="0"/>
        <v>3.0587088779418021</v>
      </c>
      <c r="K21" s="84" t="s">
        <v>31</v>
      </c>
      <c r="L21" s="82">
        <v>0</v>
      </c>
      <c r="M21" s="81">
        <v>85</v>
      </c>
      <c r="N21" s="85">
        <f t="shared" si="1"/>
        <v>1</v>
      </c>
      <c r="O21" s="1"/>
      <c r="P21" s="1"/>
      <c r="Q21" s="1"/>
      <c r="R21" s="1"/>
      <c r="S21" s="4"/>
      <c r="T21" s="39"/>
      <c r="U21" s="39"/>
      <c r="V21" s="39"/>
      <c r="W21" s="39"/>
    </row>
    <row r="22" spans="2:23" ht="16" thickBot="1" x14ac:dyDescent="0.25">
      <c r="B22" s="80">
        <v>0</v>
      </c>
      <c r="C22" s="81">
        <v>6</v>
      </c>
      <c r="D22" s="75">
        <f>_xlfn.XLOOKUP(C22,Data!$H$4:$H$10,Data!$J$4:$J$10)</f>
        <v>35.67</v>
      </c>
      <c r="E22" s="75">
        <f>_xlfn.XLOOKUP(C22,Data!$H$4:$H$10,Data!$K$4:$K$10)</f>
        <v>-103.89</v>
      </c>
      <c r="F22" s="81">
        <v>1</v>
      </c>
      <c r="G22" s="75">
        <f>_xlfn.XLOOKUP(F22,Data!$H$4:$H$10,Data!$J$4:$J$10)</f>
        <v>37.5</v>
      </c>
      <c r="H22" s="75">
        <f>_xlfn.XLOOKUP(F22,Data!$H$4:$H$10,Data!$K$4:$K$10)</f>
        <v>-102.5</v>
      </c>
      <c r="I22" s="82">
        <v>22</v>
      </c>
      <c r="J22" s="83">
        <f t="shared" si="0"/>
        <v>2.298042645383239</v>
      </c>
      <c r="K22" s="84" t="s">
        <v>32</v>
      </c>
      <c r="L22" s="82">
        <v>1</v>
      </c>
      <c r="M22" s="81">
        <v>75</v>
      </c>
      <c r="N22" s="85">
        <f t="shared" si="1"/>
        <v>1</v>
      </c>
      <c r="O22" s="1"/>
      <c r="P22" s="1"/>
      <c r="Q22" s="1"/>
      <c r="R22" s="1"/>
      <c r="S22" s="1"/>
      <c r="T22" s="1"/>
      <c r="U22" s="1"/>
      <c r="V22" s="1"/>
      <c r="W22" s="1"/>
    </row>
    <row r="23" spans="2:23" ht="16" thickBot="1" x14ac:dyDescent="0.25">
      <c r="B23" s="80">
        <v>0</v>
      </c>
      <c r="C23" s="81">
        <v>6</v>
      </c>
      <c r="D23" s="75">
        <f>_xlfn.XLOOKUP(C23,Data!$H$4:$H$10,Data!$J$4:$J$10)</f>
        <v>35.67</v>
      </c>
      <c r="E23" s="75">
        <f>_xlfn.XLOOKUP(C23,Data!$H$4:$H$10,Data!$K$4:$K$10)</f>
        <v>-103.89</v>
      </c>
      <c r="F23" s="81">
        <v>5</v>
      </c>
      <c r="G23" s="75">
        <f>_xlfn.XLOOKUP(F23,Data!$H$4:$H$10,Data!$J$4:$J$10)</f>
        <v>38.33</v>
      </c>
      <c r="H23" s="75">
        <f>_xlfn.XLOOKUP(F23,Data!$H$4:$H$10,Data!$K$4:$K$10)</f>
        <v>-105.4</v>
      </c>
      <c r="I23" s="82">
        <v>21</v>
      </c>
      <c r="J23" s="83">
        <f t="shared" si="0"/>
        <v>3.0587088779418021</v>
      </c>
      <c r="K23" s="84" t="s">
        <v>31</v>
      </c>
      <c r="L23" s="82">
        <v>0</v>
      </c>
      <c r="M23" s="81">
        <v>83</v>
      </c>
      <c r="N23" s="85">
        <f t="shared" si="1"/>
        <v>1</v>
      </c>
      <c r="O23" s="1"/>
      <c r="P23" s="1"/>
      <c r="Q23" s="1"/>
      <c r="R23" s="1"/>
      <c r="S23" s="1"/>
      <c r="T23" s="1"/>
      <c r="U23" s="1"/>
      <c r="V23" s="1"/>
      <c r="W23" s="1"/>
    </row>
    <row r="24" spans="2:23" ht="16" thickBot="1" x14ac:dyDescent="0.25">
      <c r="B24" s="80">
        <v>0</v>
      </c>
      <c r="C24" s="81">
        <v>7</v>
      </c>
      <c r="D24" s="75">
        <f>_xlfn.XLOOKUP(C24,Data!$H$4:$H$10,Data!$J$4:$J$10)</f>
        <v>43.89</v>
      </c>
      <c r="E24" s="75">
        <f>_xlfn.XLOOKUP(C24,Data!$H$4:$H$10,Data!$K$4:$K$10)</f>
        <v>-90.16</v>
      </c>
      <c r="F24" s="81">
        <v>1</v>
      </c>
      <c r="G24" s="75">
        <f>_xlfn.XLOOKUP(F24,Data!$H$4:$H$10,Data!$J$4:$J$10)</f>
        <v>37.5</v>
      </c>
      <c r="H24" s="75">
        <f>_xlfn.XLOOKUP(F24,Data!$H$4:$H$10,Data!$K$4:$K$10)</f>
        <v>-102.5</v>
      </c>
      <c r="I24" s="82">
        <v>20</v>
      </c>
      <c r="J24" s="83">
        <f t="shared" si="0"/>
        <v>13.896319656657301</v>
      </c>
      <c r="K24" s="84" t="s">
        <v>27</v>
      </c>
      <c r="L24" s="82">
        <v>0</v>
      </c>
      <c r="M24" s="81">
        <v>97</v>
      </c>
      <c r="N24" s="85">
        <f t="shared" si="1"/>
        <v>1</v>
      </c>
      <c r="O24" s="1"/>
      <c r="P24" s="1"/>
      <c r="Q24" s="1"/>
      <c r="R24" s="1"/>
      <c r="S24" s="1"/>
      <c r="T24" s="1"/>
      <c r="U24" s="1"/>
      <c r="V24" s="1"/>
      <c r="W24" s="1"/>
    </row>
    <row r="25" spans="2:23" ht="16" thickBot="1" x14ac:dyDescent="0.25">
      <c r="B25" s="80">
        <v>0</v>
      </c>
      <c r="C25" s="81">
        <v>7</v>
      </c>
      <c r="D25" s="75">
        <f>_xlfn.XLOOKUP(C25,Data!$H$4:$H$10,Data!$J$4:$J$10)</f>
        <v>43.89</v>
      </c>
      <c r="E25" s="75">
        <f>_xlfn.XLOOKUP(C25,Data!$H$4:$H$10,Data!$K$4:$K$10)</f>
        <v>-90.16</v>
      </c>
      <c r="F25" s="81">
        <v>3</v>
      </c>
      <c r="G25" s="75">
        <f>_xlfn.XLOOKUP(F25,Data!$H$4:$H$10,Data!$J$4:$J$10)</f>
        <v>36.229999999999997</v>
      </c>
      <c r="H25" s="75">
        <f>_xlfn.XLOOKUP(F25,Data!$H$4:$H$10,Data!$K$4:$K$10)</f>
        <v>-105.23</v>
      </c>
      <c r="I25" s="82">
        <v>17</v>
      </c>
      <c r="J25" s="83">
        <f t="shared" si="0"/>
        <v>16.905043626089828</v>
      </c>
      <c r="K25" s="84" t="s">
        <v>29</v>
      </c>
      <c r="L25" s="82">
        <v>0</v>
      </c>
      <c r="M25" s="81">
        <v>82</v>
      </c>
      <c r="N25" s="85">
        <f t="shared" si="1"/>
        <v>1</v>
      </c>
      <c r="O25" s="1"/>
      <c r="P25" s="1"/>
      <c r="Q25" s="1"/>
      <c r="R25" s="1"/>
      <c r="S25" s="1"/>
      <c r="T25" s="1"/>
      <c r="U25" s="1"/>
      <c r="V25" s="1"/>
      <c r="W25" s="1"/>
    </row>
    <row r="26" spans="2:23" ht="16" thickBot="1" x14ac:dyDescent="0.25">
      <c r="B26" s="80">
        <v>0</v>
      </c>
      <c r="C26" s="81">
        <v>7</v>
      </c>
      <c r="D26" s="75">
        <f>_xlfn.XLOOKUP(C26,Data!$H$4:$H$10,Data!$J$4:$J$10)</f>
        <v>43.89</v>
      </c>
      <c r="E26" s="75">
        <f>_xlfn.XLOOKUP(C26,Data!$H$4:$H$10,Data!$K$4:$K$10)</f>
        <v>-90.16</v>
      </c>
      <c r="F26" s="81">
        <v>4</v>
      </c>
      <c r="G26" s="75">
        <f>_xlfn.XLOOKUP(F26,Data!$H$4:$H$10,Data!$J$4:$J$10)</f>
        <v>41.35</v>
      </c>
      <c r="H26" s="75">
        <f>_xlfn.XLOOKUP(F26,Data!$H$4:$H$10,Data!$K$4:$K$10)</f>
        <v>-115.86</v>
      </c>
      <c r="I26" s="82">
        <v>13</v>
      </c>
      <c r="J26" s="83">
        <f t="shared" si="0"/>
        <v>25.825212487025158</v>
      </c>
      <c r="K26" s="84" t="s">
        <v>31</v>
      </c>
      <c r="L26" s="82">
        <v>0</v>
      </c>
      <c r="M26" s="81">
        <v>101</v>
      </c>
      <c r="N26" s="85">
        <f t="shared" si="1"/>
        <v>1</v>
      </c>
      <c r="O26" s="1"/>
      <c r="P26" s="1"/>
      <c r="Q26" s="1"/>
      <c r="R26" s="1"/>
      <c r="S26" s="1"/>
      <c r="T26" s="1"/>
      <c r="U26" s="1"/>
      <c r="V26" s="1"/>
      <c r="W26" s="1"/>
    </row>
    <row r="27" spans="2:23" ht="16" thickBot="1" x14ac:dyDescent="0.25">
      <c r="B27" s="86">
        <v>0</v>
      </c>
      <c r="C27" s="87">
        <v>7</v>
      </c>
      <c r="D27" s="75">
        <f>_xlfn.XLOOKUP(C27,Data!$H$4:$H$10,Data!$J$4:$J$10)</f>
        <v>43.89</v>
      </c>
      <c r="E27" s="75">
        <f>_xlfn.XLOOKUP(C27,Data!$H$4:$H$10,Data!$K$4:$K$10)</f>
        <v>-90.16</v>
      </c>
      <c r="F27" s="87">
        <v>6</v>
      </c>
      <c r="G27" s="75">
        <f>_xlfn.XLOOKUP(F27,Data!$H$4:$H$10,Data!$J$4:$J$10)</f>
        <v>35.67</v>
      </c>
      <c r="H27" s="75">
        <f>_xlfn.XLOOKUP(F27,Data!$H$4:$H$10,Data!$K$4:$K$10)</f>
        <v>-103.89</v>
      </c>
      <c r="I27" s="88">
        <v>16</v>
      </c>
      <c r="J27" s="89">
        <f t="shared" si="0"/>
        <v>16.002540423320294</v>
      </c>
      <c r="K27" s="90" t="s">
        <v>32</v>
      </c>
      <c r="L27" s="88">
        <v>1</v>
      </c>
      <c r="M27" s="87">
        <v>92</v>
      </c>
      <c r="N27" s="91">
        <f t="shared" si="1"/>
        <v>1</v>
      </c>
      <c r="O27" s="1"/>
      <c r="P27" s="1"/>
      <c r="Q27" s="1"/>
      <c r="R27" s="1"/>
      <c r="S27" s="1"/>
      <c r="T27" s="1"/>
      <c r="U27" s="1"/>
      <c r="V27" s="1"/>
      <c r="W27" s="1"/>
    </row>
  </sheetData>
  <mergeCells count="8">
    <mergeCell ref="Q16:S16"/>
    <mergeCell ref="K2:L2"/>
    <mergeCell ref="U11:U12"/>
    <mergeCell ref="W11:W12"/>
    <mergeCell ref="Q12:S12"/>
    <mergeCell ref="Q13:S13"/>
    <mergeCell ref="Q14:S14"/>
    <mergeCell ref="Q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707E-302E-4474-B6A3-6AB47B8BC5DA}">
  <dimension ref="A3:B10"/>
  <sheetViews>
    <sheetView workbookViewId="0">
      <selection activeCell="L17" sqref="L17"/>
    </sheetView>
  </sheetViews>
  <sheetFormatPr baseColWidth="10" defaultColWidth="8.83203125" defaultRowHeight="15" x14ac:dyDescent="0.2"/>
  <cols>
    <col min="1" max="1" width="26.1640625" bestFit="1" customWidth="1"/>
    <col min="2" max="2" width="28.5" bestFit="1" customWidth="1"/>
  </cols>
  <sheetData>
    <row r="3" spans="1:2" x14ac:dyDescent="0.2">
      <c r="A3" s="52" t="s">
        <v>25</v>
      </c>
      <c r="B3" t="s">
        <v>67</v>
      </c>
    </row>
    <row r="4" spans="1:2" x14ac:dyDescent="0.2">
      <c r="A4" t="s">
        <v>30</v>
      </c>
      <c r="B4">
        <v>79</v>
      </c>
    </row>
    <row r="5" spans="1:2" x14ac:dyDescent="0.2">
      <c r="A5" t="s">
        <v>31</v>
      </c>
      <c r="B5">
        <v>80</v>
      </c>
    </row>
    <row r="6" spans="1:2" x14ac:dyDescent="0.2">
      <c r="A6" t="s">
        <v>27</v>
      </c>
      <c r="B6">
        <v>70</v>
      </c>
    </row>
    <row r="7" spans="1:2" x14ac:dyDescent="0.2">
      <c r="A7" t="s">
        <v>29</v>
      </c>
      <c r="B7">
        <v>54</v>
      </c>
    </row>
    <row r="8" spans="1:2" x14ac:dyDescent="0.2">
      <c r="A8" t="s">
        <v>32</v>
      </c>
      <c r="B8">
        <v>56</v>
      </c>
    </row>
    <row r="9" spans="1:2" x14ac:dyDescent="0.2">
      <c r="A9" t="s">
        <v>28</v>
      </c>
      <c r="B9">
        <v>34</v>
      </c>
    </row>
    <row r="10" spans="1:2" x14ac:dyDescent="0.2">
      <c r="A10" t="s">
        <v>33</v>
      </c>
      <c r="B10">
        <v>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CD9B-AC18-496D-BE31-5496E10E460A}">
  <dimension ref="A3:B10"/>
  <sheetViews>
    <sheetView workbookViewId="0">
      <selection activeCell="L17" sqref="L17"/>
    </sheetView>
  </sheetViews>
  <sheetFormatPr baseColWidth="10" defaultColWidth="8.83203125" defaultRowHeight="15" x14ac:dyDescent="0.2"/>
  <cols>
    <col min="1" max="1" width="26.1640625" bestFit="1" customWidth="1"/>
    <col min="2" max="2" width="23.5" bestFit="1" customWidth="1"/>
  </cols>
  <sheetData>
    <row r="3" spans="1:2" x14ac:dyDescent="0.2">
      <c r="A3" s="52" t="s">
        <v>25</v>
      </c>
      <c r="B3" t="s">
        <v>68</v>
      </c>
    </row>
    <row r="4" spans="1:2" x14ac:dyDescent="0.2">
      <c r="A4" t="s">
        <v>30</v>
      </c>
      <c r="B4">
        <v>407</v>
      </c>
    </row>
    <row r="5" spans="1:2" x14ac:dyDescent="0.2">
      <c r="A5" t="s">
        <v>31</v>
      </c>
      <c r="B5">
        <v>386</v>
      </c>
    </row>
    <row r="6" spans="1:2" x14ac:dyDescent="0.2">
      <c r="A6" t="s">
        <v>27</v>
      </c>
      <c r="B6">
        <v>356</v>
      </c>
    </row>
    <row r="7" spans="1:2" x14ac:dyDescent="0.2">
      <c r="A7" t="s">
        <v>29</v>
      </c>
      <c r="B7">
        <v>332</v>
      </c>
    </row>
    <row r="8" spans="1:2" x14ac:dyDescent="0.2">
      <c r="A8" t="s">
        <v>32</v>
      </c>
      <c r="B8">
        <v>276</v>
      </c>
    </row>
    <row r="9" spans="1:2" x14ac:dyDescent="0.2">
      <c r="A9" t="s">
        <v>28</v>
      </c>
      <c r="B9">
        <v>120</v>
      </c>
    </row>
    <row r="10" spans="1:2" x14ac:dyDescent="0.2">
      <c r="A10" t="s">
        <v>33</v>
      </c>
      <c r="B10">
        <v>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2559-5F21-554C-B236-8D90E8404CE4}">
  <dimension ref="A1:Q25"/>
  <sheetViews>
    <sheetView workbookViewId="0">
      <selection activeCell="O27" sqref="O27"/>
    </sheetView>
  </sheetViews>
  <sheetFormatPr baseColWidth="10" defaultColWidth="11.5" defaultRowHeight="15" x14ac:dyDescent="0.2"/>
  <cols>
    <col min="3" max="3" width="21.5" bestFit="1" customWidth="1"/>
    <col min="4" max="4" width="22.83203125" bestFit="1" customWidth="1"/>
    <col min="5" max="5" width="14.83203125" bestFit="1" customWidth="1"/>
    <col min="9" max="9" width="21.83203125" bestFit="1" customWidth="1"/>
    <col min="16" max="16" width="15.5" bestFit="1" customWidth="1"/>
    <col min="17" max="17" width="21.5" bestFit="1" customWidth="1"/>
  </cols>
  <sheetData>
    <row r="1" spans="1:17" x14ac:dyDescent="0.2">
      <c r="A1" s="20" t="s">
        <v>22</v>
      </c>
      <c r="B1" s="20" t="s">
        <v>23</v>
      </c>
      <c r="C1" s="20" t="s">
        <v>24</v>
      </c>
      <c r="D1" s="20" t="s">
        <v>25</v>
      </c>
      <c r="E1" s="20" t="s">
        <v>26</v>
      </c>
    </row>
    <row r="2" spans="1:17" x14ac:dyDescent="0.2">
      <c r="A2" s="20">
        <v>1</v>
      </c>
      <c r="B2" s="21">
        <v>2</v>
      </c>
      <c r="C2" s="21">
        <v>8</v>
      </c>
      <c r="D2" s="21" t="s">
        <v>27</v>
      </c>
      <c r="E2" s="21">
        <v>93</v>
      </c>
    </row>
    <row r="3" spans="1:17" x14ac:dyDescent="0.2">
      <c r="A3" s="20">
        <v>1</v>
      </c>
      <c r="B3" s="21">
        <v>4</v>
      </c>
      <c r="C3" s="21">
        <v>11</v>
      </c>
      <c r="D3" s="21" t="s">
        <v>28</v>
      </c>
      <c r="E3" s="21">
        <v>32</v>
      </c>
      <c r="H3" s="20" t="s">
        <v>34</v>
      </c>
      <c r="I3" s="20" t="s">
        <v>35</v>
      </c>
      <c r="J3" s="20" t="s">
        <v>36</v>
      </c>
      <c r="K3" s="20" t="s">
        <v>37</v>
      </c>
      <c r="L3" s="20" t="s">
        <v>38</v>
      </c>
      <c r="M3" s="20" t="s">
        <v>39</v>
      </c>
      <c r="P3" s="20" t="s">
        <v>58</v>
      </c>
      <c r="Q3" s="3" t="s">
        <v>35</v>
      </c>
    </row>
    <row r="4" spans="1:17" ht="16" x14ac:dyDescent="0.2">
      <c r="A4" s="20">
        <v>1</v>
      </c>
      <c r="B4" s="21">
        <v>5</v>
      </c>
      <c r="C4" s="21">
        <v>18</v>
      </c>
      <c r="D4" s="21" t="s">
        <v>29</v>
      </c>
      <c r="E4" s="21">
        <v>90</v>
      </c>
      <c r="H4" s="20">
        <v>1</v>
      </c>
      <c r="I4" s="21" t="s">
        <v>40</v>
      </c>
      <c r="J4" s="21">
        <v>37.5</v>
      </c>
      <c r="K4" s="21">
        <v>-102.5</v>
      </c>
      <c r="L4" s="21">
        <v>9160</v>
      </c>
      <c r="M4" s="22">
        <v>-9160</v>
      </c>
      <c r="P4">
        <v>9060</v>
      </c>
      <c r="Q4" t="s">
        <v>40</v>
      </c>
    </row>
    <row r="5" spans="1:17" ht="16" x14ac:dyDescent="0.2">
      <c r="A5" s="20">
        <v>1</v>
      </c>
      <c r="B5" s="21">
        <v>6</v>
      </c>
      <c r="C5" s="21">
        <v>14</v>
      </c>
      <c r="D5" s="21" t="s">
        <v>29</v>
      </c>
      <c r="E5" s="21">
        <v>70</v>
      </c>
      <c r="H5" s="20">
        <v>2</v>
      </c>
      <c r="I5" s="21" t="s">
        <v>41</v>
      </c>
      <c r="J5" s="21">
        <v>40.68</v>
      </c>
      <c r="K5" s="21">
        <v>-108.12</v>
      </c>
      <c r="L5" s="22"/>
      <c r="M5" s="21">
        <v>1321</v>
      </c>
      <c r="P5">
        <v>1468</v>
      </c>
      <c r="Q5" t="s">
        <v>41</v>
      </c>
    </row>
    <row r="6" spans="1:17" ht="16" x14ac:dyDescent="0.2">
      <c r="A6" s="20">
        <v>1</v>
      </c>
      <c r="B6" s="21">
        <v>7</v>
      </c>
      <c r="C6" s="21">
        <v>22</v>
      </c>
      <c r="D6" s="21" t="s">
        <v>27</v>
      </c>
      <c r="E6" s="21">
        <v>87</v>
      </c>
      <c r="H6" s="20">
        <v>3</v>
      </c>
      <c r="I6" s="21" t="s">
        <v>42</v>
      </c>
      <c r="J6" s="21">
        <v>36.229999999999997</v>
      </c>
      <c r="K6" s="21">
        <v>-105.23</v>
      </c>
      <c r="L6" s="22"/>
      <c r="M6" s="21">
        <v>1568</v>
      </c>
    </row>
    <row r="7" spans="1:17" ht="16" x14ac:dyDescent="0.2">
      <c r="A7" s="20">
        <v>2</v>
      </c>
      <c r="B7" s="21">
        <v>3</v>
      </c>
      <c r="C7" s="21">
        <v>21</v>
      </c>
      <c r="D7" s="21" t="s">
        <v>30</v>
      </c>
      <c r="E7" s="21">
        <v>90</v>
      </c>
      <c r="H7" s="20">
        <v>4</v>
      </c>
      <c r="I7" s="21" t="s">
        <v>43</v>
      </c>
      <c r="J7" s="21">
        <v>41.35</v>
      </c>
      <c r="K7" s="21">
        <v>-115.86</v>
      </c>
      <c r="L7" s="22"/>
      <c r="M7" s="21">
        <v>1752</v>
      </c>
    </row>
    <row r="8" spans="1:17" ht="16" x14ac:dyDescent="0.2">
      <c r="A8" s="20">
        <v>2</v>
      </c>
      <c r="B8" s="21">
        <v>5</v>
      </c>
      <c r="C8" s="21">
        <v>22</v>
      </c>
      <c r="D8" s="21" t="s">
        <v>30</v>
      </c>
      <c r="E8" s="21">
        <v>88</v>
      </c>
      <c r="H8" s="20">
        <v>5</v>
      </c>
      <c r="I8" s="21" t="s">
        <v>44</v>
      </c>
      <c r="J8" s="21">
        <v>38.33</v>
      </c>
      <c r="K8" s="21">
        <v>-105.4</v>
      </c>
      <c r="L8" s="22"/>
      <c r="M8" s="21">
        <v>1278</v>
      </c>
    </row>
    <row r="9" spans="1:17" ht="16" x14ac:dyDescent="0.2">
      <c r="A9" s="20">
        <v>3</v>
      </c>
      <c r="B9" s="21">
        <v>1</v>
      </c>
      <c r="C9" s="21">
        <v>5</v>
      </c>
      <c r="D9" s="21" t="s">
        <v>29</v>
      </c>
      <c r="E9" s="21">
        <v>90</v>
      </c>
      <c r="H9" s="20">
        <v>6</v>
      </c>
      <c r="I9" s="21" t="s">
        <v>45</v>
      </c>
      <c r="J9" s="21">
        <v>35.67</v>
      </c>
      <c r="K9" s="21">
        <v>-103.89</v>
      </c>
      <c r="L9" s="22"/>
      <c r="M9" s="21">
        <v>1969</v>
      </c>
    </row>
    <row r="10" spans="1:17" ht="16" x14ac:dyDescent="0.2">
      <c r="A10" s="20">
        <v>3</v>
      </c>
      <c r="B10" s="21">
        <v>2</v>
      </c>
      <c r="C10" s="21">
        <v>20</v>
      </c>
      <c r="D10" s="21" t="s">
        <v>27</v>
      </c>
      <c r="E10" s="21">
        <v>79</v>
      </c>
      <c r="H10" s="20">
        <v>7</v>
      </c>
      <c r="I10" s="21" t="s">
        <v>46</v>
      </c>
      <c r="J10" s="21">
        <v>43.89</v>
      </c>
      <c r="K10" s="21">
        <v>-90.16</v>
      </c>
      <c r="L10" s="22"/>
      <c r="M10" s="21">
        <v>1272</v>
      </c>
    </row>
    <row r="11" spans="1:17" x14ac:dyDescent="0.2">
      <c r="A11" s="20">
        <v>3</v>
      </c>
      <c r="B11" s="21">
        <v>4</v>
      </c>
      <c r="C11" s="21">
        <v>23</v>
      </c>
      <c r="D11" s="21" t="s">
        <v>28</v>
      </c>
      <c r="E11" s="21">
        <v>88</v>
      </c>
    </row>
    <row r="12" spans="1:17" x14ac:dyDescent="0.2">
      <c r="A12" s="20">
        <v>3</v>
      </c>
      <c r="B12" s="21">
        <v>6</v>
      </c>
      <c r="C12" s="21">
        <v>9</v>
      </c>
      <c r="D12" s="21" t="s">
        <v>31</v>
      </c>
      <c r="E12" s="21">
        <v>29</v>
      </c>
    </row>
    <row r="13" spans="1:17" x14ac:dyDescent="0.2">
      <c r="A13" s="20">
        <v>3</v>
      </c>
      <c r="B13" s="21">
        <v>7</v>
      </c>
      <c r="C13" s="21">
        <v>10</v>
      </c>
      <c r="D13" s="21" t="s">
        <v>30</v>
      </c>
      <c r="E13" s="21">
        <v>84</v>
      </c>
    </row>
    <row r="14" spans="1:17" x14ac:dyDescent="0.2">
      <c r="A14" s="20">
        <v>4</v>
      </c>
      <c r="B14" s="21">
        <v>1</v>
      </c>
      <c r="C14" s="21">
        <v>18</v>
      </c>
      <c r="D14" s="21" t="s">
        <v>32</v>
      </c>
      <c r="E14" s="21">
        <v>109</v>
      </c>
    </row>
    <row r="15" spans="1:17" x14ac:dyDescent="0.2">
      <c r="A15" s="20">
        <v>4</v>
      </c>
      <c r="B15" s="21">
        <v>2</v>
      </c>
      <c r="C15" s="21">
        <v>8</v>
      </c>
      <c r="D15" s="21" t="s">
        <v>30</v>
      </c>
      <c r="E15" s="21">
        <v>30</v>
      </c>
    </row>
    <row r="16" spans="1:17" x14ac:dyDescent="0.2">
      <c r="A16" s="20">
        <v>4</v>
      </c>
      <c r="B16" s="21">
        <v>6</v>
      </c>
      <c r="C16" s="21">
        <v>18</v>
      </c>
      <c r="D16" s="21" t="s">
        <v>30</v>
      </c>
      <c r="E16" s="21">
        <v>115</v>
      </c>
    </row>
    <row r="17" spans="1:5" x14ac:dyDescent="0.2">
      <c r="A17" s="20">
        <v>4</v>
      </c>
      <c r="B17" s="21">
        <v>7</v>
      </c>
      <c r="C17" s="21">
        <v>7</v>
      </c>
      <c r="D17" s="21" t="s">
        <v>33</v>
      </c>
      <c r="E17" s="21">
        <v>95</v>
      </c>
    </row>
    <row r="18" spans="1:5" x14ac:dyDescent="0.2">
      <c r="A18" s="20">
        <v>5</v>
      </c>
      <c r="B18" s="21">
        <v>1</v>
      </c>
      <c r="C18" s="21">
        <v>14</v>
      </c>
      <c r="D18" s="21" t="s">
        <v>31</v>
      </c>
      <c r="E18" s="21">
        <v>88</v>
      </c>
    </row>
    <row r="19" spans="1:5" x14ac:dyDescent="0.2">
      <c r="A19" s="20">
        <v>5</v>
      </c>
      <c r="B19" s="21">
        <v>6</v>
      </c>
      <c r="C19" s="21">
        <v>23</v>
      </c>
      <c r="D19" s="21" t="s">
        <v>31</v>
      </c>
      <c r="E19" s="21">
        <v>85</v>
      </c>
    </row>
    <row r="20" spans="1:5" x14ac:dyDescent="0.2">
      <c r="A20" s="20">
        <v>6</v>
      </c>
      <c r="B20" s="21">
        <v>1</v>
      </c>
      <c r="C20" s="21">
        <v>22</v>
      </c>
      <c r="D20" s="21" t="s">
        <v>32</v>
      </c>
      <c r="E20" s="21">
        <v>75</v>
      </c>
    </row>
    <row r="21" spans="1:5" x14ac:dyDescent="0.2">
      <c r="A21" s="20">
        <v>6</v>
      </c>
      <c r="B21" s="21">
        <v>5</v>
      </c>
      <c r="C21" s="21">
        <v>21</v>
      </c>
      <c r="D21" s="21" t="s">
        <v>31</v>
      </c>
      <c r="E21" s="21">
        <v>83</v>
      </c>
    </row>
    <row r="22" spans="1:5" x14ac:dyDescent="0.2">
      <c r="A22" s="20">
        <v>7</v>
      </c>
      <c r="B22" s="21">
        <v>1</v>
      </c>
      <c r="C22" s="21">
        <v>20</v>
      </c>
      <c r="D22" s="21" t="s">
        <v>27</v>
      </c>
      <c r="E22" s="21">
        <v>97</v>
      </c>
    </row>
    <row r="23" spans="1:5" x14ac:dyDescent="0.2">
      <c r="A23" s="20">
        <v>7</v>
      </c>
      <c r="B23" s="21">
        <v>3</v>
      </c>
      <c r="C23" s="21">
        <v>17</v>
      </c>
      <c r="D23" s="21" t="s">
        <v>29</v>
      </c>
      <c r="E23" s="21">
        <v>82</v>
      </c>
    </row>
    <row r="24" spans="1:5" x14ac:dyDescent="0.2">
      <c r="A24" s="20">
        <v>7</v>
      </c>
      <c r="B24" s="21">
        <v>4</v>
      </c>
      <c r="C24" s="21">
        <v>13</v>
      </c>
      <c r="D24" s="21" t="s">
        <v>31</v>
      </c>
      <c r="E24" s="21">
        <v>101</v>
      </c>
    </row>
    <row r="25" spans="1:5" x14ac:dyDescent="0.2">
      <c r="A25" s="20">
        <v>7</v>
      </c>
      <c r="B25" s="21">
        <v>6</v>
      </c>
      <c r="C25" s="21">
        <v>16</v>
      </c>
      <c r="D25" s="21" t="s">
        <v>32</v>
      </c>
      <c r="E25" s="2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Solve-It</vt:lpstr>
      <vt:lpstr>Solution</vt:lpstr>
      <vt:lpstr>Model</vt:lpstr>
      <vt:lpstr>Stepulation</vt:lpstr>
      <vt:lpstr>Sheet2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Harris</dc:creator>
  <cp:lastModifiedBy>Jose Ricardo Feris</cp:lastModifiedBy>
  <dcterms:created xsi:type="dcterms:W3CDTF">2025-04-14T01:13:01Z</dcterms:created>
  <dcterms:modified xsi:type="dcterms:W3CDTF">2025-04-29T16:09:45Z</dcterms:modified>
</cp:coreProperties>
</file>