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70EF20FC-4313-B54E-B217-8F52C3B4229F}" xr6:coauthVersionLast="47" xr6:coauthVersionMax="47" xr10:uidLastSave="{00000000-0000-0000-0000-000000000000}"/>
  <bookViews>
    <workbookView xWindow="4860" yWindow="500" windowWidth="29860" windowHeight="20980" activeTab="1" xr2:uid="{00000000-000D-0000-FFFF-FFFF00000000}"/>
  </bookViews>
  <sheets>
    <sheet name="Main" sheetId="1" r:id="rId1"/>
    <sheet name="Model" sheetId="2" r:id="rId2"/>
    <sheet name="Comp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7" i="2" l="1"/>
  <c r="AK17" i="2"/>
  <c r="AJ17" i="2"/>
  <c r="AI17" i="2"/>
  <c r="AH17" i="2"/>
  <c r="AG17" i="2"/>
  <c r="AF17" i="2"/>
  <c r="AE17" i="2"/>
  <c r="AD17" i="2"/>
  <c r="AC17" i="2"/>
  <c r="W30" i="2"/>
  <c r="J5" i="1"/>
  <c r="J4" i="1"/>
  <c r="AD7" i="2"/>
  <c r="AE7" i="2" s="1"/>
  <c r="AF7" i="2" s="1"/>
  <c r="AG7" i="2" s="1"/>
  <c r="AH7" i="2" s="1"/>
  <c r="AI7" i="2" s="1"/>
  <c r="AJ7" i="2" s="1"/>
  <c r="AK7" i="2" s="1"/>
  <c r="AL7" i="2" s="1"/>
  <c r="AC7" i="2"/>
  <c r="AC10" i="2" s="1"/>
  <c r="T42" i="2"/>
  <c r="T40" i="2"/>
  <c r="T39" i="2"/>
  <c r="T38" i="2"/>
  <c r="T36" i="2"/>
  <c r="T35" i="2"/>
  <c r="T32" i="2"/>
  <c r="T31" i="2"/>
  <c r="T30" i="2"/>
  <c r="T29" i="2"/>
  <c r="T28" i="2"/>
  <c r="T8" i="2"/>
  <c r="T7" i="2"/>
  <c r="T16" i="2"/>
  <c r="T12" i="2"/>
  <c r="T17" i="2" s="1"/>
  <c r="T20" i="2" s="1"/>
  <c r="T22" i="2" s="1"/>
  <c r="T24" i="2" s="1"/>
  <c r="S31" i="2"/>
  <c r="S30" i="2"/>
  <c r="S29" i="2"/>
  <c r="S28" i="2"/>
  <c r="S12" i="2"/>
  <c r="S7" i="2"/>
  <c r="S8" i="2" s="1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R21" i="3"/>
  <c r="R18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H19" i="3"/>
  <c r="G19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I17" i="3"/>
  <c r="H17" i="3"/>
  <c r="G17" i="3"/>
  <c r="S20" i="3"/>
  <c r="S17" i="3"/>
  <c r="AL8" i="2"/>
  <c r="AK8" i="2"/>
  <c r="AJ8" i="2"/>
  <c r="AI8" i="2"/>
  <c r="AH8" i="2"/>
  <c r="AG8" i="2"/>
  <c r="AF8" i="2"/>
  <c r="AE8" i="2"/>
  <c r="AD8" i="2"/>
  <c r="AC8" i="2"/>
  <c r="X8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U107" i="2"/>
  <c r="U106" i="2"/>
  <c r="U105" i="2"/>
  <c r="U104" i="2"/>
  <c r="T104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7" i="2"/>
  <c r="E106" i="2"/>
  <c r="E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AK58" i="2"/>
  <c r="AK59" i="2" s="1"/>
  <c r="AH56" i="2"/>
  <c r="AH55" i="2"/>
  <c r="AH54" i="2"/>
  <c r="AC19" i="2"/>
  <c r="AD19" i="2" s="1"/>
  <c r="AE19" i="2" l="1"/>
  <c r="AF19" i="2"/>
  <c r="AG19" i="2" s="1"/>
  <c r="AH19" i="2" l="1"/>
  <c r="AI19" i="2" l="1"/>
  <c r="AJ19" i="2" l="1"/>
  <c r="AK19" i="2" s="1"/>
  <c r="AL19" i="2" l="1"/>
  <c r="R59" i="2" l="1"/>
  <c r="R63" i="2" s="1"/>
  <c r="N46" i="2"/>
  <c r="N48" i="2"/>
  <c r="N52" i="2" s="1"/>
  <c r="R46" i="2"/>
  <c r="R48" i="2" s="1"/>
  <c r="R52" i="2" s="1"/>
  <c r="AD2" i="2"/>
  <c r="AE2" i="2" s="1"/>
  <c r="AF2" i="2" s="1"/>
  <c r="AG2" i="2" s="1"/>
  <c r="AH2" i="2" s="1"/>
  <c r="AI2" i="2" s="1"/>
  <c r="AJ2" i="2" s="1"/>
  <c r="AK2" i="2" s="1"/>
  <c r="AL2" i="2" s="1"/>
  <c r="AA36" i="2"/>
  <c r="Z36" i="2"/>
  <c r="Y36" i="2"/>
  <c r="AB36" i="2"/>
  <c r="AA35" i="2"/>
  <c r="Z35" i="2"/>
  <c r="Y35" i="2"/>
  <c r="AB35" i="2"/>
  <c r="S16" i="2"/>
  <c r="S35" i="2"/>
  <c r="Q42" i="2"/>
  <c r="P42" i="2"/>
  <c r="E42" i="2"/>
  <c r="AA39" i="2"/>
  <c r="AA38" i="2"/>
  <c r="Z38" i="2"/>
  <c r="Y38" i="2"/>
  <c r="E39" i="2"/>
  <c r="Q39" i="2"/>
  <c r="P39" i="2"/>
  <c r="I39" i="2"/>
  <c r="Q38" i="2"/>
  <c r="P38" i="2"/>
  <c r="N38" i="2"/>
  <c r="M38" i="2"/>
  <c r="K38" i="2"/>
  <c r="J38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O32" i="2"/>
  <c r="I32" i="2"/>
  <c r="R31" i="2"/>
  <c r="Q31" i="2"/>
  <c r="P31" i="2"/>
  <c r="O31" i="2"/>
  <c r="N31" i="2"/>
  <c r="M31" i="2"/>
  <c r="L31" i="2"/>
  <c r="K31" i="2"/>
  <c r="J31" i="2"/>
  <c r="I31" i="2"/>
  <c r="H31" i="2"/>
  <c r="G31" i="2"/>
  <c r="R30" i="2"/>
  <c r="Q30" i="2"/>
  <c r="P30" i="2"/>
  <c r="O30" i="2"/>
  <c r="N30" i="2"/>
  <c r="M30" i="2"/>
  <c r="L30" i="2"/>
  <c r="K30" i="2"/>
  <c r="J30" i="2"/>
  <c r="I30" i="2"/>
  <c r="H30" i="2"/>
  <c r="G30" i="2"/>
  <c r="F31" i="2"/>
  <c r="F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X16" i="2"/>
  <c r="X12" i="2"/>
  <c r="X38" i="2" s="1"/>
  <c r="Y16" i="2"/>
  <c r="Y12" i="2"/>
  <c r="E16" i="2"/>
  <c r="E12" i="2"/>
  <c r="E17" i="2" s="1"/>
  <c r="E20" i="2" s="1"/>
  <c r="E22" i="2" s="1"/>
  <c r="E24" i="2" s="1"/>
  <c r="B7" i="2"/>
  <c r="B8" i="2" s="1"/>
  <c r="B16" i="2"/>
  <c r="B12" i="2"/>
  <c r="B17" i="2" s="1"/>
  <c r="B20" i="2" s="1"/>
  <c r="B22" i="2" s="1"/>
  <c r="B24" i="2" s="1"/>
  <c r="C7" i="2"/>
  <c r="C8" i="2" s="1"/>
  <c r="G7" i="2"/>
  <c r="C16" i="2"/>
  <c r="C12" i="2"/>
  <c r="C38" i="2" s="1"/>
  <c r="G16" i="2"/>
  <c r="G12" i="2"/>
  <c r="D7" i="2"/>
  <c r="D8" i="2" s="1"/>
  <c r="H7" i="2"/>
  <c r="D16" i="2"/>
  <c r="D12" i="2"/>
  <c r="D38" i="2" s="1"/>
  <c r="H12" i="2"/>
  <c r="H38" i="2" s="1"/>
  <c r="H16" i="2"/>
  <c r="H17" i="2"/>
  <c r="H20" i="2" s="1"/>
  <c r="H22" i="2" s="1"/>
  <c r="H24" i="2" s="1"/>
  <c r="Z7" i="2"/>
  <c r="Y7" i="2"/>
  <c r="Y8" i="2" s="1"/>
  <c r="E7" i="2"/>
  <c r="E8" i="2" s="1"/>
  <c r="I7" i="2"/>
  <c r="I8" i="2" s="1"/>
  <c r="F7" i="2"/>
  <c r="F8" i="2" s="1"/>
  <c r="J7" i="2"/>
  <c r="J8" i="2" s="1"/>
  <c r="F16" i="2"/>
  <c r="F12" i="2"/>
  <c r="F38" i="2" s="1"/>
  <c r="J16" i="2"/>
  <c r="J12" i="2"/>
  <c r="I16" i="2"/>
  <c r="I12" i="2"/>
  <c r="I17" i="2" s="1"/>
  <c r="I20" i="2" s="1"/>
  <c r="I22" i="2" s="1"/>
  <c r="I24" i="2" s="1"/>
  <c r="M16" i="2"/>
  <c r="M12" i="2"/>
  <c r="K7" i="2"/>
  <c r="K8" i="2" s="1"/>
  <c r="O7" i="2"/>
  <c r="K16" i="2"/>
  <c r="K12" i="2"/>
  <c r="O16" i="2"/>
  <c r="O12" i="2"/>
  <c r="O17" i="2" s="1"/>
  <c r="O20" i="2" s="1"/>
  <c r="O22" i="2" s="1"/>
  <c r="O24" i="2" s="1"/>
  <c r="L7" i="2"/>
  <c r="P7" i="2"/>
  <c r="L16" i="2"/>
  <c r="L12" i="2"/>
  <c r="L17" i="2" s="1"/>
  <c r="L20" i="2" s="1"/>
  <c r="L22" i="2" s="1"/>
  <c r="L24" i="2" s="1"/>
  <c r="P16" i="2"/>
  <c r="P12" i="2"/>
  <c r="P17" i="2" s="1"/>
  <c r="P20" i="2" s="1"/>
  <c r="P22" i="2" s="1"/>
  <c r="P24" i="2" s="1"/>
  <c r="Q16" i="2"/>
  <c r="Q12" i="2"/>
  <c r="Q17" i="2" s="1"/>
  <c r="Q20" i="2" s="1"/>
  <c r="Q22" i="2" s="1"/>
  <c r="Q24" i="2" s="1"/>
  <c r="Z16" i="2"/>
  <c r="Z12" i="2"/>
  <c r="AA16" i="2"/>
  <c r="AA12" i="2"/>
  <c r="AA17" i="2" s="1"/>
  <c r="AA20" i="2" s="1"/>
  <c r="AA22" i="2" s="1"/>
  <c r="AA24" i="2" s="1"/>
  <c r="AA7" i="2"/>
  <c r="AB7" i="2"/>
  <c r="AB16" i="2"/>
  <c r="AB12" i="2"/>
  <c r="AB17" i="2" s="1"/>
  <c r="AB20" i="2" s="1"/>
  <c r="AB22" i="2" s="1"/>
  <c r="AB24" i="2" s="1"/>
  <c r="R7" i="2"/>
  <c r="N7" i="2"/>
  <c r="N8" i="2" s="1"/>
  <c r="M7" i="2"/>
  <c r="Q7" i="2"/>
  <c r="Q8" i="2" s="1"/>
  <c r="N16" i="2"/>
  <c r="N12" i="2"/>
  <c r="R16" i="2"/>
  <c r="R12" i="2"/>
  <c r="R38" i="2" s="1"/>
  <c r="J3" i="1"/>
  <c r="J6" i="1" s="1"/>
  <c r="AB40" i="2" l="1"/>
  <c r="Z8" i="2"/>
  <c r="Z32" i="2"/>
  <c r="P40" i="2"/>
  <c r="M32" i="2"/>
  <c r="M8" i="2"/>
  <c r="AB8" i="2"/>
  <c r="AB32" i="2"/>
  <c r="AA8" i="2"/>
  <c r="AA32" i="2"/>
  <c r="Q32" i="2"/>
  <c r="Q40" i="2"/>
  <c r="AB27" i="2"/>
  <c r="AC27" i="2" s="1"/>
  <c r="AC18" i="2" s="1"/>
  <c r="L32" i="2"/>
  <c r="L8" i="2"/>
  <c r="N32" i="2"/>
  <c r="H32" i="2"/>
  <c r="H8" i="2"/>
  <c r="P32" i="2"/>
  <c r="P8" i="2"/>
  <c r="K32" i="2"/>
  <c r="G8" i="2"/>
  <c r="J32" i="2"/>
  <c r="O8" i="2"/>
  <c r="S32" i="2"/>
  <c r="O42" i="2"/>
  <c r="E38" i="2"/>
  <c r="R32" i="2"/>
  <c r="R8" i="2"/>
  <c r="B42" i="2"/>
  <c r="F32" i="2"/>
  <c r="G17" i="2"/>
  <c r="G20" i="2" s="1"/>
  <c r="G22" i="2" s="1"/>
  <c r="G24" i="2" s="1"/>
  <c r="B39" i="2"/>
  <c r="S17" i="2"/>
  <c r="S20" i="2" s="1"/>
  <c r="S42" i="2" s="1"/>
  <c r="S38" i="2"/>
  <c r="L38" i="2"/>
  <c r="L40" i="2"/>
  <c r="AB38" i="2"/>
  <c r="G32" i="2"/>
  <c r="O38" i="2"/>
  <c r="O40" i="2"/>
  <c r="AB39" i="2"/>
  <c r="AA42" i="2"/>
  <c r="AB42" i="2"/>
  <c r="G39" i="2"/>
  <c r="B38" i="2"/>
  <c r="H39" i="2"/>
  <c r="AA40" i="2"/>
  <c r="L39" i="2"/>
  <c r="S36" i="2"/>
  <c r="O39" i="2"/>
  <c r="B40" i="2"/>
  <c r="G42" i="2"/>
  <c r="H42" i="2"/>
  <c r="I42" i="2"/>
  <c r="E40" i="2"/>
  <c r="G38" i="2"/>
  <c r="G40" i="2"/>
  <c r="H40" i="2"/>
  <c r="L42" i="2"/>
  <c r="I38" i="2"/>
  <c r="I40" i="2"/>
  <c r="X17" i="2"/>
  <c r="Y17" i="2"/>
  <c r="C17" i="2"/>
  <c r="D17" i="2"/>
  <c r="F17" i="2"/>
  <c r="J17" i="2"/>
  <c r="M17" i="2"/>
  <c r="K17" i="2"/>
  <c r="Z17" i="2"/>
  <c r="R17" i="2"/>
  <c r="N17" i="2"/>
  <c r="AC32" i="2" l="1"/>
  <c r="S39" i="2"/>
  <c r="M20" i="2"/>
  <c r="M39" i="2"/>
  <c r="J20" i="2"/>
  <c r="J39" i="2"/>
  <c r="F20" i="2"/>
  <c r="F39" i="2"/>
  <c r="D20" i="2"/>
  <c r="D39" i="2"/>
  <c r="C20" i="2"/>
  <c r="C39" i="2"/>
  <c r="Y20" i="2"/>
  <c r="Y39" i="2"/>
  <c r="X20" i="2"/>
  <c r="X39" i="2"/>
  <c r="N20" i="2"/>
  <c r="N39" i="2"/>
  <c r="R20" i="2"/>
  <c r="R39" i="2"/>
  <c r="Z20" i="2"/>
  <c r="Z39" i="2"/>
  <c r="K20" i="2"/>
  <c r="K39" i="2"/>
  <c r="S22" i="2"/>
  <c r="AD32" i="2" l="1"/>
  <c r="AD10" i="2"/>
  <c r="AC39" i="2"/>
  <c r="AC12" i="2"/>
  <c r="AC38" i="2" s="1"/>
  <c r="AC35" i="2"/>
  <c r="K22" i="2"/>
  <c r="K42" i="2"/>
  <c r="Z22" i="2"/>
  <c r="Z42" i="2"/>
  <c r="R22" i="2"/>
  <c r="R42" i="2"/>
  <c r="N22" i="2"/>
  <c r="N42" i="2"/>
  <c r="X22" i="2"/>
  <c r="X42" i="2"/>
  <c r="Y22" i="2"/>
  <c r="Y42" i="2"/>
  <c r="C22" i="2"/>
  <c r="C42" i="2"/>
  <c r="D22" i="2"/>
  <c r="D42" i="2"/>
  <c r="F22" i="2"/>
  <c r="F42" i="2"/>
  <c r="J22" i="2"/>
  <c r="J42" i="2"/>
  <c r="M22" i="2"/>
  <c r="M42" i="2"/>
  <c r="S40" i="2"/>
  <c r="S24" i="2"/>
  <c r="AC11" i="2" l="1"/>
  <c r="AC36" i="2" s="1"/>
  <c r="AD39" i="2"/>
  <c r="AD35" i="2"/>
  <c r="AD12" i="2"/>
  <c r="AD38" i="2" s="1"/>
  <c r="AE32" i="2"/>
  <c r="AE10" i="2"/>
  <c r="M24" i="2"/>
  <c r="M40" i="2"/>
  <c r="J24" i="2"/>
  <c r="J40" i="2"/>
  <c r="F24" i="2"/>
  <c r="F40" i="2"/>
  <c r="D24" i="2"/>
  <c r="D40" i="2"/>
  <c r="C40" i="2"/>
  <c r="C24" i="2"/>
  <c r="Y24" i="2"/>
  <c r="Y40" i="2"/>
  <c r="X24" i="2"/>
  <c r="X40" i="2"/>
  <c r="N24" i="2"/>
  <c r="N40" i="2"/>
  <c r="R24" i="2"/>
  <c r="R40" i="2"/>
  <c r="Z24" i="2"/>
  <c r="Z40" i="2"/>
  <c r="K24" i="2"/>
  <c r="K40" i="2"/>
  <c r="AD11" i="2" l="1"/>
  <c r="AD36" i="2" s="1"/>
  <c r="AF32" i="2"/>
  <c r="AF10" i="2"/>
  <c r="AE39" i="2"/>
  <c r="AE35" i="2"/>
  <c r="AE12" i="2"/>
  <c r="AE38" i="2" s="1"/>
  <c r="AE11" i="2" l="1"/>
  <c r="AE36" i="2" s="1"/>
  <c r="AF39" i="2"/>
  <c r="AF35" i="2"/>
  <c r="AF12" i="2"/>
  <c r="AG32" i="2"/>
  <c r="AG10" i="2"/>
  <c r="AH32" i="2" l="1"/>
  <c r="AH10" i="2"/>
  <c r="AG39" i="2"/>
  <c r="AG35" i="2"/>
  <c r="AG12" i="2"/>
  <c r="AG38" i="2" s="1"/>
  <c r="AF11" i="2"/>
  <c r="AF36" i="2" s="1"/>
  <c r="AF38" i="2"/>
  <c r="AG11" i="2" l="1"/>
  <c r="AG36" i="2" s="1"/>
  <c r="AH39" i="2"/>
  <c r="AH35" i="2"/>
  <c r="AH12" i="2"/>
  <c r="AH38" i="2" s="1"/>
  <c r="AI32" i="2"/>
  <c r="AI10" i="2"/>
  <c r="AI39" i="2" l="1"/>
  <c r="AI12" i="2"/>
  <c r="AI38" i="2" s="1"/>
  <c r="AI35" i="2"/>
  <c r="AJ32" i="2"/>
  <c r="AJ10" i="2"/>
  <c r="AH11" i="2"/>
  <c r="AH36" i="2" s="1"/>
  <c r="AC20" i="2"/>
  <c r="AC21" i="2" s="1"/>
  <c r="AI11" i="2" l="1"/>
  <c r="AK32" i="2"/>
  <c r="AK10" i="2"/>
  <c r="AJ39" i="2"/>
  <c r="AJ35" i="2"/>
  <c r="AJ12" i="2"/>
  <c r="AJ38" i="2" s="1"/>
  <c r="AI36" i="2"/>
  <c r="AC22" i="2"/>
  <c r="AC24" i="2" s="1"/>
  <c r="AC42" i="2"/>
  <c r="AJ11" i="2" l="1"/>
  <c r="AJ36" i="2" s="1"/>
  <c r="AK39" i="2"/>
  <c r="AK35" i="2"/>
  <c r="AK12" i="2"/>
  <c r="AK38" i="2" s="1"/>
  <c r="AL10" i="2"/>
  <c r="AL32" i="2"/>
  <c r="AC40" i="2"/>
  <c r="AD27" i="2"/>
  <c r="AD18" i="2" s="1"/>
  <c r="AL39" i="2" l="1"/>
  <c r="AL12" i="2"/>
  <c r="AL38" i="2" s="1"/>
  <c r="AL35" i="2"/>
  <c r="AL11" i="2"/>
  <c r="AK11" i="2"/>
  <c r="AK36" i="2" s="1"/>
  <c r="AD20" i="2"/>
  <c r="AD21" i="2" s="1"/>
  <c r="AL36" i="2" l="1"/>
  <c r="AD42" i="2"/>
  <c r="AD22" i="2" l="1"/>
  <c r="AD40" i="2" s="1"/>
  <c r="AE27" i="2" l="1"/>
  <c r="AE18" i="2" s="1"/>
  <c r="AE20" i="2" s="1"/>
  <c r="AE21" i="2" s="1"/>
  <c r="AE42" i="2" l="1"/>
  <c r="AE22" i="2" l="1"/>
  <c r="AE40" i="2" s="1"/>
  <c r="AF27" i="2" l="1"/>
  <c r="AF18" i="2" s="1"/>
  <c r="AF20" i="2" s="1"/>
  <c r="AF21" i="2" s="1"/>
  <c r="AF42" i="2" l="1"/>
  <c r="AF22" i="2" l="1"/>
  <c r="AF40" i="2" s="1"/>
  <c r="AG27" i="2" l="1"/>
  <c r="AG18" i="2" s="1"/>
  <c r="AG20" i="2" s="1"/>
  <c r="AG21" i="2" s="1"/>
  <c r="AG42" i="2" l="1"/>
  <c r="AG22" i="2" l="1"/>
  <c r="AG40" i="2" s="1"/>
  <c r="AH27" i="2" l="1"/>
  <c r="AH18" i="2" s="1"/>
  <c r="AH20" i="2" s="1"/>
  <c r="AH21" i="2" s="1"/>
  <c r="AH42" i="2" l="1"/>
  <c r="AH22" i="2" l="1"/>
  <c r="AH40" i="2" s="1"/>
  <c r="AI27" i="2" l="1"/>
  <c r="AI18" i="2" s="1"/>
  <c r="AI20" i="2" s="1"/>
  <c r="AI21" i="2" s="1"/>
  <c r="AI42" i="2" l="1"/>
  <c r="AI22" i="2" l="1"/>
  <c r="AI40" i="2" s="1"/>
  <c r="AJ27" i="2" l="1"/>
  <c r="AJ18" i="2" s="1"/>
  <c r="AJ20" i="2" s="1"/>
  <c r="AJ21" i="2" s="1"/>
  <c r="AJ42" i="2" l="1"/>
  <c r="AJ22" i="2" l="1"/>
  <c r="AJ40" i="2" s="1"/>
  <c r="AK27" i="2" l="1"/>
  <c r="AK18" i="2" s="1"/>
  <c r="AK20" i="2" s="1"/>
  <c r="AK21" i="2" s="1"/>
  <c r="AK42" i="2" l="1"/>
  <c r="AK22" i="2" l="1"/>
  <c r="AK40" i="2" s="1"/>
  <c r="AL27" i="2" l="1"/>
  <c r="AL18" i="2" s="1"/>
  <c r="AL20" i="2" s="1"/>
  <c r="AL21" i="2" s="1"/>
  <c r="AL42" i="2" l="1"/>
  <c r="AL22" i="2" l="1"/>
  <c r="AL40" i="2" l="1"/>
  <c r="AM22" i="2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EW22" i="2" s="1"/>
  <c r="EX22" i="2" s="1"/>
  <c r="EY22" i="2" s="1"/>
  <c r="EZ22" i="2" s="1"/>
  <c r="FA22" i="2" s="1"/>
  <c r="FB22" i="2" s="1"/>
  <c r="FC22" i="2" s="1"/>
  <c r="FD22" i="2" s="1"/>
  <c r="FE22" i="2" s="1"/>
  <c r="FF22" i="2" s="1"/>
  <c r="FG22" i="2" s="1"/>
  <c r="FH22" i="2" s="1"/>
  <c r="FI22" i="2" s="1"/>
  <c r="FJ22" i="2" s="1"/>
  <c r="FK22" i="2" s="1"/>
  <c r="FL22" i="2" s="1"/>
  <c r="FM22" i="2" s="1"/>
  <c r="FN22" i="2" s="1"/>
  <c r="FO22" i="2" s="1"/>
  <c r="FP22" i="2" s="1"/>
  <c r="FQ22" i="2" s="1"/>
  <c r="FR22" i="2" s="1"/>
  <c r="FS22" i="2" s="1"/>
  <c r="FT22" i="2" s="1"/>
  <c r="FU22" i="2" s="1"/>
  <c r="FV22" i="2" s="1"/>
  <c r="FW22" i="2" s="1"/>
  <c r="FX22" i="2" s="1"/>
  <c r="FY22" i="2" s="1"/>
  <c r="FZ22" i="2" s="1"/>
  <c r="GA22" i="2" s="1"/>
  <c r="GB22" i="2" s="1"/>
  <c r="GC22" i="2" s="1"/>
  <c r="GD22" i="2" s="1"/>
  <c r="GE22" i="2" s="1"/>
  <c r="GF22" i="2" s="1"/>
  <c r="GG22" i="2" s="1"/>
  <c r="GH22" i="2" s="1"/>
  <c r="GI22" i="2" s="1"/>
  <c r="GJ22" i="2" s="1"/>
  <c r="GK22" i="2" s="1"/>
  <c r="GL22" i="2" s="1"/>
  <c r="GM22" i="2" s="1"/>
  <c r="GN22" i="2" s="1"/>
  <c r="GO22" i="2" s="1"/>
  <c r="GP22" i="2" s="1"/>
  <c r="GQ22" i="2" s="1"/>
  <c r="GR22" i="2" s="1"/>
  <c r="GS22" i="2" s="1"/>
  <c r="GT22" i="2" s="1"/>
  <c r="GU22" i="2" s="1"/>
  <c r="GV22" i="2" s="1"/>
  <c r="GW22" i="2" s="1"/>
  <c r="GX22" i="2" s="1"/>
  <c r="GY22" i="2" s="1"/>
  <c r="GZ22" i="2" s="1"/>
  <c r="HA22" i="2" s="1"/>
  <c r="HB22" i="2" s="1"/>
  <c r="HC22" i="2" s="1"/>
  <c r="HD22" i="2" s="1"/>
  <c r="HE22" i="2" s="1"/>
  <c r="HF22" i="2" s="1"/>
  <c r="HG22" i="2" s="1"/>
  <c r="HH22" i="2" s="1"/>
  <c r="HI22" i="2" s="1"/>
  <c r="HJ22" i="2" s="1"/>
  <c r="HK22" i="2" s="1"/>
  <c r="HL22" i="2" s="1"/>
  <c r="HM22" i="2" s="1"/>
  <c r="HN22" i="2" s="1"/>
  <c r="HO22" i="2" s="1"/>
  <c r="HP22" i="2" s="1"/>
  <c r="HQ22" i="2" s="1"/>
  <c r="HR22" i="2" s="1"/>
  <c r="HS22" i="2" s="1"/>
  <c r="HT22" i="2" s="1"/>
  <c r="HU22" i="2" s="1"/>
  <c r="HV22" i="2" s="1"/>
  <c r="HW22" i="2" s="1"/>
  <c r="HX22" i="2" s="1"/>
  <c r="HY22" i="2" s="1"/>
  <c r="HZ22" i="2" s="1"/>
  <c r="IA22" i="2" s="1"/>
  <c r="IB22" i="2" s="1"/>
  <c r="IC22" i="2" s="1"/>
  <c r="ID22" i="2" s="1"/>
  <c r="IE22" i="2" s="1"/>
  <c r="IF22" i="2" s="1"/>
  <c r="IG22" i="2" s="1"/>
  <c r="IH22" i="2" s="1"/>
  <c r="II22" i="2" s="1"/>
  <c r="IJ22" i="2" s="1"/>
  <c r="IK22" i="2" s="1"/>
  <c r="IL22" i="2" s="1"/>
  <c r="IM22" i="2" s="1"/>
  <c r="IN22" i="2" s="1"/>
  <c r="IO22" i="2" s="1"/>
  <c r="IP22" i="2" s="1"/>
  <c r="IQ22" i="2" s="1"/>
  <c r="IR22" i="2" s="1"/>
  <c r="IS22" i="2" s="1"/>
  <c r="IT22" i="2" s="1"/>
  <c r="IU22" i="2" s="1"/>
  <c r="IV22" i="2" s="1"/>
  <c r="IW22" i="2" s="1"/>
  <c r="IX22" i="2" s="1"/>
  <c r="IY22" i="2" s="1"/>
  <c r="IZ22" i="2" s="1"/>
  <c r="JA22" i="2" s="1"/>
  <c r="JB22" i="2" s="1"/>
  <c r="JC22" i="2" s="1"/>
  <c r="JD22" i="2" s="1"/>
  <c r="JE22" i="2" s="1"/>
  <c r="JF22" i="2" s="1"/>
  <c r="JG22" i="2" s="1"/>
  <c r="JH22" i="2" s="1"/>
  <c r="JI22" i="2" s="1"/>
  <c r="JJ22" i="2" s="1"/>
  <c r="JK22" i="2" s="1"/>
  <c r="JL22" i="2" s="1"/>
  <c r="JM22" i="2" s="1"/>
  <c r="JN22" i="2" s="1"/>
  <c r="JO22" i="2" s="1"/>
  <c r="JP22" i="2" s="1"/>
  <c r="JQ22" i="2" s="1"/>
  <c r="JR22" i="2" s="1"/>
  <c r="JS22" i="2" s="1"/>
  <c r="JT22" i="2" s="1"/>
  <c r="JU22" i="2" s="1"/>
  <c r="JV22" i="2" s="1"/>
  <c r="JW22" i="2" s="1"/>
  <c r="JX22" i="2" s="1"/>
  <c r="JY22" i="2" s="1"/>
  <c r="JZ22" i="2" s="1"/>
  <c r="KA22" i="2" s="1"/>
  <c r="KB22" i="2" s="1"/>
  <c r="KC22" i="2" s="1"/>
  <c r="KD22" i="2" s="1"/>
  <c r="KE22" i="2" s="1"/>
  <c r="KF22" i="2" s="1"/>
  <c r="KG22" i="2" s="1"/>
  <c r="KH22" i="2" s="1"/>
  <c r="KI22" i="2" s="1"/>
  <c r="KJ22" i="2" s="1"/>
  <c r="KK22" i="2" s="1"/>
  <c r="KL22" i="2" s="1"/>
  <c r="KM22" i="2" s="1"/>
  <c r="KN22" i="2" s="1"/>
  <c r="KO22" i="2" s="1"/>
  <c r="KP22" i="2" s="1"/>
  <c r="KQ22" i="2" s="1"/>
  <c r="KR22" i="2" s="1"/>
  <c r="KS22" i="2" s="1"/>
  <c r="KT22" i="2" s="1"/>
  <c r="KU22" i="2" s="1"/>
  <c r="KV22" i="2" s="1"/>
  <c r="KW22" i="2" s="1"/>
  <c r="KX22" i="2" s="1"/>
  <c r="KY22" i="2" s="1"/>
  <c r="KZ22" i="2" s="1"/>
  <c r="LA22" i="2" s="1"/>
  <c r="LB22" i="2" s="1"/>
  <c r="LC22" i="2" s="1"/>
  <c r="LD22" i="2" s="1"/>
  <c r="LE22" i="2" s="1"/>
  <c r="LF22" i="2" s="1"/>
  <c r="LG22" i="2" s="1"/>
  <c r="LH22" i="2" s="1"/>
  <c r="LI22" i="2" s="1"/>
  <c r="LJ22" i="2" s="1"/>
  <c r="LK22" i="2" s="1"/>
  <c r="LL22" i="2" s="1"/>
  <c r="LM22" i="2" s="1"/>
  <c r="LN22" i="2" s="1"/>
  <c r="LO22" i="2" s="1"/>
  <c r="LP22" i="2" s="1"/>
  <c r="LQ22" i="2" s="1"/>
  <c r="LR22" i="2" s="1"/>
  <c r="LS22" i="2" s="1"/>
  <c r="LT22" i="2" s="1"/>
  <c r="LU22" i="2" s="1"/>
  <c r="LV22" i="2" s="1"/>
  <c r="LW22" i="2" s="1"/>
  <c r="LX22" i="2" s="1"/>
  <c r="LY22" i="2" s="1"/>
  <c r="LZ22" i="2" s="1"/>
  <c r="MA22" i="2" s="1"/>
  <c r="MB22" i="2" s="1"/>
  <c r="MC22" i="2" s="1"/>
  <c r="MD22" i="2" s="1"/>
  <c r="ME22" i="2" s="1"/>
  <c r="MF22" i="2" s="1"/>
  <c r="MG22" i="2" s="1"/>
  <c r="MH22" i="2" s="1"/>
  <c r="MI22" i="2" s="1"/>
  <c r="MJ22" i="2" s="1"/>
  <c r="MK22" i="2" s="1"/>
  <c r="ML22" i="2" s="1"/>
  <c r="MM22" i="2" s="1"/>
  <c r="MN22" i="2" s="1"/>
  <c r="MO22" i="2" s="1"/>
  <c r="MP22" i="2" s="1"/>
  <c r="MQ22" i="2" s="1"/>
  <c r="MR22" i="2" s="1"/>
  <c r="MS22" i="2" s="1"/>
  <c r="MT22" i="2" s="1"/>
  <c r="MU22" i="2" s="1"/>
  <c r="MV22" i="2" s="1"/>
  <c r="MW22" i="2" s="1"/>
  <c r="AQ40" i="2" s="1"/>
  <c r="AQ41" i="2" s="1"/>
  <c r="AQ42" i="2" s="1"/>
</calcChain>
</file>

<file path=xl/sharedStrings.xml><?xml version="1.0" encoding="utf-8"?>
<sst xmlns="http://schemas.openxmlformats.org/spreadsheetml/2006/main" count="201" uniqueCount="95">
  <si>
    <t>Model</t>
  </si>
  <si>
    <t>Main</t>
  </si>
  <si>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</si>
  <si>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</si>
  <si>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</si>
  <si>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</si>
  <si>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</si>
  <si>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</si>
  <si>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</si>
  <si>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</si>
  <si>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</si>
  <si>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</si>
  <si>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</si>
  <si>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</si>
  <si>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</si>
  <si>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</si>
  <si>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</si>
  <si>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Q222</t>
  </si>
  <si>
    <t>Q322</t>
  </si>
  <si>
    <t>Q422</t>
  </si>
  <si>
    <t>Q123</t>
  </si>
  <si>
    <t>Q221</t>
  </si>
  <si>
    <t>Q321</t>
  </si>
  <si>
    <t>Q421</t>
  </si>
  <si>
    <t>Q122</t>
  </si>
  <si>
    <t>Q223</t>
  </si>
  <si>
    <t>Revenue</t>
  </si>
  <si>
    <t>COGS</t>
  </si>
  <si>
    <t>Marketing</t>
  </si>
  <si>
    <t>Tech/Dev</t>
  </si>
  <si>
    <t>G&amp;A</t>
  </si>
  <si>
    <t>Operating Expense</t>
  </si>
  <si>
    <t>Operating Income</t>
  </si>
  <si>
    <t>Interest Expense</t>
  </si>
  <si>
    <t>Other</t>
  </si>
  <si>
    <t>Pretax Income</t>
  </si>
  <si>
    <t>Tax</t>
  </si>
  <si>
    <t>Income</t>
  </si>
  <si>
    <t>EPS</t>
  </si>
  <si>
    <t>Gross Profit</t>
  </si>
  <si>
    <t>UCAN Subs</t>
  </si>
  <si>
    <t>EMEA Subs</t>
  </si>
  <si>
    <t>LATAM Subs</t>
  </si>
  <si>
    <t>APAC Subs</t>
  </si>
  <si>
    <t>Total Subs</t>
  </si>
  <si>
    <t>EMEA y/y</t>
  </si>
  <si>
    <t>UCAN y/y</t>
  </si>
  <si>
    <t>LATAM y/y</t>
  </si>
  <si>
    <t>APAC y/y</t>
  </si>
  <si>
    <t>Subs y/y</t>
  </si>
  <si>
    <t>Rev y/y</t>
  </si>
  <si>
    <t>Cogs y/y</t>
  </si>
  <si>
    <t>Gross Magin</t>
  </si>
  <si>
    <t>Operating Margin</t>
  </si>
  <si>
    <t>Profit Margin</t>
  </si>
  <si>
    <t>Tax Rate</t>
  </si>
  <si>
    <t>Discount</t>
  </si>
  <si>
    <t>ROIC</t>
  </si>
  <si>
    <t>NPV</t>
  </si>
  <si>
    <t>FVE</t>
  </si>
  <si>
    <t>Value?</t>
  </si>
  <si>
    <t>Other Asset</t>
  </si>
  <si>
    <t>Total Asset</t>
  </si>
  <si>
    <t>Content Asset</t>
  </si>
  <si>
    <t>Total Current Asset</t>
  </si>
  <si>
    <t>PPE</t>
  </si>
  <si>
    <t>Current Conent Liability</t>
  </si>
  <si>
    <t>AP</t>
  </si>
  <si>
    <t>AE/OL</t>
  </si>
  <si>
    <t>DR</t>
  </si>
  <si>
    <t>Short Debt</t>
  </si>
  <si>
    <t>Total Current Liability</t>
  </si>
  <si>
    <t>Total Liabilities</t>
  </si>
  <si>
    <t>Other non-current Liability</t>
  </si>
  <si>
    <t>Long term Debt</t>
  </si>
  <si>
    <t>Non-Current Liability</t>
  </si>
  <si>
    <t>Net cash</t>
  </si>
  <si>
    <t>Maturity</t>
  </si>
  <si>
    <t>Rev Growth</t>
  </si>
  <si>
    <t>Share Price</t>
  </si>
  <si>
    <t>Matrix</t>
  </si>
  <si>
    <t>Lose</t>
  </si>
  <si>
    <t>Scalp</t>
  </si>
  <si>
    <t>Win</t>
  </si>
  <si>
    <t>$ Per Sub</t>
  </si>
  <si>
    <t>Q223*</t>
  </si>
  <si>
    <t>Subs</t>
  </si>
  <si>
    <t>Q323*</t>
  </si>
  <si>
    <t>Q423*</t>
  </si>
  <si>
    <t>Disney+</t>
  </si>
  <si>
    <t>Paramount+</t>
  </si>
  <si>
    <t>HBO Max</t>
  </si>
  <si>
    <t>Hulu</t>
  </si>
  <si>
    <t>Netflix</t>
  </si>
  <si>
    <t>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</si>
</sst>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2" fillId="0" borderId="0" xfId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38" fontId="0" fillId="0" borderId="0" xfId="0" applyNumberFormat="1"/>
    <xf numFmtId="6" fontId="3" fillId="2" borderId="0" xfId="2" applyNumberFormat="1"/>
    <xf numFmtId="6" fontId="5" fillId="4" borderId="0" xfId="4" applyNumberFormat="1"/>
    <xf numFmtId="6" fontId="4" fillId="3" borderId="0" xfId="3" applyNumberFormat="1"/>
    <xf numFmtId="10" fontId="0" fillId="0" borderId="0" xfId="0" applyNumberFormat="1"/>
    <xf numFmtId="4" fontId="0" fillId="0" borderId="0" xfId="0" applyNumberForma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UCAN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Model!$B$3:$T$3</c:f>
              <c:numCache>
                <c:formatCode>#,##0</c:formatCode>
                <c:ptCount val="19"/>
                <c:pt idx="0">
                  <c:v>66633</c:v>
                </c:pt>
                <c:pt idx="1">
                  <c:v>66501</c:v>
                </c:pt>
                <c:pt idx="2">
                  <c:v>67114</c:v>
                </c:pt>
                <c:pt idx="3">
                  <c:v>67662</c:v>
                </c:pt>
                <c:pt idx="4">
                  <c:v>69969</c:v>
                </c:pt>
                <c:pt idx="5">
                  <c:v>72904</c:v>
                </c:pt>
                <c:pt idx="6">
                  <c:v>73081</c:v>
                </c:pt>
                <c:pt idx="7">
                  <c:v>73936</c:v>
                </c:pt>
                <c:pt idx="8">
                  <c:v>74384</c:v>
                </c:pt>
                <c:pt idx="9">
                  <c:v>73951</c:v>
                </c:pt>
                <c:pt idx="10">
                  <c:v>74024</c:v>
                </c:pt>
                <c:pt idx="11">
                  <c:v>75215</c:v>
                </c:pt>
                <c:pt idx="12">
                  <c:v>74579</c:v>
                </c:pt>
                <c:pt idx="13">
                  <c:v>73283</c:v>
                </c:pt>
                <c:pt idx="14">
                  <c:v>73387</c:v>
                </c:pt>
                <c:pt idx="15">
                  <c:v>74296</c:v>
                </c:pt>
                <c:pt idx="16">
                  <c:v>74398</c:v>
                </c:pt>
                <c:pt idx="17">
                  <c:v>75570</c:v>
                </c:pt>
                <c:pt idx="18">
                  <c:v>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C-420C-8B63-28D80A37FA19}"/>
            </c:ext>
          </c:extLst>
        </c:ser>
        <c:ser>
          <c:idx val="1"/>
          <c:order val="1"/>
          <c:tx>
            <c:strRef>
              <c:f>Model!$A$4</c:f>
              <c:strCache>
                <c:ptCount val="1"/>
                <c:pt idx="0">
                  <c:v>EMEA Subs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Model!$B$4:$T$4</c:f>
              <c:numCache>
                <c:formatCode>#,##0</c:formatCode>
                <c:ptCount val="19"/>
                <c:pt idx="0">
                  <c:v>42542</c:v>
                </c:pt>
                <c:pt idx="1">
                  <c:v>44229</c:v>
                </c:pt>
                <c:pt idx="2">
                  <c:v>47355</c:v>
                </c:pt>
                <c:pt idx="3">
                  <c:v>51778</c:v>
                </c:pt>
                <c:pt idx="4">
                  <c:v>58734</c:v>
                </c:pt>
                <c:pt idx="5">
                  <c:v>61483</c:v>
                </c:pt>
                <c:pt idx="6">
                  <c:v>62242</c:v>
                </c:pt>
                <c:pt idx="7">
                  <c:v>66698</c:v>
                </c:pt>
                <c:pt idx="8">
                  <c:v>68508</c:v>
                </c:pt>
                <c:pt idx="9">
                  <c:v>68696</c:v>
                </c:pt>
                <c:pt idx="10">
                  <c:v>70500</c:v>
                </c:pt>
                <c:pt idx="11">
                  <c:v>74036</c:v>
                </c:pt>
                <c:pt idx="12">
                  <c:v>73733</c:v>
                </c:pt>
                <c:pt idx="13">
                  <c:v>72966</c:v>
                </c:pt>
                <c:pt idx="14">
                  <c:v>73534</c:v>
                </c:pt>
                <c:pt idx="15">
                  <c:v>76729</c:v>
                </c:pt>
                <c:pt idx="16">
                  <c:v>77373</c:v>
                </c:pt>
                <c:pt idx="17">
                  <c:v>79810</c:v>
                </c:pt>
                <c:pt idx="18">
                  <c:v>83760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C-420C-8B63-28D80A37FA19}"/>
            </c:ext>
          </c:extLst>
        </c:ser>
        <c:ser>
          <c:idx val="2"/>
          <c:order val="2"/>
          <c:tx>
            <c:strRef>
              <c:f>Model!$A$5</c:f>
              <c:strCache>
                <c:ptCount val="1"/>
                <c:pt idx="0">
                  <c:v>LATAM Subs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Model!$B$5:$T$5</c:f>
              <c:numCache>
                <c:formatCode>#,##0</c:formatCode>
                <c:ptCount val="19"/>
                <c:pt idx="0">
                  <c:v>27547</c:v>
                </c:pt>
                <c:pt idx="1">
                  <c:v>27890</c:v>
                </c:pt>
                <c:pt idx="2">
                  <c:v>29380</c:v>
                </c:pt>
                <c:pt idx="3">
                  <c:v>31417</c:v>
                </c:pt>
                <c:pt idx="4">
                  <c:v>34318</c:v>
                </c:pt>
                <c:pt idx="5">
                  <c:v>36068</c:v>
                </c:pt>
                <c:pt idx="6">
                  <c:v>36324</c:v>
                </c:pt>
                <c:pt idx="7">
                  <c:v>37537</c:v>
                </c:pt>
                <c:pt idx="8">
                  <c:v>37894</c:v>
                </c:pt>
                <c:pt idx="9">
                  <c:v>38658</c:v>
                </c:pt>
                <c:pt idx="10">
                  <c:v>38988</c:v>
                </c:pt>
                <c:pt idx="11">
                  <c:v>39961</c:v>
                </c:pt>
                <c:pt idx="12">
                  <c:v>39610</c:v>
                </c:pt>
                <c:pt idx="13">
                  <c:v>39624</c:v>
                </c:pt>
                <c:pt idx="14">
                  <c:v>39936</c:v>
                </c:pt>
                <c:pt idx="15">
                  <c:v>41699</c:v>
                </c:pt>
                <c:pt idx="16">
                  <c:v>41249</c:v>
                </c:pt>
                <c:pt idx="17">
                  <c:v>42470</c:v>
                </c:pt>
                <c:pt idx="18">
                  <c:v>43645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C-420C-8B63-28D80A37FA19}"/>
            </c:ext>
          </c:extLst>
        </c:ser>
        <c:ser>
          <c:idx val="3"/>
          <c:order val="3"/>
          <c:tx>
            <c:strRef>
              <c:f>Model!$A$6</c:f>
              <c:strCache>
                <c:ptCount val="1"/>
                <c:pt idx="0">
                  <c:v>APAC Subs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Model!$B$6:$T$6</c:f>
              <c:numCache>
                <c:formatCode>#,##0</c:formatCode>
                <c:ptCount val="19"/>
                <c:pt idx="0">
                  <c:v>12141</c:v>
                </c:pt>
                <c:pt idx="1">
                  <c:v>12942</c:v>
                </c:pt>
                <c:pt idx="2">
                  <c:v>14485</c:v>
                </c:pt>
                <c:pt idx="3">
                  <c:v>16233</c:v>
                </c:pt>
                <c:pt idx="4">
                  <c:v>19835</c:v>
                </c:pt>
                <c:pt idx="5">
                  <c:v>22492</c:v>
                </c:pt>
                <c:pt idx="6">
                  <c:v>23504</c:v>
                </c:pt>
                <c:pt idx="7">
                  <c:v>25492</c:v>
                </c:pt>
                <c:pt idx="8">
                  <c:v>26853</c:v>
                </c:pt>
                <c:pt idx="9">
                  <c:v>27875</c:v>
                </c:pt>
                <c:pt idx="10">
                  <c:v>30051</c:v>
                </c:pt>
                <c:pt idx="11">
                  <c:v>32632</c:v>
                </c:pt>
                <c:pt idx="12">
                  <c:v>33719</c:v>
                </c:pt>
                <c:pt idx="13">
                  <c:v>34799</c:v>
                </c:pt>
                <c:pt idx="14">
                  <c:v>36228</c:v>
                </c:pt>
                <c:pt idx="15">
                  <c:v>38023</c:v>
                </c:pt>
                <c:pt idx="16">
                  <c:v>39478</c:v>
                </c:pt>
                <c:pt idx="17">
                  <c:v>40550</c:v>
                </c:pt>
                <c:pt idx="18">
                  <c:v>42427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C-420C-8B63-28D80A37F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8557327"/>
        <c:axId val="168556367"/>
      </c:barChart>
      <c:catAx>
        <c:axId val="1685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367"/>
        <c:crosses val="autoZero"/>
        <c:auto val="1"/>
        <c:lblAlgn val="ctr"/>
        <c:lblOffset val="100"/>
        <c:noMultiLvlLbl val="0"/>
      </c:catAx>
      <c:valAx>
        <c:axId val="1685563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5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88347796237678E-2"/>
          <c:y val="7.9840728100113764E-2"/>
          <c:w val="0.9486504055811088"/>
          <c:h val="0.83853215447045226"/>
        </c:manualLayout>
      </c:layout>
      <c:lineChart>
        <c:grouping val="standard"/>
        <c:varyColors val="0"/>
        <c:ser>
          <c:idx val="0"/>
          <c:order val="0"/>
          <c:tx>
            <c:strRef>
              <c:f>Model!$C$104:$D$104</c:f>
              <c:strCache>
                <c:ptCount val="2"/>
                <c:pt idx="0">
                  <c:v>UCAN Subs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Model!$E$104:$U$104</c:f>
              <c:numCache>
                <c:formatCode>0.00%</c:formatCode>
                <c:ptCount val="17"/>
                <c:pt idx="0">
                  <c:v>-1.9810004052046581E-3</c:v>
                </c:pt>
                <c:pt idx="1">
                  <c:v>9.2179064976467551E-3</c:v>
                </c:pt>
                <c:pt idx="2">
                  <c:v>8.1652114312960045E-3</c:v>
                </c:pt>
                <c:pt idx="3">
                  <c:v>3.4095947503768764E-2</c:v>
                </c:pt>
                <c:pt idx="4">
                  <c:v>4.1947148022695835E-2</c:v>
                </c:pt>
                <c:pt idx="5">
                  <c:v>2.4278503237133986E-3</c:v>
                </c:pt>
                <c:pt idx="6">
                  <c:v>1.1699347299571672E-2</c:v>
                </c:pt>
                <c:pt idx="7">
                  <c:v>6.0592945249946517E-3</c:v>
                </c:pt>
                <c:pt idx="8">
                  <c:v>-5.8211443321144474E-3</c:v>
                </c:pt>
                <c:pt idx="9">
                  <c:v>9.8714013333145445E-4</c:v>
                </c:pt>
                <c:pt idx="10">
                  <c:v>1.6089376418458867E-2</c:v>
                </c:pt>
                <c:pt idx="11">
                  <c:v>-8.4557601542245564E-3</c:v>
                </c:pt>
                <c:pt idx="12">
                  <c:v>-1.7377545957977469E-2</c:v>
                </c:pt>
                <c:pt idx="13">
                  <c:v>1.4191558751688316E-3</c:v>
                </c:pt>
                <c:pt idx="14">
                  <c:v>1.2386389960074684E-2</c:v>
                </c:pt>
                <c:pt idx="15">
                  <c:v>1.3728868310540765E-3</c:v>
                </c:pt>
                <c:pt idx="16">
                  <c:v>1.5753111642786033E-2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F-4BBF-ABC9-5BDE64175E57}"/>
            </c:ext>
          </c:extLst>
        </c:ser>
        <c:ser>
          <c:idx val="1"/>
          <c:order val="1"/>
          <c:tx>
            <c:strRef>
              <c:f>Model!$C$105:$D$105</c:f>
              <c:strCache>
                <c:ptCount val="2"/>
                <c:pt idx="0">
                  <c:v>EMEA Subs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Model!$E$105:$U$105</c:f>
              <c:numCache>
                <c:formatCode>0.00%</c:formatCode>
                <c:ptCount val="17"/>
                <c:pt idx="0">
                  <c:v>3.965492924639169E-2</c:v>
                </c:pt>
                <c:pt idx="1">
                  <c:v>7.0677609713084122E-2</c:v>
                </c:pt>
                <c:pt idx="2">
                  <c:v>9.3400908035054409E-2</c:v>
                </c:pt>
                <c:pt idx="3">
                  <c:v>0.13434277106106851</c:v>
                </c:pt>
                <c:pt idx="4">
                  <c:v>4.6804236047264025E-2</c:v>
                </c:pt>
                <c:pt idx="5">
                  <c:v>1.234487581933208E-2</c:v>
                </c:pt>
                <c:pt idx="6">
                  <c:v>7.1591529835159484E-2</c:v>
                </c:pt>
                <c:pt idx="7">
                  <c:v>2.713724549461749E-2</c:v>
                </c:pt>
                <c:pt idx="8">
                  <c:v>2.7442050563437625E-3</c:v>
                </c:pt>
                <c:pt idx="9">
                  <c:v>2.6260626528473274E-2</c:v>
                </c:pt>
                <c:pt idx="10">
                  <c:v>5.0156028368794292E-2</c:v>
                </c:pt>
                <c:pt idx="11">
                  <c:v>-4.0926035982494779E-3</c:v>
                </c:pt>
                <c:pt idx="12">
                  <c:v>-1.040239784085828E-2</c:v>
                </c:pt>
                <c:pt idx="13">
                  <c:v>7.7844475509141198E-3</c:v>
                </c:pt>
                <c:pt idx="14">
                  <c:v>4.3449288764381144E-2</c:v>
                </c:pt>
                <c:pt idx="15">
                  <c:v>8.3931759830051522E-3</c:v>
                </c:pt>
                <c:pt idx="16">
                  <c:v>3.1496775360914109E-2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F-4BBF-ABC9-5BDE64175E57}"/>
            </c:ext>
          </c:extLst>
        </c:ser>
        <c:ser>
          <c:idx val="2"/>
          <c:order val="2"/>
          <c:tx>
            <c:strRef>
              <c:f>Model!$C$106:$D$106</c:f>
              <c:strCache>
                <c:ptCount val="2"/>
                <c:pt idx="0">
                  <c:v>LATAM Subs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Model!$E$106:$U$106</c:f>
              <c:numCache>
                <c:formatCode>0.00%</c:formatCode>
                <c:ptCount val="17"/>
                <c:pt idx="0">
                  <c:v>1.2451446618506612E-2</c:v>
                </c:pt>
                <c:pt idx="1">
                  <c:v>5.3424166367873838E-2</c:v>
                </c:pt>
                <c:pt idx="2">
                  <c:v>6.933287950987066E-2</c:v>
                </c:pt>
                <c:pt idx="3">
                  <c:v>9.233854282713172E-2</c:v>
                </c:pt>
                <c:pt idx="4">
                  <c:v>5.0993647648464258E-2</c:v>
                </c:pt>
                <c:pt idx="5">
                  <c:v>7.097704336253674E-3</c:v>
                </c:pt>
                <c:pt idx="6">
                  <c:v>3.33938993502918E-2</c:v>
                </c:pt>
                <c:pt idx="7">
                  <c:v>9.5106161920239796E-3</c:v>
                </c:pt>
                <c:pt idx="8">
                  <c:v>2.0161503140338821E-2</c:v>
                </c:pt>
                <c:pt idx="9">
                  <c:v>8.5363960887785417E-3</c:v>
                </c:pt>
                <c:pt idx="10">
                  <c:v>2.4956396840053241E-2</c:v>
                </c:pt>
                <c:pt idx="11">
                  <c:v>-8.7835639748754524E-3</c:v>
                </c:pt>
                <c:pt idx="12">
                  <c:v>3.5344609946985628E-4</c:v>
                </c:pt>
                <c:pt idx="13">
                  <c:v>7.8740157480314821E-3</c:v>
                </c:pt>
                <c:pt idx="14">
                  <c:v>4.4145633012820484E-2</c:v>
                </c:pt>
                <c:pt idx="15">
                  <c:v>-1.0791625698458041E-2</c:v>
                </c:pt>
                <c:pt idx="16">
                  <c:v>2.9600717593153858E-2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F-4BBF-ABC9-5BDE64175E57}"/>
            </c:ext>
          </c:extLst>
        </c:ser>
        <c:ser>
          <c:idx val="3"/>
          <c:order val="3"/>
          <c:tx>
            <c:strRef>
              <c:f>Model!$C$107:$D$107</c:f>
              <c:strCache>
                <c:ptCount val="2"/>
                <c:pt idx="0">
                  <c:v>APAC Subs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Model!$E$107:$U$107</c:f>
              <c:numCache>
                <c:formatCode>0.00%</c:formatCode>
                <c:ptCount val="17"/>
                <c:pt idx="0">
                  <c:v>6.597479614529278E-2</c:v>
                </c:pt>
                <c:pt idx="1">
                  <c:v>0.11922423118528824</c:v>
                </c:pt>
                <c:pt idx="2">
                  <c:v>0.12067656196064891</c:v>
                </c:pt>
                <c:pt idx="3">
                  <c:v>0.22189367338138366</c:v>
                </c:pt>
                <c:pt idx="4">
                  <c:v>0.13395512982102353</c:v>
                </c:pt>
                <c:pt idx="5">
                  <c:v>4.4993775564645233E-2</c:v>
                </c:pt>
                <c:pt idx="6">
                  <c:v>8.4581347855684053E-2</c:v>
                </c:pt>
                <c:pt idx="7">
                  <c:v>5.3389298603483404E-2</c:v>
                </c:pt>
                <c:pt idx="8">
                  <c:v>3.8059062302163715E-2</c:v>
                </c:pt>
                <c:pt idx="9">
                  <c:v>7.8062780269058329E-2</c:v>
                </c:pt>
                <c:pt idx="10">
                  <c:v>8.5887324881035676E-2</c:v>
                </c:pt>
                <c:pt idx="11">
                  <c:v>3.3310860505025852E-2</c:v>
                </c:pt>
                <c:pt idx="12">
                  <c:v>3.20294196150539E-2</c:v>
                </c:pt>
                <c:pt idx="13">
                  <c:v>4.1064398402252955E-2</c:v>
                </c:pt>
                <c:pt idx="14">
                  <c:v>4.9547311471789701E-2</c:v>
                </c:pt>
                <c:pt idx="15">
                  <c:v>3.8266312495068844E-2</c:v>
                </c:pt>
                <c:pt idx="16">
                  <c:v>2.7154364456152713E-2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F-4BBF-ABC9-5BDE64175E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5624239"/>
        <c:axId val="855622799"/>
      </c:lineChart>
      <c:catAx>
        <c:axId val="8556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2799"/>
        <c:crosses val="autoZero"/>
        <c:auto val="1"/>
        <c:lblAlgn val="ctr"/>
        <c:lblOffset val="100"/>
        <c:noMultiLvlLbl val="0"/>
      </c:catAx>
      <c:valAx>
        <c:axId val="8556227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42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2864068102491"/>
                  <c:y val="-0.15090670362838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Model!$B$8:$R$8</c:f>
              <c:numCache>
                <c:formatCode>#,##0.00</c:formatCode>
                <c:ptCount val="17"/>
                <c:pt idx="0">
                  <c:v>30.363488576745063</c:v>
                </c:pt>
                <c:pt idx="1">
                  <c:v>32.481756640846648</c:v>
                </c:pt>
                <c:pt idx="2">
                  <c:v>33.119860547955589</c:v>
                </c:pt>
                <c:pt idx="3">
                  <c:v>32.718894009216591</c:v>
                </c:pt>
                <c:pt idx="4">
                  <c:v>31.538478365489784</c:v>
                </c:pt>
                <c:pt idx="5">
                  <c:v>31.863672407448679</c:v>
                </c:pt>
                <c:pt idx="6">
                  <c:v>32.974465926385207</c:v>
                </c:pt>
                <c:pt idx="7">
                  <c:v>32.622518572347452</c:v>
                </c:pt>
                <c:pt idx="8">
                  <c:v>34.497372844215199</c:v>
                </c:pt>
                <c:pt idx="9">
                  <c:v>35.094177263600727</c:v>
                </c:pt>
                <c:pt idx="10">
                  <c:v>35.038840997738376</c:v>
                </c:pt>
                <c:pt idx="11">
                  <c:v>34.749643893907432</c:v>
                </c:pt>
                <c:pt idx="12">
                  <c:v>35.494335434328491</c:v>
                </c:pt>
                <c:pt idx="13">
                  <c:v>36.116951856148489</c:v>
                </c:pt>
                <c:pt idx="14">
                  <c:v>35.524575834323237</c:v>
                </c:pt>
                <c:pt idx="15">
                  <c:v>34.028611422900404</c:v>
                </c:pt>
                <c:pt idx="16">
                  <c:v>35.101377216148094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4634-A3A3-A485AF13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87360"/>
        <c:axId val="5336800"/>
      </c:lineChart>
      <c:catAx>
        <c:axId val="17704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00"/>
        <c:crosses val="autoZero"/>
        <c:auto val="1"/>
        <c:lblAlgn val="ctr"/>
        <c:lblOffset val="100"/>
        <c:noMultiLvlLbl val="0"/>
      </c:catAx>
      <c:valAx>
        <c:axId val="53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Model!$C$104:$D$104</c:f>
              <c:strCache>
                <c:ptCount val="2"/>
                <c:pt idx="0">
                  <c:v>UCAN Subs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Model!$E$104:$T$104</c:f>
              <c:numCache>
                <c:formatCode>0.00%</c:formatCode>
                <c:ptCount val="16"/>
                <c:pt idx="0">
                  <c:v>-1.9810004052046581E-3</c:v>
                </c:pt>
                <c:pt idx="1">
                  <c:v>9.2179064976467551E-3</c:v>
                </c:pt>
                <c:pt idx="2">
                  <c:v>8.1652114312960045E-3</c:v>
                </c:pt>
                <c:pt idx="3">
                  <c:v>3.4095947503768764E-2</c:v>
                </c:pt>
                <c:pt idx="4">
                  <c:v>4.1947148022695835E-2</c:v>
                </c:pt>
                <c:pt idx="5">
                  <c:v>2.4278503237133986E-3</c:v>
                </c:pt>
                <c:pt idx="6">
                  <c:v>1.1699347299571672E-2</c:v>
                </c:pt>
                <c:pt idx="7">
                  <c:v>6.0592945249946517E-3</c:v>
                </c:pt>
                <c:pt idx="8">
                  <c:v>-5.8211443321144474E-3</c:v>
                </c:pt>
                <c:pt idx="9">
                  <c:v>9.8714013333145445E-4</c:v>
                </c:pt>
                <c:pt idx="10">
                  <c:v>1.6089376418458867E-2</c:v>
                </c:pt>
                <c:pt idx="11">
                  <c:v>-8.4557601542245564E-3</c:v>
                </c:pt>
                <c:pt idx="12">
                  <c:v>-1.7377545957977469E-2</c:v>
                </c:pt>
                <c:pt idx="13">
                  <c:v>1.4191558751688316E-3</c:v>
                </c:pt>
                <c:pt idx="14">
                  <c:v>1.2386389960074684E-2</c:v>
                </c:pt>
                <c:pt idx="15">
                  <c:v>1.3728868310540765E-3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92C-964C-8BE22D04BE78}"/>
            </c:ext>
          </c:extLst>
        </c:ser>
        <c:ser>
          <c:idx val="1"/>
          <c:order val="1"/>
          <c:tx>
            <c:strRef>
              <c:f>Model!$C$105:$D$105</c:f>
              <c:strCache>
                <c:ptCount val="2"/>
                <c:pt idx="0">
                  <c:v>EMEA Subs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Model!$E$105:$T$105</c:f>
              <c:numCache>
                <c:formatCode>0.00%</c:formatCode>
                <c:ptCount val="16"/>
                <c:pt idx="0">
                  <c:v>3.965492924639169E-2</c:v>
                </c:pt>
                <c:pt idx="1">
                  <c:v>7.0677609713084122E-2</c:v>
                </c:pt>
                <c:pt idx="2">
                  <c:v>9.3400908035054409E-2</c:v>
                </c:pt>
                <c:pt idx="3">
                  <c:v>0.13434277106106851</c:v>
                </c:pt>
                <c:pt idx="4">
                  <c:v>4.6804236047264025E-2</c:v>
                </c:pt>
                <c:pt idx="5">
                  <c:v>1.234487581933208E-2</c:v>
                </c:pt>
                <c:pt idx="6">
                  <c:v>7.1591529835159484E-2</c:v>
                </c:pt>
                <c:pt idx="7">
                  <c:v>2.713724549461749E-2</c:v>
                </c:pt>
                <c:pt idx="8">
                  <c:v>2.7442050563437625E-3</c:v>
                </c:pt>
                <c:pt idx="9">
                  <c:v>2.6260626528473274E-2</c:v>
                </c:pt>
                <c:pt idx="10">
                  <c:v>5.0156028368794292E-2</c:v>
                </c:pt>
                <c:pt idx="11">
                  <c:v>-4.0926035982494779E-3</c:v>
                </c:pt>
                <c:pt idx="12">
                  <c:v>-1.040239784085828E-2</c:v>
                </c:pt>
                <c:pt idx="13">
                  <c:v>7.7844475509141198E-3</c:v>
                </c:pt>
                <c:pt idx="14">
                  <c:v>4.3449288764381144E-2</c:v>
                </c:pt>
                <c:pt idx="15">
                  <c:v>8.3931759830051522E-3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92C-964C-8BE22D04BE78}"/>
            </c:ext>
          </c:extLst>
        </c:ser>
        <c:ser>
          <c:idx val="2"/>
          <c:order val="2"/>
          <c:tx>
            <c:strRef>
              <c:f>Model!$C$106:$D$106</c:f>
              <c:strCache>
                <c:ptCount val="2"/>
                <c:pt idx="0">
                  <c:v>LATAM Subs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Model!$E$106:$T$106</c:f>
              <c:numCache>
                <c:formatCode>0.00%</c:formatCode>
                <c:ptCount val="16"/>
                <c:pt idx="0">
                  <c:v>1.2451446618506612E-2</c:v>
                </c:pt>
                <c:pt idx="1">
                  <c:v>5.3424166367873838E-2</c:v>
                </c:pt>
                <c:pt idx="2">
                  <c:v>6.933287950987066E-2</c:v>
                </c:pt>
                <c:pt idx="3">
                  <c:v>9.233854282713172E-2</c:v>
                </c:pt>
                <c:pt idx="4">
                  <c:v>5.0993647648464258E-2</c:v>
                </c:pt>
                <c:pt idx="5">
                  <c:v>7.097704336253674E-3</c:v>
                </c:pt>
                <c:pt idx="6">
                  <c:v>3.33938993502918E-2</c:v>
                </c:pt>
                <c:pt idx="7">
                  <c:v>9.5106161920239796E-3</c:v>
                </c:pt>
                <c:pt idx="8">
                  <c:v>2.0161503140338821E-2</c:v>
                </c:pt>
                <c:pt idx="9">
                  <c:v>8.5363960887785417E-3</c:v>
                </c:pt>
                <c:pt idx="10">
                  <c:v>2.4956396840053241E-2</c:v>
                </c:pt>
                <c:pt idx="11">
                  <c:v>-8.7835639748754524E-3</c:v>
                </c:pt>
                <c:pt idx="12">
                  <c:v>3.5344609946985628E-4</c:v>
                </c:pt>
                <c:pt idx="13">
                  <c:v>7.8740157480314821E-3</c:v>
                </c:pt>
                <c:pt idx="14">
                  <c:v>4.4145633012820484E-2</c:v>
                </c:pt>
                <c:pt idx="15">
                  <c:v>-1.0791625698458041E-2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92C-964C-8BE22D04BE78}"/>
            </c:ext>
          </c:extLst>
        </c:ser>
        <c:ser>
          <c:idx val="3"/>
          <c:order val="3"/>
          <c:tx>
            <c:strRef>
              <c:f>Model!$C$107:$D$107</c:f>
              <c:strCache>
                <c:ptCount val="2"/>
                <c:pt idx="0">
                  <c:v>APAC Subs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Model!$E$107:$T$107</c:f>
              <c:numCache>
                <c:formatCode>0.00%</c:formatCode>
                <c:ptCount val="16"/>
                <c:pt idx="0">
                  <c:v>6.597479614529278E-2</c:v>
                </c:pt>
                <c:pt idx="1">
                  <c:v>0.11922423118528824</c:v>
                </c:pt>
                <c:pt idx="2">
                  <c:v>0.12067656196064891</c:v>
                </c:pt>
                <c:pt idx="3">
                  <c:v>0.22189367338138366</c:v>
                </c:pt>
                <c:pt idx="4">
                  <c:v>0.13395512982102353</c:v>
                </c:pt>
                <c:pt idx="5">
                  <c:v>4.4993775564645233E-2</c:v>
                </c:pt>
                <c:pt idx="6">
                  <c:v>8.4581347855684053E-2</c:v>
                </c:pt>
                <c:pt idx="7">
                  <c:v>5.3389298603483404E-2</c:v>
                </c:pt>
                <c:pt idx="8">
                  <c:v>3.8059062302163715E-2</c:v>
                </c:pt>
                <c:pt idx="9">
                  <c:v>7.8062780269058329E-2</c:v>
                </c:pt>
                <c:pt idx="10">
                  <c:v>8.5887324881035676E-2</c:v>
                </c:pt>
                <c:pt idx="11">
                  <c:v>3.3310860505025852E-2</c:v>
                </c:pt>
                <c:pt idx="12">
                  <c:v>3.20294196150539E-2</c:v>
                </c:pt>
                <c:pt idx="13">
                  <c:v>4.1064398402252955E-2</c:v>
                </c:pt>
                <c:pt idx="14">
                  <c:v>4.9547311471789701E-2</c:v>
                </c:pt>
                <c:pt idx="15">
                  <c:v>3.8266312495068844E-2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8-492C-964C-8BE22D04BE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5624239"/>
        <c:axId val="855622799"/>
      </c:lineChart>
      <c:catAx>
        <c:axId val="8556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2799"/>
        <c:crosses val="autoZero"/>
        <c:auto val="1"/>
        <c:lblAlgn val="ctr"/>
        <c:lblOffset val="100"/>
        <c:noMultiLvlLbl val="0"/>
      </c:catAx>
      <c:valAx>
        <c:axId val="8556227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42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Model!$C$122</c:f>
              <c:strCache>
                <c:ptCount val="1"/>
                <c:pt idx="0">
                  <c:v>Subs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A-4BB6-8343-0DA61EEF7E8B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AA-4BB6-8343-0DA61EEF7E8B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AA-4BB6-8343-0DA61EEF7E8B}"/>
              </c:ext>
            </c:extLst>
          </c:dPt>
          <c:cat>
            <c:strRef>
              <c:f>Model!$D$121:$W$121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Q223*</c:v>
                </c:pt>
                <c:pt idx="18">
                  <c:v>Q323*</c:v>
                </c:pt>
                <c:pt idx="19">
                  <c:v>Q423*</c:v>
                </c:pt>
              </c:strCache>
            </c:strRef>
          </c:cat>
          <c:val>
            <c:numRef>
              <c:f>Model!$D$122:$W$122</c:f>
              <c:numCache>
                <c:formatCode>#,##0</c:formatCode>
                <c:ptCount val="20"/>
                <c:pt idx="0">
                  <c:v>148863</c:v>
                </c:pt>
                <c:pt idx="1">
                  <c:v>151562</c:v>
                </c:pt>
                <c:pt idx="2">
                  <c:v>158334</c:v>
                </c:pt>
                <c:pt idx="3">
                  <c:v>167090</c:v>
                </c:pt>
                <c:pt idx="4">
                  <c:v>182856</c:v>
                </c:pt>
                <c:pt idx="5">
                  <c:v>192947</c:v>
                </c:pt>
                <c:pt idx="6">
                  <c:v>195151</c:v>
                </c:pt>
                <c:pt idx="7">
                  <c:v>203663</c:v>
                </c:pt>
                <c:pt idx="8">
                  <c:v>207639</c:v>
                </c:pt>
                <c:pt idx="9">
                  <c:v>209180</c:v>
                </c:pt>
                <c:pt idx="10">
                  <c:v>213563</c:v>
                </c:pt>
                <c:pt idx="11">
                  <c:v>221844</c:v>
                </c:pt>
                <c:pt idx="12">
                  <c:v>221641</c:v>
                </c:pt>
                <c:pt idx="13">
                  <c:v>220672</c:v>
                </c:pt>
                <c:pt idx="14">
                  <c:v>223085</c:v>
                </c:pt>
                <c:pt idx="15">
                  <c:v>230747</c:v>
                </c:pt>
                <c:pt idx="16">
                  <c:v>232498</c:v>
                </c:pt>
                <c:pt idx="17">
                  <c:v>238400</c:v>
                </c:pt>
                <c:pt idx="18">
                  <c:v>225000</c:v>
                </c:pt>
                <c:pt idx="19">
                  <c:v>224500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BB6-8343-0DA61EEF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973504"/>
        <c:axId val="1771974464"/>
      </c:lineChart>
      <c:catAx>
        <c:axId val="17719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4464"/>
        <c:crosses val="autoZero"/>
        <c:auto val="1"/>
        <c:lblAlgn val="ctr"/>
        <c:lblOffset val="100"/>
        <c:noMultiLvlLbl val="0"/>
      </c:catAx>
      <c:valAx>
        <c:axId val="1771974464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7690288713911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Model!$X$8:$AB$8</c:f>
              <c:numCache>
                <c:formatCode>0.00</c:formatCode>
                <c:ptCount val="5"/>
                <c:pt idx="0">
                  <c:v>113.41375843745513</c:v>
                </c:pt>
                <c:pt idx="1">
                  <c:v>120.62960081393261</c:v>
                </c:pt>
                <c:pt idx="2">
                  <c:v>122.73216048079425</c:v>
                </c:pt>
                <c:pt idx="3">
                  <c:v>133.86433710174717</c:v>
                </c:pt>
                <c:pt idx="4">
                  <c:v>137.01153211092668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0-4DE6-BBAE-D8FF7024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99536"/>
        <c:axId val="251518736"/>
      </c:lineChart>
      <c:catAx>
        <c:axId val="251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8736"/>
        <c:crosses val="autoZero"/>
        <c:auto val="1"/>
        <c:lblAlgn val="ctr"/>
        <c:lblOffset val="100"/>
        <c:noMultiLvlLbl val="0"/>
      </c:catAx>
      <c:valAx>
        <c:axId val="2515187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Comps!$A$7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Comps!$B$7:$S$7</c:f>
              <c:numCache>
                <c:formatCode>#,##0</c:formatCode>
                <c:ptCount val="18"/>
                <c:pt idx="0">
                  <c:v>148863</c:v>
                </c:pt>
                <c:pt idx="1">
                  <c:v>151562</c:v>
                </c:pt>
                <c:pt idx="2">
                  <c:v>158334</c:v>
                </c:pt>
                <c:pt idx="3">
                  <c:v>167090</c:v>
                </c:pt>
                <c:pt idx="4">
                  <c:v>182856</c:v>
                </c:pt>
                <c:pt idx="5">
                  <c:v>192947</c:v>
                </c:pt>
                <c:pt idx="6">
                  <c:v>195151</c:v>
                </c:pt>
                <c:pt idx="7">
                  <c:v>203663</c:v>
                </c:pt>
                <c:pt idx="8">
                  <c:v>207639</c:v>
                </c:pt>
                <c:pt idx="9">
                  <c:v>209180</c:v>
                </c:pt>
                <c:pt idx="10">
                  <c:v>213563</c:v>
                </c:pt>
                <c:pt idx="11">
                  <c:v>221844</c:v>
                </c:pt>
                <c:pt idx="12">
                  <c:v>221641</c:v>
                </c:pt>
                <c:pt idx="13">
                  <c:v>220672</c:v>
                </c:pt>
                <c:pt idx="14">
                  <c:v>223085</c:v>
                </c:pt>
                <c:pt idx="15">
                  <c:v>230747</c:v>
                </c:pt>
                <c:pt idx="16">
                  <c:v>232498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6-4442-BDD6-5FDCB0E9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51503"/>
        <c:axId val="2122551983"/>
      </c:lineChart>
      <c:lineChart>
        <c:grouping val="standard"/>
        <c:varyColors val="0"/>
        <c:ser>
          <c:idx val="0"/>
          <c:order val="0"/>
          <c:tx>
            <c:strRef>
              <c:f>Comps!$A$3</c:f>
              <c:strCache>
                <c:ptCount val="1"/>
                <c:pt idx="0">
                  <c:v>Disney+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Comps!$B$3:$S$3</c:f>
              <c:numCache>
                <c:formatCode>General</c:formatCode>
                <c:ptCount val="18"/>
                <c:pt idx="4">
                  <c:v>27</c:v>
                </c:pt>
                <c:pt idx="5">
                  <c:v>34</c:v>
                </c:pt>
                <c:pt idx="6">
                  <c:v>58</c:v>
                </c:pt>
                <c:pt idx="7">
                  <c:v>74</c:v>
                </c:pt>
                <c:pt idx="8">
                  <c:v>95</c:v>
                </c:pt>
                <c:pt idx="9">
                  <c:v>104</c:v>
                </c:pt>
                <c:pt idx="10">
                  <c:v>116</c:v>
                </c:pt>
                <c:pt idx="11">
                  <c:v>118</c:v>
                </c:pt>
                <c:pt idx="12">
                  <c:v>130</c:v>
                </c:pt>
                <c:pt idx="13">
                  <c:v>138</c:v>
                </c:pt>
                <c:pt idx="14">
                  <c:v>152</c:v>
                </c:pt>
                <c:pt idx="15">
                  <c:v>164</c:v>
                </c:pt>
                <c:pt idx="16">
                  <c:v>162</c:v>
                </c:pt>
                <c:pt idx="1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6-4442-BDD6-5FDCB0E9775D}"/>
            </c:ext>
          </c:extLst>
        </c:ser>
        <c:ser>
          <c:idx val="1"/>
          <c:order val="1"/>
          <c:tx>
            <c:strRef>
              <c:f>Comps!$A$4</c:f>
              <c:strCache>
                <c:ptCount val="1"/>
                <c:pt idx="0">
                  <c:v>Paramount+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Comps!$B$4:$S$4</c:f>
              <c:numCache>
                <c:formatCode>General</c:formatCode>
                <c:ptCount val="18"/>
                <c:pt idx="7">
                  <c:v>12</c:v>
                </c:pt>
                <c:pt idx="8">
                  <c:v>17</c:v>
                </c:pt>
                <c:pt idx="9">
                  <c:v>21</c:v>
                </c:pt>
                <c:pt idx="10">
                  <c:v>26</c:v>
                </c:pt>
                <c:pt idx="11">
                  <c:v>33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56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6-4442-BDD6-5FDCB0E9775D}"/>
            </c:ext>
          </c:extLst>
        </c:ser>
        <c:ser>
          <c:idx val="2"/>
          <c:order val="2"/>
          <c:tx>
            <c:strRef>
              <c:f>Comps!$A$5</c:f>
              <c:strCache>
                <c:ptCount val="1"/>
                <c:pt idx="0">
                  <c:v>HBO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Comps!$B$5:$S$5</c:f>
              <c:numCache>
                <c:formatCode>General</c:formatCode>
                <c:ptCount val="18"/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61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1">
                  <c:v>74</c:v>
                </c:pt>
                <c:pt idx="12">
                  <c:v>77</c:v>
                </c:pt>
                <c:pt idx="13">
                  <c:v>92</c:v>
                </c:pt>
                <c:pt idx="1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4442-BDD6-5FDCB0E9775D}"/>
            </c:ext>
          </c:extLst>
        </c:ser>
        <c:ser>
          <c:idx val="3"/>
          <c:order val="3"/>
          <c:tx>
            <c:strRef>
              <c:f>Comps!$A$6</c:f>
              <c:strCache>
                <c:ptCount val="1"/>
                <c:pt idx="0">
                  <c:v>Hulu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Comps!$B$6:$S$6</c:f>
              <c:numCache>
                <c:formatCode>General</c:formatCode>
                <c:ptCount val="18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6-4442-BDD6-5FDCB0E9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5279"/>
        <c:axId val="210360559"/>
      </c:lineChart>
      <c:catAx>
        <c:axId val="21225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1983"/>
        <c:crosses val="autoZero"/>
        <c:auto val="1"/>
        <c:lblAlgn val="ctr"/>
        <c:lblOffset val="100"/>
        <c:noMultiLvlLbl val="0"/>
      </c:catAx>
      <c:valAx>
        <c:axId val="2122551983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1503"/>
        <c:crosses val="autoZero"/>
        <c:crossBetween val="between"/>
      </c:valAx>
      <c:valAx>
        <c:axId val="210360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279"/>
        <c:crosses val="max"/>
        <c:crossBetween val="between"/>
      </c:valAx>
      <c:catAx>
        <c:axId val="21035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60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0</xdr:row>
      <xdr:rowOff>60325</xdr:rowOff>
    </xdr:from>
    <xdr:to>
      <xdr:col>20</xdr:col>
      <xdr:colOff>12700</xdr:colOff>
      <xdr:row>59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762382-98A9-827B-4D50-2766C364CD9D}"/>
            </a:ext>
          </a:extLst>
        </xdr:cNvPr>
        <xdr:cNvCxnSpPr/>
      </xdr:nvCxnSpPr>
      <xdr:spPr>
        <a:xfrm>
          <a:off x="14605000" y="60325"/>
          <a:ext cx="0" cy="11306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0</xdr:rowOff>
    </xdr:from>
    <xdr:to>
      <xdr:col>28</xdr:col>
      <xdr:colOff>9525</xdr:colOff>
      <xdr:row>52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03A04D6-0043-387B-C9BA-41A53E4E6291}"/>
            </a:ext>
          </a:extLst>
        </xdr:cNvPr>
        <xdr:cNvCxnSpPr/>
      </xdr:nvCxnSpPr>
      <xdr:spPr>
        <a:xfrm>
          <a:off x="17659350" y="0"/>
          <a:ext cx="9525" cy="966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385762</xdr:colOff>
      <xdr:row>62</xdr:row>
      <xdr:rowOff>180975</xdr:rowOff>
    </xdr:from>
    <xdr:to>
      <xdr:col>24</xdr:col>
      <xdr:colOff>400050</xdr:colOff>
      <xdr:row>92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C4DB1-9832-A112-B617-F83FB6EF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457200</xdr:colOff>
      <xdr:row>49</xdr:row>
      <xdr:rowOff>95250</xdr:rowOff>
    </xdr:from>
    <xdr:to>
      <xdr:col>67</xdr:col>
      <xdr:colOff>400049</xdr:colOff>
      <xdr:row>78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83B29-4B14-1F8E-ADF6-25108A65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509586</xdr:colOff>
      <xdr:row>2</xdr:row>
      <xdr:rowOff>38100</xdr:rowOff>
    </xdr:from>
    <xdr:to>
      <xdr:col>65</xdr:col>
      <xdr:colOff>190499</xdr:colOff>
      <xdr:row>20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5D4BC-69E3-9757-C449-C7C2BCA6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28575</xdr:colOff>
      <xdr:row>79</xdr:row>
      <xdr:rowOff>9525</xdr:rowOff>
    </xdr:from>
    <xdr:to>
      <xdr:col>67</xdr:col>
      <xdr:colOff>581024</xdr:colOff>
      <xdr:row>108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26CB5-78B0-442F-B2DB-1E8E2B53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390525</xdr:colOff>
      <xdr:row>110</xdr:row>
      <xdr:rowOff>90486</xdr:rowOff>
    </xdr:from>
    <xdr:to>
      <xdr:col>60</xdr:col>
      <xdr:colOff>595312</xdr:colOff>
      <xdr:row>142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CA2FC-8AFB-AA47-4F68-F9DC8FE9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438150</xdr:colOff>
      <xdr:row>2</xdr:row>
      <xdr:rowOff>176212</xdr:rowOff>
    </xdr:from>
    <xdr:to>
      <xdr:col>52</xdr:col>
      <xdr:colOff>133350</xdr:colOff>
      <xdr:row>18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9F8A76-D93E-7F48-7A62-B60B24C0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76201</xdr:colOff>
      <xdr:row>13</xdr:row>
      <xdr:rowOff>19050</xdr:rowOff>
    </xdr:from>
    <xdr:to>
      <xdr:col>55</xdr:col>
      <xdr:colOff>333375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2850C-E591-E790-4412-0D24DF92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J6" sqref="J6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I1" t="s">
        <v>2</v>
      </c>
      <c r="J1">
        <v>482.95</v>
      </c>
    </row>
    <row r="2" spans="1:10" x14ac:dyDescent="0.2">
      <c r="I2" t="s">
        <v>3</v>
      </c>
      <c r="J2">
        <v>437.67899999999997</v>
      </c>
    </row>
    <row r="3" spans="1:10" x14ac:dyDescent="0.2">
      <c r="I3" t="s">
        <v>4</v>
      </c>
      <c r="J3" s="2">
        <f>J1*J2</f>
        <v>211377.07304999998</v>
      </c>
    </row>
    <row r="4" spans="1:10" x14ac:dyDescent="0.2">
      <c r="I4" t="s">
        <v>5</v>
      </c>
      <c r="J4">
        <f>7353+514</f>
        <v>7867</v>
      </c>
    </row>
    <row r="5" spans="1:10" x14ac:dyDescent="0.2">
      <c r="I5" t="s">
        <v>6</v>
      </c>
      <c r="J5">
        <f>399+13900</f>
        <v>14299</v>
      </c>
    </row>
    <row r="6" spans="1:10" x14ac:dyDescent="0.2">
      <c r="I6" t="s">
        <v>7</v>
      </c>
      <c r="J6" s="2">
        <f>J3-J4+J5</f>
        <v>217809.07304999998</v>
      </c>
    </row>
  </sheetData>
  <hyperlinks>
    <hyperlink ref="A1" location="Model!A1" display="Model" xr:uid="{186FC6C8-4864-42EB-919F-C88D5232E8A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987D-22E7-4019-B3A4-EE21D5F14553}">
  <dimension ref="A1:MW124"/>
  <sheetViews>
    <sheetView tabSelected="1" zoomScaleNormal="120" workbookViewId="0">
      <pane xSplit="1" ySplit="2" topLeftCell="U9" activePane="bottomRight" state="frozen"/>
      <selection pane="topRight" activeCell="B1" sqref="B1"/>
      <selection pane="bottomLeft" activeCell="A3" sqref="A3"/>
      <selection pane="bottomRight" activeCell="AC18" sqref="AC18"/>
    </sheetView>
  </sheetViews>
  <sheetFormatPr baseColWidth="10" defaultColWidth="8.83203125" defaultRowHeight="15" x14ac:dyDescent="0.2"/>
  <cols>
    <col min="1" max="1" width="25" bestFit="1" customWidth="1"/>
    <col min="2" max="2" width="7.5" bestFit="1" customWidth="1"/>
    <col min="29" max="29" width="10.1640625" bestFit="1" customWidth="1"/>
    <col min="43" max="43" width="10.83203125" bestFit="1" customWidth="1"/>
  </cols>
  <sheetData>
    <row r="1" spans="1:71" x14ac:dyDescent="0.2">
      <c r="A1" s="1" t="s">
        <v>1</v>
      </c>
    </row>
    <row r="2" spans="1:71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21</v>
      </c>
      <c r="L2" t="s">
        <v>22</v>
      </c>
      <c r="M2" t="s">
        <v>23</v>
      </c>
      <c r="N2" t="s">
        <v>24</v>
      </c>
      <c r="O2" t="s">
        <v>17</v>
      </c>
      <c r="P2" t="s">
        <v>18</v>
      </c>
      <c r="Q2" t="s">
        <v>19</v>
      </c>
      <c r="R2" t="s">
        <v>20</v>
      </c>
      <c r="S2" t="s">
        <v>25</v>
      </c>
      <c r="T2" t="s">
        <v>94</v>
      </c>
      <c r="X2">
        <v>2018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f>AC2+1</f>
        <v>2024</v>
      </c>
      <c r="AE2">
        <f t="shared" ref="AE2:AL2" si="0">AD2+1</f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</row>
    <row r="3" spans="1:71" x14ac:dyDescent="0.2">
      <c r="A3" t="s">
        <v>40</v>
      </c>
      <c r="B3" s="2">
        <v>66633</v>
      </c>
      <c r="C3" s="2">
        <v>66501</v>
      </c>
      <c r="D3" s="2">
        <v>67114</v>
      </c>
      <c r="E3" s="2">
        <v>67662</v>
      </c>
      <c r="F3" s="2">
        <v>69969</v>
      </c>
      <c r="G3" s="2">
        <v>72904</v>
      </c>
      <c r="H3" s="2">
        <v>73081</v>
      </c>
      <c r="I3" s="2">
        <v>73936</v>
      </c>
      <c r="J3" s="2">
        <v>74384</v>
      </c>
      <c r="K3" s="2">
        <v>73951</v>
      </c>
      <c r="L3" s="2">
        <v>74024</v>
      </c>
      <c r="M3" s="2">
        <v>75215</v>
      </c>
      <c r="N3" s="2">
        <v>74579</v>
      </c>
      <c r="O3" s="2">
        <v>73283</v>
      </c>
      <c r="P3" s="2">
        <v>73387</v>
      </c>
      <c r="Q3" s="2">
        <v>74296</v>
      </c>
      <c r="R3" s="2">
        <v>74398</v>
      </c>
      <c r="S3" s="2">
        <v>75570</v>
      </c>
      <c r="T3" s="2">
        <v>77321</v>
      </c>
      <c r="Y3" s="2">
        <v>67662</v>
      </c>
      <c r="Z3" s="2">
        <v>73936</v>
      </c>
      <c r="AA3" s="2">
        <v>75215</v>
      </c>
      <c r="AB3" s="2">
        <v>74296</v>
      </c>
    </row>
    <row r="4" spans="1:71" x14ac:dyDescent="0.2">
      <c r="A4" t="s">
        <v>41</v>
      </c>
      <c r="B4" s="2">
        <v>42542</v>
      </c>
      <c r="C4" s="2">
        <v>44229</v>
      </c>
      <c r="D4" s="2">
        <v>47355</v>
      </c>
      <c r="E4" s="2">
        <v>51778</v>
      </c>
      <c r="F4" s="2">
        <v>58734</v>
      </c>
      <c r="G4" s="2">
        <v>61483</v>
      </c>
      <c r="H4" s="2">
        <v>62242</v>
      </c>
      <c r="I4" s="2">
        <v>66698</v>
      </c>
      <c r="J4" s="2">
        <v>68508</v>
      </c>
      <c r="K4" s="2">
        <v>68696</v>
      </c>
      <c r="L4" s="2">
        <v>70500</v>
      </c>
      <c r="M4" s="2">
        <v>74036</v>
      </c>
      <c r="N4" s="2">
        <v>73733</v>
      </c>
      <c r="O4" s="2">
        <v>72966</v>
      </c>
      <c r="P4" s="2">
        <v>73534</v>
      </c>
      <c r="Q4" s="2">
        <v>76729</v>
      </c>
      <c r="R4" s="2">
        <v>77373</v>
      </c>
      <c r="S4" s="2">
        <v>79810</v>
      </c>
      <c r="T4" s="2">
        <v>83760</v>
      </c>
      <c r="Y4" s="2">
        <v>51778</v>
      </c>
      <c r="Z4" s="2">
        <v>66698</v>
      </c>
      <c r="AA4" s="2">
        <v>74036</v>
      </c>
      <c r="AB4" s="2">
        <v>76729</v>
      </c>
    </row>
    <row r="5" spans="1:71" x14ac:dyDescent="0.2">
      <c r="A5" t="s">
        <v>42</v>
      </c>
      <c r="B5" s="2">
        <v>27547</v>
      </c>
      <c r="C5" s="2">
        <v>27890</v>
      </c>
      <c r="D5" s="2">
        <v>29380</v>
      </c>
      <c r="E5" s="2">
        <v>31417</v>
      </c>
      <c r="F5" s="2">
        <v>34318</v>
      </c>
      <c r="G5" s="2">
        <v>36068</v>
      </c>
      <c r="H5" s="2">
        <v>36324</v>
      </c>
      <c r="I5" s="2">
        <v>37537</v>
      </c>
      <c r="J5" s="2">
        <v>37894</v>
      </c>
      <c r="K5" s="2">
        <v>38658</v>
      </c>
      <c r="L5" s="2">
        <v>38988</v>
      </c>
      <c r="M5" s="2">
        <v>39961</v>
      </c>
      <c r="N5" s="2">
        <v>39610</v>
      </c>
      <c r="O5" s="2">
        <v>39624</v>
      </c>
      <c r="P5" s="2">
        <v>39936</v>
      </c>
      <c r="Q5" s="2">
        <v>41699</v>
      </c>
      <c r="R5" s="2">
        <v>41249</v>
      </c>
      <c r="S5" s="2">
        <v>42470</v>
      </c>
      <c r="T5" s="2">
        <v>43645</v>
      </c>
      <c r="Y5" s="2">
        <v>31417</v>
      </c>
      <c r="Z5" s="2">
        <v>37537</v>
      </c>
      <c r="AA5" s="2">
        <v>39961</v>
      </c>
      <c r="AB5" s="2">
        <v>41699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1" x14ac:dyDescent="0.2">
      <c r="A6" t="s">
        <v>43</v>
      </c>
      <c r="B6" s="2">
        <v>12141</v>
      </c>
      <c r="C6" s="2">
        <v>12942</v>
      </c>
      <c r="D6" s="2">
        <v>14485</v>
      </c>
      <c r="E6" s="2">
        <v>16233</v>
      </c>
      <c r="F6" s="2">
        <v>19835</v>
      </c>
      <c r="G6" s="2">
        <v>22492</v>
      </c>
      <c r="H6" s="2">
        <v>23504</v>
      </c>
      <c r="I6" s="2">
        <v>25492</v>
      </c>
      <c r="J6" s="2">
        <v>26853</v>
      </c>
      <c r="K6" s="2">
        <v>27875</v>
      </c>
      <c r="L6" s="2">
        <v>30051</v>
      </c>
      <c r="M6" s="2">
        <v>32632</v>
      </c>
      <c r="N6" s="2">
        <v>33719</v>
      </c>
      <c r="O6" s="2">
        <v>34799</v>
      </c>
      <c r="P6" s="2">
        <v>36228</v>
      </c>
      <c r="Q6" s="2">
        <v>38023</v>
      </c>
      <c r="R6" s="2">
        <v>39478</v>
      </c>
      <c r="S6" s="2">
        <v>40550</v>
      </c>
      <c r="T6" s="2">
        <v>42427</v>
      </c>
      <c r="Y6" s="2">
        <v>16233</v>
      </c>
      <c r="Z6" s="2">
        <v>25492</v>
      </c>
      <c r="AA6" s="2">
        <v>32632</v>
      </c>
      <c r="AB6" s="2">
        <v>38023</v>
      </c>
    </row>
    <row r="7" spans="1:71" s="3" customFormat="1" x14ac:dyDescent="0.2">
      <c r="A7" s="3" t="s">
        <v>44</v>
      </c>
      <c r="B7" s="5">
        <f t="shared" ref="B7:E7" si="1">SUM(B3:B6)</f>
        <v>148863</v>
      </c>
      <c r="C7" s="5">
        <f t="shared" si="1"/>
        <v>151562</v>
      </c>
      <c r="D7" s="5">
        <f t="shared" si="1"/>
        <v>158334</v>
      </c>
      <c r="E7" s="5">
        <f t="shared" si="1"/>
        <v>167090</v>
      </c>
      <c r="F7" s="5">
        <f t="shared" ref="F7" si="2">SUM(F3:F6)</f>
        <v>182856</v>
      </c>
      <c r="G7" s="5">
        <f t="shared" ref="G7:T7" si="3">SUM(G3:G6)</f>
        <v>192947</v>
      </c>
      <c r="H7" s="5">
        <f t="shared" si="3"/>
        <v>195151</v>
      </c>
      <c r="I7" s="5">
        <f t="shared" si="3"/>
        <v>203663</v>
      </c>
      <c r="J7" s="5">
        <f t="shared" si="3"/>
        <v>207639</v>
      </c>
      <c r="K7" s="5">
        <f t="shared" si="3"/>
        <v>209180</v>
      </c>
      <c r="L7" s="5">
        <f t="shared" si="3"/>
        <v>213563</v>
      </c>
      <c r="M7" s="5">
        <f t="shared" si="3"/>
        <v>221844</v>
      </c>
      <c r="N7" s="5">
        <f t="shared" si="3"/>
        <v>221641</v>
      </c>
      <c r="O7" s="5">
        <f t="shared" si="3"/>
        <v>220672</v>
      </c>
      <c r="P7" s="5">
        <f t="shared" si="3"/>
        <v>223085</v>
      </c>
      <c r="Q7" s="5">
        <f t="shared" si="3"/>
        <v>230747</v>
      </c>
      <c r="R7" s="5">
        <f t="shared" si="3"/>
        <v>232498</v>
      </c>
      <c r="S7" s="5">
        <f t="shared" si="3"/>
        <v>238400</v>
      </c>
      <c r="T7" s="5">
        <f t="shared" si="3"/>
        <v>247153</v>
      </c>
      <c r="X7" s="5">
        <v>139260</v>
      </c>
      <c r="Y7" s="5">
        <f t="shared" ref="Y7:Z7" si="4">SUM(Y3:Y6)</f>
        <v>167090</v>
      </c>
      <c r="Z7" s="5">
        <f t="shared" si="4"/>
        <v>203663</v>
      </c>
      <c r="AA7" s="5">
        <f>SUM(AA3:AA6)</f>
        <v>221844</v>
      </c>
      <c r="AB7" s="5">
        <f>SUM(AB3:AB6)</f>
        <v>230747</v>
      </c>
      <c r="AC7" s="5">
        <f>AB7*1.08</f>
        <v>249206.76</v>
      </c>
      <c r="AD7" s="5">
        <f t="shared" ref="AD7:AL7" si="5">AC7*1.08</f>
        <v>269143.30080000003</v>
      </c>
      <c r="AE7" s="5">
        <f t="shared" si="5"/>
        <v>290674.76486400003</v>
      </c>
      <c r="AF7" s="5">
        <f t="shared" si="5"/>
        <v>313928.74605312006</v>
      </c>
      <c r="AG7" s="5">
        <f t="shared" si="5"/>
        <v>339043.04573736968</v>
      </c>
      <c r="AH7" s="5">
        <f t="shared" si="5"/>
        <v>366166.48939635931</v>
      </c>
      <c r="AI7" s="5">
        <f t="shared" si="5"/>
        <v>395459.8085480681</v>
      </c>
      <c r="AJ7" s="5">
        <f t="shared" si="5"/>
        <v>427096.59323191358</v>
      </c>
      <c r="AK7" s="5">
        <f t="shared" si="5"/>
        <v>461264.32069046667</v>
      </c>
      <c r="AL7" s="5">
        <f t="shared" si="5"/>
        <v>498165.46634570404</v>
      </c>
    </row>
    <row r="8" spans="1:71" x14ac:dyDescent="0.2">
      <c r="A8" t="s">
        <v>84</v>
      </c>
      <c r="B8" s="13">
        <f t="shared" ref="B8:Q8" si="6">B10/(B7/1000)</f>
        <v>30.363488576745063</v>
      </c>
      <c r="C8" s="13">
        <f t="shared" si="6"/>
        <v>32.481756640846648</v>
      </c>
      <c r="D8" s="13">
        <f t="shared" si="6"/>
        <v>33.119860547955589</v>
      </c>
      <c r="E8" s="13">
        <f t="shared" si="6"/>
        <v>32.718894009216591</v>
      </c>
      <c r="F8" s="13">
        <f t="shared" si="6"/>
        <v>31.538478365489784</v>
      </c>
      <c r="G8" s="13">
        <f t="shared" si="6"/>
        <v>31.863672407448679</v>
      </c>
      <c r="H8" s="13">
        <f t="shared" si="6"/>
        <v>32.974465926385207</v>
      </c>
      <c r="I8" s="13">
        <f t="shared" si="6"/>
        <v>32.622518572347452</v>
      </c>
      <c r="J8" s="13">
        <f t="shared" si="6"/>
        <v>34.497372844215199</v>
      </c>
      <c r="K8" s="13">
        <f t="shared" si="6"/>
        <v>35.094177263600727</v>
      </c>
      <c r="L8" s="13">
        <f t="shared" si="6"/>
        <v>35.038840997738376</v>
      </c>
      <c r="M8" s="13">
        <f t="shared" si="6"/>
        <v>34.749643893907432</v>
      </c>
      <c r="N8" s="13">
        <f t="shared" si="6"/>
        <v>35.494335434328491</v>
      </c>
      <c r="O8" s="13">
        <f t="shared" si="6"/>
        <v>36.116951856148489</v>
      </c>
      <c r="P8" s="13">
        <f t="shared" si="6"/>
        <v>35.524575834323237</v>
      </c>
      <c r="Q8" s="13">
        <f t="shared" si="6"/>
        <v>34.028611422900404</v>
      </c>
      <c r="R8" s="13">
        <f>R10/(R7/1000)</f>
        <v>35.101377216148094</v>
      </c>
      <c r="S8" s="13">
        <f>S10/(S7/1000)</f>
        <v>34.341442953020135</v>
      </c>
      <c r="T8" s="13">
        <f>T10/(T7/1000)</f>
        <v>34.557541280097752</v>
      </c>
      <c r="U8" s="13"/>
      <c r="X8" s="4">
        <f>X10/(X7/1000)</f>
        <v>113.41375843745513</v>
      </c>
      <c r="Y8" s="4">
        <f t="shared" ref="Y8:AB8" si="7">Y10/(Y7/1000)</f>
        <v>120.62960081393261</v>
      </c>
      <c r="Z8" s="4">
        <f t="shared" si="7"/>
        <v>122.73216048079425</v>
      </c>
      <c r="AA8" s="4">
        <f t="shared" si="7"/>
        <v>133.86433710174717</v>
      </c>
      <c r="AB8" s="4">
        <f t="shared" si="7"/>
        <v>137.01153211092668</v>
      </c>
      <c r="AC8" s="13">
        <f>6.043*6 + 107.4+8</f>
        <v>151.65800000000002</v>
      </c>
      <c r="AD8" s="13">
        <f>6.043*7 + 107.4+8</f>
        <v>157.70100000000002</v>
      </c>
      <c r="AE8" s="13">
        <f>6.043*8+ 107.4+8</f>
        <v>163.744</v>
      </c>
      <c r="AF8" s="13">
        <f>6.043*9 + 107.4+8</f>
        <v>169.78700000000001</v>
      </c>
      <c r="AG8" s="13">
        <f>6.043*10 + 107.4+8</f>
        <v>175.83</v>
      </c>
      <c r="AH8" s="13">
        <f>6.043*11 + 107.4+8</f>
        <v>181.87299999999999</v>
      </c>
      <c r="AI8" s="13">
        <f>6.043*12 + 107.4+8</f>
        <v>187.916</v>
      </c>
      <c r="AJ8" s="13">
        <f>6.043*13 + 107.4+8</f>
        <v>193.959</v>
      </c>
      <c r="AK8" s="13">
        <f>6.043*14 + 107.4+8</f>
        <v>200.00200000000001</v>
      </c>
      <c r="AL8" s="13">
        <f>6.043*15 + 107.4+8</f>
        <v>206.04500000000002</v>
      </c>
    </row>
    <row r="9" spans="1:71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X9" s="4"/>
      <c r="Y9" s="4"/>
      <c r="Z9" s="4"/>
      <c r="AA9" s="4"/>
      <c r="AB9" s="4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71" x14ac:dyDescent="0.2">
      <c r="A10" t="s">
        <v>26</v>
      </c>
      <c r="B10" s="2">
        <v>4520</v>
      </c>
      <c r="C10" s="2">
        <v>4923</v>
      </c>
      <c r="D10" s="2">
        <v>5244</v>
      </c>
      <c r="E10" s="2">
        <v>5467</v>
      </c>
      <c r="F10" s="2">
        <v>5767</v>
      </c>
      <c r="G10" s="2">
        <v>6148</v>
      </c>
      <c r="H10" s="2">
        <v>6435</v>
      </c>
      <c r="I10" s="2">
        <v>6644</v>
      </c>
      <c r="J10" s="2">
        <v>7163</v>
      </c>
      <c r="K10" s="2">
        <v>7341</v>
      </c>
      <c r="L10" s="2">
        <v>7483</v>
      </c>
      <c r="M10" s="2">
        <v>7709</v>
      </c>
      <c r="N10" s="2">
        <v>7867</v>
      </c>
      <c r="O10" s="2">
        <v>7970</v>
      </c>
      <c r="P10" s="2">
        <v>7925</v>
      </c>
      <c r="Q10" s="2">
        <v>7852</v>
      </c>
      <c r="R10" s="2">
        <v>8161</v>
      </c>
      <c r="S10" s="2">
        <v>8187</v>
      </c>
      <c r="T10" s="2">
        <v>8541</v>
      </c>
      <c r="X10" s="2">
        <v>15794</v>
      </c>
      <c r="Y10" s="2">
        <v>20156</v>
      </c>
      <c r="Z10" s="2">
        <v>24996</v>
      </c>
      <c r="AA10" s="2">
        <v>29697</v>
      </c>
      <c r="AB10" s="2">
        <v>31615</v>
      </c>
      <c r="AC10" s="2">
        <f>AC7*AC8/1000</f>
        <v>37794.19880808</v>
      </c>
      <c r="AD10" s="2">
        <f t="shared" ref="AD10:AL10" si="8">AD7*AD8/1000</f>
        <v>42444.167679460807</v>
      </c>
      <c r="AE10" s="2">
        <f t="shared" si="8"/>
        <v>47596.24869789082</v>
      </c>
      <c r="AF10" s="2">
        <f t="shared" si="8"/>
        <v>53301.0200061211</v>
      </c>
      <c r="AG10" s="2">
        <f t="shared" si="8"/>
        <v>59613.938732001712</v>
      </c>
      <c r="AH10" s="2">
        <f t="shared" si="8"/>
        <v>66595.79792598405</v>
      </c>
      <c r="AI10" s="2">
        <f t="shared" si="8"/>
        <v>74313.22538311877</v>
      </c>
      <c r="AJ10" s="2">
        <f t="shared" si="8"/>
        <v>82839.228126668721</v>
      </c>
      <c r="AK10" s="2">
        <f t="shared" si="8"/>
        <v>92253.786666734726</v>
      </c>
      <c r="AL10" s="2">
        <f t="shared" si="8"/>
        <v>102644.5035132006</v>
      </c>
    </row>
    <row r="11" spans="1:71" x14ac:dyDescent="0.2">
      <c r="A11" t="s">
        <v>27</v>
      </c>
      <c r="B11" s="2">
        <v>2870</v>
      </c>
      <c r="C11" s="2">
        <v>3005</v>
      </c>
      <c r="D11" s="2">
        <v>3097</v>
      </c>
      <c r="E11" s="2">
        <v>3466</v>
      </c>
      <c r="F11" s="2">
        <v>3599</v>
      </c>
      <c r="G11" s="2">
        <v>3643</v>
      </c>
      <c r="H11" s="2">
        <v>3867</v>
      </c>
      <c r="I11" s="2">
        <v>4165</v>
      </c>
      <c r="J11" s="2">
        <v>3868</v>
      </c>
      <c r="K11" s="2">
        <v>4018</v>
      </c>
      <c r="L11" s="2">
        <v>4206</v>
      </c>
      <c r="M11" s="2">
        <v>5239</v>
      </c>
      <c r="N11" s="2">
        <v>4284</v>
      </c>
      <c r="O11" s="2">
        <v>4690</v>
      </c>
      <c r="P11" s="2">
        <v>4788</v>
      </c>
      <c r="Q11" s="2">
        <v>5404</v>
      </c>
      <c r="R11" s="2">
        <v>4803</v>
      </c>
      <c r="S11" s="2">
        <v>4673</v>
      </c>
      <c r="T11" s="2">
        <v>4930</v>
      </c>
      <c r="X11" s="2">
        <v>9967</v>
      </c>
      <c r="Y11" s="2">
        <v>12440</v>
      </c>
      <c r="Z11" s="2">
        <v>15276</v>
      </c>
      <c r="AA11" s="2">
        <v>17332</v>
      </c>
      <c r="AB11" s="2">
        <v>19168</v>
      </c>
      <c r="AC11" s="2">
        <f>AC10-AC12</f>
        <v>22298.577296767202</v>
      </c>
      <c r="AD11" s="2">
        <f t="shared" ref="AD11:AL11" si="9">AD10-AD12</f>
        <v>25042.058930881878</v>
      </c>
      <c r="AE11" s="2">
        <f t="shared" si="9"/>
        <v>28081.786731755587</v>
      </c>
      <c r="AF11" s="2">
        <f t="shared" si="9"/>
        <v>31447.601803611451</v>
      </c>
      <c r="AG11" s="2">
        <f t="shared" si="9"/>
        <v>35172.223851881012</v>
      </c>
      <c r="AH11" s="2">
        <f t="shared" si="9"/>
        <v>39291.520776330595</v>
      </c>
      <c r="AI11" s="2">
        <f t="shared" si="9"/>
        <v>43844.802976040075</v>
      </c>
      <c r="AJ11" s="2">
        <f t="shared" si="9"/>
        <v>48875.144594734549</v>
      </c>
      <c r="AK11" s="2">
        <f t="shared" si="9"/>
        <v>54429.734133373488</v>
      </c>
      <c r="AL11" s="2">
        <f t="shared" si="9"/>
        <v>60560.257072788358</v>
      </c>
    </row>
    <row r="12" spans="1:71" x14ac:dyDescent="0.2">
      <c r="A12" s="3" t="s">
        <v>39</v>
      </c>
      <c r="B12" s="5">
        <f t="shared" ref="B12:D12" si="10">B10-B11</f>
        <v>1650</v>
      </c>
      <c r="C12" s="5">
        <f t="shared" si="10"/>
        <v>1918</v>
      </c>
      <c r="D12" s="5">
        <f t="shared" si="10"/>
        <v>2147</v>
      </c>
      <c r="E12" s="5">
        <f t="shared" ref="E12:F12" si="11">E10-E11</f>
        <v>2001</v>
      </c>
      <c r="F12" s="5">
        <f t="shared" si="11"/>
        <v>2168</v>
      </c>
      <c r="G12" s="5">
        <f t="shared" ref="G12:S12" si="12">G10-G11</f>
        <v>2505</v>
      </c>
      <c r="H12" s="5">
        <f t="shared" si="12"/>
        <v>2568</v>
      </c>
      <c r="I12" s="5">
        <f t="shared" si="12"/>
        <v>2479</v>
      </c>
      <c r="J12" s="5">
        <f t="shared" si="12"/>
        <v>3295</v>
      </c>
      <c r="K12" s="5">
        <f t="shared" si="12"/>
        <v>3323</v>
      </c>
      <c r="L12" s="5">
        <f t="shared" si="12"/>
        <v>3277</v>
      </c>
      <c r="M12" s="5">
        <f t="shared" si="12"/>
        <v>2470</v>
      </c>
      <c r="N12" s="5">
        <f t="shared" si="12"/>
        <v>3583</v>
      </c>
      <c r="O12" s="5">
        <f t="shared" si="12"/>
        <v>3280</v>
      </c>
      <c r="P12" s="5">
        <f t="shared" si="12"/>
        <v>3137</v>
      </c>
      <c r="Q12" s="5">
        <f t="shared" si="12"/>
        <v>2448</v>
      </c>
      <c r="R12" s="5">
        <f t="shared" si="12"/>
        <v>3358</v>
      </c>
      <c r="S12" s="5">
        <f t="shared" si="12"/>
        <v>3514</v>
      </c>
      <c r="T12" s="5">
        <f t="shared" ref="T12" si="13">T10-T11</f>
        <v>3611</v>
      </c>
      <c r="X12" s="5">
        <f>X10-X11</f>
        <v>5827</v>
      </c>
      <c r="Y12" s="5">
        <f>Y10-Y11</f>
        <v>7716</v>
      </c>
      <c r="Z12" s="5">
        <f>Z10-Z11</f>
        <v>9720</v>
      </c>
      <c r="AA12" s="5">
        <f>AA10-AA11</f>
        <v>12365</v>
      </c>
      <c r="AB12" s="5">
        <f>AB10-AB11</f>
        <v>12447</v>
      </c>
      <c r="AC12" s="5">
        <f>AC10*0.41</f>
        <v>15495.621511312798</v>
      </c>
      <c r="AD12" s="5">
        <f t="shared" ref="AD12:AL12" si="14">AD10*0.41</f>
        <v>17402.108748578928</v>
      </c>
      <c r="AE12" s="5">
        <f t="shared" si="14"/>
        <v>19514.461966135234</v>
      </c>
      <c r="AF12" s="5">
        <f t="shared" si="14"/>
        <v>21853.418202509649</v>
      </c>
      <c r="AG12" s="5">
        <f t="shared" si="14"/>
        <v>24441.7148801207</v>
      </c>
      <c r="AH12" s="5">
        <f t="shared" si="14"/>
        <v>27304.277149653459</v>
      </c>
      <c r="AI12" s="5">
        <f t="shared" si="14"/>
        <v>30468.422407078695</v>
      </c>
      <c r="AJ12" s="5">
        <f t="shared" si="14"/>
        <v>33964.083531934171</v>
      </c>
      <c r="AK12" s="5">
        <f t="shared" si="14"/>
        <v>37824.052533361239</v>
      </c>
      <c r="AL12" s="5">
        <f t="shared" si="14"/>
        <v>42084.246440412244</v>
      </c>
    </row>
    <row r="13" spans="1:71" x14ac:dyDescent="0.2">
      <c r="A13" t="s">
        <v>28</v>
      </c>
      <c r="B13" s="2">
        <v>616</v>
      </c>
      <c r="C13" s="2">
        <v>603</v>
      </c>
      <c r="D13" s="2">
        <v>553</v>
      </c>
      <c r="E13" s="2">
        <v>878</v>
      </c>
      <c r="F13" s="2">
        <v>503</v>
      </c>
      <c r="G13" s="2">
        <v>434</v>
      </c>
      <c r="H13" s="2">
        <v>527</v>
      </c>
      <c r="I13" s="2">
        <v>762</v>
      </c>
      <c r="J13" s="2">
        <v>512</v>
      </c>
      <c r="K13" s="2">
        <v>603</v>
      </c>
      <c r="L13" s="2">
        <v>635</v>
      </c>
      <c r="M13" s="2">
        <v>792</v>
      </c>
      <c r="N13" s="2">
        <v>555</v>
      </c>
      <c r="O13" s="2">
        <v>574</v>
      </c>
      <c r="P13" s="2">
        <v>567</v>
      </c>
      <c r="Q13" s="2">
        <v>831</v>
      </c>
      <c r="R13" s="2">
        <v>555</v>
      </c>
      <c r="S13" s="2">
        <v>627</v>
      </c>
      <c r="T13" s="2">
        <v>558</v>
      </c>
      <c r="X13" s="2">
        <v>2369</v>
      </c>
      <c r="Y13" s="2">
        <v>2652</v>
      </c>
      <c r="Z13" s="2">
        <v>2228</v>
      </c>
      <c r="AA13" s="2">
        <v>2545</v>
      </c>
      <c r="AB13" s="2">
        <v>2530</v>
      </c>
    </row>
    <row r="14" spans="1:71" x14ac:dyDescent="0.2">
      <c r="A14" t="s">
        <v>29</v>
      </c>
      <c r="B14" s="2">
        <v>372</v>
      </c>
      <c r="C14" s="2">
        <v>383</v>
      </c>
      <c r="D14" s="2">
        <v>379</v>
      </c>
      <c r="E14" s="2">
        <v>409</v>
      </c>
      <c r="F14" s="2">
        <v>453</v>
      </c>
      <c r="G14" s="2">
        <v>435</v>
      </c>
      <c r="H14" s="2">
        <v>453</v>
      </c>
      <c r="I14" s="2">
        <v>486</v>
      </c>
      <c r="J14" s="2">
        <v>525</v>
      </c>
      <c r="K14" s="2">
        <v>537</v>
      </c>
      <c r="L14" s="2">
        <v>563</v>
      </c>
      <c r="M14" s="2">
        <v>647</v>
      </c>
      <c r="N14" s="2">
        <v>657</v>
      </c>
      <c r="O14" s="2">
        <v>716</v>
      </c>
      <c r="P14" s="2">
        <v>662</v>
      </c>
      <c r="Q14" s="2">
        <v>673</v>
      </c>
      <c r="R14" s="2">
        <v>687</v>
      </c>
      <c r="S14" s="2">
        <v>658</v>
      </c>
      <c r="T14" s="2">
        <v>657</v>
      </c>
      <c r="X14" s="2">
        <v>1221</v>
      </c>
      <c r="Y14" s="2">
        <v>1545</v>
      </c>
      <c r="Z14" s="2">
        <v>1829</v>
      </c>
      <c r="AA14" s="2">
        <v>2273</v>
      </c>
      <c r="AB14" s="2">
        <v>2711</v>
      </c>
    </row>
    <row r="15" spans="1:71" x14ac:dyDescent="0.2">
      <c r="A15" t="s">
        <v>30</v>
      </c>
      <c r="B15" s="2">
        <v>201</v>
      </c>
      <c r="C15" s="2">
        <v>224</v>
      </c>
      <c r="D15" s="2">
        <v>233</v>
      </c>
      <c r="E15" s="2">
        <v>254</v>
      </c>
      <c r="F15" s="2">
        <v>252</v>
      </c>
      <c r="G15" s="2">
        <v>277</v>
      </c>
      <c r="H15" s="2">
        <v>271</v>
      </c>
      <c r="I15" s="2">
        <v>275</v>
      </c>
      <c r="J15" s="2">
        <v>297</v>
      </c>
      <c r="K15" s="2">
        <v>334</v>
      </c>
      <c r="L15" s="2">
        <v>321</v>
      </c>
      <c r="M15" s="2">
        <v>397</v>
      </c>
      <c r="N15" s="2">
        <v>397</v>
      </c>
      <c r="O15" s="2">
        <v>409</v>
      </c>
      <c r="P15" s="2">
        <v>373</v>
      </c>
      <c r="Q15" s="2">
        <v>392</v>
      </c>
      <c r="R15" s="2">
        <v>400</v>
      </c>
      <c r="S15" s="2">
        <v>401</v>
      </c>
      <c r="T15" s="2">
        <v>478</v>
      </c>
      <c r="X15" s="2">
        <v>630</v>
      </c>
      <c r="Y15" s="2">
        <v>915</v>
      </c>
      <c r="Z15" s="2">
        <v>1076</v>
      </c>
      <c r="AA15" s="2">
        <v>1351</v>
      </c>
      <c r="AB15" s="2">
        <v>1572</v>
      </c>
    </row>
    <row r="16" spans="1:71" x14ac:dyDescent="0.2">
      <c r="A16" t="s">
        <v>31</v>
      </c>
      <c r="B16" s="2">
        <f t="shared" ref="B16:D16" si="15">SUM(B13:B15)</f>
        <v>1189</v>
      </c>
      <c r="C16" s="2">
        <f t="shared" si="15"/>
        <v>1210</v>
      </c>
      <c r="D16" s="2">
        <f t="shared" si="15"/>
        <v>1165</v>
      </c>
      <c r="E16" s="2">
        <f t="shared" ref="E16:F16" si="16">SUM(E13:E15)</f>
        <v>1541</v>
      </c>
      <c r="F16" s="2">
        <f t="shared" si="16"/>
        <v>1208</v>
      </c>
      <c r="G16" s="2">
        <f t="shared" ref="G16:S16" si="17">SUM(G13:G15)</f>
        <v>1146</v>
      </c>
      <c r="H16" s="2">
        <f t="shared" si="17"/>
        <v>1251</v>
      </c>
      <c r="I16" s="2">
        <f t="shared" si="17"/>
        <v>1523</v>
      </c>
      <c r="J16" s="2">
        <f t="shared" si="17"/>
        <v>1334</v>
      </c>
      <c r="K16" s="2">
        <f t="shared" si="17"/>
        <v>1474</v>
      </c>
      <c r="L16" s="2">
        <f t="shared" si="17"/>
        <v>1519</v>
      </c>
      <c r="M16" s="2">
        <f t="shared" si="17"/>
        <v>1836</v>
      </c>
      <c r="N16" s="2">
        <f t="shared" si="17"/>
        <v>1609</v>
      </c>
      <c r="O16" s="2">
        <f t="shared" si="17"/>
        <v>1699</v>
      </c>
      <c r="P16" s="2">
        <f t="shared" si="17"/>
        <v>1602</v>
      </c>
      <c r="Q16" s="2">
        <f t="shared" si="17"/>
        <v>1896</v>
      </c>
      <c r="R16" s="2">
        <f t="shared" si="17"/>
        <v>1642</v>
      </c>
      <c r="S16" s="2">
        <f t="shared" si="17"/>
        <v>1686</v>
      </c>
      <c r="T16" s="2">
        <f t="shared" ref="T16" si="18">SUM(T13:T15)</f>
        <v>1693</v>
      </c>
      <c r="X16" s="2">
        <f>SUM(X13:X15)</f>
        <v>4220</v>
      </c>
      <c r="Y16" s="2">
        <f>SUM(Y13:Y15)</f>
        <v>5112</v>
      </c>
      <c r="Z16" s="2">
        <f>SUM(Z13:Z15)</f>
        <v>5133</v>
      </c>
      <c r="AA16" s="2">
        <f>SUM(AA13:AA15)</f>
        <v>6169</v>
      </c>
      <c r="AB16" s="2">
        <f>SUM(AB13:AB15)</f>
        <v>6813</v>
      </c>
    </row>
    <row r="17" spans="1:361" x14ac:dyDescent="0.2">
      <c r="A17" t="s">
        <v>32</v>
      </c>
      <c r="B17" s="2">
        <f t="shared" ref="B17:D17" si="19">B12-B16</f>
        <v>461</v>
      </c>
      <c r="C17" s="2">
        <f t="shared" si="19"/>
        <v>708</v>
      </c>
      <c r="D17" s="2">
        <f t="shared" si="19"/>
        <v>982</v>
      </c>
      <c r="E17" s="2">
        <f t="shared" ref="E17:F17" si="20">E12-E16</f>
        <v>460</v>
      </c>
      <c r="F17" s="2">
        <f t="shared" si="20"/>
        <v>960</v>
      </c>
      <c r="G17" s="2">
        <f t="shared" ref="G17:R17" si="21">G12-G16</f>
        <v>1359</v>
      </c>
      <c r="H17" s="2">
        <f t="shared" si="21"/>
        <v>1317</v>
      </c>
      <c r="I17" s="2">
        <f t="shared" si="21"/>
        <v>956</v>
      </c>
      <c r="J17" s="2">
        <f t="shared" si="21"/>
        <v>1961</v>
      </c>
      <c r="K17" s="2">
        <f t="shared" si="21"/>
        <v>1849</v>
      </c>
      <c r="L17" s="2">
        <f t="shared" si="21"/>
        <v>1758</v>
      </c>
      <c r="M17" s="2">
        <f t="shared" si="21"/>
        <v>634</v>
      </c>
      <c r="N17" s="2">
        <f t="shared" si="21"/>
        <v>1974</v>
      </c>
      <c r="O17" s="2">
        <f t="shared" si="21"/>
        <v>1581</v>
      </c>
      <c r="P17" s="2">
        <f t="shared" si="21"/>
        <v>1535</v>
      </c>
      <c r="Q17" s="2">
        <f t="shared" si="21"/>
        <v>552</v>
      </c>
      <c r="R17" s="2">
        <f t="shared" si="21"/>
        <v>1716</v>
      </c>
      <c r="S17" s="2">
        <f>S12-S16</f>
        <v>1828</v>
      </c>
      <c r="T17" s="2">
        <f>T12-T16</f>
        <v>1918</v>
      </c>
      <c r="X17" s="2">
        <f>X12-X16</f>
        <v>1607</v>
      </c>
      <c r="Y17" s="2">
        <f>Y12-Y16</f>
        <v>2604</v>
      </c>
      <c r="Z17" s="2">
        <f>Z12-Z16</f>
        <v>4587</v>
      </c>
      <c r="AA17" s="2">
        <f>AA12-AA16</f>
        <v>6196</v>
      </c>
      <c r="AB17" s="2">
        <f>AB12-AB16</f>
        <v>5634</v>
      </c>
      <c r="AC17" s="2">
        <f>AC10*0.2</f>
        <v>7558.839761616</v>
      </c>
      <c r="AD17" s="2">
        <f>AD10*0.24</f>
        <v>10186.600243070594</v>
      </c>
      <c r="AE17" s="2">
        <f t="shared" ref="AE17:AL17" si="22">AE10*0.24</f>
        <v>11423.099687493795</v>
      </c>
      <c r="AF17" s="2">
        <f t="shared" si="22"/>
        <v>12792.244801469064</v>
      </c>
      <c r="AG17" s="2">
        <f t="shared" si="22"/>
        <v>14307.34529568041</v>
      </c>
      <c r="AH17" s="2">
        <f t="shared" si="22"/>
        <v>15982.991502236171</v>
      </c>
      <c r="AI17" s="2">
        <f t="shared" si="22"/>
        <v>17835.174091948506</v>
      </c>
      <c r="AJ17" s="2">
        <f t="shared" si="22"/>
        <v>19881.41475040049</v>
      </c>
      <c r="AK17" s="2">
        <f t="shared" si="22"/>
        <v>22140.908800016332</v>
      </c>
      <c r="AL17" s="2">
        <f t="shared" si="22"/>
        <v>24634.680843168142</v>
      </c>
    </row>
    <row r="18" spans="1:361" x14ac:dyDescent="0.2">
      <c r="A18" t="s">
        <v>33</v>
      </c>
      <c r="B18" s="2">
        <v>-135</v>
      </c>
      <c r="C18" s="2">
        <v>-152</v>
      </c>
      <c r="D18" s="2">
        <v>-160</v>
      </c>
      <c r="E18" s="2">
        <v>-177</v>
      </c>
      <c r="F18" s="2">
        <v>-184</v>
      </c>
      <c r="G18" s="2">
        <v>-189</v>
      </c>
      <c r="H18" s="2">
        <v>-197</v>
      </c>
      <c r="I18" s="2">
        <v>-197</v>
      </c>
      <c r="J18" s="2">
        <v>-194</v>
      </c>
      <c r="K18" s="2">
        <v>-191</v>
      </c>
      <c r="L18" s="2">
        <v>-190</v>
      </c>
      <c r="M18" s="2">
        <v>-189</v>
      </c>
      <c r="N18" s="2">
        <v>-187</v>
      </c>
      <c r="O18" s="2">
        <v>-175</v>
      </c>
      <c r="P18" s="2">
        <v>-172</v>
      </c>
      <c r="Q18" s="2">
        <v>-170</v>
      </c>
      <c r="R18" s="2">
        <v>-174</v>
      </c>
      <c r="S18" s="2">
        <v>-174</v>
      </c>
      <c r="T18" s="2">
        <v>-175</v>
      </c>
      <c r="X18" s="2">
        <v>-420</v>
      </c>
      <c r="Y18" s="2">
        <v>-626</v>
      </c>
      <c r="Z18" s="2">
        <v>-767</v>
      </c>
      <c r="AA18" s="2">
        <v>-765</v>
      </c>
      <c r="AB18" s="2">
        <v>-706</v>
      </c>
      <c r="AC18" s="2">
        <f>AC27*$AQ$37</f>
        <v>-63.51</v>
      </c>
      <c r="AD18" s="2">
        <f t="shared" ref="AD18:AL18" si="23">AD27*$AQ$37</f>
        <v>117.661914278784</v>
      </c>
      <c r="AE18" s="2">
        <f t="shared" si="23"/>
        <v>366.06520605516903</v>
      </c>
      <c r="AF18" s="2">
        <f t="shared" si="23"/>
        <v>654.08941350034422</v>
      </c>
      <c r="AG18" s="2">
        <f t="shared" si="23"/>
        <v>980.69074715961005</v>
      </c>
      <c r="AH18" s="2">
        <f t="shared" si="23"/>
        <v>1350.4432528127704</v>
      </c>
      <c r="AI18" s="2">
        <f t="shared" si="23"/>
        <v>1769.674237715195</v>
      </c>
      <c r="AJ18" s="2">
        <f t="shared" si="23"/>
        <v>2243.9510361036864</v>
      </c>
      <c r="AK18" s="2">
        <f t="shared" si="23"/>
        <v>2778.3893005754899</v>
      </c>
      <c r="AL18" s="2">
        <f t="shared" si="23"/>
        <v>3379.7669838593224</v>
      </c>
    </row>
    <row r="19" spans="1:361" x14ac:dyDescent="0.2">
      <c r="A19" t="s">
        <v>34</v>
      </c>
      <c r="B19" s="2">
        <v>76</v>
      </c>
      <c r="C19" s="2">
        <v>-53</v>
      </c>
      <c r="D19" s="2">
        <v>192</v>
      </c>
      <c r="E19" s="2">
        <v>-131</v>
      </c>
      <c r="F19" s="2">
        <v>21</v>
      </c>
      <c r="G19" s="2">
        <v>-133</v>
      </c>
      <c r="H19" s="2">
        <v>-256</v>
      </c>
      <c r="I19" s="2">
        <v>-250</v>
      </c>
      <c r="J19" s="2">
        <v>269</v>
      </c>
      <c r="K19" s="2">
        <v>-62</v>
      </c>
      <c r="L19" s="2">
        <v>96</v>
      </c>
      <c r="M19" s="2">
        <v>108</v>
      </c>
      <c r="N19" s="2">
        <v>195</v>
      </c>
      <c r="O19" s="2">
        <v>220</v>
      </c>
      <c r="P19" s="2">
        <v>261</v>
      </c>
      <c r="Q19" s="2">
        <v>-339</v>
      </c>
      <c r="R19" s="2">
        <v>-71</v>
      </c>
      <c r="S19" s="2">
        <v>26.9</v>
      </c>
      <c r="T19" s="2">
        <v>168</v>
      </c>
      <c r="X19" s="2">
        <v>41</v>
      </c>
      <c r="Y19" s="2">
        <v>84</v>
      </c>
      <c r="Z19" s="2">
        <v>-618</v>
      </c>
      <c r="AA19" s="2">
        <v>411</v>
      </c>
      <c r="AB19" s="2">
        <v>337</v>
      </c>
      <c r="AC19" s="2">
        <f>AVERAGE(Y19:AB19)</f>
        <v>53.5</v>
      </c>
      <c r="AD19" s="2">
        <f t="shared" ref="AD19:AL19" si="24">AVERAGE(Z19:AC19)</f>
        <v>45.875</v>
      </c>
      <c r="AE19" s="2">
        <f t="shared" si="24"/>
        <v>211.84375</v>
      </c>
      <c r="AF19" s="2">
        <f t="shared" si="24"/>
        <v>162.0546875</v>
      </c>
      <c r="AG19" s="2">
        <f t="shared" si="24"/>
        <v>118.318359375</v>
      </c>
      <c r="AH19" s="2">
        <f t="shared" si="24"/>
        <v>134.52294921875</v>
      </c>
      <c r="AI19" s="2">
        <f t="shared" si="24"/>
        <v>156.6849365234375</v>
      </c>
      <c r="AJ19" s="2">
        <f t="shared" si="24"/>
        <v>142.89523315429688</v>
      </c>
      <c r="AK19" s="2">
        <f t="shared" si="24"/>
        <v>138.10536956787109</v>
      </c>
      <c r="AL19" s="2">
        <f t="shared" si="24"/>
        <v>143.05212211608887</v>
      </c>
    </row>
    <row r="20" spans="1:361" x14ac:dyDescent="0.2">
      <c r="A20" t="s">
        <v>35</v>
      </c>
      <c r="B20" s="2">
        <f t="shared" ref="B20:D20" si="25">B17+B18+B19</f>
        <v>402</v>
      </c>
      <c r="C20" s="2">
        <f t="shared" si="25"/>
        <v>503</v>
      </c>
      <c r="D20" s="2">
        <f t="shared" si="25"/>
        <v>1014</v>
      </c>
      <c r="E20" s="2">
        <f t="shared" ref="E20:F20" si="26">E17+E18+E19</f>
        <v>152</v>
      </c>
      <c r="F20" s="2">
        <f t="shared" si="26"/>
        <v>797</v>
      </c>
      <c r="G20" s="2">
        <f t="shared" ref="G20:S20" si="27">G17+G18+G19</f>
        <v>1037</v>
      </c>
      <c r="H20" s="2">
        <f t="shared" si="27"/>
        <v>864</v>
      </c>
      <c r="I20" s="2">
        <f t="shared" si="27"/>
        <v>509</v>
      </c>
      <c r="J20" s="2">
        <f t="shared" si="27"/>
        <v>2036</v>
      </c>
      <c r="K20" s="2">
        <f t="shared" si="27"/>
        <v>1596</v>
      </c>
      <c r="L20" s="2">
        <f t="shared" si="27"/>
        <v>1664</v>
      </c>
      <c r="M20" s="2">
        <f t="shared" si="27"/>
        <v>553</v>
      </c>
      <c r="N20" s="2">
        <f t="shared" si="27"/>
        <v>1982</v>
      </c>
      <c r="O20" s="2">
        <f t="shared" si="27"/>
        <v>1626</v>
      </c>
      <c r="P20" s="2">
        <f t="shared" si="27"/>
        <v>1624</v>
      </c>
      <c r="Q20" s="2">
        <f t="shared" si="27"/>
        <v>43</v>
      </c>
      <c r="R20" s="2">
        <f t="shared" si="27"/>
        <v>1471</v>
      </c>
      <c r="S20" s="2">
        <f t="shared" si="27"/>
        <v>1680.9</v>
      </c>
      <c r="T20" s="2">
        <f t="shared" ref="T20" si="28">T17+T18+T19</f>
        <v>1911</v>
      </c>
      <c r="X20" s="2">
        <f t="shared" ref="X20:AC20" si="29">X17+X18+X19</f>
        <v>1228</v>
      </c>
      <c r="Y20" s="2">
        <f t="shared" si="29"/>
        <v>2062</v>
      </c>
      <c r="Z20" s="2">
        <f t="shared" si="29"/>
        <v>3202</v>
      </c>
      <c r="AA20" s="2">
        <f t="shared" si="29"/>
        <v>5842</v>
      </c>
      <c r="AB20" s="2">
        <f t="shared" si="29"/>
        <v>5265</v>
      </c>
      <c r="AC20" s="2">
        <f t="shared" si="29"/>
        <v>7548.8297616159998</v>
      </c>
      <c r="AD20" s="2">
        <f t="shared" ref="AD20:AL20" si="30">AD17+AD18+AD19</f>
        <v>10350.137157349378</v>
      </c>
      <c r="AE20" s="2">
        <f t="shared" si="30"/>
        <v>12001.008643548965</v>
      </c>
      <c r="AF20" s="2">
        <f t="shared" si="30"/>
        <v>13608.388902469407</v>
      </c>
      <c r="AG20" s="2">
        <f t="shared" si="30"/>
        <v>15406.35440221502</v>
      </c>
      <c r="AH20" s="2">
        <f t="shared" si="30"/>
        <v>17467.95770426769</v>
      </c>
      <c r="AI20" s="2">
        <f t="shared" si="30"/>
        <v>19761.533266187136</v>
      </c>
      <c r="AJ20" s="2">
        <f t="shared" si="30"/>
        <v>22268.261019658472</v>
      </c>
      <c r="AK20" s="2">
        <f t="shared" si="30"/>
        <v>25057.403470159694</v>
      </c>
      <c r="AL20" s="2">
        <f t="shared" si="30"/>
        <v>28157.499949143552</v>
      </c>
    </row>
    <row r="21" spans="1:361" x14ac:dyDescent="0.2">
      <c r="A21" t="s">
        <v>36</v>
      </c>
      <c r="B21" s="2">
        <v>55</v>
      </c>
      <c r="C21" s="2">
        <v>230</v>
      </c>
      <c r="D21" s="2">
        <v>347</v>
      </c>
      <c r="E21" s="2">
        <v>-437</v>
      </c>
      <c r="F21" s="2">
        <v>86</v>
      </c>
      <c r="G21" s="2">
        <v>315</v>
      </c>
      <c r="H21" s="2">
        <v>71</v>
      </c>
      <c r="I21" s="2">
        <v>-35</v>
      </c>
      <c r="J21" s="2">
        <v>327</v>
      </c>
      <c r="K21" s="2">
        <v>240</v>
      </c>
      <c r="L21" s="2">
        <v>221</v>
      </c>
      <c r="M21" s="2">
        <v>-56</v>
      </c>
      <c r="N21" s="2">
        <v>382</v>
      </c>
      <c r="O21" s="2">
        <v>182</v>
      </c>
      <c r="P21" s="2">
        <v>223</v>
      </c>
      <c r="Q21" s="2">
        <v>-15</v>
      </c>
      <c r="R21" s="2">
        <v>163</v>
      </c>
      <c r="S21" s="2">
        <v>192</v>
      </c>
      <c r="T21" s="2">
        <v>231</v>
      </c>
      <c r="X21" s="2">
        <v>15</v>
      </c>
      <c r="Y21" s="2">
        <v>195</v>
      </c>
      <c r="Z21" s="2">
        <v>437</v>
      </c>
      <c r="AA21" s="2">
        <v>723</v>
      </c>
      <c r="AB21" s="2">
        <v>772</v>
      </c>
      <c r="AC21" s="2">
        <f>AC20*0.2</f>
        <v>1509.7659523232001</v>
      </c>
      <c r="AD21" s="2">
        <f t="shared" ref="AD21:AL21" si="31">AD20*0.2</f>
        <v>2070.0274314698759</v>
      </c>
      <c r="AE21" s="2">
        <f t="shared" si="31"/>
        <v>2400.2017287097929</v>
      </c>
      <c r="AF21" s="2">
        <f t="shared" si="31"/>
        <v>2721.6777804938815</v>
      </c>
      <c r="AG21" s="2">
        <f t="shared" si="31"/>
        <v>3081.270880443004</v>
      </c>
      <c r="AH21" s="2">
        <f t="shared" si="31"/>
        <v>3493.5915408535384</v>
      </c>
      <c r="AI21" s="2">
        <f t="shared" si="31"/>
        <v>3952.3066532374273</v>
      </c>
      <c r="AJ21" s="2">
        <f t="shared" si="31"/>
        <v>4453.6522039316942</v>
      </c>
      <c r="AK21" s="2">
        <f t="shared" si="31"/>
        <v>5011.4806940319395</v>
      </c>
      <c r="AL21" s="2">
        <f t="shared" si="31"/>
        <v>5631.4999898287106</v>
      </c>
    </row>
    <row r="22" spans="1:361" x14ac:dyDescent="0.2">
      <c r="A22" t="s">
        <v>37</v>
      </c>
      <c r="B22" s="2">
        <f t="shared" ref="B22:D22" si="32">B20-B21</f>
        <v>347</v>
      </c>
      <c r="C22" s="2">
        <f t="shared" si="32"/>
        <v>273</v>
      </c>
      <c r="D22" s="2">
        <f t="shared" si="32"/>
        <v>667</v>
      </c>
      <c r="E22" s="2">
        <f t="shared" ref="E22:F22" si="33">E20-E21</f>
        <v>589</v>
      </c>
      <c r="F22" s="2">
        <f t="shared" si="33"/>
        <v>711</v>
      </c>
      <c r="G22" s="2">
        <f t="shared" ref="G22:S22" si="34">G20-G21</f>
        <v>722</v>
      </c>
      <c r="H22" s="2">
        <f t="shared" si="34"/>
        <v>793</v>
      </c>
      <c r="I22" s="2">
        <f t="shared" si="34"/>
        <v>544</v>
      </c>
      <c r="J22" s="2">
        <f t="shared" si="34"/>
        <v>1709</v>
      </c>
      <c r="K22" s="2">
        <f t="shared" si="34"/>
        <v>1356</v>
      </c>
      <c r="L22" s="2">
        <f t="shared" si="34"/>
        <v>1443</v>
      </c>
      <c r="M22" s="2">
        <f t="shared" si="34"/>
        <v>609</v>
      </c>
      <c r="N22" s="2">
        <f t="shared" si="34"/>
        <v>1600</v>
      </c>
      <c r="O22" s="2">
        <f t="shared" si="34"/>
        <v>1444</v>
      </c>
      <c r="P22" s="2">
        <f t="shared" si="34"/>
        <v>1401</v>
      </c>
      <c r="Q22" s="2">
        <f t="shared" si="34"/>
        <v>58</v>
      </c>
      <c r="R22" s="2">
        <f t="shared" si="34"/>
        <v>1308</v>
      </c>
      <c r="S22" s="2">
        <f t="shared" si="34"/>
        <v>1488.9</v>
      </c>
      <c r="T22" s="2">
        <f t="shared" ref="T22" si="35">T20-T21</f>
        <v>1680</v>
      </c>
      <c r="X22" s="2">
        <f>X20-X21</f>
        <v>1213</v>
      </c>
      <c r="Y22" s="2">
        <f>Y20-Y21</f>
        <v>1867</v>
      </c>
      <c r="Z22" s="2">
        <f>Z20-Z21</f>
        <v>2765</v>
      </c>
      <c r="AA22" s="2">
        <f>AA20-AA21</f>
        <v>5119</v>
      </c>
      <c r="AB22" s="2">
        <f>AB20-AB21</f>
        <v>4493</v>
      </c>
      <c r="AC22" s="2">
        <f t="shared" ref="AC22:AL22" si="36">AC20-AC21</f>
        <v>6039.0638092928002</v>
      </c>
      <c r="AD22" s="2">
        <f t="shared" si="36"/>
        <v>8280.1097258795016</v>
      </c>
      <c r="AE22" s="2">
        <f t="shared" si="36"/>
        <v>9600.8069148391714</v>
      </c>
      <c r="AF22" s="2">
        <f t="shared" si="36"/>
        <v>10886.711121975526</v>
      </c>
      <c r="AG22" s="2">
        <f t="shared" si="36"/>
        <v>12325.083521772016</v>
      </c>
      <c r="AH22" s="2">
        <f t="shared" si="36"/>
        <v>13974.366163414152</v>
      </c>
      <c r="AI22" s="2">
        <f t="shared" si="36"/>
        <v>15809.226612949709</v>
      </c>
      <c r="AJ22" s="2">
        <f t="shared" si="36"/>
        <v>17814.608815726777</v>
      </c>
      <c r="AK22" s="2">
        <f t="shared" si="36"/>
        <v>20045.922776127754</v>
      </c>
      <c r="AL22" s="2">
        <f t="shared" si="36"/>
        <v>22525.999959314842</v>
      </c>
      <c r="AM22" s="2">
        <f>AL22*(1+$AQ$39)</f>
        <v>22300.739959721694</v>
      </c>
      <c r="AN22" s="2">
        <f t="shared" ref="AN22:CY22" si="37">AM22*(1+$AQ$39)</f>
        <v>22077.732560124477</v>
      </c>
      <c r="AO22" s="2">
        <f t="shared" si="37"/>
        <v>21856.955234523233</v>
      </c>
      <c r="AP22" s="2">
        <f t="shared" si="37"/>
        <v>21638.385682177999</v>
      </c>
      <c r="AQ22" s="2">
        <f t="shared" si="37"/>
        <v>21422.001825356219</v>
      </c>
      <c r="AR22" s="2">
        <f t="shared" si="37"/>
        <v>21207.781807102656</v>
      </c>
      <c r="AS22" s="2">
        <f t="shared" si="37"/>
        <v>20995.70398903163</v>
      </c>
      <c r="AT22" s="2">
        <f t="shared" si="37"/>
        <v>20785.746949141314</v>
      </c>
      <c r="AU22" s="2">
        <f t="shared" si="37"/>
        <v>20577.889479649901</v>
      </c>
      <c r="AV22" s="2">
        <f t="shared" si="37"/>
        <v>20372.110584853403</v>
      </c>
      <c r="AW22" s="2">
        <f t="shared" si="37"/>
        <v>20168.389479004869</v>
      </c>
      <c r="AX22" s="2">
        <f t="shared" si="37"/>
        <v>19966.705584214818</v>
      </c>
      <c r="AY22" s="2">
        <f t="shared" si="37"/>
        <v>19767.038528372668</v>
      </c>
      <c r="AZ22" s="2">
        <f t="shared" si="37"/>
        <v>19569.368143088941</v>
      </c>
      <c r="BA22" s="2">
        <f t="shared" si="37"/>
        <v>19373.674461658051</v>
      </c>
      <c r="BB22" s="2">
        <f t="shared" si="37"/>
        <v>19179.93771704147</v>
      </c>
      <c r="BC22" s="2">
        <f t="shared" si="37"/>
        <v>18988.138339871057</v>
      </c>
      <c r="BD22" s="2">
        <f t="shared" si="37"/>
        <v>18798.256956472345</v>
      </c>
      <c r="BE22" s="2">
        <f t="shared" si="37"/>
        <v>18610.274386907622</v>
      </c>
      <c r="BF22" s="2">
        <f t="shared" si="37"/>
        <v>18424.171643038546</v>
      </c>
      <c r="BG22" s="2">
        <f t="shared" si="37"/>
        <v>18239.929926608162</v>
      </c>
      <c r="BH22" s="2">
        <f t="shared" si="37"/>
        <v>18057.530627342079</v>
      </c>
      <c r="BI22" s="2">
        <f t="shared" si="37"/>
        <v>17876.955321068657</v>
      </c>
      <c r="BJ22" s="2">
        <f t="shared" si="37"/>
        <v>17698.185767857969</v>
      </c>
      <c r="BK22" s="2">
        <f t="shared" si="37"/>
        <v>17521.203910179389</v>
      </c>
      <c r="BL22" s="2">
        <f t="shared" si="37"/>
        <v>17345.991871077596</v>
      </c>
      <c r="BM22" s="2">
        <f t="shared" si="37"/>
        <v>17172.531952366819</v>
      </c>
      <c r="BN22" s="2">
        <f t="shared" si="37"/>
        <v>17000.806632843149</v>
      </c>
      <c r="BO22" s="2">
        <f t="shared" si="37"/>
        <v>16830.798566514717</v>
      </c>
      <c r="BP22" s="2">
        <f t="shared" si="37"/>
        <v>16662.490580849571</v>
      </c>
      <c r="BQ22" s="2">
        <f t="shared" si="37"/>
        <v>16495.865675041077</v>
      </c>
      <c r="BR22" s="2">
        <f t="shared" si="37"/>
        <v>16330.907018290667</v>
      </c>
      <c r="BS22" s="2">
        <f t="shared" si="37"/>
        <v>16167.597948107761</v>
      </c>
      <c r="BT22" s="2">
        <f t="shared" si="37"/>
        <v>16005.921968626684</v>
      </c>
      <c r="BU22" s="2">
        <f t="shared" si="37"/>
        <v>15845.862748940417</v>
      </c>
      <c r="BV22" s="2">
        <f t="shared" si="37"/>
        <v>15687.404121451013</v>
      </c>
      <c r="BW22" s="2">
        <f t="shared" si="37"/>
        <v>15530.530080236502</v>
      </c>
      <c r="BX22" s="2">
        <f t="shared" si="37"/>
        <v>15375.224779434137</v>
      </c>
      <c r="BY22" s="2">
        <f t="shared" si="37"/>
        <v>15221.472531639794</v>
      </c>
      <c r="BZ22" s="2">
        <f t="shared" si="37"/>
        <v>15069.257806323396</v>
      </c>
      <c r="CA22" s="2">
        <f t="shared" si="37"/>
        <v>14918.565228260162</v>
      </c>
      <c r="CB22" s="2">
        <f t="shared" si="37"/>
        <v>14769.37957597756</v>
      </c>
      <c r="CC22" s="2">
        <f t="shared" si="37"/>
        <v>14621.685780217784</v>
      </c>
      <c r="CD22" s="2">
        <f t="shared" si="37"/>
        <v>14475.468922415606</v>
      </c>
      <c r="CE22" s="2">
        <f t="shared" si="37"/>
        <v>14330.714233191451</v>
      </c>
      <c r="CF22" s="2">
        <f t="shared" si="37"/>
        <v>14187.407090859537</v>
      </c>
      <c r="CG22" s="2">
        <f t="shared" si="37"/>
        <v>14045.533019950941</v>
      </c>
      <c r="CH22" s="2">
        <f t="shared" si="37"/>
        <v>13905.077689751432</v>
      </c>
      <c r="CI22" s="2">
        <f t="shared" si="37"/>
        <v>13766.026912853917</v>
      </c>
      <c r="CJ22" s="2">
        <f t="shared" si="37"/>
        <v>13628.366643725378</v>
      </c>
      <c r="CK22" s="2">
        <f t="shared" si="37"/>
        <v>13492.082977288124</v>
      </c>
      <c r="CL22" s="2">
        <f t="shared" si="37"/>
        <v>13357.162147515242</v>
      </c>
      <c r="CM22" s="2">
        <f t="shared" si="37"/>
        <v>13223.59052604009</v>
      </c>
      <c r="CN22" s="2">
        <f t="shared" si="37"/>
        <v>13091.35462077969</v>
      </c>
      <c r="CO22" s="2">
        <f t="shared" si="37"/>
        <v>12960.441074571892</v>
      </c>
      <c r="CP22" s="2">
        <f t="shared" si="37"/>
        <v>12830.836663826174</v>
      </c>
      <c r="CQ22" s="2">
        <f t="shared" si="37"/>
        <v>12702.528297187911</v>
      </c>
      <c r="CR22" s="2">
        <f t="shared" si="37"/>
        <v>12575.503014216032</v>
      </c>
      <c r="CS22" s="2">
        <f t="shared" si="37"/>
        <v>12449.747984073872</v>
      </c>
      <c r="CT22" s="2">
        <f t="shared" si="37"/>
        <v>12325.250504233134</v>
      </c>
      <c r="CU22" s="2">
        <f t="shared" si="37"/>
        <v>12201.997999190802</v>
      </c>
      <c r="CV22" s="2">
        <f t="shared" si="37"/>
        <v>12079.978019198894</v>
      </c>
      <c r="CW22" s="2">
        <f t="shared" si="37"/>
        <v>11959.178239006906</v>
      </c>
      <c r="CX22" s="2">
        <f t="shared" si="37"/>
        <v>11839.586456616837</v>
      </c>
      <c r="CY22" s="2">
        <f t="shared" si="37"/>
        <v>11721.190592050669</v>
      </c>
      <c r="CZ22" s="2">
        <f t="shared" ref="CZ22:FK22" si="38">CY22*(1+$AQ$39)</f>
        <v>11603.978686130162</v>
      </c>
      <c r="DA22" s="2">
        <f t="shared" si="38"/>
        <v>11487.93889926886</v>
      </c>
      <c r="DB22" s="2">
        <f t="shared" si="38"/>
        <v>11373.059510276171</v>
      </c>
      <c r="DC22" s="2">
        <f t="shared" si="38"/>
        <v>11259.32891517341</v>
      </c>
      <c r="DD22" s="2">
        <f t="shared" si="38"/>
        <v>11146.735626021675</v>
      </c>
      <c r="DE22" s="2">
        <f t="shared" si="38"/>
        <v>11035.268269761458</v>
      </c>
      <c r="DF22" s="2">
        <f t="shared" si="38"/>
        <v>10924.915587063844</v>
      </c>
      <c r="DG22" s="2">
        <f t="shared" si="38"/>
        <v>10815.666431193205</v>
      </c>
      <c r="DH22" s="2">
        <f t="shared" si="38"/>
        <v>10707.509766881274</v>
      </c>
      <c r="DI22" s="2">
        <f t="shared" si="38"/>
        <v>10600.434669212462</v>
      </c>
      <c r="DJ22" s="2">
        <f t="shared" si="38"/>
        <v>10494.430322520337</v>
      </c>
      <c r="DK22" s="2">
        <f t="shared" si="38"/>
        <v>10389.486019295133</v>
      </c>
      <c r="DL22" s="2">
        <f t="shared" si="38"/>
        <v>10285.591159102181</v>
      </c>
      <c r="DM22" s="2">
        <f t="shared" si="38"/>
        <v>10182.73524751116</v>
      </c>
      <c r="DN22" s="2">
        <f t="shared" si="38"/>
        <v>10080.907895036049</v>
      </c>
      <c r="DO22" s="2">
        <f t="shared" si="38"/>
        <v>9980.0988160856887</v>
      </c>
      <c r="DP22" s="2">
        <f t="shared" si="38"/>
        <v>9880.2978279248309</v>
      </c>
      <c r="DQ22" s="2">
        <f t="shared" si="38"/>
        <v>9781.4948496455818</v>
      </c>
      <c r="DR22" s="2">
        <f t="shared" si="38"/>
        <v>9683.6799011491257</v>
      </c>
      <c r="DS22" s="2">
        <f t="shared" si="38"/>
        <v>9586.8431021376346</v>
      </c>
      <c r="DT22" s="2">
        <f t="shared" si="38"/>
        <v>9490.9746711162588</v>
      </c>
      <c r="DU22" s="2">
        <f t="shared" si="38"/>
        <v>9396.0649244050965</v>
      </c>
      <c r="DV22" s="2">
        <f t="shared" si="38"/>
        <v>9302.1042751610457</v>
      </c>
      <c r="DW22" s="2">
        <f t="shared" si="38"/>
        <v>9209.0832324094354</v>
      </c>
      <c r="DX22" s="2">
        <f t="shared" si="38"/>
        <v>9116.9924000853407</v>
      </c>
      <c r="DY22" s="2">
        <f t="shared" si="38"/>
        <v>9025.8224760844878</v>
      </c>
      <c r="DZ22" s="2">
        <f t="shared" si="38"/>
        <v>8935.5642513236435</v>
      </c>
      <c r="EA22" s="2">
        <f t="shared" si="38"/>
        <v>8846.2086088104061</v>
      </c>
      <c r="EB22" s="2">
        <f t="shared" si="38"/>
        <v>8757.746522722302</v>
      </c>
      <c r="EC22" s="2">
        <f t="shared" si="38"/>
        <v>8670.169057495079</v>
      </c>
      <c r="ED22" s="2">
        <f t="shared" si="38"/>
        <v>8583.4673669201275</v>
      </c>
      <c r="EE22" s="2">
        <f t="shared" si="38"/>
        <v>8497.6326932509255</v>
      </c>
      <c r="EF22" s="2">
        <f t="shared" si="38"/>
        <v>8412.656366318417</v>
      </c>
      <c r="EG22" s="2">
        <f t="shared" si="38"/>
        <v>8328.5298026552318</v>
      </c>
      <c r="EH22" s="2">
        <f t="shared" si="38"/>
        <v>8245.2445046286794</v>
      </c>
      <c r="EI22" s="2">
        <f t="shared" si="38"/>
        <v>8162.7920595823925</v>
      </c>
      <c r="EJ22" s="2">
        <f t="shared" si="38"/>
        <v>8081.1641389865681</v>
      </c>
      <c r="EK22" s="2">
        <f t="shared" si="38"/>
        <v>8000.3524975967021</v>
      </c>
      <c r="EL22" s="2">
        <f t="shared" si="38"/>
        <v>7920.3489726207354</v>
      </c>
      <c r="EM22" s="2">
        <f t="shared" si="38"/>
        <v>7841.145482894528</v>
      </c>
      <c r="EN22" s="2">
        <f t="shared" si="38"/>
        <v>7762.7340280655826</v>
      </c>
      <c r="EO22" s="2">
        <f t="shared" si="38"/>
        <v>7685.1066877849271</v>
      </c>
      <c r="EP22" s="2">
        <f t="shared" si="38"/>
        <v>7608.2556209070781</v>
      </c>
      <c r="EQ22" s="2">
        <f t="shared" si="38"/>
        <v>7532.1730646980068</v>
      </c>
      <c r="ER22" s="2">
        <f t="shared" si="38"/>
        <v>7456.8513340510262</v>
      </c>
      <c r="ES22" s="2">
        <f t="shared" si="38"/>
        <v>7382.2828207105158</v>
      </c>
      <c r="ET22" s="2">
        <f t="shared" si="38"/>
        <v>7308.4599925034108</v>
      </c>
      <c r="EU22" s="2">
        <f t="shared" si="38"/>
        <v>7235.3753925783767</v>
      </c>
      <c r="EV22" s="2">
        <f t="shared" si="38"/>
        <v>7163.0216386525926</v>
      </c>
      <c r="EW22" s="2">
        <f t="shared" si="38"/>
        <v>7091.3914222660669</v>
      </c>
      <c r="EX22" s="2">
        <f t="shared" si="38"/>
        <v>7020.4775080434065</v>
      </c>
      <c r="EY22" s="2">
        <f t="shared" si="38"/>
        <v>6950.2727329629724</v>
      </c>
      <c r="EZ22" s="2">
        <f t="shared" si="38"/>
        <v>6880.7700056333424</v>
      </c>
      <c r="FA22" s="2">
        <f t="shared" si="38"/>
        <v>6811.9623055770089</v>
      </c>
      <c r="FB22" s="2">
        <f t="shared" si="38"/>
        <v>6743.8426825212391</v>
      </c>
      <c r="FC22" s="2">
        <f t="shared" si="38"/>
        <v>6676.4042556960267</v>
      </c>
      <c r="FD22" s="2">
        <f t="shared" si="38"/>
        <v>6609.640213139066</v>
      </c>
      <c r="FE22" s="2">
        <f t="shared" si="38"/>
        <v>6543.5438110076757</v>
      </c>
      <c r="FF22" s="2">
        <f t="shared" si="38"/>
        <v>6478.1083728975991</v>
      </c>
      <c r="FG22" s="2">
        <f t="shared" si="38"/>
        <v>6413.3272891686229</v>
      </c>
      <c r="FH22" s="2">
        <f t="shared" si="38"/>
        <v>6349.194016276937</v>
      </c>
      <c r="FI22" s="2">
        <f t="shared" si="38"/>
        <v>6285.7020761141675</v>
      </c>
      <c r="FJ22" s="2">
        <f t="shared" si="38"/>
        <v>6222.8450553530256</v>
      </c>
      <c r="FK22" s="2">
        <f t="shared" si="38"/>
        <v>6160.6166047994957</v>
      </c>
      <c r="FL22" s="2">
        <f t="shared" ref="FL22:HW22" si="39">FK22*(1+$AQ$39)</f>
        <v>6099.0104387515003</v>
      </c>
      <c r="FM22" s="2">
        <f t="shared" si="39"/>
        <v>6038.0203343639851</v>
      </c>
      <c r="FN22" s="2">
        <f t="shared" si="39"/>
        <v>5977.6401310203455</v>
      </c>
      <c r="FO22" s="2">
        <f t="shared" si="39"/>
        <v>5917.8637297101423</v>
      </c>
      <c r="FP22" s="2">
        <f t="shared" si="39"/>
        <v>5858.6850924130404</v>
      </c>
      <c r="FQ22" s="2">
        <f t="shared" si="39"/>
        <v>5800.0982414889095</v>
      </c>
      <c r="FR22" s="2">
        <f t="shared" si="39"/>
        <v>5742.0972590740203</v>
      </c>
      <c r="FS22" s="2">
        <f t="shared" si="39"/>
        <v>5684.6762864832799</v>
      </c>
      <c r="FT22" s="2">
        <f t="shared" si="39"/>
        <v>5627.8295236184467</v>
      </c>
      <c r="FU22" s="2">
        <f t="shared" si="39"/>
        <v>5571.5512283822618</v>
      </c>
      <c r="FV22" s="2">
        <f t="shared" si="39"/>
        <v>5515.8357160984388</v>
      </c>
      <c r="FW22" s="2">
        <f t="shared" si="39"/>
        <v>5460.6773589374543</v>
      </c>
      <c r="FX22" s="2">
        <f t="shared" si="39"/>
        <v>5406.0705853480795</v>
      </c>
      <c r="FY22" s="2">
        <f t="shared" si="39"/>
        <v>5352.0098794945989</v>
      </c>
      <c r="FZ22" s="2">
        <f t="shared" si="39"/>
        <v>5298.4897806996532</v>
      </c>
      <c r="GA22" s="2">
        <f t="shared" si="39"/>
        <v>5245.5048828926565</v>
      </c>
      <c r="GB22" s="2">
        <f t="shared" si="39"/>
        <v>5193.0498340637296</v>
      </c>
      <c r="GC22" s="2">
        <f t="shared" si="39"/>
        <v>5141.1193357230923</v>
      </c>
      <c r="GD22" s="2">
        <f t="shared" si="39"/>
        <v>5089.708142365861</v>
      </c>
      <c r="GE22" s="2">
        <f t="shared" si="39"/>
        <v>5038.8110609422019</v>
      </c>
      <c r="GF22" s="2">
        <f t="shared" si="39"/>
        <v>4988.4229503327797</v>
      </c>
      <c r="GG22" s="2">
        <f t="shared" si="39"/>
        <v>4938.5387208294514</v>
      </c>
      <c r="GH22" s="2">
        <f t="shared" si="39"/>
        <v>4889.1533336211569</v>
      </c>
      <c r="GI22" s="2">
        <f t="shared" si="39"/>
        <v>4840.2618002849449</v>
      </c>
      <c r="GJ22" s="2">
        <f t="shared" si="39"/>
        <v>4791.8591822820954</v>
      </c>
      <c r="GK22" s="2">
        <f t="shared" si="39"/>
        <v>4743.9405904592741</v>
      </c>
      <c r="GL22" s="2">
        <f t="shared" si="39"/>
        <v>4696.5011845546815</v>
      </c>
      <c r="GM22" s="2">
        <f t="shared" si="39"/>
        <v>4649.5361727091349</v>
      </c>
      <c r="GN22" s="2">
        <f t="shared" si="39"/>
        <v>4603.0408109820437</v>
      </c>
      <c r="GO22" s="2">
        <f t="shared" si="39"/>
        <v>4557.0104028722235</v>
      </c>
      <c r="GP22" s="2">
        <f t="shared" si="39"/>
        <v>4511.4402988435013</v>
      </c>
      <c r="GQ22" s="2">
        <f t="shared" si="39"/>
        <v>4466.3258958550659</v>
      </c>
      <c r="GR22" s="2">
        <f t="shared" si="39"/>
        <v>4421.6626368965153</v>
      </c>
      <c r="GS22" s="2">
        <f t="shared" si="39"/>
        <v>4377.4460105275502</v>
      </c>
      <c r="GT22" s="2">
        <f t="shared" si="39"/>
        <v>4333.6715504222748</v>
      </c>
      <c r="GU22" s="2">
        <f t="shared" si="39"/>
        <v>4290.3348349180524</v>
      </c>
      <c r="GV22" s="2">
        <f t="shared" si="39"/>
        <v>4247.4314865688721</v>
      </c>
      <c r="GW22" s="2">
        <f t="shared" si="39"/>
        <v>4204.9571717031831</v>
      </c>
      <c r="GX22" s="2">
        <f t="shared" si="39"/>
        <v>4162.9075999861516</v>
      </c>
      <c r="GY22" s="2">
        <f t="shared" si="39"/>
        <v>4121.2785239862897</v>
      </c>
      <c r="GZ22" s="2">
        <f t="shared" si="39"/>
        <v>4080.0657387464266</v>
      </c>
      <c r="HA22" s="2">
        <f t="shared" si="39"/>
        <v>4039.2650813589621</v>
      </c>
      <c r="HB22" s="2">
        <f t="shared" si="39"/>
        <v>3998.8724305453725</v>
      </c>
      <c r="HC22" s="2">
        <f t="shared" si="39"/>
        <v>3958.8837062399189</v>
      </c>
      <c r="HD22" s="2">
        <f t="shared" si="39"/>
        <v>3919.2948691775196</v>
      </c>
      <c r="HE22" s="2">
        <f t="shared" si="39"/>
        <v>3880.1019204857444</v>
      </c>
      <c r="HF22" s="2">
        <f t="shared" si="39"/>
        <v>3841.300901280887</v>
      </c>
      <c r="HG22" s="2">
        <f t="shared" si="39"/>
        <v>3802.8878922680783</v>
      </c>
      <c r="HH22" s="2">
        <f t="shared" si="39"/>
        <v>3764.8590133453977</v>
      </c>
      <c r="HI22" s="2">
        <f t="shared" si="39"/>
        <v>3727.2104232119436</v>
      </c>
      <c r="HJ22" s="2">
        <f t="shared" si="39"/>
        <v>3689.9383189798241</v>
      </c>
      <c r="HK22" s="2">
        <f t="shared" si="39"/>
        <v>3653.0389357900258</v>
      </c>
      <c r="HL22" s="2">
        <f t="shared" si="39"/>
        <v>3616.5085464321255</v>
      </c>
      <c r="HM22" s="2">
        <f t="shared" si="39"/>
        <v>3580.3434609678043</v>
      </c>
      <c r="HN22" s="2">
        <f t="shared" si="39"/>
        <v>3544.5400263581264</v>
      </c>
      <c r="HO22" s="2">
        <f t="shared" si="39"/>
        <v>3509.0946260945452</v>
      </c>
      <c r="HP22" s="2">
        <f t="shared" si="39"/>
        <v>3474.0036798335996</v>
      </c>
      <c r="HQ22" s="2">
        <f t="shared" si="39"/>
        <v>3439.2636430352636</v>
      </c>
      <c r="HR22" s="2">
        <f t="shared" si="39"/>
        <v>3404.8710066049111</v>
      </c>
      <c r="HS22" s="2">
        <f t="shared" si="39"/>
        <v>3370.8222965388618</v>
      </c>
      <c r="HT22" s="2">
        <f t="shared" si="39"/>
        <v>3337.114073573473</v>
      </c>
      <c r="HU22" s="2">
        <f t="shared" si="39"/>
        <v>3303.7429328377384</v>
      </c>
      <c r="HV22" s="2">
        <f t="shared" si="39"/>
        <v>3270.7055035093608</v>
      </c>
      <c r="HW22" s="2">
        <f t="shared" si="39"/>
        <v>3237.9984484742672</v>
      </c>
      <c r="HX22" s="2">
        <f t="shared" ref="HX22:KI22" si="40">HW22*(1+$AQ$39)</f>
        <v>3205.6184639895246</v>
      </c>
      <c r="HY22" s="2">
        <f t="shared" si="40"/>
        <v>3173.5622793496291</v>
      </c>
      <c r="HZ22" s="2">
        <f t="shared" si="40"/>
        <v>3141.8266565561325</v>
      </c>
      <c r="IA22" s="2">
        <f t="shared" si="40"/>
        <v>3110.4083899905713</v>
      </c>
      <c r="IB22" s="2">
        <f t="shared" si="40"/>
        <v>3079.3043060906657</v>
      </c>
      <c r="IC22" s="2">
        <f t="shared" si="40"/>
        <v>3048.511263029759</v>
      </c>
      <c r="ID22" s="2">
        <f t="shared" si="40"/>
        <v>3018.0261503994616</v>
      </c>
      <c r="IE22" s="2">
        <f t="shared" si="40"/>
        <v>2987.8458888954669</v>
      </c>
      <c r="IF22" s="2">
        <f t="shared" si="40"/>
        <v>2957.9674300065121</v>
      </c>
      <c r="IG22" s="2">
        <f t="shared" si="40"/>
        <v>2928.387755706447</v>
      </c>
      <c r="IH22" s="2">
        <f t="shared" si="40"/>
        <v>2899.1038781493826</v>
      </c>
      <c r="II22" s="2">
        <f t="shared" si="40"/>
        <v>2870.1128393678887</v>
      </c>
      <c r="IJ22" s="2">
        <f t="shared" si="40"/>
        <v>2841.4117109742097</v>
      </c>
      <c r="IK22" s="2">
        <f t="shared" si="40"/>
        <v>2812.9975938644675</v>
      </c>
      <c r="IL22" s="2">
        <f t="shared" si="40"/>
        <v>2784.8676179258227</v>
      </c>
      <c r="IM22" s="2">
        <f t="shared" si="40"/>
        <v>2757.0189417465645</v>
      </c>
      <c r="IN22" s="2">
        <f t="shared" si="40"/>
        <v>2729.4487523290986</v>
      </c>
      <c r="IO22" s="2">
        <f t="shared" si="40"/>
        <v>2702.1542648058075</v>
      </c>
      <c r="IP22" s="2">
        <f t="shared" si="40"/>
        <v>2675.1327221577494</v>
      </c>
      <c r="IQ22" s="2">
        <f t="shared" si="40"/>
        <v>2648.381394936172</v>
      </c>
      <c r="IR22" s="2">
        <f t="shared" si="40"/>
        <v>2621.8975809868102</v>
      </c>
      <c r="IS22" s="2">
        <f t="shared" si="40"/>
        <v>2595.6786051769423</v>
      </c>
      <c r="IT22" s="2">
        <f t="shared" si="40"/>
        <v>2569.7218191251727</v>
      </c>
      <c r="IU22" s="2">
        <f t="shared" si="40"/>
        <v>2544.0246009339207</v>
      </c>
      <c r="IV22" s="2">
        <f t="shared" si="40"/>
        <v>2518.5843549245815</v>
      </c>
      <c r="IW22" s="2">
        <f t="shared" si="40"/>
        <v>2493.3985113753356</v>
      </c>
      <c r="IX22" s="2">
        <f t="shared" si="40"/>
        <v>2468.4645262615823</v>
      </c>
      <c r="IY22" s="2">
        <f t="shared" si="40"/>
        <v>2443.7798809989663</v>
      </c>
      <c r="IZ22" s="2">
        <f t="shared" si="40"/>
        <v>2419.3420821889767</v>
      </c>
      <c r="JA22" s="2">
        <f t="shared" si="40"/>
        <v>2395.1486613670868</v>
      </c>
      <c r="JB22" s="2">
        <f t="shared" si="40"/>
        <v>2371.1971747534158</v>
      </c>
      <c r="JC22" s="2">
        <f t="shared" si="40"/>
        <v>2347.4852030058814</v>
      </c>
      <c r="JD22" s="2">
        <f t="shared" si="40"/>
        <v>2324.0103509758228</v>
      </c>
      <c r="JE22" s="2">
        <f t="shared" si="40"/>
        <v>2300.7702474660646</v>
      </c>
      <c r="JF22" s="2">
        <f t="shared" si="40"/>
        <v>2277.762544991404</v>
      </c>
      <c r="JG22" s="2">
        <f t="shared" si="40"/>
        <v>2254.9849195414899</v>
      </c>
      <c r="JH22" s="2">
        <f t="shared" si="40"/>
        <v>2232.435070346075</v>
      </c>
      <c r="JI22" s="2">
        <f t="shared" si="40"/>
        <v>2210.1107196426142</v>
      </c>
      <c r="JJ22" s="2">
        <f t="shared" si="40"/>
        <v>2188.0096124461879</v>
      </c>
      <c r="JK22" s="2">
        <f t="shared" si="40"/>
        <v>2166.129516321726</v>
      </c>
      <c r="JL22" s="2">
        <f t="shared" si="40"/>
        <v>2144.4682211585086</v>
      </c>
      <c r="JM22" s="2">
        <f t="shared" si="40"/>
        <v>2123.0235389469235</v>
      </c>
      <c r="JN22" s="2">
        <f t="shared" si="40"/>
        <v>2101.7933035574542</v>
      </c>
      <c r="JO22" s="2">
        <f t="shared" si="40"/>
        <v>2080.7753705218797</v>
      </c>
      <c r="JP22" s="2">
        <f t="shared" si="40"/>
        <v>2059.9676168166611</v>
      </c>
      <c r="JQ22" s="2">
        <f t="shared" si="40"/>
        <v>2039.3679406484946</v>
      </c>
      <c r="JR22" s="2">
        <f t="shared" si="40"/>
        <v>2018.9742612420096</v>
      </c>
      <c r="JS22" s="2">
        <f t="shared" si="40"/>
        <v>1998.7845186295895</v>
      </c>
      <c r="JT22" s="2">
        <f t="shared" si="40"/>
        <v>1978.7966734432935</v>
      </c>
      <c r="JU22" s="2">
        <f t="shared" si="40"/>
        <v>1959.0087067088605</v>
      </c>
      <c r="JV22" s="2">
        <f t="shared" si="40"/>
        <v>1939.4186196417718</v>
      </c>
      <c r="JW22" s="2">
        <f t="shared" si="40"/>
        <v>1920.0244334453541</v>
      </c>
      <c r="JX22" s="2">
        <f t="shared" si="40"/>
        <v>1900.8241891109005</v>
      </c>
      <c r="JY22" s="2">
        <f t="shared" si="40"/>
        <v>1881.8159472197915</v>
      </c>
      <c r="JZ22" s="2">
        <f t="shared" si="40"/>
        <v>1862.9977877475935</v>
      </c>
      <c r="KA22" s="2">
        <f t="shared" si="40"/>
        <v>1844.3678098701175</v>
      </c>
      <c r="KB22" s="2">
        <f t="shared" si="40"/>
        <v>1825.9241317714163</v>
      </c>
      <c r="KC22" s="2">
        <f t="shared" si="40"/>
        <v>1807.6648904537021</v>
      </c>
      <c r="KD22" s="2">
        <f t="shared" si="40"/>
        <v>1789.5882415491651</v>
      </c>
      <c r="KE22" s="2">
        <f t="shared" si="40"/>
        <v>1771.6923591336733</v>
      </c>
      <c r="KF22" s="2">
        <f t="shared" si="40"/>
        <v>1753.9754355423365</v>
      </c>
      <c r="KG22" s="2">
        <f t="shared" si="40"/>
        <v>1736.4356811869131</v>
      </c>
      <c r="KH22" s="2">
        <f t="shared" si="40"/>
        <v>1719.071324375044</v>
      </c>
      <c r="KI22" s="2">
        <f t="shared" si="40"/>
        <v>1701.8806111312936</v>
      </c>
      <c r="KJ22" s="2">
        <f t="shared" ref="KJ22:MU22" si="41">KI22*(1+$AQ$39)</f>
        <v>1684.8618050199807</v>
      </c>
      <c r="KK22" s="2">
        <f t="shared" si="41"/>
        <v>1668.0131869697809</v>
      </c>
      <c r="KL22" s="2">
        <f t="shared" si="41"/>
        <v>1651.3330551000831</v>
      </c>
      <c r="KM22" s="2">
        <f t="shared" si="41"/>
        <v>1634.8197245490824</v>
      </c>
      <c r="KN22" s="2">
        <f t="shared" si="41"/>
        <v>1618.4715273035915</v>
      </c>
      <c r="KO22" s="2">
        <f t="shared" si="41"/>
        <v>1602.2868120305557</v>
      </c>
      <c r="KP22" s="2">
        <f t="shared" si="41"/>
        <v>1586.2639439102502</v>
      </c>
      <c r="KQ22" s="2">
        <f t="shared" si="41"/>
        <v>1570.4013044711476</v>
      </c>
      <c r="KR22" s="2">
        <f t="shared" si="41"/>
        <v>1554.6972914264361</v>
      </c>
      <c r="KS22" s="2">
        <f t="shared" si="41"/>
        <v>1539.1503185121717</v>
      </c>
      <c r="KT22" s="2">
        <f t="shared" si="41"/>
        <v>1523.7588153270499</v>
      </c>
      <c r="KU22" s="2">
        <f t="shared" si="41"/>
        <v>1508.5212271737794</v>
      </c>
      <c r="KV22" s="2">
        <f t="shared" si="41"/>
        <v>1493.4360149020415</v>
      </c>
      <c r="KW22" s="2">
        <f t="shared" si="41"/>
        <v>1478.5016547530211</v>
      </c>
      <c r="KX22" s="2">
        <f t="shared" si="41"/>
        <v>1463.7166382054909</v>
      </c>
      <c r="KY22" s="2">
        <f t="shared" si="41"/>
        <v>1449.0794718234361</v>
      </c>
      <c r="KZ22" s="2">
        <f t="shared" si="41"/>
        <v>1434.5886771052017</v>
      </c>
      <c r="LA22" s="2">
        <f t="shared" si="41"/>
        <v>1420.2427903341497</v>
      </c>
      <c r="LB22" s="2">
        <f t="shared" si="41"/>
        <v>1406.0403624308083</v>
      </c>
      <c r="LC22" s="2">
        <f t="shared" si="41"/>
        <v>1391.9799588065002</v>
      </c>
      <c r="LD22" s="2">
        <f t="shared" si="41"/>
        <v>1378.0601592184353</v>
      </c>
      <c r="LE22" s="2">
        <f t="shared" si="41"/>
        <v>1364.2795576262508</v>
      </c>
      <c r="LF22" s="2">
        <f t="shared" si="41"/>
        <v>1350.6367620499884</v>
      </c>
      <c r="LG22" s="2">
        <f t="shared" si="41"/>
        <v>1337.1303944294884</v>
      </c>
      <c r="LH22" s="2">
        <f t="shared" si="41"/>
        <v>1323.7590904851936</v>
      </c>
      <c r="LI22" s="2">
        <f t="shared" si="41"/>
        <v>1310.5214995803417</v>
      </c>
      <c r="LJ22" s="2">
        <f t="shared" si="41"/>
        <v>1297.4162845845383</v>
      </c>
      <c r="LK22" s="2">
        <f t="shared" si="41"/>
        <v>1284.442121738693</v>
      </c>
      <c r="LL22" s="2">
        <f t="shared" si="41"/>
        <v>1271.597700521306</v>
      </c>
      <c r="LM22" s="2">
        <f t="shared" si="41"/>
        <v>1258.881723516093</v>
      </c>
      <c r="LN22" s="2">
        <f t="shared" si="41"/>
        <v>1246.2929062809321</v>
      </c>
      <c r="LO22" s="2">
        <f t="shared" si="41"/>
        <v>1233.8299772181228</v>
      </c>
      <c r="LP22" s="2">
        <f t="shared" si="41"/>
        <v>1221.4916774459416</v>
      </c>
      <c r="LQ22" s="2">
        <f t="shared" si="41"/>
        <v>1209.2767606714822</v>
      </c>
      <c r="LR22" s="2">
        <f t="shared" si="41"/>
        <v>1197.1839930647673</v>
      </c>
      <c r="LS22" s="2">
        <f t="shared" si="41"/>
        <v>1185.2121531341195</v>
      </c>
      <c r="LT22" s="2">
        <f t="shared" si="41"/>
        <v>1173.3600316027782</v>
      </c>
      <c r="LU22" s="2">
        <f t="shared" si="41"/>
        <v>1161.6264312867504</v>
      </c>
      <c r="LV22" s="2">
        <f t="shared" si="41"/>
        <v>1150.0101669738829</v>
      </c>
      <c r="LW22" s="2">
        <f t="shared" si="41"/>
        <v>1138.5100653041441</v>
      </c>
      <c r="LX22" s="2">
        <f t="shared" si="41"/>
        <v>1127.1249646511026</v>
      </c>
      <c r="LY22" s="2">
        <f t="shared" si="41"/>
        <v>1115.8537150045915</v>
      </c>
      <c r="LZ22" s="2">
        <f t="shared" si="41"/>
        <v>1104.6951778545456</v>
      </c>
      <c r="MA22" s="2">
        <f t="shared" si="41"/>
        <v>1093.6482260760001</v>
      </c>
      <c r="MB22" s="2">
        <f t="shared" si="41"/>
        <v>1082.7117438152402</v>
      </c>
      <c r="MC22" s="2">
        <f t="shared" si="41"/>
        <v>1071.8846263770879</v>
      </c>
      <c r="MD22" s="2">
        <f t="shared" si="41"/>
        <v>1061.1657801133169</v>
      </c>
      <c r="ME22" s="2">
        <f t="shared" si="41"/>
        <v>1050.5541223121838</v>
      </c>
      <c r="MF22" s="2">
        <f t="shared" si="41"/>
        <v>1040.0485810890621</v>
      </c>
      <c r="MG22" s="2">
        <f t="shared" si="41"/>
        <v>1029.6480952781715</v>
      </c>
      <c r="MH22" s="2">
        <f t="shared" si="41"/>
        <v>1019.3516143253897</v>
      </c>
      <c r="MI22" s="2">
        <f t="shared" si="41"/>
        <v>1009.1580981821359</v>
      </c>
      <c r="MJ22" s="2">
        <f t="shared" si="41"/>
        <v>999.06651720031448</v>
      </c>
      <c r="MK22" s="2">
        <f t="shared" si="41"/>
        <v>989.07585202831137</v>
      </c>
      <c r="ML22" s="2">
        <f t="shared" si="41"/>
        <v>979.18509350802822</v>
      </c>
      <c r="MM22" s="2">
        <f t="shared" si="41"/>
        <v>969.39324257294788</v>
      </c>
      <c r="MN22" s="2">
        <f t="shared" si="41"/>
        <v>959.6993101472184</v>
      </c>
      <c r="MO22" s="2">
        <f t="shared" si="41"/>
        <v>950.10231704574619</v>
      </c>
      <c r="MP22" s="2">
        <f t="shared" si="41"/>
        <v>940.60129387528877</v>
      </c>
      <c r="MQ22" s="2">
        <f t="shared" si="41"/>
        <v>931.19528093653582</v>
      </c>
      <c r="MR22" s="2">
        <f t="shared" si="41"/>
        <v>921.88332812717044</v>
      </c>
      <c r="MS22" s="2">
        <f t="shared" si="41"/>
        <v>912.66449484589873</v>
      </c>
      <c r="MT22" s="2">
        <f t="shared" si="41"/>
        <v>903.53784989743974</v>
      </c>
      <c r="MU22" s="2">
        <f t="shared" si="41"/>
        <v>894.50247139846533</v>
      </c>
      <c r="MV22" s="2">
        <f t="shared" ref="MV22:MW22" si="42">MU22*(1+$AQ$39)</f>
        <v>885.55744668448062</v>
      </c>
      <c r="MW22" s="2">
        <f t="shared" si="42"/>
        <v>876.70187221763581</v>
      </c>
    </row>
    <row r="24" spans="1:361" x14ac:dyDescent="0.2">
      <c r="A24" t="s">
        <v>38</v>
      </c>
      <c r="B24" s="4">
        <f t="shared" ref="B24:D24" si="43">B22/B25</f>
        <v>0.76940133037694014</v>
      </c>
      <c r="C24" s="4">
        <f t="shared" si="43"/>
        <v>0.60398230088495575</v>
      </c>
      <c r="D24" s="4">
        <f t="shared" si="43"/>
        <v>1.4789356984478936</v>
      </c>
      <c r="E24" s="4">
        <f t="shared" ref="E24:F24" si="44">E22/E25</f>
        <v>1.3059866962305986</v>
      </c>
      <c r="F24" s="4">
        <f t="shared" si="44"/>
        <v>1.5730088495575221</v>
      </c>
      <c r="G24" s="4">
        <f t="shared" ref="G24:S24" si="45">G22/G25</f>
        <v>1.5938189845474613</v>
      </c>
      <c r="H24" s="4">
        <f t="shared" si="45"/>
        <v>1.7428571428571429</v>
      </c>
      <c r="I24" s="4">
        <f t="shared" si="45"/>
        <v>1.1956043956043956</v>
      </c>
      <c r="J24" s="4">
        <f t="shared" si="45"/>
        <v>3.756043956043956</v>
      </c>
      <c r="K24" s="4">
        <f t="shared" si="45"/>
        <v>2.9802197802197803</v>
      </c>
      <c r="L24" s="4">
        <f t="shared" si="45"/>
        <v>3.1784140969162995</v>
      </c>
      <c r="M24" s="4">
        <f t="shared" si="45"/>
        <v>1.3384615384615384</v>
      </c>
      <c r="N24" s="4">
        <f t="shared" si="45"/>
        <v>3.5398230088495577</v>
      </c>
      <c r="O24" s="4">
        <f t="shared" si="45"/>
        <v>3.2088888888888887</v>
      </c>
      <c r="P24" s="4">
        <f t="shared" si="45"/>
        <v>3.1133333333333333</v>
      </c>
      <c r="Q24" s="4">
        <f t="shared" si="45"/>
        <v>0.12860310421286031</v>
      </c>
      <c r="R24" s="4">
        <f t="shared" si="45"/>
        <v>2.8938053097345131</v>
      </c>
      <c r="S24" s="4">
        <f t="shared" si="45"/>
        <v>3.3013303769401334</v>
      </c>
      <c r="T24" s="4">
        <f t="shared" ref="T24" si="46">T22/T25</f>
        <v>3.7333333333333334</v>
      </c>
      <c r="X24" s="4">
        <f>X22/X25</f>
        <v>2.6895787139689578</v>
      </c>
      <c r="Y24" s="4">
        <f>Y22/Y25</f>
        <v>4.1396895787139689</v>
      </c>
      <c r="Z24" s="4">
        <f>Z22/Z25</f>
        <v>6.0903083700440526</v>
      </c>
      <c r="AA24" s="4">
        <f>AA22/AA25</f>
        <v>11.250549450549451</v>
      </c>
      <c r="AB24" s="4">
        <f>AB22/AB25</f>
        <v>9.9623059866962311</v>
      </c>
      <c r="AC24" s="4">
        <f>AC22/AC25</f>
        <v>13.420141798428444</v>
      </c>
    </row>
    <row r="25" spans="1:361" x14ac:dyDescent="0.2">
      <c r="A25" t="s">
        <v>3</v>
      </c>
      <c r="B25">
        <v>451</v>
      </c>
      <c r="C25">
        <v>452</v>
      </c>
      <c r="D25">
        <v>451</v>
      </c>
      <c r="E25">
        <v>451</v>
      </c>
      <c r="F25">
        <v>452</v>
      </c>
      <c r="G25">
        <v>453</v>
      </c>
      <c r="H25">
        <v>455</v>
      </c>
      <c r="I25">
        <v>455</v>
      </c>
      <c r="J25">
        <v>455</v>
      </c>
      <c r="K25">
        <v>455</v>
      </c>
      <c r="L25">
        <v>454</v>
      </c>
      <c r="M25">
        <v>455</v>
      </c>
      <c r="N25">
        <v>452</v>
      </c>
      <c r="O25">
        <v>450</v>
      </c>
      <c r="P25">
        <v>450</v>
      </c>
      <c r="Q25">
        <v>451</v>
      </c>
      <c r="R25">
        <v>452</v>
      </c>
      <c r="S25">
        <v>451</v>
      </c>
      <c r="T25">
        <v>450</v>
      </c>
      <c r="X25">
        <v>451</v>
      </c>
      <c r="Y25">
        <v>451</v>
      </c>
      <c r="Z25">
        <v>454</v>
      </c>
      <c r="AA25">
        <v>455</v>
      </c>
      <c r="AB25">
        <v>451</v>
      </c>
      <c r="AC25">
        <v>450</v>
      </c>
    </row>
    <row r="27" spans="1:361" x14ac:dyDescent="0.2">
      <c r="AA27" t="s">
        <v>76</v>
      </c>
      <c r="AB27" s="2">
        <f>R46-R58-R61</f>
        <v>-6610</v>
      </c>
      <c r="AC27" s="2">
        <f>AB27+AB22</f>
        <v>-2117</v>
      </c>
      <c r="AD27" s="2">
        <f t="shared" ref="AD27:AL27" si="47">AC27+AC22</f>
        <v>3922.0638092928002</v>
      </c>
      <c r="AE27" s="2">
        <f t="shared" si="47"/>
        <v>12202.173535172302</v>
      </c>
      <c r="AF27" s="2">
        <f t="shared" si="47"/>
        <v>21802.980450011473</v>
      </c>
      <c r="AG27" s="2">
        <f t="shared" si="47"/>
        <v>32689.691571987001</v>
      </c>
      <c r="AH27" s="2">
        <f t="shared" si="47"/>
        <v>45014.775093759017</v>
      </c>
      <c r="AI27" s="2">
        <f t="shared" si="47"/>
        <v>58989.141257173171</v>
      </c>
      <c r="AJ27" s="2">
        <f t="shared" si="47"/>
        <v>74798.367870122878</v>
      </c>
      <c r="AK27" s="2">
        <f t="shared" si="47"/>
        <v>92612.976685849659</v>
      </c>
      <c r="AL27" s="2">
        <f t="shared" si="47"/>
        <v>112658.89946197742</v>
      </c>
    </row>
    <row r="28" spans="1:361" s="3" customFormat="1" x14ac:dyDescent="0.2">
      <c r="A28" t="s">
        <v>46</v>
      </c>
      <c r="B28"/>
      <c r="C28"/>
      <c r="D28"/>
      <c r="E28"/>
      <c r="F28" s="6">
        <f>F3/B3-1</f>
        <v>5.0065282967898694E-2</v>
      </c>
      <c r="G28" s="6">
        <f t="shared" ref="G28:T28" si="48">G3/C3-1</f>
        <v>9.6284266402008933E-2</v>
      </c>
      <c r="H28" s="6">
        <f t="shared" si="48"/>
        <v>8.8908424471794367E-2</v>
      </c>
      <c r="I28" s="6">
        <f t="shared" si="48"/>
        <v>9.2725606692087181E-2</v>
      </c>
      <c r="J28" s="6">
        <f t="shared" si="48"/>
        <v>6.3099372579285218E-2</v>
      </c>
      <c r="K28" s="6">
        <f t="shared" si="48"/>
        <v>1.4361351914846887E-2</v>
      </c>
      <c r="L28" s="6">
        <f t="shared" si="48"/>
        <v>1.2903490647363958E-2</v>
      </c>
      <c r="M28" s="6">
        <f t="shared" si="48"/>
        <v>1.7298744860419824E-2</v>
      </c>
      <c r="N28" s="6">
        <f t="shared" si="48"/>
        <v>2.6215315121531635E-3</v>
      </c>
      <c r="O28" s="6">
        <f t="shared" si="48"/>
        <v>-9.0330083433625141E-3</v>
      </c>
      <c r="P28" s="6">
        <f t="shared" si="48"/>
        <v>-8.6053171944234785E-3</v>
      </c>
      <c r="Q28" s="6">
        <f t="shared" si="48"/>
        <v>-1.2218307518447102E-2</v>
      </c>
      <c r="R28" s="6">
        <f t="shared" si="48"/>
        <v>-2.42695664999526E-3</v>
      </c>
      <c r="S28" s="6">
        <f t="shared" si="48"/>
        <v>3.1207783524146215E-2</v>
      </c>
      <c r="T28" s="6">
        <f t="shared" si="48"/>
        <v>5.3606224535680758E-2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361" x14ac:dyDescent="0.2">
      <c r="A29" t="s">
        <v>45</v>
      </c>
      <c r="F29" s="6">
        <f>F4/B4-1</f>
        <v>0.38061210098255849</v>
      </c>
      <c r="G29" s="6">
        <f t="shared" ref="G29:T29" si="49">G4/C4-1</f>
        <v>0.39010603902416974</v>
      </c>
      <c r="H29" s="6">
        <f t="shared" si="49"/>
        <v>0.31437018266286554</v>
      </c>
      <c r="I29" s="6">
        <f t="shared" si="49"/>
        <v>0.28815326972845612</v>
      </c>
      <c r="J29" s="6">
        <f t="shared" si="49"/>
        <v>0.16641127796506283</v>
      </c>
      <c r="K29" s="6">
        <f t="shared" si="49"/>
        <v>0.11731698192996443</v>
      </c>
      <c r="L29" s="6">
        <f t="shared" si="49"/>
        <v>0.13267568522862372</v>
      </c>
      <c r="M29" s="6">
        <f t="shared" si="49"/>
        <v>0.11001829140304054</v>
      </c>
      <c r="N29" s="6">
        <f t="shared" si="49"/>
        <v>7.6268464996788632E-2</v>
      </c>
      <c r="O29" s="6">
        <f t="shared" si="49"/>
        <v>6.2157913124490483E-2</v>
      </c>
      <c r="P29" s="6">
        <f t="shared" si="49"/>
        <v>4.3035460992907781E-2</v>
      </c>
      <c r="Q29" s="6">
        <f t="shared" si="49"/>
        <v>3.6374196336917075E-2</v>
      </c>
      <c r="R29" s="6">
        <f t="shared" si="49"/>
        <v>4.9367311787123835E-2</v>
      </c>
      <c r="S29" s="6">
        <f t="shared" si="49"/>
        <v>9.3797110983197651E-2</v>
      </c>
      <c r="T29" s="6">
        <f t="shared" si="49"/>
        <v>0.13906492234884538</v>
      </c>
    </row>
    <row r="30" spans="1:361" x14ac:dyDescent="0.2">
      <c r="A30" t="s">
        <v>47</v>
      </c>
      <c r="F30" s="6">
        <f>F5/B5-1</f>
        <v>0.24579809053617452</v>
      </c>
      <c r="G30" s="6">
        <f t="shared" ref="G30:T30" si="50">G5/C5-1</f>
        <v>0.29322337755467909</v>
      </c>
      <c r="H30" s="6">
        <f t="shared" si="50"/>
        <v>0.23635125936010892</v>
      </c>
      <c r="I30" s="6">
        <f t="shared" si="50"/>
        <v>0.19479899417512803</v>
      </c>
      <c r="J30" s="6">
        <f t="shared" si="50"/>
        <v>0.10420187656623336</v>
      </c>
      <c r="K30" s="6">
        <f t="shared" si="50"/>
        <v>7.1808805589442137E-2</v>
      </c>
      <c r="L30" s="6">
        <f t="shared" si="50"/>
        <v>7.3339940535183334E-2</v>
      </c>
      <c r="M30" s="6">
        <f t="shared" si="50"/>
        <v>6.4576284732397404E-2</v>
      </c>
      <c r="N30" s="6">
        <f t="shared" si="50"/>
        <v>4.528421385971404E-2</v>
      </c>
      <c r="O30" s="6">
        <f t="shared" si="50"/>
        <v>2.4988359459878984E-2</v>
      </c>
      <c r="P30" s="6">
        <f t="shared" si="50"/>
        <v>2.4315173899661424E-2</v>
      </c>
      <c r="Q30" s="6">
        <f t="shared" si="50"/>
        <v>4.3492405094967657E-2</v>
      </c>
      <c r="R30" s="6">
        <f t="shared" si="50"/>
        <v>4.1378439787932431E-2</v>
      </c>
      <c r="S30" s="6">
        <f t="shared" si="50"/>
        <v>7.1825156470825657E-2</v>
      </c>
      <c r="T30" s="6">
        <f t="shared" si="50"/>
        <v>9.2873597756410353E-2</v>
      </c>
      <c r="W30">
        <f>12.75*25</f>
        <v>318.75</v>
      </c>
    </row>
    <row r="31" spans="1:361" x14ac:dyDescent="0.2">
      <c r="A31" t="s">
        <v>48</v>
      </c>
      <c r="F31" s="6">
        <f>F6/B6-1</f>
        <v>0.63372045136314958</v>
      </c>
      <c r="G31" s="6">
        <f t="shared" ref="G31:T31" si="51">G6/C6-1</f>
        <v>0.7379075876989647</v>
      </c>
      <c r="H31" s="6">
        <f t="shared" si="51"/>
        <v>0.62264411460131175</v>
      </c>
      <c r="I31" s="6">
        <f t="shared" si="51"/>
        <v>0.57038132199839842</v>
      </c>
      <c r="J31" s="6">
        <f t="shared" si="51"/>
        <v>0.35381900680615064</v>
      </c>
      <c r="K31" s="6">
        <f t="shared" si="51"/>
        <v>0.23932953939178381</v>
      </c>
      <c r="L31" s="6">
        <f t="shared" si="51"/>
        <v>0.27854833219877473</v>
      </c>
      <c r="M31" s="6">
        <f t="shared" si="51"/>
        <v>0.28008787070453467</v>
      </c>
      <c r="N31" s="6">
        <f t="shared" si="51"/>
        <v>0.25568837746248096</v>
      </c>
      <c r="O31" s="6">
        <f t="shared" si="51"/>
        <v>0.24839461883408065</v>
      </c>
      <c r="P31" s="6">
        <f t="shared" si="51"/>
        <v>0.20555056404113015</v>
      </c>
      <c r="Q31" s="6">
        <f t="shared" si="51"/>
        <v>0.16520593282667329</v>
      </c>
      <c r="R31" s="6">
        <f t="shared" si="51"/>
        <v>0.17079391441027303</v>
      </c>
      <c r="S31" s="6">
        <f t="shared" si="51"/>
        <v>0.16526336963705845</v>
      </c>
      <c r="T31" s="6">
        <f t="shared" si="51"/>
        <v>0.17111074307165719</v>
      </c>
    </row>
    <row r="32" spans="1:361" x14ac:dyDescent="0.2">
      <c r="A32" t="s">
        <v>49</v>
      </c>
      <c r="F32" s="6">
        <f>F7/B7-1</f>
        <v>0.2283508998206405</v>
      </c>
      <c r="G32" s="6">
        <f t="shared" ref="G32:T32" si="52">G7/C7-1</f>
        <v>0.27305657090827506</v>
      </c>
      <c r="H32" s="6">
        <f t="shared" si="52"/>
        <v>0.23252744198971786</v>
      </c>
      <c r="I32" s="6">
        <f t="shared" si="52"/>
        <v>0.2188820396193667</v>
      </c>
      <c r="J32" s="6">
        <f t="shared" si="52"/>
        <v>0.13553287833048966</v>
      </c>
      <c r="K32" s="6">
        <f t="shared" si="52"/>
        <v>8.4131911872172171E-2</v>
      </c>
      <c r="L32" s="6">
        <f t="shared" si="52"/>
        <v>9.434745402278244E-2</v>
      </c>
      <c r="M32" s="6">
        <f t="shared" si="52"/>
        <v>8.92700195911873E-2</v>
      </c>
      <c r="N32" s="6">
        <f t="shared" si="52"/>
        <v>6.7434345185634736E-2</v>
      </c>
      <c r="O32" s="6">
        <f t="shared" si="52"/>
        <v>5.4938330624342724E-2</v>
      </c>
      <c r="P32" s="6">
        <f t="shared" si="52"/>
        <v>4.4586374980684962E-2</v>
      </c>
      <c r="Q32" s="6">
        <f t="shared" si="52"/>
        <v>4.0131804330971299E-2</v>
      </c>
      <c r="R32" s="6">
        <f t="shared" si="52"/>
        <v>4.8984619271705165E-2</v>
      </c>
      <c r="S32" s="6">
        <f t="shared" si="52"/>
        <v>8.0336426914153103E-2</v>
      </c>
      <c r="T32" s="6">
        <f t="shared" si="52"/>
        <v>0.10788712822466762</v>
      </c>
      <c r="Z32" s="6">
        <f t="shared" ref="Z32:AA32" si="53">Z7/Y7-1</f>
        <v>0.2188820396193667</v>
      </c>
      <c r="AA32" s="6">
        <f t="shared" si="53"/>
        <v>8.92700195911873E-2</v>
      </c>
      <c r="AB32" s="6">
        <f>AB7/AA7-1</f>
        <v>4.0131804330971299E-2</v>
      </c>
      <c r="AC32" s="6">
        <f t="shared" ref="AC32:AL32" si="54">AC7/AB7-1</f>
        <v>8.0000000000000071E-2</v>
      </c>
      <c r="AD32" s="6">
        <f t="shared" si="54"/>
        <v>8.0000000000000071E-2</v>
      </c>
      <c r="AE32" s="6">
        <f t="shared" si="54"/>
        <v>8.0000000000000071E-2</v>
      </c>
      <c r="AF32" s="6">
        <f t="shared" si="54"/>
        <v>8.0000000000000071E-2</v>
      </c>
      <c r="AG32" s="6">
        <f t="shared" si="54"/>
        <v>8.0000000000000071E-2</v>
      </c>
      <c r="AH32" s="6">
        <f t="shared" si="54"/>
        <v>8.0000000000000071E-2</v>
      </c>
      <c r="AI32" s="6">
        <f t="shared" si="54"/>
        <v>8.0000000000000071E-2</v>
      </c>
      <c r="AJ32" s="6">
        <f t="shared" si="54"/>
        <v>8.0000000000000071E-2</v>
      </c>
      <c r="AK32" s="6">
        <f t="shared" si="54"/>
        <v>8.0000000000000071E-2</v>
      </c>
      <c r="AL32" s="6">
        <f t="shared" si="54"/>
        <v>8.0000000000000071E-2</v>
      </c>
    </row>
    <row r="33" spans="1:43" x14ac:dyDescent="0.2">
      <c r="F33" s="6"/>
      <c r="Y33" s="2"/>
      <c r="Z33" s="2"/>
    </row>
    <row r="35" spans="1:43" x14ac:dyDescent="0.2">
      <c r="A35" t="s">
        <v>50</v>
      </c>
      <c r="F35" s="6">
        <f>F10/B10-1</f>
        <v>0.27588495575221228</v>
      </c>
      <c r="G35" s="6">
        <f t="shared" ref="G35:T35" si="55">G10/C10-1</f>
        <v>0.24883201300020308</v>
      </c>
      <c r="H35" s="6">
        <f t="shared" si="55"/>
        <v>0.22711670480549206</v>
      </c>
      <c r="I35" s="6">
        <f t="shared" si="55"/>
        <v>0.21529175050301808</v>
      </c>
      <c r="J35" s="6">
        <f t="shared" si="55"/>
        <v>0.24206693254725153</v>
      </c>
      <c r="K35" s="6">
        <f t="shared" si="55"/>
        <v>0.19404684450227716</v>
      </c>
      <c r="L35" s="6">
        <f t="shared" si="55"/>
        <v>0.16285936285936287</v>
      </c>
      <c r="M35" s="6">
        <f t="shared" si="55"/>
        <v>0.1602950030102348</v>
      </c>
      <c r="N35" s="6">
        <f t="shared" si="55"/>
        <v>9.828284238447571E-2</v>
      </c>
      <c r="O35" s="6">
        <f t="shared" si="55"/>
        <v>8.5683149434681916E-2</v>
      </c>
      <c r="P35" s="6">
        <f t="shared" si="55"/>
        <v>5.9067219029800944E-2</v>
      </c>
      <c r="Q35" s="6">
        <f t="shared" si="55"/>
        <v>1.8549747048903775E-2</v>
      </c>
      <c r="R35" s="6">
        <f t="shared" si="55"/>
        <v>3.7371297826363392E-2</v>
      </c>
      <c r="S35" s="6">
        <f t="shared" si="55"/>
        <v>2.7227101631116746E-2</v>
      </c>
      <c r="T35" s="6">
        <f t="shared" si="55"/>
        <v>7.7728706624605737E-2</v>
      </c>
      <c r="Y35" s="6">
        <f t="shared" ref="Y35:AA35" si="56">Y10/X10-1</f>
        <v>0.27618082816259348</v>
      </c>
      <c r="Z35" s="6">
        <f t="shared" si="56"/>
        <v>0.2401270093272474</v>
      </c>
      <c r="AA35" s="6">
        <f t="shared" si="56"/>
        <v>0.18807009121459428</v>
      </c>
      <c r="AB35" s="6">
        <f>AB10/AA10-1</f>
        <v>6.4585648381991545E-2</v>
      </c>
      <c r="AC35" s="6">
        <f t="shared" ref="AC35:AL35" si="57">AC10/AB10-1</f>
        <v>0.19545148847319305</v>
      </c>
      <c r="AD35" s="6">
        <f t="shared" si="57"/>
        <v>0.123033931609279</v>
      </c>
      <c r="AE35" s="6">
        <f t="shared" si="57"/>
        <v>0.12138489927140594</v>
      </c>
      <c r="AF35" s="6">
        <f t="shared" si="57"/>
        <v>0.11985758256791113</v>
      </c>
      <c r="AG35" s="6">
        <f t="shared" si="57"/>
        <v>0.11843898531689701</v>
      </c>
      <c r="AH35" s="6">
        <f t="shared" si="57"/>
        <v>0.1171178979696299</v>
      </c>
      <c r="AI35" s="6">
        <f t="shared" si="57"/>
        <v>0.11588460079286134</v>
      </c>
      <c r="AJ35" s="6">
        <f t="shared" si="57"/>
        <v>0.11473062432150538</v>
      </c>
      <c r="AK35" s="6">
        <f t="shared" si="57"/>
        <v>0.11364855459143453</v>
      </c>
      <c r="AL35" s="6">
        <f t="shared" si="57"/>
        <v>0.11263187368126326</v>
      </c>
    </row>
    <row r="36" spans="1:43" x14ac:dyDescent="0.2">
      <c r="A36" t="s">
        <v>51</v>
      </c>
      <c r="F36" s="6">
        <f>F11/B11-1</f>
        <v>0.25400696864111505</v>
      </c>
      <c r="G36" s="6">
        <f t="shared" ref="G36:T36" si="58">G11/C11-1</f>
        <v>0.21231281198003327</v>
      </c>
      <c r="H36" s="6">
        <f t="shared" si="58"/>
        <v>0.24862770422989988</v>
      </c>
      <c r="I36" s="6">
        <f t="shared" si="58"/>
        <v>0.20167339873052503</v>
      </c>
      <c r="J36" s="6">
        <f t="shared" si="58"/>
        <v>7.4742984162267323E-2</v>
      </c>
      <c r="K36" s="6">
        <f t="shared" si="58"/>
        <v>0.10293713972001095</v>
      </c>
      <c r="L36" s="6">
        <f t="shared" si="58"/>
        <v>8.7664856477889908E-2</v>
      </c>
      <c r="M36" s="6">
        <f t="shared" si="58"/>
        <v>0.25786314525810328</v>
      </c>
      <c r="N36" s="6">
        <f t="shared" si="58"/>
        <v>0.10754912099276104</v>
      </c>
      <c r="O36" s="6">
        <f t="shared" si="58"/>
        <v>0.16724738675958184</v>
      </c>
      <c r="P36" s="6">
        <f t="shared" si="58"/>
        <v>0.13837375178316691</v>
      </c>
      <c r="Q36" s="6">
        <f t="shared" si="58"/>
        <v>3.1494560030540075E-2</v>
      </c>
      <c r="R36" s="6">
        <f t="shared" si="58"/>
        <v>0.12114845938375352</v>
      </c>
      <c r="S36" s="6">
        <f t="shared" si="58"/>
        <v>-3.6247334754797578E-3</v>
      </c>
      <c r="T36" s="6">
        <f t="shared" si="58"/>
        <v>2.965747702589816E-2</v>
      </c>
      <c r="Y36" s="6">
        <f t="shared" ref="Y36:AA36" si="59">Y11/X11-1</f>
        <v>0.24811879201364495</v>
      </c>
      <c r="Z36" s="6">
        <f t="shared" si="59"/>
        <v>0.22797427652733115</v>
      </c>
      <c r="AA36" s="6">
        <f t="shared" si="59"/>
        <v>0.13459020686043477</v>
      </c>
      <c r="AB36" s="6">
        <f>AB11/AA11-1</f>
        <v>0.1059312254788829</v>
      </c>
      <c r="AC36" s="6">
        <f t="shared" ref="AC36:AL36" si="60">AC11/AB11-1</f>
        <v>0.16332310605004174</v>
      </c>
      <c r="AD36" s="6">
        <f t="shared" si="60"/>
        <v>0.123033931609279</v>
      </c>
      <c r="AE36" s="6">
        <f t="shared" si="60"/>
        <v>0.12138489927140594</v>
      </c>
      <c r="AF36" s="6">
        <f t="shared" si="60"/>
        <v>0.11985758256791113</v>
      </c>
      <c r="AG36" s="6">
        <f t="shared" si="60"/>
        <v>0.11843898531689701</v>
      </c>
      <c r="AH36" s="6">
        <f t="shared" si="60"/>
        <v>0.1171178979696299</v>
      </c>
      <c r="AI36" s="6">
        <f t="shared" si="60"/>
        <v>0.11588460079286111</v>
      </c>
      <c r="AJ36" s="6">
        <f t="shared" si="60"/>
        <v>0.11473062432150538</v>
      </c>
      <c r="AK36" s="6">
        <f t="shared" si="60"/>
        <v>0.1136485545914343</v>
      </c>
      <c r="AL36" s="6">
        <f t="shared" si="60"/>
        <v>0.11263187368126326</v>
      </c>
    </row>
    <row r="37" spans="1:43" x14ac:dyDescent="0.2">
      <c r="AP37" t="s">
        <v>57</v>
      </c>
      <c r="AQ37" s="6">
        <v>0.03</v>
      </c>
    </row>
    <row r="38" spans="1:43" x14ac:dyDescent="0.2">
      <c r="A38" t="s">
        <v>52</v>
      </c>
      <c r="B38" s="6">
        <f t="shared" ref="B38:E38" si="61">B12/B10</f>
        <v>0.36504424778761063</v>
      </c>
      <c r="C38" s="6">
        <f t="shared" si="61"/>
        <v>0.38959983749746091</v>
      </c>
      <c r="D38" s="6">
        <f t="shared" si="61"/>
        <v>0.40942028985507245</v>
      </c>
      <c r="E38" s="6">
        <f t="shared" si="61"/>
        <v>0.36601426742271814</v>
      </c>
      <c r="F38" s="6">
        <f>F12/F10</f>
        <v>0.37593202705045953</v>
      </c>
      <c r="G38" s="6">
        <f t="shared" ref="G38:R38" si="62">G12/G10</f>
        <v>0.40744957709824331</v>
      </c>
      <c r="H38" s="6">
        <f t="shared" si="62"/>
        <v>0.39906759906759909</v>
      </c>
      <c r="I38" s="6">
        <f t="shared" si="62"/>
        <v>0.37311860325105356</v>
      </c>
      <c r="J38" s="6">
        <f t="shared" si="62"/>
        <v>0.4600027921262041</v>
      </c>
      <c r="K38" s="6">
        <f t="shared" si="62"/>
        <v>0.45266312491486171</v>
      </c>
      <c r="L38" s="6">
        <f t="shared" si="62"/>
        <v>0.43792596552184954</v>
      </c>
      <c r="M38" s="6">
        <f t="shared" si="62"/>
        <v>0.32040472175379425</v>
      </c>
      <c r="N38" s="6">
        <f t="shared" si="62"/>
        <v>0.45544680310156349</v>
      </c>
      <c r="O38" s="6">
        <f t="shared" si="62"/>
        <v>0.41154328732747802</v>
      </c>
      <c r="P38" s="6">
        <f t="shared" si="62"/>
        <v>0.39583596214511041</v>
      </c>
      <c r="Q38" s="6">
        <f t="shared" si="62"/>
        <v>0.3117677024961793</v>
      </c>
      <c r="R38" s="6">
        <f t="shared" si="62"/>
        <v>0.41146918269819877</v>
      </c>
      <c r="S38" s="6">
        <f t="shared" ref="S38:T38" si="63">S12/S10</f>
        <v>0.42921705142298766</v>
      </c>
      <c r="T38" s="6">
        <f t="shared" si="63"/>
        <v>0.42278421730476523</v>
      </c>
      <c r="X38" s="6">
        <f t="shared" ref="X38:AB38" si="64">X12/X10</f>
        <v>0.36893757122958087</v>
      </c>
      <c r="Y38" s="6">
        <f t="shared" si="64"/>
        <v>0.38281405040682676</v>
      </c>
      <c r="Z38" s="6">
        <f t="shared" si="64"/>
        <v>0.3888622179548728</v>
      </c>
      <c r="AA38" s="6">
        <f t="shared" si="64"/>
        <v>0.41637202411017948</v>
      </c>
      <c r="AB38" s="6">
        <f t="shared" si="64"/>
        <v>0.39370551953186778</v>
      </c>
      <c r="AC38" s="6">
        <f t="shared" ref="AC38:AL38" si="65">AC12/AC10</f>
        <v>0.41</v>
      </c>
      <c r="AD38" s="6">
        <f t="shared" si="65"/>
        <v>0.41</v>
      </c>
      <c r="AE38" s="6">
        <f t="shared" si="65"/>
        <v>0.40999999999999992</v>
      </c>
      <c r="AF38" s="6">
        <f t="shared" si="65"/>
        <v>0.41</v>
      </c>
      <c r="AG38" s="6">
        <f t="shared" si="65"/>
        <v>0.41</v>
      </c>
      <c r="AH38" s="6">
        <f t="shared" si="65"/>
        <v>0.41</v>
      </c>
      <c r="AI38" s="6">
        <f t="shared" si="65"/>
        <v>0.41</v>
      </c>
      <c r="AJ38" s="6">
        <f t="shared" si="65"/>
        <v>0.41</v>
      </c>
      <c r="AK38" s="6">
        <f t="shared" si="65"/>
        <v>0.41000000000000003</v>
      </c>
      <c r="AL38" s="6">
        <f t="shared" si="65"/>
        <v>0.41</v>
      </c>
      <c r="AP38" t="s">
        <v>56</v>
      </c>
      <c r="AQ38" s="6">
        <v>0.08</v>
      </c>
    </row>
    <row r="39" spans="1:43" x14ac:dyDescent="0.2">
      <c r="A39" t="s">
        <v>53</v>
      </c>
      <c r="B39" s="6">
        <f t="shared" ref="B39:E39" si="66">B17/B10</f>
        <v>0.10199115044247788</v>
      </c>
      <c r="C39" s="6">
        <f t="shared" si="66"/>
        <v>0.14381474710542352</v>
      </c>
      <c r="D39" s="6">
        <f t="shared" si="66"/>
        <v>0.18726163234172388</v>
      </c>
      <c r="E39" s="6">
        <f t="shared" si="66"/>
        <v>8.4141210901774288E-2</v>
      </c>
      <c r="F39" s="6">
        <f>F17/F10</f>
        <v>0.16646436622160568</v>
      </c>
      <c r="G39" s="6">
        <f t="shared" ref="G39:R39" si="67">G17/G10</f>
        <v>0.22104749512036434</v>
      </c>
      <c r="H39" s="6">
        <f t="shared" si="67"/>
        <v>0.20466200466200465</v>
      </c>
      <c r="I39" s="6">
        <f t="shared" si="67"/>
        <v>0.14388922335942203</v>
      </c>
      <c r="J39" s="6">
        <f t="shared" si="67"/>
        <v>0.27376797431243893</v>
      </c>
      <c r="K39" s="6">
        <f t="shared" si="67"/>
        <v>0.25187304181991554</v>
      </c>
      <c r="L39" s="6">
        <f t="shared" si="67"/>
        <v>0.23493251369771481</v>
      </c>
      <c r="M39" s="6">
        <f t="shared" si="67"/>
        <v>8.2241535867168244E-2</v>
      </c>
      <c r="N39" s="6">
        <f t="shared" si="67"/>
        <v>0.25092157111986779</v>
      </c>
      <c r="O39" s="6">
        <f t="shared" si="67"/>
        <v>0.19836888331242158</v>
      </c>
      <c r="P39" s="6">
        <f t="shared" si="67"/>
        <v>0.19369085173501577</v>
      </c>
      <c r="Q39" s="6">
        <f t="shared" si="67"/>
        <v>7.0300560366785531E-2</v>
      </c>
      <c r="R39" s="6">
        <f t="shared" si="67"/>
        <v>0.21026834946697709</v>
      </c>
      <c r="S39" s="6">
        <f t="shared" ref="S39:T39" si="68">S17/S10</f>
        <v>0.22328081104189568</v>
      </c>
      <c r="T39" s="6">
        <f t="shared" si="68"/>
        <v>0.22456386839948483</v>
      </c>
      <c r="X39" s="6">
        <f t="shared" ref="X39:AB39" si="69">X17/X10</f>
        <v>0.10174749905027225</v>
      </c>
      <c r="Y39" s="6">
        <f t="shared" si="69"/>
        <v>0.12919230005953561</v>
      </c>
      <c r="Z39" s="6">
        <f t="shared" si="69"/>
        <v>0.18350936149783967</v>
      </c>
      <c r="AA39" s="6">
        <f t="shared" si="69"/>
        <v>0.20864060342795568</v>
      </c>
      <c r="AB39" s="6">
        <f t="shared" si="69"/>
        <v>0.17820654752490905</v>
      </c>
      <c r="AC39" s="6">
        <f t="shared" ref="AC39:AL39" si="70">AC17/AC10</f>
        <v>0.2</v>
      </c>
      <c r="AD39" s="6">
        <f t="shared" si="70"/>
        <v>0.24000000000000002</v>
      </c>
      <c r="AE39" s="6">
        <f t="shared" si="70"/>
        <v>0.23999999999999996</v>
      </c>
      <c r="AF39" s="6">
        <f t="shared" si="70"/>
        <v>0.24</v>
      </c>
      <c r="AG39" s="6">
        <f t="shared" si="70"/>
        <v>0.24</v>
      </c>
      <c r="AH39" s="6">
        <f t="shared" si="70"/>
        <v>0.24</v>
      </c>
      <c r="AI39" s="6">
        <f t="shared" si="70"/>
        <v>0.24000000000000002</v>
      </c>
      <c r="AJ39" s="6">
        <f t="shared" si="70"/>
        <v>0.23999999999999996</v>
      </c>
      <c r="AK39" s="6">
        <f t="shared" si="70"/>
        <v>0.23999999999999996</v>
      </c>
      <c r="AL39" s="6">
        <f t="shared" si="70"/>
        <v>0.24</v>
      </c>
      <c r="AP39" t="s">
        <v>77</v>
      </c>
      <c r="AQ39" s="6">
        <v>-0.01</v>
      </c>
    </row>
    <row r="40" spans="1:43" x14ac:dyDescent="0.2">
      <c r="A40" t="s">
        <v>54</v>
      </c>
      <c r="B40" s="6">
        <f t="shared" ref="B40:E40" si="71">B22/B10</f>
        <v>7.6769911504424776E-2</v>
      </c>
      <c r="C40" s="6">
        <f t="shared" si="71"/>
        <v>5.5453991468616695E-2</v>
      </c>
      <c r="D40" s="6">
        <f t="shared" si="71"/>
        <v>0.12719298245614036</v>
      </c>
      <c r="E40" s="6">
        <f t="shared" si="71"/>
        <v>0.10773733308944576</v>
      </c>
      <c r="F40" s="6">
        <f>F22/F10</f>
        <v>0.12328767123287671</v>
      </c>
      <c r="G40" s="6">
        <f t="shared" ref="G40:R40" si="72">G22/G10</f>
        <v>0.11743656473649967</v>
      </c>
      <c r="H40" s="6">
        <f t="shared" si="72"/>
        <v>0.12323232323232323</v>
      </c>
      <c r="I40" s="6">
        <f t="shared" si="72"/>
        <v>8.187838651414811E-2</v>
      </c>
      <c r="J40" s="6">
        <f t="shared" si="72"/>
        <v>0.23858718414072316</v>
      </c>
      <c r="K40" s="6">
        <f t="shared" si="72"/>
        <v>0.18471597874948917</v>
      </c>
      <c r="L40" s="6">
        <f t="shared" si="72"/>
        <v>0.19283709742082053</v>
      </c>
      <c r="M40" s="6">
        <f t="shared" si="72"/>
        <v>7.899857309638085E-2</v>
      </c>
      <c r="N40" s="6">
        <f t="shared" si="72"/>
        <v>0.20338121266048048</v>
      </c>
      <c r="O40" s="6">
        <f t="shared" si="72"/>
        <v>0.18117942283563362</v>
      </c>
      <c r="P40" s="6">
        <f t="shared" si="72"/>
        <v>0.17678233438485805</v>
      </c>
      <c r="Q40" s="6">
        <f t="shared" si="72"/>
        <v>7.3866530820173209E-3</v>
      </c>
      <c r="R40" s="6">
        <f t="shared" si="72"/>
        <v>0.16027447616713639</v>
      </c>
      <c r="S40" s="6">
        <f t="shared" ref="S40:T40" si="73">S22/S10</f>
        <v>0.18186148772444119</v>
      </c>
      <c r="T40" s="6">
        <f t="shared" si="73"/>
        <v>0.19669827889005972</v>
      </c>
      <c r="X40" s="6">
        <f t="shared" ref="X40:AB40" si="74">X22/X10</f>
        <v>7.6801316955805998E-2</v>
      </c>
      <c r="Y40" s="6">
        <f t="shared" si="74"/>
        <v>9.2627505457432036E-2</v>
      </c>
      <c r="Z40" s="6">
        <f t="shared" si="74"/>
        <v>0.11061769883181309</v>
      </c>
      <c r="AA40" s="6">
        <f t="shared" si="74"/>
        <v>0.17237431390376132</v>
      </c>
      <c r="AB40" s="6">
        <f t="shared" si="74"/>
        <v>0.14211608413727661</v>
      </c>
      <c r="AC40" s="6">
        <f t="shared" ref="AC40:AL40" si="75">AC22/AC10</f>
        <v>0.15978811563010861</v>
      </c>
      <c r="AD40" s="6">
        <f t="shared" si="75"/>
        <v>0.195082391258348</v>
      </c>
      <c r="AE40" s="6">
        <f t="shared" si="75"/>
        <v>0.2017135210755511</v>
      </c>
      <c r="AF40" s="6">
        <f t="shared" si="75"/>
        <v>0.20424958322983863</v>
      </c>
      <c r="AG40" s="6">
        <f t="shared" si="75"/>
        <v>0.20674835087109777</v>
      </c>
      <c r="AH40" s="6">
        <f t="shared" si="75"/>
        <v>0.20983855736581986</v>
      </c>
      <c r="AI40" s="6">
        <f t="shared" si="75"/>
        <v>0.2127377264470206</v>
      </c>
      <c r="AJ40" s="6">
        <f t="shared" si="75"/>
        <v>0.21505039603322496</v>
      </c>
      <c r="AK40" s="6">
        <f t="shared" si="75"/>
        <v>0.21729105655622916</v>
      </c>
      <c r="AL40" s="6">
        <f t="shared" si="75"/>
        <v>0.21945646564911178</v>
      </c>
      <c r="AP40" t="s">
        <v>58</v>
      </c>
      <c r="AQ40" s="8">
        <f>NPV(AQ38,AC22:MW22)</f>
        <v>199592.4596607938</v>
      </c>
    </row>
    <row r="41" spans="1:43" x14ac:dyDescent="0.2">
      <c r="AP41" t="s">
        <v>59</v>
      </c>
      <c r="AQ41" s="7">
        <f>AQ40/Main!J2</f>
        <v>456.02475709548281</v>
      </c>
    </row>
    <row r="42" spans="1:43" x14ac:dyDescent="0.2">
      <c r="A42" t="s">
        <v>55</v>
      </c>
      <c r="B42" s="6">
        <f>B21/B20</f>
        <v>0.13681592039800994</v>
      </c>
      <c r="C42" s="6">
        <f t="shared" ref="C42:AB42" si="76">C21/C20</f>
        <v>0.45725646123260438</v>
      </c>
      <c r="D42" s="6">
        <f t="shared" si="76"/>
        <v>0.34220907297830377</v>
      </c>
      <c r="E42" s="6">
        <f t="shared" si="76"/>
        <v>-2.875</v>
      </c>
      <c r="F42" s="6">
        <f t="shared" si="76"/>
        <v>0.10790464240903387</v>
      </c>
      <c r="G42" s="6">
        <f t="shared" si="76"/>
        <v>0.3037608486017358</v>
      </c>
      <c r="H42" s="6">
        <f t="shared" si="76"/>
        <v>8.217592592592593E-2</v>
      </c>
      <c r="I42" s="6">
        <f t="shared" si="76"/>
        <v>-6.8762278978389005E-2</v>
      </c>
      <c r="J42" s="6">
        <f t="shared" si="76"/>
        <v>0.16060903732809431</v>
      </c>
      <c r="K42" s="6">
        <f t="shared" si="76"/>
        <v>0.15037593984962405</v>
      </c>
      <c r="L42" s="6">
        <f t="shared" si="76"/>
        <v>0.1328125</v>
      </c>
      <c r="M42" s="6">
        <f t="shared" si="76"/>
        <v>-0.10126582278481013</v>
      </c>
      <c r="N42" s="6">
        <f t="shared" si="76"/>
        <v>0.1927346115035318</v>
      </c>
      <c r="O42" s="6">
        <f t="shared" si="76"/>
        <v>0.11193111931119311</v>
      </c>
      <c r="P42" s="6">
        <f t="shared" si="76"/>
        <v>0.1373152709359606</v>
      </c>
      <c r="Q42" s="6">
        <f t="shared" si="76"/>
        <v>-0.34883720930232559</v>
      </c>
      <c r="R42" s="6">
        <f t="shared" si="76"/>
        <v>0.11080897348742352</v>
      </c>
      <c r="S42" s="6">
        <f t="shared" si="76"/>
        <v>0.11422452257719079</v>
      </c>
      <c r="T42" s="6">
        <f t="shared" si="76"/>
        <v>0.12087912087912088</v>
      </c>
      <c r="U42" s="6"/>
      <c r="V42" s="6"/>
      <c r="W42" s="6"/>
      <c r="X42" s="6">
        <f>X21/X20</f>
        <v>1.2214983713355049E-2</v>
      </c>
      <c r="Y42" s="6">
        <f t="shared" si="76"/>
        <v>9.4568380213385067E-2</v>
      </c>
      <c r="Z42" s="6">
        <f t="shared" si="76"/>
        <v>0.13647720174890693</v>
      </c>
      <c r="AA42" s="6">
        <f t="shared" si="76"/>
        <v>0.12375898664840808</v>
      </c>
      <c r="AB42" s="6">
        <f t="shared" si="76"/>
        <v>0.14662867996201329</v>
      </c>
      <c r="AC42" s="6">
        <f t="shared" ref="AC42:AL42" si="77">AC21/AC20</f>
        <v>0.2</v>
      </c>
      <c r="AD42" s="6">
        <f t="shared" si="77"/>
        <v>0.20000000000000004</v>
      </c>
      <c r="AE42" s="6">
        <f t="shared" si="77"/>
        <v>0.19999999999999998</v>
      </c>
      <c r="AF42" s="6">
        <f t="shared" si="77"/>
        <v>0.2</v>
      </c>
      <c r="AG42" s="6">
        <f t="shared" si="77"/>
        <v>0.2</v>
      </c>
      <c r="AH42" s="6">
        <f t="shared" si="77"/>
        <v>0.2</v>
      </c>
      <c r="AI42" s="6">
        <f t="shared" si="77"/>
        <v>0.2</v>
      </c>
      <c r="AJ42" s="6">
        <f t="shared" si="77"/>
        <v>0.19999999999999998</v>
      </c>
      <c r="AK42" s="6">
        <f t="shared" si="77"/>
        <v>0.20000000000000004</v>
      </c>
      <c r="AL42" s="6">
        <f t="shared" si="77"/>
        <v>0.2</v>
      </c>
      <c r="AP42" t="s">
        <v>60</v>
      </c>
      <c r="AQ42" s="6">
        <f>AQ41/Main!J1-1</f>
        <v>-5.5751615911620589E-2</v>
      </c>
    </row>
    <row r="46" spans="1:43" x14ac:dyDescent="0.2">
      <c r="A46" t="s">
        <v>5</v>
      </c>
      <c r="N46" s="2">
        <f>5147+911</f>
        <v>6058</v>
      </c>
      <c r="Q46" s="2"/>
      <c r="R46" s="2">
        <f>6714+1112</f>
        <v>7826</v>
      </c>
    </row>
    <row r="47" spans="1:43" x14ac:dyDescent="0.2">
      <c r="A47" t="s">
        <v>61</v>
      </c>
      <c r="N47" s="2">
        <v>3208</v>
      </c>
      <c r="Q47" s="2"/>
      <c r="R47" s="2">
        <v>2655</v>
      </c>
    </row>
    <row r="48" spans="1:43" x14ac:dyDescent="0.2">
      <c r="A48" t="s">
        <v>64</v>
      </c>
      <c r="N48" s="2">
        <f>N46+N47</f>
        <v>9266</v>
      </c>
      <c r="Q48" s="2"/>
      <c r="R48" s="2">
        <f>R46+R47</f>
        <v>10481</v>
      </c>
    </row>
    <row r="49" spans="1:42" x14ac:dyDescent="0.2">
      <c r="A49" t="s">
        <v>63</v>
      </c>
      <c r="N49" s="2">
        <v>32736</v>
      </c>
      <c r="Q49" s="2"/>
      <c r="R49" s="2">
        <v>32349</v>
      </c>
      <c r="V49" s="2"/>
      <c r="AH49" s="6"/>
      <c r="AI49" s="6"/>
      <c r="AJ49" s="6"/>
      <c r="AK49" s="6"/>
      <c r="AL49" s="6"/>
      <c r="AM49" s="6"/>
    </row>
    <row r="50" spans="1:42" x14ac:dyDescent="0.2">
      <c r="A50" t="s">
        <v>65</v>
      </c>
      <c r="N50" s="2">
        <v>1398</v>
      </c>
      <c r="Q50" s="2"/>
      <c r="R50" s="2">
        <v>1413</v>
      </c>
      <c r="AE50" t="s">
        <v>80</v>
      </c>
      <c r="AF50" t="s">
        <v>53</v>
      </c>
      <c r="AH50" s="6">
        <v>0.21</v>
      </c>
      <c r="AI50" s="6">
        <v>0.21</v>
      </c>
      <c r="AJ50" s="6">
        <v>0.21</v>
      </c>
      <c r="AK50" s="6">
        <v>0.18</v>
      </c>
      <c r="AL50" s="6">
        <v>0.18</v>
      </c>
      <c r="AM50" s="6">
        <v>0.18</v>
      </c>
      <c r="AN50" s="6">
        <v>0.15</v>
      </c>
      <c r="AO50" s="6">
        <v>0.15</v>
      </c>
      <c r="AP50" s="6">
        <v>0.15</v>
      </c>
    </row>
    <row r="51" spans="1:42" x14ac:dyDescent="0.2">
      <c r="A51" t="s">
        <v>61</v>
      </c>
      <c r="N51" s="2">
        <v>5193</v>
      </c>
      <c r="Q51" s="2"/>
      <c r="R51" s="2">
        <v>5245</v>
      </c>
      <c r="AF51" t="s">
        <v>78</v>
      </c>
      <c r="AH51" s="6">
        <v>0.15</v>
      </c>
      <c r="AI51" s="6">
        <v>0.1</v>
      </c>
      <c r="AJ51" s="6">
        <v>0.08</v>
      </c>
      <c r="AK51" s="6">
        <v>0.15</v>
      </c>
      <c r="AL51" s="6">
        <v>0.1</v>
      </c>
      <c r="AM51" s="6">
        <v>0.08</v>
      </c>
      <c r="AN51" s="6">
        <v>0.15</v>
      </c>
      <c r="AO51" s="6">
        <v>0.1</v>
      </c>
      <c r="AP51" s="6">
        <v>0.08</v>
      </c>
    </row>
    <row r="52" spans="1:42" s="3" customFormat="1" x14ac:dyDescent="0.2">
      <c r="A52" s="3" t="s">
        <v>62</v>
      </c>
      <c r="N52" s="5">
        <f>SUM(N48:N51)</f>
        <v>48593</v>
      </c>
      <c r="Q52" s="5"/>
      <c r="R52" s="5">
        <f>SUM(R48:R51)</f>
        <v>49488</v>
      </c>
      <c r="AF52" s="3" t="s">
        <v>79</v>
      </c>
      <c r="AH52" s="9">
        <v>515</v>
      </c>
      <c r="AI52" s="10">
        <v>364</v>
      </c>
      <c r="AJ52" s="11">
        <v>317</v>
      </c>
      <c r="AK52" s="9">
        <v>442</v>
      </c>
      <c r="AL52" s="11">
        <v>312</v>
      </c>
      <c r="AM52" s="11">
        <v>272</v>
      </c>
      <c r="AN52" s="10">
        <v>368</v>
      </c>
      <c r="AO52" s="11">
        <v>260</v>
      </c>
      <c r="AP52" s="11">
        <v>227</v>
      </c>
    </row>
    <row r="54" spans="1:42" x14ac:dyDescent="0.2">
      <c r="A54" t="s">
        <v>66</v>
      </c>
      <c r="R54" s="2">
        <v>4344</v>
      </c>
      <c r="AG54" t="s">
        <v>81</v>
      </c>
      <c r="AH54" s="12">
        <f>2/9</f>
        <v>0.22222222222222221</v>
      </c>
    </row>
    <row r="55" spans="1:42" x14ac:dyDescent="0.2">
      <c r="A55" t="s">
        <v>67</v>
      </c>
      <c r="R55" s="2">
        <v>591</v>
      </c>
      <c r="AG55" t="s">
        <v>82</v>
      </c>
      <c r="AH55" s="12">
        <f>2/9</f>
        <v>0.22222222222222221</v>
      </c>
    </row>
    <row r="56" spans="1:42" x14ac:dyDescent="0.2">
      <c r="A56" t="s">
        <v>68</v>
      </c>
      <c r="R56" s="2">
        <v>1718</v>
      </c>
      <c r="AG56" t="s">
        <v>83</v>
      </c>
      <c r="AH56" s="12">
        <f>5/9</f>
        <v>0.55555555555555558</v>
      </c>
    </row>
    <row r="57" spans="1:42" x14ac:dyDescent="0.2">
      <c r="A57" t="s">
        <v>69</v>
      </c>
      <c r="R57" s="2">
        <v>1262</v>
      </c>
    </row>
    <row r="58" spans="1:42" x14ac:dyDescent="0.2">
      <c r="A58" t="s">
        <v>70</v>
      </c>
      <c r="R58" s="2">
        <v>399</v>
      </c>
      <c r="AK58">
        <f>364+312</f>
        <v>676</v>
      </c>
    </row>
    <row r="59" spans="1:42" x14ac:dyDescent="0.2">
      <c r="A59" t="s">
        <v>71</v>
      </c>
      <c r="R59" s="2">
        <f>SUM(R54:R58)</f>
        <v>8314</v>
      </c>
      <c r="AK59">
        <f>AK58/2</f>
        <v>338</v>
      </c>
    </row>
    <row r="60" spans="1:42" x14ac:dyDescent="0.2">
      <c r="A60" t="s">
        <v>75</v>
      </c>
      <c r="R60" s="2">
        <v>2908</v>
      </c>
    </row>
    <row r="61" spans="1:42" x14ac:dyDescent="0.2">
      <c r="A61" t="s">
        <v>74</v>
      </c>
      <c r="R61" s="2">
        <v>14037</v>
      </c>
    </row>
    <row r="62" spans="1:42" x14ac:dyDescent="0.2">
      <c r="A62" t="s">
        <v>73</v>
      </c>
      <c r="R62" s="2">
        <v>2400</v>
      </c>
    </row>
    <row r="63" spans="1:42" s="3" customFormat="1" x14ac:dyDescent="0.2">
      <c r="A63" s="3" t="s">
        <v>72</v>
      </c>
      <c r="R63" s="5">
        <f>SUM(R59:R62)</f>
        <v>27659</v>
      </c>
    </row>
    <row r="64" spans="1:42" x14ac:dyDescent="0.2">
      <c r="V64">
        <v>231</v>
      </c>
    </row>
    <row r="96" spans="4:21" x14ac:dyDescent="0.2">
      <c r="D96" t="s">
        <v>8</v>
      </c>
      <c r="E96" t="s">
        <v>9</v>
      </c>
      <c r="F96" t="s">
        <v>10</v>
      </c>
      <c r="G96" t="s">
        <v>11</v>
      </c>
      <c r="H96" t="s">
        <v>12</v>
      </c>
      <c r="I96" t="s">
        <v>13</v>
      </c>
      <c r="J96" t="s">
        <v>14</v>
      </c>
      <c r="K96" t="s">
        <v>15</v>
      </c>
      <c r="L96" t="s">
        <v>16</v>
      </c>
      <c r="M96" t="s">
        <v>21</v>
      </c>
      <c r="N96" t="s">
        <v>22</v>
      </c>
      <c r="O96" t="s">
        <v>23</v>
      </c>
      <c r="P96" t="s">
        <v>24</v>
      </c>
      <c r="Q96" t="s">
        <v>17</v>
      </c>
      <c r="R96" t="s">
        <v>18</v>
      </c>
      <c r="S96" t="s">
        <v>19</v>
      </c>
      <c r="T96" t="s">
        <v>20</v>
      </c>
      <c r="U96" t="s">
        <v>85</v>
      </c>
    </row>
    <row r="97" spans="3:21" x14ac:dyDescent="0.2">
      <c r="C97" t="s">
        <v>40</v>
      </c>
      <c r="D97" s="2">
        <v>66633</v>
      </c>
      <c r="E97" s="2">
        <v>66501</v>
      </c>
      <c r="F97" s="2">
        <v>67114</v>
      </c>
      <c r="G97" s="2">
        <v>67662</v>
      </c>
      <c r="H97" s="2">
        <v>69969</v>
      </c>
      <c r="I97" s="2">
        <v>72904</v>
      </c>
      <c r="J97" s="2">
        <v>73081</v>
      </c>
      <c r="K97" s="2">
        <v>73936</v>
      </c>
      <c r="L97" s="2">
        <v>74384</v>
      </c>
      <c r="M97" s="2">
        <v>73951</v>
      </c>
      <c r="N97" s="2">
        <v>74024</v>
      </c>
      <c r="O97" s="2">
        <v>75215</v>
      </c>
      <c r="P97" s="2">
        <v>74579</v>
      </c>
      <c r="Q97" s="2">
        <v>73283</v>
      </c>
      <c r="R97" s="2">
        <v>73387</v>
      </c>
      <c r="S97" s="2">
        <v>74296</v>
      </c>
      <c r="T97" s="2">
        <v>74398</v>
      </c>
      <c r="U97" s="2">
        <v>75570</v>
      </c>
    </row>
    <row r="98" spans="3:21" x14ac:dyDescent="0.2">
      <c r="C98" t="s">
        <v>41</v>
      </c>
      <c r="D98" s="2">
        <v>42542</v>
      </c>
      <c r="E98" s="2">
        <v>44229</v>
      </c>
      <c r="F98" s="2">
        <v>47355</v>
      </c>
      <c r="G98" s="2">
        <v>51778</v>
      </c>
      <c r="H98" s="2">
        <v>58734</v>
      </c>
      <c r="I98" s="2">
        <v>61483</v>
      </c>
      <c r="J98" s="2">
        <v>62242</v>
      </c>
      <c r="K98" s="2">
        <v>66698</v>
      </c>
      <c r="L98" s="2">
        <v>68508</v>
      </c>
      <c r="M98" s="2">
        <v>68696</v>
      </c>
      <c r="N98" s="2">
        <v>70500</v>
      </c>
      <c r="O98" s="2">
        <v>74036</v>
      </c>
      <c r="P98" s="2">
        <v>73733</v>
      </c>
      <c r="Q98" s="2">
        <v>72966</v>
      </c>
      <c r="R98" s="2">
        <v>73534</v>
      </c>
      <c r="S98" s="2">
        <v>76729</v>
      </c>
      <c r="T98" s="2">
        <v>77373</v>
      </c>
      <c r="U98" s="2">
        <v>79810</v>
      </c>
    </row>
    <row r="99" spans="3:21" x14ac:dyDescent="0.2">
      <c r="C99" t="s">
        <v>42</v>
      </c>
      <c r="D99" s="2">
        <v>27547</v>
      </c>
      <c r="E99" s="2">
        <v>27890</v>
      </c>
      <c r="F99" s="2">
        <v>29380</v>
      </c>
      <c r="G99" s="2">
        <v>31417</v>
      </c>
      <c r="H99" s="2">
        <v>34318</v>
      </c>
      <c r="I99" s="2">
        <v>36068</v>
      </c>
      <c r="J99" s="2">
        <v>36324</v>
      </c>
      <c r="K99" s="2">
        <v>37537</v>
      </c>
      <c r="L99" s="2">
        <v>37894</v>
      </c>
      <c r="M99" s="2">
        <v>38658</v>
      </c>
      <c r="N99" s="2">
        <v>38988</v>
      </c>
      <c r="O99" s="2">
        <v>39961</v>
      </c>
      <c r="P99" s="2">
        <v>39610</v>
      </c>
      <c r="Q99" s="2">
        <v>39624</v>
      </c>
      <c r="R99" s="2">
        <v>39936</v>
      </c>
      <c r="S99" s="2">
        <v>41699</v>
      </c>
      <c r="T99" s="2">
        <v>41249</v>
      </c>
      <c r="U99" s="2">
        <v>42470</v>
      </c>
    </row>
    <row r="100" spans="3:21" x14ac:dyDescent="0.2">
      <c r="C100" t="s">
        <v>43</v>
      </c>
      <c r="D100" s="2">
        <v>12141</v>
      </c>
      <c r="E100" s="2">
        <v>12942</v>
      </c>
      <c r="F100" s="2">
        <v>14485</v>
      </c>
      <c r="G100" s="2">
        <v>16233</v>
      </c>
      <c r="H100" s="2">
        <v>19835</v>
      </c>
      <c r="I100" s="2">
        <v>22492</v>
      </c>
      <c r="J100" s="2">
        <v>23504</v>
      </c>
      <c r="K100" s="2">
        <v>25492</v>
      </c>
      <c r="L100" s="2">
        <v>26853</v>
      </c>
      <c r="M100" s="2">
        <v>27875</v>
      </c>
      <c r="N100" s="2">
        <v>30051</v>
      </c>
      <c r="O100" s="2">
        <v>32632</v>
      </c>
      <c r="P100" s="2">
        <v>33719</v>
      </c>
      <c r="Q100" s="2">
        <v>34799</v>
      </c>
      <c r="R100" s="2">
        <v>36228</v>
      </c>
      <c r="S100" s="2">
        <v>38023</v>
      </c>
      <c r="T100" s="2">
        <v>39478</v>
      </c>
      <c r="U100" s="2">
        <v>40550</v>
      </c>
    </row>
    <row r="101" spans="3:21" x14ac:dyDescent="0.2">
      <c r="C101" t="s">
        <v>86</v>
      </c>
      <c r="D101" s="2">
        <f>SUM(D97:D100)</f>
        <v>148863</v>
      </c>
      <c r="E101" s="2">
        <f t="shared" ref="E101:U101" si="78">SUM(E97:E100)</f>
        <v>151562</v>
      </c>
      <c r="F101" s="2">
        <f t="shared" si="78"/>
        <v>158334</v>
      </c>
      <c r="G101" s="2">
        <f t="shared" si="78"/>
        <v>167090</v>
      </c>
      <c r="H101" s="2">
        <f t="shared" si="78"/>
        <v>182856</v>
      </c>
      <c r="I101" s="2">
        <f t="shared" si="78"/>
        <v>192947</v>
      </c>
      <c r="J101" s="2">
        <f t="shared" si="78"/>
        <v>195151</v>
      </c>
      <c r="K101" s="2">
        <f t="shared" si="78"/>
        <v>203663</v>
      </c>
      <c r="L101" s="2">
        <f t="shared" si="78"/>
        <v>207639</v>
      </c>
      <c r="M101" s="2">
        <f t="shared" si="78"/>
        <v>209180</v>
      </c>
      <c r="N101" s="2">
        <f t="shared" si="78"/>
        <v>213563</v>
      </c>
      <c r="O101" s="2">
        <f t="shared" si="78"/>
        <v>221844</v>
      </c>
      <c r="P101" s="2">
        <f t="shared" si="78"/>
        <v>221641</v>
      </c>
      <c r="Q101" s="2">
        <f t="shared" si="78"/>
        <v>220672</v>
      </c>
      <c r="R101" s="2">
        <f t="shared" si="78"/>
        <v>223085</v>
      </c>
      <c r="S101" s="2">
        <f t="shared" si="78"/>
        <v>230747</v>
      </c>
      <c r="T101" s="2">
        <f t="shared" si="78"/>
        <v>232498</v>
      </c>
      <c r="U101" s="2">
        <f t="shared" si="78"/>
        <v>238400</v>
      </c>
    </row>
    <row r="103" spans="3:21" x14ac:dyDescent="0.2">
      <c r="E103" t="s">
        <v>9</v>
      </c>
      <c r="F103" t="s">
        <v>10</v>
      </c>
      <c r="G103" t="s">
        <v>11</v>
      </c>
      <c r="H103" t="s">
        <v>12</v>
      </c>
      <c r="I103" t="s">
        <v>13</v>
      </c>
      <c r="J103" t="s">
        <v>14</v>
      </c>
      <c r="K103" t="s">
        <v>15</v>
      </c>
      <c r="L103" t="s">
        <v>16</v>
      </c>
      <c r="M103" t="s">
        <v>21</v>
      </c>
      <c r="N103" t="s">
        <v>22</v>
      </c>
      <c r="O103" t="s">
        <v>23</v>
      </c>
      <c r="P103" t="s">
        <v>24</v>
      </c>
      <c r="Q103" t="s">
        <v>17</v>
      </c>
      <c r="R103" t="s">
        <v>18</v>
      </c>
      <c r="S103" t="s">
        <v>19</v>
      </c>
      <c r="T103" t="s">
        <v>20</v>
      </c>
      <c r="U103" t="s">
        <v>85</v>
      </c>
    </row>
    <row r="104" spans="3:21" x14ac:dyDescent="0.2">
      <c r="C104" t="s">
        <v>40</v>
      </c>
      <c r="D104" s="2"/>
      <c r="E104" s="12">
        <f>E97/D97-1</f>
        <v>-1.9810004052046581E-3</v>
      </c>
      <c r="F104" s="12">
        <f t="shared" ref="F104:S104" si="79">F97/E97-1</f>
        <v>9.2179064976467551E-3</v>
      </c>
      <c r="G104" s="12">
        <f t="shared" si="79"/>
        <v>8.1652114312960045E-3</v>
      </c>
      <c r="H104" s="12">
        <f t="shared" si="79"/>
        <v>3.4095947503768764E-2</v>
      </c>
      <c r="I104" s="12">
        <f t="shared" si="79"/>
        <v>4.1947148022695835E-2</v>
      </c>
      <c r="J104" s="12">
        <f t="shared" si="79"/>
        <v>2.4278503237133986E-3</v>
      </c>
      <c r="K104" s="12">
        <f t="shared" si="79"/>
        <v>1.1699347299571672E-2</v>
      </c>
      <c r="L104" s="12">
        <f t="shared" si="79"/>
        <v>6.0592945249946517E-3</v>
      </c>
      <c r="M104" s="12">
        <f t="shared" si="79"/>
        <v>-5.8211443321144474E-3</v>
      </c>
      <c r="N104" s="12">
        <f t="shared" si="79"/>
        <v>9.8714013333145445E-4</v>
      </c>
      <c r="O104" s="12">
        <f t="shared" si="79"/>
        <v>1.6089376418458867E-2</v>
      </c>
      <c r="P104" s="12">
        <f t="shared" si="79"/>
        <v>-8.4557601542245564E-3</v>
      </c>
      <c r="Q104" s="12">
        <f t="shared" si="79"/>
        <v>-1.7377545957977469E-2</v>
      </c>
      <c r="R104" s="12">
        <f t="shared" si="79"/>
        <v>1.4191558751688316E-3</v>
      </c>
      <c r="S104" s="12">
        <f t="shared" si="79"/>
        <v>1.2386389960074684E-2</v>
      </c>
      <c r="T104" s="12">
        <f>T97/S97-1</f>
        <v>1.3728868310540765E-3</v>
      </c>
      <c r="U104" s="12">
        <f>U97/T97-1</f>
        <v>1.5753111642786033E-2</v>
      </c>
    </row>
    <row r="105" spans="3:21" x14ac:dyDescent="0.2">
      <c r="C105" t="s">
        <v>41</v>
      </c>
      <c r="D105" s="2"/>
      <c r="E105" s="12">
        <f>E98/D98-1</f>
        <v>3.965492924639169E-2</v>
      </c>
      <c r="F105" s="12">
        <f t="shared" ref="F105:U105" si="80">F98/E98-1</f>
        <v>7.0677609713084122E-2</v>
      </c>
      <c r="G105" s="12">
        <f t="shared" si="80"/>
        <v>9.3400908035054409E-2</v>
      </c>
      <c r="H105" s="12">
        <f t="shared" si="80"/>
        <v>0.13434277106106851</v>
      </c>
      <c r="I105" s="12">
        <f t="shared" si="80"/>
        <v>4.6804236047264025E-2</v>
      </c>
      <c r="J105" s="12">
        <f t="shared" si="80"/>
        <v>1.234487581933208E-2</v>
      </c>
      <c r="K105" s="12">
        <f t="shared" si="80"/>
        <v>7.1591529835159484E-2</v>
      </c>
      <c r="L105" s="12">
        <f t="shared" si="80"/>
        <v>2.713724549461749E-2</v>
      </c>
      <c r="M105" s="12">
        <f t="shared" si="80"/>
        <v>2.7442050563437625E-3</v>
      </c>
      <c r="N105" s="12">
        <f t="shared" si="80"/>
        <v>2.6260626528473274E-2</v>
      </c>
      <c r="O105" s="12">
        <f t="shared" si="80"/>
        <v>5.0156028368794292E-2</v>
      </c>
      <c r="P105" s="12">
        <f t="shared" si="80"/>
        <v>-4.0926035982494779E-3</v>
      </c>
      <c r="Q105" s="12">
        <f t="shared" si="80"/>
        <v>-1.040239784085828E-2</v>
      </c>
      <c r="R105" s="12">
        <f t="shared" si="80"/>
        <v>7.7844475509141198E-3</v>
      </c>
      <c r="S105" s="12">
        <f t="shared" si="80"/>
        <v>4.3449288764381144E-2</v>
      </c>
      <c r="T105" s="12">
        <f t="shared" si="80"/>
        <v>8.3931759830051522E-3</v>
      </c>
      <c r="U105" s="12">
        <f t="shared" si="80"/>
        <v>3.1496775360914109E-2</v>
      </c>
    </row>
    <row r="106" spans="3:21" x14ac:dyDescent="0.2">
      <c r="C106" t="s">
        <v>42</v>
      </c>
      <c r="D106" s="2"/>
      <c r="E106" s="12">
        <f>E99/D99-1</f>
        <v>1.2451446618506612E-2</v>
      </c>
      <c r="F106" s="12">
        <f t="shared" ref="F106:U106" si="81">F99/E99-1</f>
        <v>5.3424166367873838E-2</v>
      </c>
      <c r="G106" s="12">
        <f t="shared" si="81"/>
        <v>6.933287950987066E-2</v>
      </c>
      <c r="H106" s="12">
        <f t="shared" si="81"/>
        <v>9.233854282713172E-2</v>
      </c>
      <c r="I106" s="12">
        <f t="shared" si="81"/>
        <v>5.0993647648464258E-2</v>
      </c>
      <c r="J106" s="12">
        <f t="shared" si="81"/>
        <v>7.097704336253674E-3</v>
      </c>
      <c r="K106" s="12">
        <f t="shared" si="81"/>
        <v>3.33938993502918E-2</v>
      </c>
      <c r="L106" s="12">
        <f t="shared" si="81"/>
        <v>9.5106161920239796E-3</v>
      </c>
      <c r="M106" s="12">
        <f t="shared" si="81"/>
        <v>2.0161503140338821E-2</v>
      </c>
      <c r="N106" s="12">
        <f t="shared" si="81"/>
        <v>8.5363960887785417E-3</v>
      </c>
      <c r="O106" s="12">
        <f t="shared" si="81"/>
        <v>2.4956396840053241E-2</v>
      </c>
      <c r="P106" s="12">
        <f t="shared" si="81"/>
        <v>-8.7835639748754524E-3</v>
      </c>
      <c r="Q106" s="12">
        <f t="shared" si="81"/>
        <v>3.5344609946985628E-4</v>
      </c>
      <c r="R106" s="12">
        <f t="shared" si="81"/>
        <v>7.8740157480314821E-3</v>
      </c>
      <c r="S106" s="12">
        <f t="shared" si="81"/>
        <v>4.4145633012820484E-2</v>
      </c>
      <c r="T106" s="12">
        <f t="shared" si="81"/>
        <v>-1.0791625698458041E-2</v>
      </c>
      <c r="U106" s="12">
        <f t="shared" si="81"/>
        <v>2.9600717593153858E-2</v>
      </c>
    </row>
    <row r="107" spans="3:21" x14ac:dyDescent="0.2">
      <c r="C107" t="s">
        <v>43</v>
      </c>
      <c r="D107" s="2"/>
      <c r="E107" s="12">
        <f>E100/D100-1</f>
        <v>6.597479614529278E-2</v>
      </c>
      <c r="F107" s="12">
        <f t="shared" ref="F107:U107" si="82">F100/E100-1</f>
        <v>0.11922423118528824</v>
      </c>
      <c r="G107" s="12">
        <f t="shared" si="82"/>
        <v>0.12067656196064891</v>
      </c>
      <c r="H107" s="12">
        <f t="shared" si="82"/>
        <v>0.22189367338138366</v>
      </c>
      <c r="I107" s="12">
        <f t="shared" si="82"/>
        <v>0.13395512982102353</v>
      </c>
      <c r="J107" s="12">
        <f t="shared" si="82"/>
        <v>4.4993775564645233E-2</v>
      </c>
      <c r="K107" s="12">
        <f t="shared" si="82"/>
        <v>8.4581347855684053E-2</v>
      </c>
      <c r="L107" s="12">
        <f t="shared" si="82"/>
        <v>5.3389298603483404E-2</v>
      </c>
      <c r="M107" s="12">
        <f t="shared" si="82"/>
        <v>3.8059062302163715E-2</v>
      </c>
      <c r="N107" s="12">
        <f t="shared" si="82"/>
        <v>7.8062780269058329E-2</v>
      </c>
      <c r="O107" s="12">
        <f t="shared" si="82"/>
        <v>8.5887324881035676E-2</v>
      </c>
      <c r="P107" s="12">
        <f t="shared" si="82"/>
        <v>3.3310860505025852E-2</v>
      </c>
      <c r="Q107" s="12">
        <f t="shared" si="82"/>
        <v>3.20294196150539E-2</v>
      </c>
      <c r="R107" s="12">
        <f t="shared" si="82"/>
        <v>4.1064398402252955E-2</v>
      </c>
      <c r="S107" s="12">
        <f t="shared" si="82"/>
        <v>4.9547311471789701E-2</v>
      </c>
      <c r="T107" s="12">
        <f t="shared" si="82"/>
        <v>3.8266312495068844E-2</v>
      </c>
      <c r="U107" s="12">
        <f t="shared" si="82"/>
        <v>2.7154364456152713E-2</v>
      </c>
    </row>
    <row r="121" spans="3:23" x14ac:dyDescent="0.2">
      <c r="D121" t="s">
        <v>8</v>
      </c>
      <c r="E121" t="s">
        <v>9</v>
      </c>
      <c r="F121" t="s">
        <v>10</v>
      </c>
      <c r="G121" t="s">
        <v>11</v>
      </c>
      <c r="H121" t="s">
        <v>12</v>
      </c>
      <c r="I121" t="s">
        <v>13</v>
      </c>
      <c r="J121" t="s">
        <v>14</v>
      </c>
      <c r="K121" t="s">
        <v>15</v>
      </c>
      <c r="L121" t="s">
        <v>16</v>
      </c>
      <c r="M121" t="s">
        <v>21</v>
      </c>
      <c r="N121" t="s">
        <v>22</v>
      </c>
      <c r="O121" t="s">
        <v>23</v>
      </c>
      <c r="P121" t="s">
        <v>24</v>
      </c>
      <c r="Q121" t="s">
        <v>17</v>
      </c>
      <c r="R121" t="s">
        <v>18</v>
      </c>
      <c r="S121" t="s">
        <v>19</v>
      </c>
      <c r="T121" t="s">
        <v>20</v>
      </c>
      <c r="U121" t="s">
        <v>85</v>
      </c>
      <c r="V121" t="s">
        <v>87</v>
      </c>
      <c r="W121" t="s">
        <v>88</v>
      </c>
    </row>
    <row r="122" spans="3:23" x14ac:dyDescent="0.2">
      <c r="C122" t="s">
        <v>86</v>
      </c>
      <c r="D122" s="2">
        <f>SUM(D97:D100)</f>
        <v>148863</v>
      </c>
      <c r="E122" s="2">
        <f t="shared" ref="E122:U122" si="83">SUM(E97:E100)</f>
        <v>151562</v>
      </c>
      <c r="F122" s="2">
        <f t="shared" si="83"/>
        <v>158334</v>
      </c>
      <c r="G122" s="2">
        <f t="shared" si="83"/>
        <v>167090</v>
      </c>
      <c r="H122" s="2">
        <f t="shared" si="83"/>
        <v>182856</v>
      </c>
      <c r="I122" s="2">
        <f t="shared" si="83"/>
        <v>192947</v>
      </c>
      <c r="J122" s="2">
        <f t="shared" si="83"/>
        <v>195151</v>
      </c>
      <c r="K122" s="2">
        <f t="shared" si="83"/>
        <v>203663</v>
      </c>
      <c r="L122" s="2">
        <f t="shared" si="83"/>
        <v>207639</v>
      </c>
      <c r="M122" s="2">
        <f t="shared" si="83"/>
        <v>209180</v>
      </c>
      <c r="N122" s="2">
        <f t="shared" si="83"/>
        <v>213563</v>
      </c>
      <c r="O122" s="2">
        <f t="shared" si="83"/>
        <v>221844</v>
      </c>
      <c r="P122" s="2">
        <f t="shared" si="83"/>
        <v>221641</v>
      </c>
      <c r="Q122" s="2">
        <f t="shared" si="83"/>
        <v>220672</v>
      </c>
      <c r="R122" s="2">
        <f t="shared" si="83"/>
        <v>223085</v>
      </c>
      <c r="S122" s="2">
        <f t="shared" si="83"/>
        <v>230747</v>
      </c>
      <c r="T122" s="2">
        <f t="shared" si="83"/>
        <v>232498</v>
      </c>
      <c r="U122" s="2">
        <f t="shared" si="83"/>
        <v>238400</v>
      </c>
      <c r="V122" s="2">
        <v>225000</v>
      </c>
      <c r="W122" s="2">
        <v>224500</v>
      </c>
    </row>
    <row r="124" spans="3:23" x14ac:dyDescent="0.2">
      <c r="T124" s="2"/>
    </row>
  </sheetData>
  <hyperlinks>
    <hyperlink ref="A1" location="Main!A1" display="Main" xr:uid="{602EBC35-C74A-4B97-A790-15136BE89F5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64E1-E803-42C9-8507-6F2B50157EEF}">
  <dimension ref="A2:U21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4" bestFit="1" customWidth="1"/>
  </cols>
  <sheetData>
    <row r="2" spans="1:21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21</v>
      </c>
      <c r="L2" t="s">
        <v>22</v>
      </c>
      <c r="M2" t="s">
        <v>23</v>
      </c>
      <c r="N2" t="s">
        <v>24</v>
      </c>
      <c r="O2" t="s">
        <v>17</v>
      </c>
      <c r="P2" t="s">
        <v>18</v>
      </c>
      <c r="Q2" t="s">
        <v>19</v>
      </c>
      <c r="R2" t="s">
        <v>20</v>
      </c>
      <c r="S2" t="s">
        <v>25</v>
      </c>
    </row>
    <row r="3" spans="1:21" x14ac:dyDescent="0.2">
      <c r="A3" t="s">
        <v>89</v>
      </c>
      <c r="F3">
        <v>27</v>
      </c>
      <c r="G3">
        <v>34</v>
      </c>
      <c r="H3">
        <v>58</v>
      </c>
      <c r="I3">
        <v>74</v>
      </c>
      <c r="J3">
        <v>95</v>
      </c>
      <c r="K3">
        <v>104</v>
      </c>
      <c r="L3">
        <v>116</v>
      </c>
      <c r="M3">
        <v>118</v>
      </c>
      <c r="N3">
        <v>130</v>
      </c>
      <c r="O3">
        <v>138</v>
      </c>
      <c r="P3">
        <v>152</v>
      </c>
      <c r="Q3">
        <v>164</v>
      </c>
      <c r="R3">
        <v>162</v>
      </c>
      <c r="S3">
        <v>158</v>
      </c>
    </row>
    <row r="4" spans="1:21" x14ac:dyDescent="0.2">
      <c r="A4" t="s">
        <v>90</v>
      </c>
      <c r="I4">
        <v>12</v>
      </c>
      <c r="J4">
        <v>17</v>
      </c>
      <c r="K4">
        <v>21</v>
      </c>
      <c r="L4">
        <v>26</v>
      </c>
      <c r="M4">
        <v>33</v>
      </c>
      <c r="N4">
        <v>40</v>
      </c>
      <c r="O4">
        <v>43</v>
      </c>
      <c r="P4">
        <v>46</v>
      </c>
      <c r="Q4">
        <v>56</v>
      </c>
      <c r="R4">
        <v>60</v>
      </c>
    </row>
    <row r="5" spans="1:21" x14ac:dyDescent="0.2">
      <c r="A5" t="s">
        <v>91</v>
      </c>
      <c r="F5">
        <v>54</v>
      </c>
      <c r="G5">
        <v>56</v>
      </c>
      <c r="H5">
        <v>57</v>
      </c>
      <c r="I5">
        <v>61</v>
      </c>
      <c r="J5">
        <v>64</v>
      </c>
      <c r="K5">
        <v>68</v>
      </c>
      <c r="L5">
        <v>70</v>
      </c>
      <c r="M5">
        <v>74</v>
      </c>
      <c r="N5">
        <v>77</v>
      </c>
      <c r="O5">
        <v>92</v>
      </c>
      <c r="P5">
        <v>95</v>
      </c>
    </row>
    <row r="6" spans="1:21" x14ac:dyDescent="0.2">
      <c r="A6" t="s">
        <v>92</v>
      </c>
      <c r="B6">
        <v>23</v>
      </c>
      <c r="C6">
        <v>25</v>
      </c>
      <c r="D6">
        <v>28</v>
      </c>
      <c r="E6">
        <v>29</v>
      </c>
      <c r="F6">
        <v>30</v>
      </c>
      <c r="G6">
        <v>32</v>
      </c>
      <c r="H6">
        <v>36</v>
      </c>
      <c r="I6">
        <v>37</v>
      </c>
      <c r="J6">
        <v>39</v>
      </c>
      <c r="K6">
        <v>42</v>
      </c>
      <c r="L6">
        <v>43</v>
      </c>
      <c r="M6">
        <v>44</v>
      </c>
      <c r="N6">
        <v>45</v>
      </c>
      <c r="O6">
        <v>46</v>
      </c>
      <c r="P6">
        <v>46</v>
      </c>
      <c r="Q6">
        <v>47</v>
      </c>
      <c r="R6">
        <v>48</v>
      </c>
      <c r="S6">
        <v>48</v>
      </c>
    </row>
    <row r="7" spans="1:21" s="3" customFormat="1" x14ac:dyDescent="0.2">
      <c r="A7" s="3" t="s">
        <v>93</v>
      </c>
      <c r="B7" s="5">
        <v>148863</v>
      </c>
      <c r="C7" s="5">
        <v>151562</v>
      </c>
      <c r="D7" s="5">
        <v>158334</v>
      </c>
      <c r="E7" s="5">
        <v>167090</v>
      </c>
      <c r="F7" s="5">
        <v>182856</v>
      </c>
      <c r="G7" s="5">
        <v>192947</v>
      </c>
      <c r="H7" s="5">
        <v>195151</v>
      </c>
      <c r="I7" s="5">
        <v>203663</v>
      </c>
      <c r="J7" s="5">
        <v>207639</v>
      </c>
      <c r="K7" s="5">
        <v>209180</v>
      </c>
      <c r="L7" s="5">
        <v>213563</v>
      </c>
      <c r="M7" s="5">
        <v>221844</v>
      </c>
      <c r="N7" s="5">
        <v>221641</v>
      </c>
      <c r="O7" s="5">
        <v>220672</v>
      </c>
      <c r="P7" s="5">
        <v>223085</v>
      </c>
      <c r="Q7" s="5">
        <v>230747</v>
      </c>
      <c r="R7" s="5">
        <v>232498</v>
      </c>
      <c r="S7" s="5"/>
      <c r="T7" s="5"/>
      <c r="U7" s="5"/>
    </row>
    <row r="16" spans="1:21" x14ac:dyDescent="0.2"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21</v>
      </c>
      <c r="L16" t="s">
        <v>22</v>
      </c>
      <c r="M16" t="s">
        <v>23</v>
      </c>
      <c r="N16" t="s">
        <v>24</v>
      </c>
      <c r="O16" t="s">
        <v>17</v>
      </c>
      <c r="P16" t="s">
        <v>18</v>
      </c>
      <c r="Q16" t="s">
        <v>19</v>
      </c>
      <c r="R16" t="s">
        <v>20</v>
      </c>
      <c r="S16" t="s">
        <v>25</v>
      </c>
    </row>
    <row r="17" spans="1:19" x14ac:dyDescent="0.2">
      <c r="A17" t="s">
        <v>89</v>
      </c>
      <c r="B17" s="6"/>
      <c r="C17" s="6"/>
      <c r="D17" s="6"/>
      <c r="E17" s="6"/>
      <c r="F17" s="6"/>
      <c r="G17" s="6">
        <f t="shared" ref="C17:R21" si="0">G3/F3-1</f>
        <v>0.2592592592592593</v>
      </c>
      <c r="H17" s="6">
        <f t="shared" si="0"/>
        <v>0.70588235294117641</v>
      </c>
      <c r="I17" s="6">
        <f t="shared" si="0"/>
        <v>0.27586206896551735</v>
      </c>
      <c r="J17" s="6">
        <f t="shared" si="0"/>
        <v>0.28378378378378377</v>
      </c>
      <c r="K17" s="6">
        <f t="shared" si="0"/>
        <v>9.473684210526323E-2</v>
      </c>
      <c r="L17" s="6">
        <f t="shared" si="0"/>
        <v>0.11538461538461542</v>
      </c>
      <c r="M17" s="6">
        <f t="shared" si="0"/>
        <v>1.7241379310344751E-2</v>
      </c>
      <c r="N17" s="6">
        <f t="shared" si="0"/>
        <v>0.10169491525423724</v>
      </c>
      <c r="O17" s="6">
        <f t="shared" si="0"/>
        <v>6.1538461538461542E-2</v>
      </c>
      <c r="P17" s="6">
        <f t="shared" si="0"/>
        <v>0.10144927536231885</v>
      </c>
      <c r="Q17" s="6">
        <f t="shared" si="0"/>
        <v>7.8947368421052655E-2</v>
      </c>
      <c r="R17" s="6">
        <f t="shared" si="0"/>
        <v>-1.2195121951219523E-2</v>
      </c>
      <c r="S17" s="6">
        <f>S3/R3-1</f>
        <v>-2.4691358024691357E-2</v>
      </c>
    </row>
    <row r="18" spans="1:19" x14ac:dyDescent="0.2">
      <c r="A18" t="s">
        <v>90</v>
      </c>
      <c r="B18" s="6"/>
      <c r="C18" s="6"/>
      <c r="D18" s="6"/>
      <c r="E18" s="6"/>
      <c r="F18" s="6"/>
      <c r="G18" s="6"/>
      <c r="H18" s="6"/>
      <c r="I18" s="6"/>
      <c r="J18" s="6">
        <f t="shared" si="0"/>
        <v>0.41666666666666674</v>
      </c>
      <c r="K18" s="6">
        <f t="shared" si="0"/>
        <v>0.23529411764705888</v>
      </c>
      <c r="L18" s="6">
        <f t="shared" si="0"/>
        <v>0.23809523809523814</v>
      </c>
      <c r="M18" s="6">
        <f t="shared" si="0"/>
        <v>0.26923076923076916</v>
      </c>
      <c r="N18" s="6">
        <f t="shared" si="0"/>
        <v>0.21212121212121215</v>
      </c>
      <c r="O18" s="6">
        <f t="shared" si="0"/>
        <v>7.4999999999999956E-2</v>
      </c>
      <c r="P18" s="6">
        <f t="shared" si="0"/>
        <v>6.9767441860465018E-2</v>
      </c>
      <c r="Q18" s="6">
        <f t="shared" si="0"/>
        <v>0.21739130434782616</v>
      </c>
      <c r="R18" s="6">
        <f t="shared" si="0"/>
        <v>7.1428571428571397E-2</v>
      </c>
      <c r="S18" s="6"/>
    </row>
    <row r="19" spans="1:19" x14ac:dyDescent="0.2">
      <c r="A19" t="s">
        <v>91</v>
      </c>
      <c r="B19" s="6"/>
      <c r="C19" s="6"/>
      <c r="D19" s="6"/>
      <c r="E19" s="6"/>
      <c r="F19" s="6"/>
      <c r="G19" s="6">
        <f t="shared" si="0"/>
        <v>3.7037037037036979E-2</v>
      </c>
      <c r="H19" s="6">
        <f t="shared" si="0"/>
        <v>1.7857142857142794E-2</v>
      </c>
      <c r="I19" s="6">
        <f t="shared" si="0"/>
        <v>7.0175438596491224E-2</v>
      </c>
      <c r="J19" s="6">
        <f t="shared" si="0"/>
        <v>4.9180327868852514E-2</v>
      </c>
      <c r="K19" s="6">
        <f t="shared" si="0"/>
        <v>6.25E-2</v>
      </c>
      <c r="L19" s="6">
        <f t="shared" si="0"/>
        <v>2.9411764705882248E-2</v>
      </c>
      <c r="M19" s="6">
        <f t="shared" si="0"/>
        <v>5.7142857142857162E-2</v>
      </c>
      <c r="N19" s="6">
        <f t="shared" si="0"/>
        <v>4.0540540540540571E-2</v>
      </c>
      <c r="O19" s="6">
        <f t="shared" si="0"/>
        <v>0.19480519480519476</v>
      </c>
      <c r="P19" s="6">
        <f t="shared" si="0"/>
        <v>3.2608695652173836E-2</v>
      </c>
      <c r="Q19" s="6"/>
      <c r="R19" s="6"/>
      <c r="S19" s="6"/>
    </row>
    <row r="20" spans="1:19" x14ac:dyDescent="0.2">
      <c r="A20" t="s">
        <v>92</v>
      </c>
      <c r="B20" s="6"/>
      <c r="C20" s="6">
        <f t="shared" si="0"/>
        <v>8.6956521739130377E-2</v>
      </c>
      <c r="D20" s="6">
        <f t="shared" si="0"/>
        <v>0.12000000000000011</v>
      </c>
      <c r="E20" s="6">
        <f t="shared" si="0"/>
        <v>3.5714285714285809E-2</v>
      </c>
      <c r="F20" s="6">
        <f t="shared" si="0"/>
        <v>3.4482758620689724E-2</v>
      </c>
      <c r="G20" s="6">
        <f t="shared" si="0"/>
        <v>6.6666666666666652E-2</v>
      </c>
      <c r="H20" s="6">
        <f t="shared" si="0"/>
        <v>0.125</v>
      </c>
      <c r="I20" s="6">
        <f t="shared" si="0"/>
        <v>2.7777777777777679E-2</v>
      </c>
      <c r="J20" s="6">
        <f t="shared" si="0"/>
        <v>5.4054054054053946E-2</v>
      </c>
      <c r="K20" s="6">
        <f t="shared" si="0"/>
        <v>7.6923076923076872E-2</v>
      </c>
      <c r="L20" s="6">
        <f t="shared" si="0"/>
        <v>2.3809523809523725E-2</v>
      </c>
      <c r="M20" s="6">
        <f t="shared" si="0"/>
        <v>2.3255813953488413E-2</v>
      </c>
      <c r="N20" s="6">
        <f t="shared" si="0"/>
        <v>2.2727272727272707E-2</v>
      </c>
      <c r="O20" s="6">
        <f t="shared" si="0"/>
        <v>2.2222222222222143E-2</v>
      </c>
      <c r="P20" s="6">
        <f t="shared" si="0"/>
        <v>0</v>
      </c>
      <c r="Q20" s="6">
        <f t="shared" si="0"/>
        <v>2.1739130434782705E-2</v>
      </c>
      <c r="R20" s="6">
        <f t="shared" si="0"/>
        <v>2.1276595744680771E-2</v>
      </c>
      <c r="S20" s="6">
        <f t="shared" ref="S20" si="1">S6/R6-1</f>
        <v>0</v>
      </c>
    </row>
    <row r="21" spans="1:19" x14ac:dyDescent="0.2">
      <c r="A21" s="3" t="s">
        <v>93</v>
      </c>
      <c r="B21" s="6"/>
      <c r="C21" s="6">
        <f t="shared" si="0"/>
        <v>1.8130764528458965E-2</v>
      </c>
      <c r="D21" s="6">
        <f t="shared" si="0"/>
        <v>4.4681384515907752E-2</v>
      </c>
      <c r="E21" s="6">
        <f t="shared" si="0"/>
        <v>5.530081978602186E-2</v>
      </c>
      <c r="F21" s="6">
        <f t="shared" si="0"/>
        <v>9.4356334909330375E-2</v>
      </c>
      <c r="G21" s="6">
        <f t="shared" si="0"/>
        <v>5.5185501159382255E-2</v>
      </c>
      <c r="H21" s="6">
        <f t="shared" si="0"/>
        <v>1.1422825957387195E-2</v>
      </c>
      <c r="I21" s="6">
        <f t="shared" si="0"/>
        <v>4.3617506443728082E-2</v>
      </c>
      <c r="J21" s="6">
        <f t="shared" si="0"/>
        <v>1.9522446394288684E-2</v>
      </c>
      <c r="K21" s="6">
        <f t="shared" si="0"/>
        <v>7.4215344901487068E-3</v>
      </c>
      <c r="L21" s="6">
        <f t="shared" si="0"/>
        <v>2.0953246008222681E-2</v>
      </c>
      <c r="M21" s="6">
        <f t="shared" si="0"/>
        <v>3.877544331180971E-2</v>
      </c>
      <c r="N21" s="6">
        <f t="shared" si="0"/>
        <v>-9.1505742774200538E-4</v>
      </c>
      <c r="O21" s="6">
        <f t="shared" si="0"/>
        <v>-4.3719347954574994E-3</v>
      </c>
      <c r="P21" s="6">
        <f t="shared" si="0"/>
        <v>1.0934781032482688E-2</v>
      </c>
      <c r="Q21" s="6">
        <f t="shared" si="0"/>
        <v>3.4345653002218812E-2</v>
      </c>
      <c r="R21" s="6">
        <f t="shared" si="0"/>
        <v>7.5883976823101218E-3</v>
      </c>
      <c r="S2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2023-05-27T18:23:33Z</dcterms:created>
  <dcterms:modified xsi:type="dcterms:W3CDTF">2024-01-21T23:10:29Z</dcterms:modified>
  <cp:category/>
  <cp:contentStatus/>
</cp:coreProperties>
</file>