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E68ED001-01DA-344D-A4E2-B5A9A32BD5BD}" xr6:coauthVersionLast="47" xr6:coauthVersionMax="47" xr10:uidLastSave="{00000000-0000-0000-0000-000000000000}"/>
  <bookViews>
    <workbookView xWindow="13380" yWindow="520" windowWidth="27740" windowHeight="21900" activeTab="1" xr2:uid="{7F1A3DF6-215C-2343-B883-EFC4578CE452}"/>
  </bookViews>
  <sheets>
    <sheet name="Main" sheetId="1" r:id="rId1"/>
    <sheet name="Model" sheetId="2" r:id="rId2"/>
    <sheet name="Matrix" sheetId="4" r:id="rId3"/>
    <sheet name="Graph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AJ13" i="2"/>
  <c r="AI13" i="2"/>
  <c r="AH13" i="2"/>
  <c r="AG13" i="2"/>
  <c r="AF13" i="2"/>
  <c r="AE13" i="2"/>
  <c r="AD13" i="2"/>
  <c r="AC13" i="2"/>
  <c r="V37" i="2"/>
  <c r="V34" i="2"/>
  <c r="AJ9" i="2"/>
  <c r="AI9" i="2"/>
  <c r="AH9" i="2"/>
  <c r="AG9" i="2"/>
  <c r="AF9" i="2"/>
  <c r="AE9" i="2"/>
  <c r="AD9" i="2"/>
  <c r="AC9" i="2"/>
  <c r="AC7" i="2"/>
  <c r="AC16" i="2" s="1"/>
  <c r="V20" i="2"/>
  <c r="Y20" i="2"/>
  <c r="V18" i="2"/>
  <c r="V36" i="2"/>
  <c r="U36" i="2"/>
  <c r="T36" i="2"/>
  <c r="V17" i="2"/>
  <c r="V16" i="2"/>
  <c r="V14" i="2"/>
  <c r="U16" i="2"/>
  <c r="V13" i="2"/>
  <c r="V35" i="2"/>
  <c r="V9" i="2"/>
  <c r="U14" i="2"/>
  <c r="U13" i="2"/>
  <c r="U12" i="2"/>
  <c r="T14" i="2"/>
  <c r="T13" i="2"/>
  <c r="T12" i="2"/>
  <c r="T9" i="2"/>
  <c r="U7" i="2"/>
  <c r="T7" i="2"/>
  <c r="U32" i="2"/>
  <c r="T32" i="2"/>
  <c r="U31" i="2"/>
  <c r="T31" i="2"/>
  <c r="U30" i="2"/>
  <c r="T30" i="2"/>
  <c r="U29" i="2"/>
  <c r="T29" i="2"/>
  <c r="U28" i="2"/>
  <c r="T28" i="2"/>
  <c r="U23" i="2"/>
  <c r="U25" i="2"/>
  <c r="T25" i="2"/>
  <c r="U24" i="2"/>
  <c r="T24" i="2"/>
  <c r="C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C14" i="2"/>
  <c r="AE7" i="2"/>
  <c r="AF7" i="2" s="1"/>
  <c r="AG7" i="2" s="1"/>
  <c r="AH7" i="2" s="1"/>
  <c r="AI7" i="2" s="1"/>
  <c r="AJ7" i="2" s="1"/>
  <c r="AD7" i="2"/>
  <c r="T23" i="2"/>
  <c r="T35" i="2"/>
  <c r="Q16" i="3"/>
  <c r="Q15" i="3"/>
  <c r="Q14" i="3"/>
  <c r="Q13" i="3"/>
  <c r="Q11" i="3"/>
  <c r="Q10" i="3"/>
  <c r="Q7" i="3"/>
  <c r="S15" i="2"/>
  <c r="S13" i="2"/>
  <c r="S12" i="2"/>
  <c r="S35" i="2"/>
  <c r="S9" i="2"/>
  <c r="S32" i="2"/>
  <c r="S31" i="2"/>
  <c r="S30" i="2"/>
  <c r="S29" i="2"/>
  <c r="S28" i="2"/>
  <c r="S25" i="2"/>
  <c r="S24" i="2"/>
  <c r="R14" i="2"/>
  <c r="R12" i="2"/>
  <c r="P11" i="3"/>
  <c r="C16" i="3" l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5" i="3"/>
  <c r="P14" i="3"/>
  <c r="P13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10" i="3"/>
  <c r="O7" i="3"/>
  <c r="O16" i="3" s="1"/>
  <c r="N7" i="3"/>
  <c r="N16" i="3" s="1"/>
  <c r="M7" i="3"/>
  <c r="M16" i="3" s="1"/>
  <c r="L7" i="3"/>
  <c r="L16" i="3" s="1"/>
  <c r="K7" i="3"/>
  <c r="K16" i="3" s="1"/>
  <c r="J7" i="3"/>
  <c r="J16" i="3" s="1"/>
  <c r="I7" i="3"/>
  <c r="I16" i="3" s="1"/>
  <c r="H7" i="3"/>
  <c r="H16" i="3" s="1"/>
  <c r="G7" i="3"/>
  <c r="G16" i="3" s="1"/>
  <c r="F7" i="3"/>
  <c r="F16" i="3" s="1"/>
  <c r="E7" i="3"/>
  <c r="E16" i="3" s="1"/>
  <c r="D7" i="3"/>
  <c r="D16" i="3" s="1"/>
  <c r="C7" i="3"/>
  <c r="B7" i="3"/>
  <c r="P7" i="3"/>
  <c r="P16" i="3" s="1"/>
  <c r="Z6" i="2"/>
  <c r="Z5" i="2"/>
  <c r="Z4" i="2"/>
  <c r="Z3" i="2"/>
  <c r="Z2" i="2"/>
  <c r="AA6" i="2"/>
  <c r="AA5" i="2"/>
  <c r="AA4" i="2"/>
  <c r="AA3" i="2"/>
  <c r="AA2" i="2"/>
  <c r="N7" i="2"/>
  <c r="M7" i="2"/>
  <c r="L7" i="2"/>
  <c r="K7" i="2"/>
  <c r="J7" i="2"/>
  <c r="I7" i="2"/>
  <c r="H7" i="2"/>
  <c r="G7" i="2"/>
  <c r="F7" i="2"/>
  <c r="E7" i="2"/>
  <c r="D7" i="2"/>
  <c r="Q7" i="2"/>
  <c r="P7" i="2"/>
  <c r="O7" i="2"/>
  <c r="S23" i="2" s="1"/>
  <c r="AB6" i="2"/>
  <c r="AB5" i="2"/>
  <c r="AB4" i="2"/>
  <c r="AB3" i="2"/>
  <c r="AB2" i="2"/>
  <c r="AC28" i="2" s="1"/>
  <c r="R7" i="2"/>
  <c r="R9" i="2" s="1"/>
  <c r="R32" i="2"/>
  <c r="R31" i="2"/>
  <c r="R30" i="2"/>
  <c r="R29" i="2"/>
  <c r="R28" i="2"/>
  <c r="P32" i="2"/>
  <c r="O32" i="2"/>
  <c r="N32" i="2"/>
  <c r="M32" i="2"/>
  <c r="L32" i="2"/>
  <c r="K32" i="2"/>
  <c r="J32" i="2"/>
  <c r="I32" i="2"/>
  <c r="H32" i="2"/>
  <c r="P31" i="2"/>
  <c r="O31" i="2"/>
  <c r="N31" i="2"/>
  <c r="M31" i="2"/>
  <c r="L31" i="2"/>
  <c r="K31" i="2"/>
  <c r="J31" i="2"/>
  <c r="I31" i="2"/>
  <c r="H31" i="2"/>
  <c r="P30" i="2"/>
  <c r="O30" i="2"/>
  <c r="N30" i="2"/>
  <c r="M30" i="2"/>
  <c r="L30" i="2"/>
  <c r="K30" i="2"/>
  <c r="J30" i="2"/>
  <c r="I30" i="2"/>
  <c r="H30" i="2"/>
  <c r="P29" i="2"/>
  <c r="O29" i="2"/>
  <c r="N29" i="2"/>
  <c r="M29" i="2"/>
  <c r="L29" i="2"/>
  <c r="K29" i="2"/>
  <c r="J29" i="2"/>
  <c r="I29" i="2"/>
  <c r="H29" i="2"/>
  <c r="P28" i="2"/>
  <c r="O28" i="2"/>
  <c r="N28" i="2"/>
  <c r="M28" i="2"/>
  <c r="L28" i="2"/>
  <c r="K28" i="2"/>
  <c r="J28" i="2"/>
  <c r="I28" i="2"/>
  <c r="H28" i="2"/>
  <c r="Q32" i="2"/>
  <c r="Q31" i="2"/>
  <c r="Q30" i="2"/>
  <c r="Q29" i="2"/>
  <c r="Q28" i="2"/>
  <c r="O15" i="2"/>
  <c r="AM46" i="2"/>
  <c r="AM43" i="2"/>
  <c r="T34" i="2" l="1"/>
  <c r="T16" i="2"/>
  <c r="AA7" i="2"/>
  <c r="AA28" i="2"/>
  <c r="AA29" i="2"/>
  <c r="AA30" i="2"/>
  <c r="AA31" i="2"/>
  <c r="AA32" i="2"/>
  <c r="AB30" i="2"/>
  <c r="S16" i="2"/>
  <c r="S34" i="2"/>
  <c r="AB32" i="2"/>
  <c r="AC30" i="2"/>
  <c r="AB31" i="2"/>
  <c r="AE30" i="2"/>
  <c r="AD30" i="2"/>
  <c r="AF30" i="2"/>
  <c r="AG30" i="2"/>
  <c r="AH30" i="2"/>
  <c r="AB28" i="2"/>
  <c r="AB7" i="2"/>
  <c r="AB29" i="2"/>
  <c r="Z7" i="2"/>
  <c r="R35" i="2"/>
  <c r="AD25" i="2"/>
  <c r="Q25" i="2"/>
  <c r="P25" i="2"/>
  <c r="O25" i="2"/>
  <c r="N25" i="2"/>
  <c r="M25" i="2"/>
  <c r="L25" i="2"/>
  <c r="K25" i="2"/>
  <c r="J25" i="2"/>
  <c r="I25" i="2"/>
  <c r="H25" i="2"/>
  <c r="G25" i="2"/>
  <c r="Q24" i="2"/>
  <c r="P24" i="2"/>
  <c r="O24" i="2"/>
  <c r="N24" i="2"/>
  <c r="M24" i="2"/>
  <c r="L24" i="2"/>
  <c r="K24" i="2"/>
  <c r="J24" i="2"/>
  <c r="I24" i="2"/>
  <c r="H24" i="2"/>
  <c r="G24" i="2"/>
  <c r="Q23" i="2"/>
  <c r="P23" i="2"/>
  <c r="O23" i="2"/>
  <c r="N23" i="2"/>
  <c r="M23" i="2"/>
  <c r="L23" i="2"/>
  <c r="K23" i="2"/>
  <c r="J23" i="2"/>
  <c r="I23" i="2"/>
  <c r="H23" i="2"/>
  <c r="G23" i="2"/>
  <c r="R25" i="2"/>
  <c r="R24" i="2"/>
  <c r="R23" i="2"/>
  <c r="Y21" i="2"/>
  <c r="Z21" i="2"/>
  <c r="AA21" i="2"/>
  <c r="AB21" i="2"/>
  <c r="Y17" i="2"/>
  <c r="Y15" i="2"/>
  <c r="Y11" i="2"/>
  <c r="Y10" i="2"/>
  <c r="Y8" i="2"/>
  <c r="Y7" i="2"/>
  <c r="Y9" i="2" s="1"/>
  <c r="Z17" i="2"/>
  <c r="Z15" i="2"/>
  <c r="Z11" i="2"/>
  <c r="Z10" i="2"/>
  <c r="Z8" i="2"/>
  <c r="AA15" i="2"/>
  <c r="AA11" i="2"/>
  <c r="AA10" i="2"/>
  <c r="AA8" i="2"/>
  <c r="AB11" i="2"/>
  <c r="AC25" i="2" s="1"/>
  <c r="AB10" i="2"/>
  <c r="C14" i="2"/>
  <c r="C12" i="2"/>
  <c r="C9" i="2"/>
  <c r="C35" i="2" s="1"/>
  <c r="D14" i="2"/>
  <c r="D12" i="2"/>
  <c r="D9" i="2"/>
  <c r="D13" i="2" s="1"/>
  <c r="D34" i="2" s="1"/>
  <c r="E14" i="2"/>
  <c r="E12" i="2"/>
  <c r="E9" i="2"/>
  <c r="E35" i="2" s="1"/>
  <c r="F14" i="2"/>
  <c r="F12" i="2"/>
  <c r="F9" i="2"/>
  <c r="G14" i="2"/>
  <c r="G12" i="2"/>
  <c r="G9" i="2"/>
  <c r="G35" i="2" s="1"/>
  <c r="H14" i="2"/>
  <c r="H12" i="2"/>
  <c r="H9" i="2"/>
  <c r="H35" i="2" s="1"/>
  <c r="I14" i="2"/>
  <c r="I12" i="2"/>
  <c r="I9" i="2"/>
  <c r="I35" i="2" s="1"/>
  <c r="J14" i="2"/>
  <c r="J12" i="2"/>
  <c r="J9" i="2"/>
  <c r="J35" i="2" s="1"/>
  <c r="N17" i="2"/>
  <c r="AA17" i="2" s="1"/>
  <c r="N14" i="2"/>
  <c r="N12" i="2"/>
  <c r="N9" i="2"/>
  <c r="N13" i="2" s="1"/>
  <c r="K14" i="2"/>
  <c r="K12" i="2"/>
  <c r="K9" i="2"/>
  <c r="K35" i="2" s="1"/>
  <c r="AB15" i="2"/>
  <c r="O14" i="2"/>
  <c r="O12" i="2"/>
  <c r="O9" i="2"/>
  <c r="O35" i="2" s="1"/>
  <c r="L14" i="2"/>
  <c r="L12" i="2"/>
  <c r="L9" i="2"/>
  <c r="L35" i="2" s="1"/>
  <c r="P14" i="2"/>
  <c r="P12" i="2"/>
  <c r="P9" i="2"/>
  <c r="P35" i="2" s="1"/>
  <c r="M14" i="2"/>
  <c r="M12" i="2"/>
  <c r="M9" i="2"/>
  <c r="Q14" i="2"/>
  <c r="Q12" i="2"/>
  <c r="Q9" i="2"/>
  <c r="Q35" i="2" s="1"/>
  <c r="AA1" i="2"/>
  <c r="AB1" i="2" s="1"/>
  <c r="AC1" i="2" s="1"/>
  <c r="AD1" i="2" s="1"/>
  <c r="AE1" i="2" s="1"/>
  <c r="AF1" i="2" s="1"/>
  <c r="AG1" i="2" s="1"/>
  <c r="AH1" i="2" s="1"/>
  <c r="AI1" i="2" s="1"/>
  <c r="AJ1" i="2" s="1"/>
  <c r="T18" i="2" l="1"/>
  <c r="AC23" i="2"/>
  <c r="N16" i="2"/>
  <c r="N34" i="2"/>
  <c r="S18" i="2"/>
  <c r="S37" i="2" s="1"/>
  <c r="S36" i="2"/>
  <c r="M13" i="2"/>
  <c r="M34" i="2" s="1"/>
  <c r="AA25" i="2"/>
  <c r="AC32" i="2"/>
  <c r="AC31" i="2"/>
  <c r="AD28" i="2"/>
  <c r="AE28" i="2"/>
  <c r="AC29" i="2"/>
  <c r="F13" i="2"/>
  <c r="AB12" i="2"/>
  <c r="Z9" i="2"/>
  <c r="Z35" i="2" s="1"/>
  <c r="AB24" i="2"/>
  <c r="AA24" i="2"/>
  <c r="AB23" i="2"/>
  <c r="Z23" i="2"/>
  <c r="AB25" i="2"/>
  <c r="Z14" i="2"/>
  <c r="Z12" i="2"/>
  <c r="Z24" i="2"/>
  <c r="AA14" i="2"/>
  <c r="N36" i="2"/>
  <c r="AA23" i="2"/>
  <c r="AA9" i="2"/>
  <c r="AA35" i="2" s="1"/>
  <c r="Z25" i="2"/>
  <c r="AF25" i="2"/>
  <c r="AE25" i="2"/>
  <c r="Y12" i="2"/>
  <c r="AA12" i="2"/>
  <c r="Y14" i="2"/>
  <c r="Y35" i="2"/>
  <c r="Y13" i="2"/>
  <c r="D16" i="2"/>
  <c r="F35" i="2"/>
  <c r="D35" i="2"/>
  <c r="Q13" i="2"/>
  <c r="M35" i="2"/>
  <c r="N35" i="2"/>
  <c r="AB8" i="2"/>
  <c r="AB9" i="2" s="1"/>
  <c r="R13" i="2"/>
  <c r="C13" i="2"/>
  <c r="E13" i="2"/>
  <c r="G13" i="2"/>
  <c r="H13" i="2"/>
  <c r="I13" i="2"/>
  <c r="J13" i="2"/>
  <c r="N18" i="2"/>
  <c r="K13" i="2"/>
  <c r="O13" i="2"/>
  <c r="L13" i="2"/>
  <c r="P13" i="2"/>
  <c r="L6" i="1"/>
  <c r="L5" i="1"/>
  <c r="L4" i="1"/>
  <c r="L7" i="1" s="1"/>
  <c r="T37" i="2" l="1"/>
  <c r="T26" i="2"/>
  <c r="T20" i="2"/>
  <c r="AI30" i="2"/>
  <c r="AC35" i="2"/>
  <c r="Z13" i="2"/>
  <c r="E16" i="2"/>
  <c r="E34" i="2"/>
  <c r="C16" i="2"/>
  <c r="C18" i="2" s="1"/>
  <c r="C20" i="2" s="1"/>
  <c r="C34" i="2"/>
  <c r="Q16" i="2"/>
  <c r="Q36" i="2" s="1"/>
  <c r="Q34" i="2"/>
  <c r="Y16" i="2"/>
  <c r="Y36" i="2" s="1"/>
  <c r="Y34" i="2"/>
  <c r="F16" i="2"/>
  <c r="F34" i="2"/>
  <c r="M16" i="2"/>
  <c r="M18" i="2" s="1"/>
  <c r="P16" i="2"/>
  <c r="P18" i="2" s="1"/>
  <c r="P34" i="2"/>
  <c r="L16" i="2"/>
  <c r="L18" i="2" s="1"/>
  <c r="L34" i="2"/>
  <c r="O16" i="2"/>
  <c r="O18" i="2" s="1"/>
  <c r="S26" i="2" s="1"/>
  <c r="O34" i="2"/>
  <c r="K16" i="2"/>
  <c r="K36" i="2" s="1"/>
  <c r="K34" i="2"/>
  <c r="I16" i="2"/>
  <c r="I36" i="2" s="1"/>
  <c r="I34" i="2"/>
  <c r="H16" i="2"/>
  <c r="H18" i="2" s="1"/>
  <c r="H34" i="2"/>
  <c r="G16" i="2"/>
  <c r="G18" i="2" s="1"/>
  <c r="G34" i="2"/>
  <c r="J16" i="2"/>
  <c r="J36" i="2" s="1"/>
  <c r="J34" i="2"/>
  <c r="S20" i="2"/>
  <c r="Z16" i="2"/>
  <c r="Z18" i="2" s="1"/>
  <c r="Z20" i="2" s="1"/>
  <c r="Z34" i="2"/>
  <c r="AD32" i="2"/>
  <c r="AG28" i="2"/>
  <c r="AF28" i="2"/>
  <c r="AD31" i="2"/>
  <c r="R16" i="2"/>
  <c r="R34" i="2"/>
  <c r="AD23" i="2"/>
  <c r="AD29" i="2"/>
  <c r="AA13" i="2"/>
  <c r="AC24" i="2"/>
  <c r="J18" i="2"/>
  <c r="N26" i="2" s="1"/>
  <c r="N20" i="2"/>
  <c r="E18" i="2"/>
  <c r="E20" i="2" s="1"/>
  <c r="E36" i="2"/>
  <c r="D18" i="2"/>
  <c r="D20" i="2" s="1"/>
  <c r="D36" i="2"/>
  <c r="AG25" i="2"/>
  <c r="AB35" i="2"/>
  <c r="AB13" i="2"/>
  <c r="AJ30" i="2" l="1"/>
  <c r="Q18" i="2"/>
  <c r="C36" i="2"/>
  <c r="G36" i="2"/>
  <c r="M36" i="2"/>
  <c r="Z36" i="2"/>
  <c r="Y18" i="2"/>
  <c r="L36" i="2"/>
  <c r="K18" i="2"/>
  <c r="K20" i="2" s="1"/>
  <c r="AA16" i="2"/>
  <c r="AA34" i="2"/>
  <c r="I18" i="2"/>
  <c r="I20" i="2" s="1"/>
  <c r="O36" i="2"/>
  <c r="AH28" i="2"/>
  <c r="P36" i="2"/>
  <c r="H36" i="2"/>
  <c r="F18" i="2"/>
  <c r="F20" i="2" s="1"/>
  <c r="F36" i="2"/>
  <c r="AB17" i="2"/>
  <c r="R36" i="2"/>
  <c r="AE32" i="2"/>
  <c r="AE31" i="2"/>
  <c r="AD35" i="2"/>
  <c r="AJ28" i="2"/>
  <c r="AI28" i="2"/>
  <c r="AE29" i="2"/>
  <c r="AB16" i="2"/>
  <c r="AB34" i="2"/>
  <c r="AC18" i="2"/>
  <c r="AC34" i="2"/>
  <c r="AA18" i="2"/>
  <c r="AA36" i="2"/>
  <c r="Q20" i="2"/>
  <c r="Q26" i="2"/>
  <c r="M20" i="2"/>
  <c r="M26" i="2"/>
  <c r="L20" i="2"/>
  <c r="L26" i="2"/>
  <c r="AD24" i="2"/>
  <c r="P20" i="2"/>
  <c r="P26" i="2"/>
  <c r="G20" i="2"/>
  <c r="G26" i="2"/>
  <c r="J20" i="2"/>
  <c r="H20" i="2"/>
  <c r="H26" i="2"/>
  <c r="O20" i="2"/>
  <c r="AH25" i="2"/>
  <c r="R18" i="2"/>
  <c r="AC38" i="2" l="1"/>
  <c r="AD14" i="2" s="1"/>
  <c r="AD16" i="2" s="1"/>
  <c r="AD17" i="2" s="1"/>
  <c r="O26" i="2"/>
  <c r="Z26" i="2"/>
  <c r="K26" i="2"/>
  <c r="J26" i="2"/>
  <c r="I26" i="2"/>
  <c r="AB18" i="2"/>
  <c r="AD34" i="2"/>
  <c r="AF32" i="2"/>
  <c r="AF31" i="2"/>
  <c r="AB36" i="2"/>
  <c r="AE23" i="2"/>
  <c r="AF29" i="2"/>
  <c r="AA20" i="2"/>
  <c r="AA26" i="2"/>
  <c r="AE34" i="2"/>
  <c r="AE24" i="2"/>
  <c r="AE35" i="2"/>
  <c r="R20" i="2"/>
  <c r="R26" i="2"/>
  <c r="AB20" i="2"/>
  <c r="AB26" i="2"/>
  <c r="AJ25" i="2"/>
  <c r="AI25" i="2"/>
  <c r="AG32" i="2" l="1"/>
  <c r="AG31" i="2"/>
  <c r="AF23" i="2"/>
  <c r="AG29" i="2"/>
  <c r="AF34" i="2"/>
  <c r="AF24" i="2"/>
  <c r="AF35" i="2"/>
  <c r="AG23" i="2" l="1"/>
  <c r="AH32" i="2"/>
  <c r="AH31" i="2"/>
  <c r="AH29" i="2"/>
  <c r="AG34" i="2"/>
  <c r="AG24" i="2"/>
  <c r="AG35" i="2"/>
  <c r="AH23" i="2" l="1"/>
  <c r="AJ32" i="2"/>
  <c r="AI32" i="2"/>
  <c r="AJ31" i="2"/>
  <c r="AI31" i="2"/>
  <c r="AI29" i="2"/>
  <c r="AI23" i="2"/>
  <c r="AH34" i="2"/>
  <c r="AH24" i="2"/>
  <c r="AH35" i="2"/>
  <c r="AC36" i="2"/>
  <c r="AJ29" i="2" l="1"/>
  <c r="AI24" i="2"/>
  <c r="AI35" i="2"/>
  <c r="AJ23" i="2"/>
  <c r="AC26" i="2"/>
  <c r="AI34" i="2" l="1"/>
  <c r="AJ24" i="2"/>
  <c r="AJ35" i="2"/>
  <c r="AJ34" i="2"/>
  <c r="AD18" i="2" l="1"/>
  <c r="AD36" i="2"/>
  <c r="AD26" i="2" l="1"/>
  <c r="AD38" i="2"/>
  <c r="AE14" i="2" l="1"/>
  <c r="AE16" i="2" s="1"/>
  <c r="AE17" i="2" s="1"/>
  <c r="AE36" i="2" l="1"/>
  <c r="AE18" i="2" l="1"/>
  <c r="AE26" i="2" l="1"/>
  <c r="AE38" i="2"/>
  <c r="AF14" i="2" s="1"/>
  <c r="AF16" i="2" s="1"/>
  <c r="AF17" i="2" s="1"/>
  <c r="AF36" i="2" l="1"/>
  <c r="AF18" i="2" l="1"/>
  <c r="AF26" i="2" l="1"/>
  <c r="AF38" i="2"/>
  <c r="AG14" i="2" s="1"/>
  <c r="AG16" i="2" s="1"/>
  <c r="AG17" i="2" s="1"/>
  <c r="AG18" i="2" l="1"/>
  <c r="AG36" i="2"/>
  <c r="AG26" i="2" l="1"/>
  <c r="AG38" i="2"/>
  <c r="AH14" i="2" l="1"/>
  <c r="AH16" i="2" s="1"/>
  <c r="AH17" i="2" s="1"/>
  <c r="AH18" i="2" l="1"/>
  <c r="AH36" i="2"/>
  <c r="AH26" i="2" l="1"/>
  <c r="AH38" i="2"/>
  <c r="AI14" i="2" l="1"/>
  <c r="AI16" i="2" s="1"/>
  <c r="AI17" i="2" s="1"/>
  <c r="AI36" i="2" l="1"/>
  <c r="AI18" i="2" l="1"/>
  <c r="AI26" i="2" s="1"/>
  <c r="AI38" i="2" l="1"/>
  <c r="AJ14" i="2" l="1"/>
  <c r="AJ16" i="2" s="1"/>
  <c r="AJ17" i="2" l="1"/>
  <c r="AJ36" i="2" s="1"/>
  <c r="AJ18" i="2" l="1"/>
  <c r="AK18" i="2" s="1"/>
  <c r="AL18" i="2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AJ38" i="2"/>
  <c r="AJ26" i="2"/>
  <c r="AM41" i="2" l="1"/>
  <c r="AM44" i="2" s="1"/>
  <c r="AM47" i="2" s="1"/>
  <c r="AM49" i="2" s="1"/>
  <c r="U9" i="2"/>
  <c r="U35" i="2" l="1"/>
  <c r="U34" i="2"/>
  <c r="U18" i="2" l="1"/>
  <c r="U37" i="2" l="1"/>
  <c r="U26" i="2"/>
  <c r="U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tc={E1457FEB-92D7-2941-908C-238D9169F1D1}</author>
  </authors>
  <commentList>
    <comment ref="R7" authorId="0" shapeId="0" xr:uid="{E1457FEB-92D7-2941-908C-238D9169F1D1}">
      <text>
        <t>[Threaded comment]
Your version of Excel allows you to read this threaded comment; however, any edits to it will get removed if the file is opened in a newer version of Excel. Learn more: https://go.microsoft.com/fwlink/?linkid=870924
Comment:
    5882-6120 guide</t>
      </text>
    </comment>
  </commentList>
</comments>
</file>

<file path=xl/sharedStrings.xml><?xml version="1.0" encoding="utf-8"?>
<sst xmlns="http://schemas.openxmlformats.org/spreadsheetml/2006/main" count="141" uniqueCount="94">
  <si>
    <t>Model</t>
  </si>
  <si>
    <t>Type of Revenue</t>
  </si>
  <si>
    <t>Operating Segement</t>
  </si>
  <si>
    <t>Data Center</t>
  </si>
  <si>
    <t>Price</t>
  </si>
  <si>
    <t>Gaming</t>
  </si>
  <si>
    <t>Shares</t>
  </si>
  <si>
    <t>Q323</t>
  </si>
  <si>
    <t>Professional Visualization</t>
  </si>
  <si>
    <t>MC</t>
  </si>
  <si>
    <t>Automotive</t>
  </si>
  <si>
    <t>BlueField DPU</t>
  </si>
  <si>
    <t>Cash</t>
  </si>
  <si>
    <t>OEM and Other</t>
  </si>
  <si>
    <t>Quantum - supercomputer interconnect</t>
  </si>
  <si>
    <t>Debt</t>
  </si>
  <si>
    <t>Orin - autonomous driving</t>
  </si>
  <si>
    <t>EV</t>
  </si>
  <si>
    <t>Omniverse</t>
  </si>
  <si>
    <t>RTX 4090</t>
  </si>
  <si>
    <t>NVIDIA® H100 Tensor Core GPU - Hopper</t>
  </si>
  <si>
    <t>Quantum-2</t>
  </si>
  <si>
    <t> NVIDIA NeMo™ LLM and NVIDIA BioNeMo™ LLM</t>
  </si>
  <si>
    <t>NVIDIA OVX - Lovelace</t>
  </si>
  <si>
    <t>DLSS3</t>
  </si>
  <si>
    <t>GeForce NOW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</si>
  <si>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</si>
  <si>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</si>
  <si>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</si>
  <si>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</si>
  <si>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</si>
  <si>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</si>
  <si>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</si>
  <si>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</si>
  <si>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</si>
  <si>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</si>
  <si>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</si>
  <si>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</si>
  <si>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</si>
  <si>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</si>
  <si>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</si>
  <si>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</si>
  <si>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</si>
  <si>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Auto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</si>
  <si>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</si>
  <si>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</si>
  <si>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</si>
  <si>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</si>
  <si>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</si>
  <si>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</si>
  <si>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</si>
  <si>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</si>
  <si>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Other Income</t>
  </si>
  <si>
    <t>Pretax Income</t>
  </si>
  <si>
    <t>Taxes</t>
  </si>
  <si>
    <t>Net Income</t>
  </si>
  <si>
    <t>EPS</t>
  </si>
  <si>
    <t>Rev y/y</t>
  </si>
  <si>
    <t>R&amp;D y/y</t>
  </si>
  <si>
    <t>SG&amp;A y/y</t>
  </si>
  <si>
    <t>Net income y/y</t>
  </si>
  <si>
    <t>Data Center y/y</t>
  </si>
  <si>
    <t>Gaming y/y</t>
  </si>
  <si>
    <t>PV y/y</t>
  </si>
  <si>
    <t>Auto y/y</t>
  </si>
  <si>
    <t>OEM and Other y/y</t>
  </si>
  <si>
    <t>Operating margin</t>
  </si>
  <si>
    <t>Gross margin</t>
  </si>
  <si>
    <t>Tax Rate</t>
  </si>
  <si>
    <t>Net Cash</t>
  </si>
  <si>
    <t>Maturity</t>
  </si>
  <si>
    <t>Discount</t>
  </si>
  <si>
    <t>NPV</t>
  </si>
  <si>
    <t>Current</t>
  </si>
  <si>
    <t>ROIC</t>
  </si>
  <si>
    <t>EV/EBITDA</t>
  </si>
  <si>
    <t xml:space="preserve">EV </t>
  </si>
  <si>
    <t>Net</t>
  </si>
  <si>
    <t>PRICE</t>
  </si>
  <si>
    <t>Up/Down</t>
  </si>
  <si>
    <t>Share</t>
  </si>
  <si>
    <t>DC/Gaming y/y</t>
  </si>
  <si>
    <t>DC q/q</t>
  </si>
  <si>
    <t>Gaming q/q</t>
  </si>
  <si>
    <t>Bitcoin q/q</t>
  </si>
  <si>
    <t>Professional q/q</t>
  </si>
  <si>
    <t>PV q/q</t>
  </si>
  <si>
    <t>Auto q/q</t>
  </si>
  <si>
    <t>OEM and Other q/q</t>
  </si>
  <si>
    <t>2023 FY EBITDA</t>
  </si>
  <si>
    <t>Q224</t>
  </si>
  <si>
    <t>Profit Margin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</si>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</sst>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3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3" fontId="0" fillId="0" borderId="5" xfId="0" applyNumberFormat="1" applyBorder="1"/>
    <xf numFmtId="1" fontId="0" fillId="0" borderId="8" xfId="0" applyNumberFormat="1" applyBorder="1"/>
    <xf numFmtId="0" fontId="0" fillId="0" borderId="0" xfId="0" applyAlignment="1">
      <alignment horizontal="center"/>
    </xf>
    <xf numFmtId="10" fontId="0" fillId="0" borderId="0" xfId="0" applyNumberFormat="1"/>
    <xf numFmtId="1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6" xfId="0" applyNumberFormat="1" applyBorder="1"/>
    <xf numFmtId="0" fontId="0" fillId="2" borderId="0" xfId="0" applyFill="1"/>
    <xf numFmtId="0" fontId="0" fillId="3" borderId="0" xfId="0" applyFill="1"/>
    <xf numFmtId="0" fontId="0" fillId="4" borderId="10" xfId="0" applyFill="1" applyBorder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0" borderId="10" xfId="0" applyNumberFormat="1" applyBorder="1"/>
    <xf numFmtId="164" fontId="0" fillId="0" borderId="0" xfId="0" applyNumberFormat="1"/>
    <xf numFmtId="164" fontId="0" fillId="4" borderId="10" xfId="0" applyNumberFormat="1" applyFill="1" applyBorder="1"/>
    <xf numFmtId="164" fontId="0" fillId="4" borderId="0" xfId="0" applyNumberFormat="1" applyFill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5" borderId="0" xfId="0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Center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Graphs!$A$10:$B$10</c:f>
              <c:strCache>
                <c:ptCount val="2"/>
                <c:pt idx="0">
                  <c:v>DC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Graphs!$C$10:$Q$10</c:f>
              <c:numCache>
                <c:formatCode>0.00%</c:formatCode>
                <c:ptCount val="15"/>
                <c:pt idx="0">
                  <c:v>0.10839694656488552</c:v>
                </c:pt>
                <c:pt idx="1">
                  <c:v>0.33333333333333326</c:v>
                </c:pt>
                <c:pt idx="2">
                  <c:v>0.17871900826446274</c:v>
                </c:pt>
                <c:pt idx="3">
                  <c:v>0.5354951796669587</c:v>
                </c:pt>
                <c:pt idx="4">
                  <c:v>8.4474885844748826E-2</c:v>
                </c:pt>
                <c:pt idx="5">
                  <c:v>1.5789473684211242E-3</c:v>
                </c:pt>
                <c:pt idx="6">
                  <c:v>7.6195480819758243E-2</c:v>
                </c:pt>
                <c:pt idx="7">
                  <c:v>0.1552734375</c:v>
                </c:pt>
                <c:pt idx="8">
                  <c:v>0.24091293322062546</c:v>
                </c:pt>
                <c:pt idx="9">
                  <c:v>0.11137602179836503</c:v>
                </c:pt>
                <c:pt idx="10">
                  <c:v>0.14924915721728471</c:v>
                </c:pt>
                <c:pt idx="11">
                  <c:v>1.4933333333333243E-2</c:v>
                </c:pt>
                <c:pt idx="12">
                  <c:v>2.0231213872832443E-2</c:v>
                </c:pt>
                <c:pt idx="13">
                  <c:v>-6.8761267061550391E-2</c:v>
                </c:pt>
                <c:pt idx="14">
                  <c:v>0.18473451327433632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C-374C-8075-0E482EC97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958303"/>
        <c:axId val="1098024095"/>
      </c:barChart>
      <c:catAx>
        <c:axId val="10969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4095"/>
        <c:crosses val="autoZero"/>
        <c:auto val="1"/>
        <c:lblAlgn val="ctr"/>
        <c:lblOffset val="100"/>
        <c:noMultiLvlLbl val="0"/>
      </c:catAx>
      <c:valAx>
        <c:axId val="1098024095"/>
        <c:scaling>
          <c:orientation val="minMax"/>
          <c:max val="0.55000000000000004"/>
          <c:min val="-0.1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58303"/>
        <c:crosses val="max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Gaming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33587264068181E-2"/>
          <c:y val="0.11569339151491344"/>
          <c:w val="0.9239930906210958"/>
          <c:h val="0.8308876873895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Gaming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Graphs!$C$11:$Q$11</c:f>
              <c:numCache>
                <c:formatCode>0.00%</c:formatCode>
                <c:ptCount val="15"/>
                <c:pt idx="0">
                  <c:v>0.26351865955826348</c:v>
                </c:pt>
                <c:pt idx="1">
                  <c:v>-0.10126582278481011</c:v>
                </c:pt>
                <c:pt idx="2">
                  <c:v>-0.10194500335345402</c:v>
                </c:pt>
                <c:pt idx="3">
                  <c:v>0.23525018670649733</c:v>
                </c:pt>
                <c:pt idx="4">
                  <c:v>0.37303506650544138</c:v>
                </c:pt>
                <c:pt idx="5">
                  <c:v>9.8634962571554352E-2</c:v>
                </c:pt>
                <c:pt idx="6">
                  <c:v>0.10621242484969939</c:v>
                </c:pt>
                <c:pt idx="7">
                  <c:v>0.10905797101449277</c:v>
                </c:pt>
                <c:pt idx="8">
                  <c:v>5.2270499836654771E-2</c:v>
                </c:pt>
                <c:pt idx="9">
                  <c:v>6.1782055262340929E-2</c:v>
                </c:pt>
                <c:pt idx="10">
                  <c:v>5.8479532163742798E-2</c:v>
                </c:pt>
                <c:pt idx="11">
                  <c:v>-0.43591160220994474</c:v>
                </c:pt>
                <c:pt idx="12">
                  <c:v>-0.2291870714985309</c:v>
                </c:pt>
                <c:pt idx="13">
                  <c:v>0.1632782719186785</c:v>
                </c:pt>
                <c:pt idx="14">
                  <c:v>0.22337520480611683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D149-B5F9-C1C6918B3C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7722559"/>
        <c:axId val="1147632079"/>
      </c:barChart>
      <c:catAx>
        <c:axId val="11477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32079"/>
        <c:crosses val="autoZero"/>
        <c:auto val="1"/>
        <c:lblAlgn val="ctr"/>
        <c:lblOffset val="100"/>
        <c:noMultiLvlLbl val="0"/>
      </c:catAx>
      <c:valAx>
        <c:axId val="1147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818625</xdr:colOff>
      <xdr:row>0</xdr:row>
      <xdr:rowOff>0</xdr:rowOff>
    </xdr:from>
    <xdr:to>
      <xdr:col>21</xdr:col>
      <xdr:colOff>5825</xdr:colOff>
      <xdr:row>63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AB5541-5886-BA12-E666-4B596DCE4EA6}"/>
            </a:ext>
          </a:extLst>
        </xdr:cNvPr>
        <xdr:cNvCxnSpPr/>
      </xdr:nvCxnSpPr>
      <xdr:spPr>
        <a:xfrm flipH="1">
          <a:off x="18027708" y="0"/>
          <a:ext cx="26099" cy="12631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</xdr:colOff>
      <xdr:row>0</xdr:row>
      <xdr:rowOff>0</xdr:rowOff>
    </xdr:from>
    <xdr:to>
      <xdr:col>28</xdr:col>
      <xdr:colOff>38109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D7941BE-E838-EBA5-C27E-10D5BDBBF03B}"/>
            </a:ext>
          </a:extLst>
        </xdr:cNvPr>
        <xdr:cNvCxnSpPr/>
      </xdr:nvCxnSpPr>
      <xdr:spPr>
        <a:xfrm>
          <a:off x="20191844" y="0"/>
          <a:ext cx="38100" cy="126310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814458</xdr:colOff>
      <xdr:row>29</xdr:row>
      <xdr:rowOff>193260</xdr:rowOff>
    </xdr:from>
    <xdr:to>
      <xdr:col>22</xdr:col>
      <xdr:colOff>814458</xdr:colOff>
      <xdr:row>46</xdr:row>
      <xdr:rowOff>27606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E87E2-D7C3-EB4D-94F7-6E5E101F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819102</xdr:colOff>
      <xdr:row>46</xdr:row>
      <xdr:rowOff>13803</xdr:rowOff>
    </xdr:from>
    <xdr:to>
      <xdr:col>23</xdr:col>
      <xdr:colOff>0</xdr:colOff>
      <xdr:row>65</xdr:row>
      <xdr:rowOff>82823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7743F-1E7B-12C9-617A-77F84967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73177FFC-463D-CC4E-A6D6-8BC96BBFF532}" userId="S::jgarza25@illinois.edu::9792bea3-4872-461e-a1cc-52c9d9b6c1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dT="2023-02-11T18:25:23.09" personId="{73177FFC-463D-CC4E-A6D6-8BC96BBFF532}" id="{E1457FEB-92D7-2941-908C-238D9169F1D1}">
    <text>5882-6120 guide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D66D-F1D4-C54A-9CBD-B80601D9BB7D}">
  <dimension ref="A1:N19"/>
  <sheetViews>
    <sheetView workbookViewId="0">
      <selection activeCell="J27" sqref="J27"/>
    </sheetView>
  </sheetViews>
  <sheetFormatPr baseColWidth="10" defaultColWidth="11" defaultRowHeight="16" x14ac:dyDescent="0.2"/>
  <cols>
    <col min="1" max="1" width="6.33203125" bestFit="1" customWidth="1"/>
    <col min="2" max="2" width="22.5" bestFit="1" customWidth="1"/>
    <col min="3" max="3" width="18.33203125" bestFit="1" customWidth="1"/>
  </cols>
  <sheetData>
    <row r="1" spans="1:14" x14ac:dyDescent="0.2">
      <c r="A1" s="3" t="s">
        <v>0</v>
      </c>
      <c r="B1" s="2" t="s">
        <v>1</v>
      </c>
      <c r="C1" t="s">
        <v>2</v>
      </c>
    </row>
    <row r="2" spans="1:14" x14ac:dyDescent="0.2">
      <c r="B2" t="s">
        <v>3</v>
      </c>
      <c r="K2" t="s">
        <v>4</v>
      </c>
      <c r="L2">
        <v>387</v>
      </c>
    </row>
    <row r="3" spans="1:14" x14ac:dyDescent="0.2">
      <c r="B3" t="s">
        <v>5</v>
      </c>
      <c r="K3" t="s">
        <v>6</v>
      </c>
      <c r="L3" s="1">
        <v>2460</v>
      </c>
      <c r="N3" t="s">
        <v>7</v>
      </c>
    </row>
    <row r="4" spans="1:14" ht="24" x14ac:dyDescent="0.3">
      <c r="B4" t="s">
        <v>8</v>
      </c>
      <c r="D4" s="51"/>
      <c r="E4" s="51"/>
      <c r="F4" s="51"/>
      <c r="G4" s="51"/>
      <c r="K4" t="s">
        <v>9</v>
      </c>
      <c r="L4" s="1">
        <f>L3*L2</f>
        <v>952020</v>
      </c>
    </row>
    <row r="5" spans="1:14" ht="24" x14ac:dyDescent="0.3">
      <c r="B5" t="s">
        <v>10</v>
      </c>
      <c r="D5" s="52" t="s">
        <v>11</v>
      </c>
      <c r="E5" s="51"/>
      <c r="F5" s="51"/>
      <c r="G5" s="51"/>
      <c r="K5" t="s">
        <v>12</v>
      </c>
      <c r="L5" s="1">
        <f>2800+10343</f>
        <v>13143</v>
      </c>
    </row>
    <row r="6" spans="1:14" ht="24" x14ac:dyDescent="0.3">
      <c r="B6" t="s">
        <v>13</v>
      </c>
      <c r="D6" s="52" t="s">
        <v>14</v>
      </c>
      <c r="E6" s="51"/>
      <c r="F6" s="51"/>
      <c r="G6" s="51"/>
      <c r="K6" t="s">
        <v>15</v>
      </c>
      <c r="L6" s="1">
        <f>1249+9701</f>
        <v>10950</v>
      </c>
    </row>
    <row r="7" spans="1:14" ht="24" x14ac:dyDescent="0.3">
      <c r="D7" s="52" t="s">
        <v>16</v>
      </c>
      <c r="E7" s="51"/>
      <c r="F7" s="51"/>
      <c r="G7" s="51"/>
      <c r="K7" t="s">
        <v>17</v>
      </c>
      <c r="L7" s="1">
        <f>L4-L5+L6</f>
        <v>949827</v>
      </c>
    </row>
    <row r="8" spans="1:14" ht="24" x14ac:dyDescent="0.3">
      <c r="D8" s="52" t="s">
        <v>18</v>
      </c>
      <c r="E8" s="51"/>
      <c r="F8" s="51"/>
      <c r="G8" s="51"/>
    </row>
    <row r="9" spans="1:14" ht="24" x14ac:dyDescent="0.3">
      <c r="D9" s="52" t="s">
        <v>19</v>
      </c>
      <c r="E9" s="51"/>
      <c r="F9" s="51"/>
      <c r="G9" s="51"/>
    </row>
    <row r="10" spans="1:14" ht="24" x14ac:dyDescent="0.3">
      <c r="D10" s="52"/>
      <c r="E10" s="51"/>
      <c r="F10" s="51"/>
      <c r="G10" s="51"/>
    </row>
    <row r="11" spans="1:14" ht="24" x14ac:dyDescent="0.3">
      <c r="D11" s="52"/>
      <c r="E11" s="51"/>
      <c r="F11" s="51"/>
      <c r="G11" s="51"/>
    </row>
    <row r="12" spans="1:14" ht="24" x14ac:dyDescent="0.3">
      <c r="D12" s="52" t="s">
        <v>20</v>
      </c>
      <c r="E12" s="51"/>
      <c r="F12" s="51"/>
      <c r="G12" s="51"/>
    </row>
    <row r="13" spans="1:14" ht="24" x14ac:dyDescent="0.3">
      <c r="D13" s="52" t="s">
        <v>21</v>
      </c>
      <c r="E13" s="51"/>
      <c r="F13" s="51"/>
      <c r="G13" s="51"/>
    </row>
    <row r="14" spans="1:14" ht="24" x14ac:dyDescent="0.3">
      <c r="D14" s="52" t="s">
        <v>22</v>
      </c>
      <c r="E14" s="51"/>
      <c r="F14" s="51"/>
      <c r="G14" s="51"/>
    </row>
    <row r="15" spans="1:14" ht="24" x14ac:dyDescent="0.3">
      <c r="D15" s="52" t="s">
        <v>23</v>
      </c>
      <c r="E15" s="51"/>
      <c r="F15" s="51"/>
      <c r="G15" s="51"/>
    </row>
    <row r="16" spans="1:14" ht="24" x14ac:dyDescent="0.3">
      <c r="D16" s="52"/>
      <c r="E16" s="51"/>
      <c r="F16" s="51"/>
      <c r="G16" s="51"/>
    </row>
    <row r="17" spans="4:7" ht="24" x14ac:dyDescent="0.3">
      <c r="D17" s="52"/>
      <c r="E17" s="51"/>
      <c r="F17" s="51"/>
      <c r="G17" s="51"/>
    </row>
    <row r="18" spans="4:7" ht="24" x14ac:dyDescent="0.3">
      <c r="D18" s="52" t="s">
        <v>24</v>
      </c>
      <c r="E18" s="51"/>
      <c r="F18" s="51"/>
      <c r="G18" s="51"/>
    </row>
    <row r="19" spans="4:7" ht="24" x14ac:dyDescent="0.3">
      <c r="D19" s="52" t="s">
        <v>25</v>
      </c>
      <c r="E19" s="51"/>
      <c r="F19" s="51"/>
      <c r="G19" s="51"/>
    </row>
  </sheetData>
  <hyperlinks>
    <hyperlink ref="A1" location="Model!A1" display="Model" xr:uid="{E67219C2-B9A2-B64B-9B16-EA12043FE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3456-3EAB-5A48-8BF5-7C764E5BE38B}">
  <dimension ref="A1:EO61"/>
  <sheetViews>
    <sheetView tabSelected="1" zoomScale="109" zoomScaleNormal="90" workbookViewId="0">
      <pane xSplit="2" ySplit="1" topLeftCell="AA4" activePane="bottomRight" state="frozen"/>
      <selection pane="topRight" activeCell="C1" sqref="C1"/>
      <selection pane="bottomLeft" activeCell="A2" sqref="A2"/>
      <selection pane="bottomRight" activeCell="AG44" sqref="AG44"/>
    </sheetView>
  </sheetViews>
  <sheetFormatPr baseColWidth="10" defaultColWidth="11" defaultRowHeight="16" x14ac:dyDescent="0.2"/>
  <cols>
    <col min="1" max="1" width="5.33203125" bestFit="1" customWidth="1"/>
    <col min="2" max="2" width="22.5" bestFit="1" customWidth="1"/>
    <col min="17" max="17" width="10.83203125" style="4"/>
    <col min="26" max="26" width="9.1640625" customWidth="1"/>
    <col min="39" max="39" width="11.83203125" bestFit="1" customWidth="1"/>
    <col min="50" max="50" width="11.83203125" customWidth="1"/>
  </cols>
  <sheetData>
    <row r="1" spans="1:36" x14ac:dyDescent="0.2">
      <c r="A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s="4" t="s">
        <v>7</v>
      </c>
      <c r="R1" t="s">
        <v>41</v>
      </c>
      <c r="S1" t="s">
        <v>42</v>
      </c>
      <c r="T1" t="s">
        <v>90</v>
      </c>
      <c r="U1" t="s">
        <v>92</v>
      </c>
      <c r="V1" t="s">
        <v>93</v>
      </c>
      <c r="Y1">
        <v>2020</v>
      </c>
      <c r="Z1">
        <v>2021</v>
      </c>
      <c r="AA1">
        <f>Z1+1</f>
        <v>2022</v>
      </c>
      <c r="AB1">
        <f t="shared" ref="AB1:AJ1" si="0">AA1+1</f>
        <v>2023</v>
      </c>
      <c r="AC1">
        <f t="shared" si="0"/>
        <v>2024</v>
      </c>
      <c r="AD1">
        <f t="shared" si="0"/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</row>
    <row r="2" spans="1:36" x14ac:dyDescent="0.2">
      <c r="A2" s="3"/>
      <c r="B2" t="s">
        <v>3</v>
      </c>
      <c r="D2" s="4">
        <v>655</v>
      </c>
      <c r="E2" s="4">
        <v>726</v>
      </c>
      <c r="F2" s="4">
        <v>968</v>
      </c>
      <c r="G2" s="4">
        <v>1141</v>
      </c>
      <c r="H2" s="4">
        <v>1752</v>
      </c>
      <c r="I2" s="4">
        <v>1900</v>
      </c>
      <c r="J2" s="4">
        <v>1903</v>
      </c>
      <c r="K2" s="4">
        <v>2048</v>
      </c>
      <c r="L2" s="4">
        <v>2366</v>
      </c>
      <c r="M2" s="4">
        <v>2936</v>
      </c>
      <c r="N2" s="4">
        <v>3263</v>
      </c>
      <c r="O2" s="4">
        <v>3750</v>
      </c>
      <c r="P2" s="4">
        <v>3806</v>
      </c>
      <c r="Q2" s="4">
        <v>3883</v>
      </c>
      <c r="R2" s="4">
        <v>3616</v>
      </c>
      <c r="S2" s="4">
        <v>4284</v>
      </c>
      <c r="T2" s="4">
        <v>10323</v>
      </c>
      <c r="U2" s="4">
        <v>14514</v>
      </c>
      <c r="V2" s="4"/>
      <c r="W2" s="4"/>
      <c r="Z2" s="4">
        <f>SUM(G2:J2)</f>
        <v>6696</v>
      </c>
      <c r="AA2" s="4">
        <f>SUM(K2:N2)</f>
        <v>10613</v>
      </c>
      <c r="AB2" s="4">
        <f>SUM(O2:R2)</f>
        <v>15055</v>
      </c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3"/>
      <c r="B3" t="s">
        <v>5</v>
      </c>
      <c r="D3" s="4">
        <v>1313</v>
      </c>
      <c r="E3" s="4">
        <v>1659</v>
      </c>
      <c r="F3" s="4">
        <v>1491</v>
      </c>
      <c r="G3" s="4">
        <v>1339</v>
      </c>
      <c r="H3" s="4">
        <v>1654</v>
      </c>
      <c r="I3" s="4">
        <v>2271</v>
      </c>
      <c r="J3" s="4">
        <v>2495</v>
      </c>
      <c r="K3" s="4">
        <v>2760</v>
      </c>
      <c r="L3" s="4">
        <v>3061</v>
      </c>
      <c r="M3" s="4">
        <v>3221</v>
      </c>
      <c r="N3" s="4">
        <v>3420</v>
      </c>
      <c r="O3" s="4">
        <v>3620</v>
      </c>
      <c r="P3" s="4">
        <v>2042</v>
      </c>
      <c r="Q3" s="4">
        <v>1574</v>
      </c>
      <c r="R3" s="4">
        <v>1831</v>
      </c>
      <c r="S3" s="4">
        <v>2240</v>
      </c>
      <c r="T3" s="4">
        <v>2486</v>
      </c>
      <c r="U3" s="4">
        <v>2856</v>
      </c>
      <c r="V3" s="4"/>
      <c r="W3" s="4"/>
      <c r="Z3" s="4">
        <f t="shared" ref="Z3:Z6" si="1">SUM(G3:J3)</f>
        <v>7759</v>
      </c>
      <c r="AA3" s="4">
        <f t="shared" ref="AA3:AA6" si="2">SUM(K3:N3)</f>
        <v>12462</v>
      </c>
      <c r="AB3" s="4">
        <f t="shared" ref="AB3:AB6" si="3">SUM(O3:R3)</f>
        <v>9067</v>
      </c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3"/>
      <c r="B4" t="s">
        <v>8</v>
      </c>
      <c r="D4" s="4">
        <v>291</v>
      </c>
      <c r="E4" s="4">
        <v>324</v>
      </c>
      <c r="F4" s="4">
        <v>331</v>
      </c>
      <c r="G4" s="4">
        <v>307</v>
      </c>
      <c r="H4" s="4">
        <v>203</v>
      </c>
      <c r="I4" s="4">
        <v>236</v>
      </c>
      <c r="J4" s="4">
        <v>307</v>
      </c>
      <c r="K4" s="4">
        <v>372</v>
      </c>
      <c r="L4" s="4">
        <v>519</v>
      </c>
      <c r="M4" s="4">
        <v>577</v>
      </c>
      <c r="N4" s="4">
        <v>643</v>
      </c>
      <c r="O4" s="4">
        <v>622</v>
      </c>
      <c r="P4" s="4">
        <v>496</v>
      </c>
      <c r="Q4" s="4">
        <v>200</v>
      </c>
      <c r="R4" s="4">
        <v>226</v>
      </c>
      <c r="S4" s="4">
        <v>295</v>
      </c>
      <c r="T4" s="4">
        <v>379</v>
      </c>
      <c r="U4" s="4">
        <v>416</v>
      </c>
      <c r="V4" s="4"/>
      <c r="W4" s="4"/>
      <c r="Z4" s="4">
        <f t="shared" si="1"/>
        <v>1053</v>
      </c>
      <c r="AA4" s="4">
        <f t="shared" si="2"/>
        <v>2111</v>
      </c>
      <c r="AB4" s="4">
        <f t="shared" si="3"/>
        <v>1544</v>
      </c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3"/>
      <c r="B5" t="s">
        <v>43</v>
      </c>
      <c r="D5" s="4">
        <v>209</v>
      </c>
      <c r="E5" s="4">
        <v>162</v>
      </c>
      <c r="F5" s="4">
        <v>163</v>
      </c>
      <c r="G5" s="4">
        <v>155</v>
      </c>
      <c r="H5" s="4">
        <v>111</v>
      </c>
      <c r="I5" s="4">
        <v>125</v>
      </c>
      <c r="J5" s="4">
        <v>145</v>
      </c>
      <c r="K5" s="4">
        <v>154</v>
      </c>
      <c r="L5" s="4">
        <v>152</v>
      </c>
      <c r="M5" s="4">
        <v>135</v>
      </c>
      <c r="N5" s="4">
        <v>125</v>
      </c>
      <c r="O5" s="4">
        <v>138</v>
      </c>
      <c r="P5" s="4">
        <v>220</v>
      </c>
      <c r="Q5" s="4">
        <v>251</v>
      </c>
      <c r="R5" s="4">
        <v>294</v>
      </c>
      <c r="S5" s="4">
        <v>296</v>
      </c>
      <c r="T5" s="4">
        <v>253</v>
      </c>
      <c r="U5" s="4">
        <v>261</v>
      </c>
      <c r="V5" s="4"/>
      <c r="W5" s="4"/>
      <c r="Z5" s="4">
        <f t="shared" si="1"/>
        <v>536</v>
      </c>
      <c r="AA5" s="4">
        <f t="shared" si="2"/>
        <v>566</v>
      </c>
      <c r="AB5" s="4">
        <f t="shared" si="3"/>
        <v>903</v>
      </c>
      <c r="AC5" s="4"/>
      <c r="AD5" s="4"/>
      <c r="AE5" s="4"/>
      <c r="AF5" s="4"/>
      <c r="AG5" s="4"/>
      <c r="AH5" s="4"/>
      <c r="AI5" s="4"/>
      <c r="AJ5" s="4"/>
    </row>
    <row r="6" spans="1:36" x14ac:dyDescent="0.2">
      <c r="A6" s="3"/>
      <c r="B6" t="s">
        <v>13</v>
      </c>
      <c r="D6" s="4">
        <v>111</v>
      </c>
      <c r="E6" s="4">
        <v>143</v>
      </c>
      <c r="F6" s="4">
        <v>152</v>
      </c>
      <c r="G6" s="4">
        <v>138</v>
      </c>
      <c r="H6" s="4">
        <v>146</v>
      </c>
      <c r="I6" s="4">
        <v>194</v>
      </c>
      <c r="J6" s="4">
        <v>153</v>
      </c>
      <c r="K6" s="4">
        <v>327</v>
      </c>
      <c r="L6" s="4">
        <v>409</v>
      </c>
      <c r="M6" s="4">
        <v>234</v>
      </c>
      <c r="N6" s="4">
        <v>192</v>
      </c>
      <c r="O6" s="4">
        <v>158</v>
      </c>
      <c r="P6" s="4">
        <v>140</v>
      </c>
      <c r="Q6" s="4">
        <v>73</v>
      </c>
      <c r="R6" s="4">
        <v>84</v>
      </c>
      <c r="S6" s="4">
        <v>77</v>
      </c>
      <c r="T6" s="4">
        <v>66</v>
      </c>
      <c r="U6" s="4">
        <v>73</v>
      </c>
      <c r="V6" s="4"/>
      <c r="W6" s="4"/>
      <c r="Z6" s="4">
        <f t="shared" si="1"/>
        <v>631</v>
      </c>
      <c r="AA6" s="4">
        <f t="shared" si="2"/>
        <v>1162</v>
      </c>
      <c r="AB6" s="4">
        <f t="shared" si="3"/>
        <v>455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B7" s="2" t="s">
        <v>44</v>
      </c>
      <c r="C7" s="5">
        <v>2220</v>
      </c>
      <c r="D7" s="5">
        <f t="shared" ref="D7" si="4">SUM(D2:D6)</f>
        <v>2579</v>
      </c>
      <c r="E7" s="5">
        <f t="shared" ref="E7" si="5">SUM(E2:E6)</f>
        <v>3014</v>
      </c>
      <c r="F7" s="5">
        <f t="shared" ref="F7" si="6">SUM(F2:F6)</f>
        <v>3105</v>
      </c>
      <c r="G7" s="5">
        <f t="shared" ref="G7" si="7">SUM(G2:G6)</f>
        <v>3080</v>
      </c>
      <c r="H7" s="5">
        <f t="shared" ref="H7" si="8">SUM(H2:H6)</f>
        <v>3866</v>
      </c>
      <c r="I7" s="5">
        <f t="shared" ref="I7" si="9">SUM(I2:I6)</f>
        <v>4726</v>
      </c>
      <c r="J7" s="5">
        <f t="shared" ref="J7" si="10">SUM(J2:J6)</f>
        <v>5003</v>
      </c>
      <c r="K7" s="5">
        <f t="shared" ref="K7" si="11">SUM(K2:K6)</f>
        <v>5661</v>
      </c>
      <c r="L7" s="5">
        <f t="shared" ref="L7" si="12">SUM(L2:L6)</f>
        <v>6507</v>
      </c>
      <c r="M7" s="5">
        <f t="shared" ref="M7" si="13">SUM(M2:M6)</f>
        <v>7103</v>
      </c>
      <c r="N7" s="5">
        <f t="shared" ref="N7" si="14">SUM(N2:N6)</f>
        <v>7643</v>
      </c>
      <c r="O7" s="5">
        <f t="shared" ref="O7:Q7" si="15">SUM(O2:O6)</f>
        <v>8288</v>
      </c>
      <c r="P7" s="5">
        <f t="shared" si="15"/>
        <v>6704</v>
      </c>
      <c r="Q7" s="5">
        <f t="shared" si="15"/>
        <v>5981</v>
      </c>
      <c r="R7" s="5">
        <f>SUM(R2:R6)</f>
        <v>6051</v>
      </c>
      <c r="S7" s="5">
        <v>7192</v>
      </c>
      <c r="T7" s="5">
        <f>SUM(T2:T6)</f>
        <v>13507</v>
      </c>
      <c r="U7" s="5">
        <f t="shared" ref="U7" si="16">SUM(U2:U6)</f>
        <v>18120</v>
      </c>
      <c r="V7" s="2">
        <v>20000</v>
      </c>
      <c r="W7" s="2"/>
      <c r="Y7" s="5">
        <f>SUM(C7:F7)</f>
        <v>10918</v>
      </c>
      <c r="Z7" s="5">
        <f>SUM(Z2:Z6)</f>
        <v>16675</v>
      </c>
      <c r="AA7" s="5">
        <f t="shared" ref="AA7" si="17">SUM(AA2:AA6)</f>
        <v>26914</v>
      </c>
      <c r="AB7" s="5">
        <f>SUM(AB2:AB6)</f>
        <v>27024</v>
      </c>
      <c r="AC7" s="5">
        <f>SUM(S7:V7)</f>
        <v>58819</v>
      </c>
      <c r="AD7" s="5">
        <f>AC7*1.4</f>
        <v>82346.599999999991</v>
      </c>
      <c r="AE7" s="5">
        <f>AD7*1.35</f>
        <v>111167.90999999999</v>
      </c>
      <c r="AF7" s="5">
        <f>AE7*1.3</f>
        <v>144518.283</v>
      </c>
      <c r="AG7" s="5">
        <f>AF7*1.3</f>
        <v>187873.76790000001</v>
      </c>
      <c r="AH7" s="5">
        <f>AG7*1.2</f>
        <v>225448.52148</v>
      </c>
      <c r="AI7" s="5">
        <f t="shared" ref="AI7:AJ7" si="18">AH7*1.2</f>
        <v>270538.22577600001</v>
      </c>
      <c r="AJ7" s="5">
        <f t="shared" si="18"/>
        <v>324645.87093119998</v>
      </c>
    </row>
    <row r="8" spans="1:36" x14ac:dyDescent="0.2">
      <c r="B8" t="s">
        <v>45</v>
      </c>
      <c r="C8" s="4">
        <v>924</v>
      </c>
      <c r="D8" s="4">
        <v>1038</v>
      </c>
      <c r="E8" s="4">
        <v>1098</v>
      </c>
      <c r="F8" s="4">
        <v>1090</v>
      </c>
      <c r="G8" s="4">
        <v>1076</v>
      </c>
      <c r="H8" s="4">
        <v>1591</v>
      </c>
      <c r="I8" s="4">
        <v>1766</v>
      </c>
      <c r="J8" s="4">
        <v>1846</v>
      </c>
      <c r="K8" s="4">
        <v>2032</v>
      </c>
      <c r="L8" s="4">
        <v>2292</v>
      </c>
      <c r="M8" s="4">
        <v>2472</v>
      </c>
      <c r="N8" s="4">
        <v>2644</v>
      </c>
      <c r="O8" s="4">
        <v>2857</v>
      </c>
      <c r="P8" s="4">
        <v>3789</v>
      </c>
      <c r="Q8" s="4">
        <v>2754</v>
      </c>
      <c r="R8" s="4">
        <v>2218</v>
      </c>
      <c r="S8" s="4">
        <v>2544</v>
      </c>
      <c r="T8" s="4">
        <v>4045</v>
      </c>
      <c r="U8" s="4">
        <v>4720</v>
      </c>
      <c r="V8" s="4"/>
      <c r="W8" s="4"/>
      <c r="Y8" s="4">
        <f>SUM(C8:F8)</f>
        <v>4150</v>
      </c>
      <c r="Z8" s="4">
        <f>SUM(G8:J8)</f>
        <v>6279</v>
      </c>
      <c r="AA8" s="4">
        <f>SUM(K8:N8)</f>
        <v>9440</v>
      </c>
      <c r="AB8" s="4">
        <f>SUM(O8:R8)</f>
        <v>11618</v>
      </c>
      <c r="AC8" s="4"/>
      <c r="AD8" s="4"/>
      <c r="AE8" s="4"/>
      <c r="AF8" s="4"/>
      <c r="AG8" s="4"/>
      <c r="AH8" s="4"/>
      <c r="AI8" s="4"/>
      <c r="AJ8" s="4"/>
    </row>
    <row r="9" spans="1:36" x14ac:dyDescent="0.2">
      <c r="B9" t="s">
        <v>46</v>
      </c>
      <c r="C9" s="4">
        <f t="shared" ref="C9:Q9" si="19">C7-C8</f>
        <v>1296</v>
      </c>
      <c r="D9" s="4">
        <f t="shared" si="19"/>
        <v>1541</v>
      </c>
      <c r="E9" s="4">
        <f t="shared" si="19"/>
        <v>1916</v>
      </c>
      <c r="F9" s="4">
        <f t="shared" si="19"/>
        <v>2015</v>
      </c>
      <c r="G9" s="4">
        <f t="shared" si="19"/>
        <v>2004</v>
      </c>
      <c r="H9" s="4">
        <f t="shared" si="19"/>
        <v>2275</v>
      </c>
      <c r="I9" s="4">
        <f t="shared" si="19"/>
        <v>2960</v>
      </c>
      <c r="J9" s="4">
        <f t="shared" si="19"/>
        <v>3157</v>
      </c>
      <c r="K9" s="4">
        <f t="shared" si="19"/>
        <v>3629</v>
      </c>
      <c r="L9" s="4">
        <f t="shared" si="19"/>
        <v>4215</v>
      </c>
      <c r="M9" s="4">
        <f t="shared" si="19"/>
        <v>4631</v>
      </c>
      <c r="N9" s="4">
        <f t="shared" si="19"/>
        <v>4999</v>
      </c>
      <c r="O9" s="4">
        <f t="shared" si="19"/>
        <v>5431</v>
      </c>
      <c r="P9" s="4">
        <f t="shared" si="19"/>
        <v>2915</v>
      </c>
      <c r="Q9" s="4">
        <f t="shared" si="19"/>
        <v>3227</v>
      </c>
      <c r="R9" s="4">
        <f>R7-R8</f>
        <v>3833</v>
      </c>
      <c r="S9" s="4">
        <f>S7-S8</f>
        <v>4648</v>
      </c>
      <c r="T9" s="4">
        <f>T7-T8</f>
        <v>9462</v>
      </c>
      <c r="U9" s="4">
        <f>U7-U8</f>
        <v>13400</v>
      </c>
      <c r="V9" s="4">
        <f>V7*0.75</f>
        <v>15000</v>
      </c>
      <c r="W9" s="4"/>
      <c r="Y9" s="4">
        <f>Y7-Y8</f>
        <v>6768</v>
      </c>
      <c r="Z9" s="4">
        <f>Z7-Z8</f>
        <v>10396</v>
      </c>
      <c r="AA9" s="4">
        <f>AA7-AA8</f>
        <v>17474</v>
      </c>
      <c r="AB9" s="4">
        <f>AB7-AB8</f>
        <v>15406</v>
      </c>
      <c r="AC9" s="4">
        <f>AC7*0.74</f>
        <v>43526.06</v>
      </c>
      <c r="AD9" s="4">
        <f t="shared" ref="AD9:AJ9" si="20">AD7*0.74</f>
        <v>60936.483999999989</v>
      </c>
      <c r="AE9" s="4">
        <f t="shared" si="20"/>
        <v>82264.253399999987</v>
      </c>
      <c r="AF9" s="4">
        <f t="shared" si="20"/>
        <v>106943.52941999999</v>
      </c>
      <c r="AG9" s="4">
        <f t="shared" si="20"/>
        <v>139026.588246</v>
      </c>
      <c r="AH9" s="4">
        <f t="shared" si="20"/>
        <v>166831.90589520001</v>
      </c>
      <c r="AI9" s="4">
        <f t="shared" si="20"/>
        <v>200198.28707424001</v>
      </c>
      <c r="AJ9" s="4">
        <f t="shared" si="20"/>
        <v>240237.944489088</v>
      </c>
    </row>
    <row r="10" spans="1:36" x14ac:dyDescent="0.2">
      <c r="B10" t="s">
        <v>47</v>
      </c>
      <c r="C10" s="4">
        <v>674</v>
      </c>
      <c r="D10" s="4">
        <v>704</v>
      </c>
      <c r="E10" s="4">
        <v>712</v>
      </c>
      <c r="F10" s="4">
        <v>738</v>
      </c>
      <c r="G10" s="4">
        <v>735</v>
      </c>
      <c r="H10" s="4">
        <v>997</v>
      </c>
      <c r="I10" s="4">
        <v>1047</v>
      </c>
      <c r="J10" s="4">
        <v>1147</v>
      </c>
      <c r="K10" s="4">
        <v>1153</v>
      </c>
      <c r="L10" s="4">
        <v>1245</v>
      </c>
      <c r="M10" s="4">
        <v>1403</v>
      </c>
      <c r="N10" s="4">
        <v>1466</v>
      </c>
      <c r="O10" s="4">
        <v>1618</v>
      </c>
      <c r="P10" s="4">
        <v>1824</v>
      </c>
      <c r="Q10" s="4">
        <v>1945</v>
      </c>
      <c r="R10" s="4">
        <v>1951</v>
      </c>
      <c r="S10" s="4">
        <v>1875</v>
      </c>
      <c r="T10" s="4">
        <v>2040</v>
      </c>
      <c r="U10" s="4">
        <v>2294</v>
      </c>
      <c r="V10" s="4"/>
      <c r="W10" s="4"/>
      <c r="Y10" s="4">
        <f t="shared" ref="Y10:Y11" si="21">SUM(C10:F10)</f>
        <v>2828</v>
      </c>
      <c r="Z10" s="4">
        <f t="shared" ref="Z10:Z11" si="22">SUM(G10:J10)</f>
        <v>3926</v>
      </c>
      <c r="AA10" s="4">
        <f>SUM(K10:N10)</f>
        <v>5267</v>
      </c>
      <c r="AB10" s="4">
        <f>SUM(O10:R10)</f>
        <v>7338</v>
      </c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B11" t="s">
        <v>48</v>
      </c>
      <c r="C11" s="4">
        <v>264</v>
      </c>
      <c r="D11" s="4">
        <v>266</v>
      </c>
      <c r="E11" s="4">
        <v>277</v>
      </c>
      <c r="F11" s="4">
        <v>287</v>
      </c>
      <c r="G11" s="4">
        <v>293</v>
      </c>
      <c r="H11" s="4">
        <v>627</v>
      </c>
      <c r="I11" s="4">
        <v>515</v>
      </c>
      <c r="J11" s="4">
        <v>503</v>
      </c>
      <c r="K11" s="4">
        <v>520</v>
      </c>
      <c r="L11" s="4">
        <v>526</v>
      </c>
      <c r="M11" s="4">
        <v>557</v>
      </c>
      <c r="N11" s="4">
        <v>563</v>
      </c>
      <c r="O11" s="4">
        <v>592</v>
      </c>
      <c r="P11" s="4">
        <v>592</v>
      </c>
      <c r="Q11" s="4">
        <v>631</v>
      </c>
      <c r="R11" s="4">
        <v>625</v>
      </c>
      <c r="S11" s="4">
        <v>633</v>
      </c>
      <c r="T11" s="4">
        <v>622</v>
      </c>
      <c r="U11" s="4">
        <v>689</v>
      </c>
      <c r="V11" s="4"/>
      <c r="W11" s="4"/>
      <c r="Y11" s="4">
        <f t="shared" si="21"/>
        <v>1094</v>
      </c>
      <c r="Z11" s="4">
        <f t="shared" si="22"/>
        <v>1938</v>
      </c>
      <c r="AA11" s="4">
        <f>SUM(K11:N11)</f>
        <v>2166</v>
      </c>
      <c r="AB11" s="4">
        <f>SUM(O11:R11)</f>
        <v>2440</v>
      </c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B12" t="s">
        <v>49</v>
      </c>
      <c r="C12" s="4">
        <f t="shared" ref="C12:Q12" si="23">C11+C10</f>
        <v>938</v>
      </c>
      <c r="D12" s="4">
        <f t="shared" si="23"/>
        <v>970</v>
      </c>
      <c r="E12" s="4">
        <f t="shared" si="23"/>
        <v>989</v>
      </c>
      <c r="F12" s="4">
        <f t="shared" si="23"/>
        <v>1025</v>
      </c>
      <c r="G12" s="4">
        <f t="shared" si="23"/>
        <v>1028</v>
      </c>
      <c r="H12" s="4">
        <f t="shared" si="23"/>
        <v>1624</v>
      </c>
      <c r="I12" s="4">
        <f t="shared" si="23"/>
        <v>1562</v>
      </c>
      <c r="J12" s="4">
        <f t="shared" si="23"/>
        <v>1650</v>
      </c>
      <c r="K12" s="4">
        <f t="shared" si="23"/>
        <v>1673</v>
      </c>
      <c r="L12" s="4">
        <f t="shared" si="23"/>
        <v>1771</v>
      </c>
      <c r="M12" s="4">
        <f t="shared" si="23"/>
        <v>1960</v>
      </c>
      <c r="N12" s="4">
        <f t="shared" si="23"/>
        <v>2029</v>
      </c>
      <c r="O12" s="4">
        <f t="shared" si="23"/>
        <v>2210</v>
      </c>
      <c r="P12" s="4">
        <f t="shared" si="23"/>
        <v>2416</v>
      </c>
      <c r="Q12" s="4">
        <f t="shared" si="23"/>
        <v>2576</v>
      </c>
      <c r="R12" s="4">
        <f>R11+R10</f>
        <v>2576</v>
      </c>
      <c r="S12" s="4">
        <f>S11+S10</f>
        <v>2508</v>
      </c>
      <c r="T12" s="4">
        <f>T11+T10</f>
        <v>2662</v>
      </c>
      <c r="U12" s="4">
        <f>U11+U10</f>
        <v>2983</v>
      </c>
      <c r="V12" s="4">
        <v>3200</v>
      </c>
      <c r="W12" s="4"/>
      <c r="Y12" s="4">
        <f>Y11+Y10</f>
        <v>3922</v>
      </c>
      <c r="Z12" s="4">
        <f>Z10+Z11</f>
        <v>5864</v>
      </c>
      <c r="AA12" s="4">
        <f>AA11+AA10</f>
        <v>7433</v>
      </c>
      <c r="AB12" s="4">
        <f>AB10+AB11</f>
        <v>9778</v>
      </c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B13" t="s">
        <v>50</v>
      </c>
      <c r="C13" s="4">
        <f t="shared" ref="C13:R13" si="24">C9-C12</f>
        <v>358</v>
      </c>
      <c r="D13" s="4">
        <f t="shared" si="24"/>
        <v>571</v>
      </c>
      <c r="E13" s="4">
        <f t="shared" si="24"/>
        <v>927</v>
      </c>
      <c r="F13" s="4">
        <f t="shared" si="24"/>
        <v>990</v>
      </c>
      <c r="G13" s="4">
        <f t="shared" si="24"/>
        <v>976</v>
      </c>
      <c r="H13" s="4">
        <f t="shared" si="24"/>
        <v>651</v>
      </c>
      <c r="I13" s="4">
        <f t="shared" si="24"/>
        <v>1398</v>
      </c>
      <c r="J13" s="4">
        <f t="shared" si="24"/>
        <v>1507</v>
      </c>
      <c r="K13" s="4">
        <f t="shared" si="24"/>
        <v>1956</v>
      </c>
      <c r="L13" s="4">
        <f t="shared" si="24"/>
        <v>2444</v>
      </c>
      <c r="M13" s="4">
        <f t="shared" si="24"/>
        <v>2671</v>
      </c>
      <c r="N13" s="4">
        <f t="shared" si="24"/>
        <v>2970</v>
      </c>
      <c r="O13" s="4">
        <f t="shared" si="24"/>
        <v>3221</v>
      </c>
      <c r="P13" s="4">
        <f t="shared" si="24"/>
        <v>499</v>
      </c>
      <c r="Q13" s="4">
        <f t="shared" si="24"/>
        <v>651</v>
      </c>
      <c r="R13" s="4">
        <f t="shared" si="24"/>
        <v>1257</v>
      </c>
      <c r="S13" s="4">
        <f>S9-S12</f>
        <v>2140</v>
      </c>
      <c r="T13" s="4">
        <f t="shared" ref="T13:V13" si="25">T9-T12</f>
        <v>6800</v>
      </c>
      <c r="U13" s="4">
        <f t="shared" si="25"/>
        <v>10417</v>
      </c>
      <c r="V13" s="4">
        <f>V9-V12</f>
        <v>11800</v>
      </c>
      <c r="W13" s="4"/>
      <c r="Y13" s="4">
        <f>Y9-Y12</f>
        <v>2846</v>
      </c>
      <c r="Z13" s="4">
        <f>Z9-Z12</f>
        <v>4532</v>
      </c>
      <c r="AA13" s="4">
        <f>AA9-AA12</f>
        <v>10041</v>
      </c>
      <c r="AB13" s="4">
        <f>AB9-AB12</f>
        <v>5628</v>
      </c>
      <c r="AC13" s="4">
        <f>AC7*0.58</f>
        <v>34115.019999999997</v>
      </c>
      <c r="AD13" s="4">
        <f t="shared" ref="AD13:AJ13" si="26">AD7*0.58</f>
        <v>47761.027999999991</v>
      </c>
      <c r="AE13" s="4">
        <f t="shared" si="26"/>
        <v>64477.38779999999</v>
      </c>
      <c r="AF13" s="4">
        <f t="shared" si="26"/>
        <v>83820.604139999996</v>
      </c>
      <c r="AG13" s="4">
        <f t="shared" si="26"/>
        <v>108966.785382</v>
      </c>
      <c r="AH13" s="4">
        <f t="shared" si="26"/>
        <v>130760.14245839999</v>
      </c>
      <c r="AI13" s="4">
        <f t="shared" si="26"/>
        <v>156912.17095008001</v>
      </c>
      <c r="AJ13" s="4">
        <f t="shared" si="26"/>
        <v>188294.60514009598</v>
      </c>
    </row>
    <row r="14" spans="1:36" x14ac:dyDescent="0.2">
      <c r="B14" t="s">
        <v>51</v>
      </c>
      <c r="C14" s="4">
        <f>44-13</f>
        <v>31</v>
      </c>
      <c r="D14" s="4">
        <f>47-13</f>
        <v>34</v>
      </c>
      <c r="E14" s="4">
        <f>45-13</f>
        <v>32</v>
      </c>
      <c r="F14" s="4">
        <f>41-12</f>
        <v>29</v>
      </c>
      <c r="G14" s="4">
        <f>31-25</f>
        <v>6</v>
      </c>
      <c r="H14" s="4">
        <f>13-54</f>
        <v>-41</v>
      </c>
      <c r="I14" s="4">
        <f>7-53</f>
        <v>-46</v>
      </c>
      <c r="J14" s="4">
        <f>6-53</f>
        <v>-47</v>
      </c>
      <c r="K14" s="4">
        <f>6-53</f>
        <v>-47</v>
      </c>
      <c r="L14" s="4">
        <f>6-60</f>
        <v>-54</v>
      </c>
      <c r="M14" s="4">
        <f>7-62</f>
        <v>-55</v>
      </c>
      <c r="N14" s="4">
        <f>9-61</f>
        <v>-52</v>
      </c>
      <c r="O14" s="4">
        <f>18-68</f>
        <v>-50</v>
      </c>
      <c r="P14" s="4">
        <f>46-65</f>
        <v>-19</v>
      </c>
      <c r="Q14" s="4">
        <f>88-65</f>
        <v>23</v>
      </c>
      <c r="R14" s="4">
        <f>115-65</f>
        <v>50</v>
      </c>
      <c r="S14" s="4">
        <v>150</v>
      </c>
      <c r="T14" s="4">
        <f>187-65</f>
        <v>122</v>
      </c>
      <c r="U14" s="4">
        <f>234-63</f>
        <v>171</v>
      </c>
      <c r="V14" s="4">
        <f>234-63</f>
        <v>171</v>
      </c>
      <c r="W14" s="4"/>
      <c r="Y14" s="4">
        <f t="shared" ref="Y14:Y17" si="27">SUM(C14:F14)</f>
        <v>126</v>
      </c>
      <c r="Z14" s="4">
        <f t="shared" ref="Z14:Z17" si="28">SUM(G14:J14)</f>
        <v>-128</v>
      </c>
      <c r="AA14" s="4">
        <f>SUM(K14:N14)</f>
        <v>-208</v>
      </c>
      <c r="AB14" s="4"/>
      <c r="AC14" s="4">
        <f>AB38*$AM$42</f>
        <v>99.21</v>
      </c>
      <c r="AD14" s="4">
        <f>AC38*$AM$42</f>
        <v>971.67286499999989</v>
      </c>
      <c r="AE14" s="4">
        <f t="shared" ref="AE14:AI14" si="29">AD38*$AM$42</f>
        <v>2214.3567370574997</v>
      </c>
      <c r="AF14" s="4">
        <f t="shared" si="29"/>
        <v>3914.9962227524652</v>
      </c>
      <c r="AG14" s="4">
        <f t="shared" si="29"/>
        <v>6152.2540320026537</v>
      </c>
      <c r="AH14" s="4">
        <f t="shared" si="29"/>
        <v>9087.7895370597216</v>
      </c>
      <c r="AI14" s="4">
        <f t="shared" si="29"/>
        <v>12653.911802943943</v>
      </c>
      <c r="AJ14" s="4">
        <f>AI38*$AM$42</f>
        <v>16977.846913146055</v>
      </c>
    </row>
    <row r="15" spans="1:36" x14ac:dyDescent="0.2">
      <c r="B15" t="s">
        <v>52</v>
      </c>
      <c r="C15" s="4">
        <v>0</v>
      </c>
      <c r="D15" s="4">
        <v>1</v>
      </c>
      <c r="E15" s="4">
        <v>0</v>
      </c>
      <c r="F15" s="4">
        <v>-3</v>
      </c>
      <c r="G15" s="4">
        <v>-1</v>
      </c>
      <c r="H15" s="4">
        <v>-1</v>
      </c>
      <c r="I15" s="4">
        <v>-4</v>
      </c>
      <c r="J15" s="4">
        <v>10</v>
      </c>
      <c r="K15" s="4">
        <v>135</v>
      </c>
      <c r="L15" s="4">
        <v>4</v>
      </c>
      <c r="M15" s="4">
        <v>22</v>
      </c>
      <c r="N15" s="4">
        <v>-53</v>
      </c>
      <c r="O15" s="4">
        <f>-13</f>
        <v>-13</v>
      </c>
      <c r="P15" s="4">
        <v>-5</v>
      </c>
      <c r="Q15" s="4">
        <v>-11</v>
      </c>
      <c r="R15" s="4">
        <v>-18</v>
      </c>
      <c r="S15" s="4">
        <f>-66-15</f>
        <v>-81</v>
      </c>
      <c r="T15" s="4">
        <v>59</v>
      </c>
      <c r="U15" s="4">
        <v>-66</v>
      </c>
      <c r="V15" s="4"/>
      <c r="W15" s="4"/>
      <c r="Y15" s="4">
        <f t="shared" si="27"/>
        <v>-2</v>
      </c>
      <c r="Z15" s="4">
        <f t="shared" si="28"/>
        <v>4</v>
      </c>
      <c r="AA15" s="4">
        <f>SUM(K15:N15)</f>
        <v>108</v>
      </c>
      <c r="AB15" s="4">
        <f>SUM(O15:R15)</f>
        <v>-47</v>
      </c>
    </row>
    <row r="16" spans="1:36" x14ac:dyDescent="0.2">
      <c r="B16" t="s">
        <v>53</v>
      </c>
      <c r="C16" s="4">
        <f t="shared" ref="C16:R16" si="30">C13+C14+C15</f>
        <v>389</v>
      </c>
      <c r="D16" s="4">
        <f t="shared" si="30"/>
        <v>606</v>
      </c>
      <c r="E16" s="4">
        <f t="shared" si="30"/>
        <v>959</v>
      </c>
      <c r="F16" s="4">
        <f t="shared" si="30"/>
        <v>1016</v>
      </c>
      <c r="G16" s="4">
        <f t="shared" si="30"/>
        <v>981</v>
      </c>
      <c r="H16" s="4">
        <f t="shared" si="30"/>
        <v>609</v>
      </c>
      <c r="I16" s="4">
        <f t="shared" si="30"/>
        <v>1348</v>
      </c>
      <c r="J16" s="4">
        <f t="shared" si="30"/>
        <v>1470</v>
      </c>
      <c r="K16" s="4">
        <f t="shared" si="30"/>
        <v>2044</v>
      </c>
      <c r="L16" s="4">
        <f t="shared" si="30"/>
        <v>2394</v>
      </c>
      <c r="M16" s="4">
        <f t="shared" si="30"/>
        <v>2638</v>
      </c>
      <c r="N16" s="4">
        <f t="shared" si="30"/>
        <v>2865</v>
      </c>
      <c r="O16" s="4">
        <f t="shared" si="30"/>
        <v>3158</v>
      </c>
      <c r="P16" s="4">
        <f t="shared" si="30"/>
        <v>475</v>
      </c>
      <c r="Q16" s="4">
        <f t="shared" si="30"/>
        <v>663</v>
      </c>
      <c r="R16" s="4">
        <f t="shared" si="30"/>
        <v>1289</v>
      </c>
      <c r="S16" s="4">
        <f t="shared" ref="S16" si="31">S13+S14+S15</f>
        <v>2209</v>
      </c>
      <c r="T16" s="4">
        <f>T13+T14+T15</f>
        <v>6981</v>
      </c>
      <c r="U16" s="4">
        <f>U13+U14+U15</f>
        <v>10522</v>
      </c>
      <c r="V16" s="4">
        <f>V13+V14+V15</f>
        <v>11971</v>
      </c>
      <c r="W16" s="4"/>
      <c r="Y16" s="4">
        <f>Y13+Y14+Y15</f>
        <v>2970</v>
      </c>
      <c r="Z16" s="4">
        <f>Z13+Z14+Z15</f>
        <v>4408</v>
      </c>
      <c r="AA16" s="4">
        <f>AA13+AA14+AA15</f>
        <v>9941</v>
      </c>
      <c r="AB16" s="4">
        <f>AB13+AB14+AB15</f>
        <v>5581</v>
      </c>
      <c r="AC16" s="4">
        <f>AC13+AC14+AC15</f>
        <v>34214.229999999996</v>
      </c>
      <c r="AD16" s="4">
        <f t="shared" ref="AD16:AJ16" si="32">AD13+AD14+AD15</f>
        <v>48732.700864999992</v>
      </c>
      <c r="AE16" s="4">
        <f t="shared" si="32"/>
        <v>66691.744537057486</v>
      </c>
      <c r="AF16" s="4">
        <f t="shared" si="32"/>
        <v>87735.600362752462</v>
      </c>
      <c r="AG16" s="4">
        <f t="shared" si="32"/>
        <v>115119.03941400266</v>
      </c>
      <c r="AH16" s="4">
        <f t="shared" si="32"/>
        <v>139847.93199545972</v>
      </c>
      <c r="AI16" s="4">
        <f t="shared" si="32"/>
        <v>169566.08275302395</v>
      </c>
      <c r="AJ16" s="4">
        <f t="shared" si="32"/>
        <v>205272.45205324204</v>
      </c>
    </row>
    <row r="17" spans="2:145" x14ac:dyDescent="0.2">
      <c r="B17" t="s">
        <v>54</v>
      </c>
      <c r="C17" s="4">
        <v>-5</v>
      </c>
      <c r="D17" s="4">
        <v>54</v>
      </c>
      <c r="E17" s="4">
        <v>60</v>
      </c>
      <c r="F17" s="4">
        <v>66</v>
      </c>
      <c r="G17" s="4">
        <v>64</v>
      </c>
      <c r="H17" s="4">
        <v>-13</v>
      </c>
      <c r="I17" s="4">
        <v>12</v>
      </c>
      <c r="J17" s="4">
        <v>13</v>
      </c>
      <c r="K17" s="4">
        <v>132</v>
      </c>
      <c r="L17" s="4">
        <v>20</v>
      </c>
      <c r="M17" s="4">
        <v>174</v>
      </c>
      <c r="N17" s="4">
        <f>-138</f>
        <v>-138</v>
      </c>
      <c r="O17" s="4">
        <v>187</v>
      </c>
      <c r="P17" s="4">
        <v>-181</v>
      </c>
      <c r="Q17" s="4">
        <v>-67</v>
      </c>
      <c r="R17" s="4">
        <v>-125</v>
      </c>
      <c r="S17" s="4">
        <v>166</v>
      </c>
      <c r="T17" s="4">
        <v>793</v>
      </c>
      <c r="U17" s="4">
        <v>1279</v>
      </c>
      <c r="V17" s="4">
        <f>V16*0.15</f>
        <v>1795.6499999999999</v>
      </c>
      <c r="W17" s="4"/>
      <c r="Y17" s="4">
        <f t="shared" si="27"/>
        <v>175</v>
      </c>
      <c r="Z17" s="4">
        <f t="shared" si="28"/>
        <v>76</v>
      </c>
      <c r="AA17" s="4">
        <f>SUM(K17:N17)</f>
        <v>188</v>
      </c>
      <c r="AB17" s="4">
        <f>SUM(O17:R17)</f>
        <v>-186</v>
      </c>
      <c r="AC17" s="4">
        <f>AC16*0.15</f>
        <v>5132.1344999999992</v>
      </c>
      <c r="AD17" s="4">
        <f t="shared" ref="AD17:AJ17" si="33">AD16*0.15</f>
        <v>7309.9051297499982</v>
      </c>
      <c r="AE17" s="4">
        <f t="shared" si="33"/>
        <v>10003.761680558622</v>
      </c>
      <c r="AF17" s="4">
        <f t="shared" si="33"/>
        <v>13160.340054412869</v>
      </c>
      <c r="AG17" s="4">
        <f t="shared" si="33"/>
        <v>17267.8559121004</v>
      </c>
      <c r="AH17" s="4">
        <f t="shared" si="33"/>
        <v>20977.189799318956</v>
      </c>
      <c r="AI17" s="4">
        <f t="shared" si="33"/>
        <v>25434.912412953592</v>
      </c>
      <c r="AJ17" s="4">
        <f t="shared" si="33"/>
        <v>30790.867807986306</v>
      </c>
    </row>
    <row r="18" spans="2:145" s="2" customFormat="1" x14ac:dyDescent="0.2">
      <c r="B18" s="2" t="s">
        <v>55</v>
      </c>
      <c r="C18" s="5">
        <f t="shared" ref="C18:R18" si="34">C16-C17</f>
        <v>394</v>
      </c>
      <c r="D18" s="5">
        <f t="shared" si="34"/>
        <v>552</v>
      </c>
      <c r="E18" s="5">
        <f t="shared" si="34"/>
        <v>899</v>
      </c>
      <c r="F18" s="5">
        <f t="shared" si="34"/>
        <v>950</v>
      </c>
      <c r="G18" s="5">
        <f t="shared" si="34"/>
        <v>917</v>
      </c>
      <c r="H18" s="5">
        <f t="shared" si="34"/>
        <v>622</v>
      </c>
      <c r="I18" s="5">
        <f t="shared" si="34"/>
        <v>1336</v>
      </c>
      <c r="J18" s="5">
        <f t="shared" si="34"/>
        <v>1457</v>
      </c>
      <c r="K18" s="5">
        <f t="shared" si="34"/>
        <v>1912</v>
      </c>
      <c r="L18" s="5">
        <f t="shared" si="34"/>
        <v>2374</v>
      </c>
      <c r="M18" s="5">
        <f t="shared" si="34"/>
        <v>2464</v>
      </c>
      <c r="N18" s="5">
        <f t="shared" si="34"/>
        <v>3003</v>
      </c>
      <c r="O18" s="5">
        <f t="shared" si="34"/>
        <v>2971</v>
      </c>
      <c r="P18" s="5">
        <f t="shared" si="34"/>
        <v>656</v>
      </c>
      <c r="Q18" s="5">
        <f t="shared" si="34"/>
        <v>730</v>
      </c>
      <c r="R18" s="5">
        <f t="shared" si="34"/>
        <v>1414</v>
      </c>
      <c r="S18" s="5">
        <f t="shared" ref="S18" si="35">S16-S17</f>
        <v>2043</v>
      </c>
      <c r="T18" s="5">
        <f>T16-T17</f>
        <v>6188</v>
      </c>
      <c r="U18" s="5">
        <f>U16-U17</f>
        <v>9243</v>
      </c>
      <c r="V18" s="5">
        <f>V16-V17</f>
        <v>10175.35</v>
      </c>
      <c r="W18" s="5"/>
      <c r="Y18" s="5">
        <f>Y16-Y17</f>
        <v>2795</v>
      </c>
      <c r="Z18" s="5">
        <f>Z16-Z17</f>
        <v>4332</v>
      </c>
      <c r="AA18" s="5">
        <f>AA16-AA17</f>
        <v>9753</v>
      </c>
      <c r="AB18" s="5">
        <f>AB16-AB17</f>
        <v>5767</v>
      </c>
      <c r="AC18" s="5">
        <f>AC16-AC17</f>
        <v>29082.095499999996</v>
      </c>
      <c r="AD18" s="5">
        <f t="shared" ref="AD18:AJ18" si="36">AD16-AD17</f>
        <v>41422.795735249994</v>
      </c>
      <c r="AE18" s="5">
        <f t="shared" si="36"/>
        <v>56687.982856498864</v>
      </c>
      <c r="AF18" s="5">
        <f t="shared" si="36"/>
        <v>74575.260308339595</v>
      </c>
      <c r="AG18" s="5">
        <f t="shared" si="36"/>
        <v>97851.183501902269</v>
      </c>
      <c r="AH18" s="5">
        <f t="shared" si="36"/>
        <v>118870.74219614075</v>
      </c>
      <c r="AI18" s="5">
        <f t="shared" si="36"/>
        <v>144131.17034007036</v>
      </c>
      <c r="AJ18" s="5">
        <f t="shared" si="36"/>
        <v>174481.58424525574</v>
      </c>
      <c r="AK18" s="5">
        <f>AJ18*(1+$AM$39)</f>
        <v>172736.76840280319</v>
      </c>
      <c r="AL18" s="5">
        <f t="shared" ref="AL18:BP18" si="37">AK18*(1+$AM$39)</f>
        <v>171009.40071877517</v>
      </c>
      <c r="AM18" s="5">
        <f t="shared" si="37"/>
        <v>169299.30671158741</v>
      </c>
      <c r="AN18" s="5">
        <f t="shared" si="37"/>
        <v>167606.31364447155</v>
      </c>
      <c r="AO18" s="5">
        <f t="shared" si="37"/>
        <v>165930.25050802683</v>
      </c>
      <c r="AP18" s="5">
        <f t="shared" si="37"/>
        <v>164270.94800294656</v>
      </c>
      <c r="AQ18" s="5">
        <f t="shared" si="37"/>
        <v>162628.23852291709</v>
      </c>
      <c r="AR18" s="5">
        <f t="shared" si="37"/>
        <v>161001.95613768793</v>
      </c>
      <c r="AS18" s="5">
        <f t="shared" si="37"/>
        <v>159391.93657631104</v>
      </c>
      <c r="AT18" s="5">
        <f t="shared" si="37"/>
        <v>157798.01721054793</v>
      </c>
      <c r="AU18" s="5">
        <f t="shared" si="37"/>
        <v>156220.03703844245</v>
      </c>
      <c r="AV18" s="5">
        <f t="shared" si="37"/>
        <v>154657.83666805801</v>
      </c>
      <c r="AW18" s="5">
        <f t="shared" si="37"/>
        <v>153111.25830137741</v>
      </c>
      <c r="AX18" s="5">
        <f t="shared" si="37"/>
        <v>151580.14571836364</v>
      </c>
      <c r="AY18" s="5">
        <f t="shared" si="37"/>
        <v>150064.34426118</v>
      </c>
      <c r="AZ18" s="5">
        <f t="shared" si="37"/>
        <v>148563.70081856821</v>
      </c>
      <c r="BA18" s="5">
        <f t="shared" si="37"/>
        <v>147078.06381038253</v>
      </c>
      <c r="BB18" s="5">
        <f t="shared" si="37"/>
        <v>145607.28317227869</v>
      </c>
      <c r="BC18" s="5">
        <f t="shared" si="37"/>
        <v>144151.2103405559</v>
      </c>
      <c r="BD18" s="5">
        <f t="shared" si="37"/>
        <v>142709.69823715035</v>
      </c>
      <c r="BE18" s="5">
        <f t="shared" si="37"/>
        <v>141282.60125477886</v>
      </c>
      <c r="BF18" s="5">
        <f t="shared" si="37"/>
        <v>139869.77524223106</v>
      </c>
      <c r="BG18" s="5">
        <f t="shared" si="37"/>
        <v>138471.07748980875</v>
      </c>
      <c r="BH18" s="5">
        <f t="shared" si="37"/>
        <v>137086.36671491066</v>
      </c>
      <c r="BI18" s="5">
        <f t="shared" si="37"/>
        <v>135715.50304776157</v>
      </c>
      <c r="BJ18" s="5">
        <f t="shared" si="37"/>
        <v>134358.34801728395</v>
      </c>
      <c r="BK18" s="5">
        <f t="shared" si="37"/>
        <v>133014.7645371111</v>
      </c>
      <c r="BL18" s="5">
        <f t="shared" si="37"/>
        <v>131684.61689173998</v>
      </c>
      <c r="BM18" s="5">
        <f t="shared" si="37"/>
        <v>130367.77072282258</v>
      </c>
      <c r="BN18" s="5">
        <f t="shared" si="37"/>
        <v>129064.09301559435</v>
      </c>
      <c r="BO18" s="5">
        <f t="shared" si="37"/>
        <v>127773.4520854384</v>
      </c>
      <c r="BP18" s="5">
        <f t="shared" si="37"/>
        <v>126495.71756458402</v>
      </c>
      <c r="BQ18" s="5">
        <f t="shared" ref="BQ18:CV18" si="38">BP18*(1+$AM$39)</f>
        <v>125230.76038893817</v>
      </c>
      <c r="BR18" s="5">
        <f t="shared" si="38"/>
        <v>123978.45278504879</v>
      </c>
      <c r="BS18" s="5">
        <f t="shared" si="38"/>
        <v>122738.66825719831</v>
      </c>
      <c r="BT18" s="5">
        <f t="shared" si="38"/>
        <v>121511.28157462632</v>
      </c>
      <c r="BU18" s="5">
        <f t="shared" si="38"/>
        <v>120296.16875888006</v>
      </c>
      <c r="BV18" s="5">
        <f t="shared" si="38"/>
        <v>119093.20707129125</v>
      </c>
      <c r="BW18" s="5">
        <f t="shared" si="38"/>
        <v>117902.27500057835</v>
      </c>
      <c r="BX18" s="5">
        <f t="shared" si="38"/>
        <v>116723.25225057256</v>
      </c>
      <c r="BY18" s="5">
        <f t="shared" si="38"/>
        <v>115556.01972806684</v>
      </c>
      <c r="BZ18" s="5">
        <f t="shared" si="38"/>
        <v>114400.45953078616</v>
      </c>
      <c r="CA18" s="5">
        <f t="shared" si="38"/>
        <v>113256.45493547829</v>
      </c>
      <c r="CB18" s="5">
        <f t="shared" si="38"/>
        <v>112123.89038612352</v>
      </c>
      <c r="CC18" s="5">
        <f t="shared" si="38"/>
        <v>111002.65148226228</v>
      </c>
      <c r="CD18" s="5">
        <f t="shared" si="38"/>
        <v>109892.62496743967</v>
      </c>
      <c r="CE18" s="5">
        <f t="shared" si="38"/>
        <v>108793.69871776528</v>
      </c>
      <c r="CF18" s="5">
        <f t="shared" si="38"/>
        <v>107705.76173058762</v>
      </c>
      <c r="CG18" s="5">
        <f t="shared" si="38"/>
        <v>106628.70411328174</v>
      </c>
      <c r="CH18" s="5">
        <f t="shared" si="38"/>
        <v>105562.41707214892</v>
      </c>
      <c r="CI18" s="5">
        <f t="shared" si="38"/>
        <v>104506.79290142743</v>
      </c>
      <c r="CJ18" s="5">
        <f t="shared" si="38"/>
        <v>103461.72497241315</v>
      </c>
      <c r="CK18" s="5">
        <f t="shared" si="38"/>
        <v>102427.10772268902</v>
      </c>
      <c r="CL18" s="5">
        <f t="shared" si="38"/>
        <v>101402.83664546213</v>
      </c>
      <c r="CM18" s="5">
        <f t="shared" si="38"/>
        <v>100388.80827900751</v>
      </c>
      <c r="CN18" s="5">
        <f t="shared" si="38"/>
        <v>99384.920196217441</v>
      </c>
      <c r="CO18" s="5">
        <f t="shared" si="38"/>
        <v>98391.070994255264</v>
      </c>
      <c r="CP18" s="5">
        <f t="shared" si="38"/>
        <v>97407.160284312704</v>
      </c>
      <c r="CQ18" s="5">
        <f t="shared" si="38"/>
        <v>96433.08868146957</v>
      </c>
      <c r="CR18" s="5">
        <f t="shared" si="38"/>
        <v>95468.75779465487</v>
      </c>
      <c r="CS18" s="5">
        <f t="shared" si="38"/>
        <v>94514.070216708322</v>
      </c>
      <c r="CT18" s="5">
        <f t="shared" si="38"/>
        <v>93568.929514541232</v>
      </c>
      <c r="CU18" s="5">
        <f t="shared" si="38"/>
        <v>92633.240219395826</v>
      </c>
      <c r="CV18" s="5">
        <f t="shared" si="38"/>
        <v>91706.907817201864</v>
      </c>
      <c r="CW18" s="5">
        <f t="shared" ref="CW18:EB18" si="39">CV18*(1+$AM$39)</f>
        <v>90789.838739029845</v>
      </c>
      <c r="CX18" s="5">
        <f t="shared" si="39"/>
        <v>89881.94035163954</v>
      </c>
      <c r="CY18" s="5">
        <f t="shared" si="39"/>
        <v>88983.120948123149</v>
      </c>
      <c r="CZ18" s="5">
        <f t="shared" si="39"/>
        <v>88093.289738641921</v>
      </c>
      <c r="DA18" s="5">
        <f t="shared" si="39"/>
        <v>87212.356841255503</v>
      </c>
      <c r="DB18" s="5">
        <f t="shared" si="39"/>
        <v>86340.233272842946</v>
      </c>
      <c r="DC18" s="5">
        <f t="shared" si="39"/>
        <v>85476.830940114523</v>
      </c>
      <c r="DD18" s="5">
        <f t="shared" si="39"/>
        <v>84622.062630713379</v>
      </c>
      <c r="DE18" s="5">
        <f t="shared" si="39"/>
        <v>83775.842004406251</v>
      </c>
      <c r="DF18" s="5">
        <f t="shared" si="39"/>
        <v>82938.08358436219</v>
      </c>
      <c r="DG18" s="5">
        <f t="shared" si="39"/>
        <v>82108.702748518568</v>
      </c>
      <c r="DH18" s="5">
        <f t="shared" si="39"/>
        <v>81287.615721033377</v>
      </c>
      <c r="DI18" s="5">
        <f t="shared" si="39"/>
        <v>80474.739563823037</v>
      </c>
      <c r="DJ18" s="5">
        <f t="shared" si="39"/>
        <v>79669.992168184806</v>
      </c>
      <c r="DK18" s="5">
        <f t="shared" si="39"/>
        <v>78873.292246502955</v>
      </c>
      <c r="DL18" s="5">
        <f t="shared" si="39"/>
        <v>78084.559324037924</v>
      </c>
      <c r="DM18" s="5">
        <f t="shared" si="39"/>
        <v>77303.71373079755</v>
      </c>
      <c r="DN18" s="5">
        <f t="shared" si="39"/>
        <v>76530.676593489567</v>
      </c>
      <c r="DO18" s="5">
        <f t="shared" si="39"/>
        <v>75765.369827554663</v>
      </c>
      <c r="DP18" s="5">
        <f t="shared" si="39"/>
        <v>75007.716129279113</v>
      </c>
      <c r="DQ18" s="5">
        <f t="shared" si="39"/>
        <v>74257.63896798632</v>
      </c>
      <c r="DR18" s="5">
        <f t="shared" si="39"/>
        <v>73515.062578306461</v>
      </c>
      <c r="DS18" s="5">
        <f t="shared" si="39"/>
        <v>72779.911952523398</v>
      </c>
      <c r="DT18" s="5">
        <f t="shared" si="39"/>
        <v>72052.112832998158</v>
      </c>
      <c r="DU18" s="5">
        <f t="shared" si="39"/>
        <v>71331.591704668172</v>
      </c>
      <c r="DV18" s="5">
        <f t="shared" si="39"/>
        <v>70618.275787621489</v>
      </c>
      <c r="DW18" s="5">
        <f t="shared" si="39"/>
        <v>69912.093029745272</v>
      </c>
      <c r="DX18" s="5">
        <f t="shared" si="39"/>
        <v>69212.972099447812</v>
      </c>
      <c r="DY18" s="5">
        <f t="shared" si="39"/>
        <v>68520.842378453337</v>
      </c>
      <c r="DZ18" s="5">
        <f t="shared" si="39"/>
        <v>67835.633954668796</v>
      </c>
      <c r="EA18" s="5">
        <f t="shared" si="39"/>
        <v>67157.277615122104</v>
      </c>
      <c r="EB18" s="5">
        <f t="shared" si="39"/>
        <v>66485.70483897088</v>
      </c>
      <c r="EC18" s="5">
        <f t="shared" ref="EC18:EO18" si="40">EB18*(1+$AM$39)</f>
        <v>65820.847790581174</v>
      </c>
      <c r="ED18" s="5">
        <f t="shared" si="40"/>
        <v>65162.639312675361</v>
      </c>
      <c r="EE18" s="5">
        <f t="shared" si="40"/>
        <v>64511.012919548608</v>
      </c>
      <c r="EF18" s="5">
        <f t="shared" si="40"/>
        <v>63865.902790353124</v>
      </c>
      <c r="EG18" s="5">
        <f t="shared" si="40"/>
        <v>63227.243762449594</v>
      </c>
      <c r="EH18" s="5">
        <f t="shared" si="40"/>
        <v>62594.971324825099</v>
      </c>
      <c r="EI18" s="5">
        <f t="shared" si="40"/>
        <v>61969.021611576849</v>
      </c>
      <c r="EJ18" s="5">
        <f t="shared" si="40"/>
        <v>61349.331395461079</v>
      </c>
      <c r="EK18" s="5">
        <f t="shared" si="40"/>
        <v>60735.838081506467</v>
      </c>
      <c r="EL18" s="5">
        <f t="shared" si="40"/>
        <v>60128.479700691401</v>
      </c>
      <c r="EM18" s="5">
        <f t="shared" si="40"/>
        <v>59527.194903684489</v>
      </c>
      <c r="EN18" s="5">
        <f t="shared" si="40"/>
        <v>58931.922954647642</v>
      </c>
      <c r="EO18" s="5">
        <f t="shared" si="40"/>
        <v>58342.603725101166</v>
      </c>
    </row>
    <row r="19" spans="2:14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4"/>
      <c r="Y19" s="4"/>
    </row>
    <row r="20" spans="2:145" s="2" customFormat="1" x14ac:dyDescent="0.2">
      <c r="B20" t="s">
        <v>56</v>
      </c>
      <c r="C20" s="1">
        <f t="shared" ref="C20:R20" si="41">C18/C21</f>
        <v>0.63961038961038963</v>
      </c>
      <c r="D20" s="1">
        <f t="shared" si="41"/>
        <v>0.89610389610389607</v>
      </c>
      <c r="E20" s="1">
        <f t="shared" si="41"/>
        <v>1.4546925566343043</v>
      </c>
      <c r="F20" s="1">
        <f t="shared" si="41"/>
        <v>1.5297906602254427</v>
      </c>
      <c r="G20" s="1">
        <f t="shared" si="41"/>
        <v>1.4742765273311897</v>
      </c>
      <c r="H20" s="1">
        <f t="shared" si="41"/>
        <v>0.24840255591054314</v>
      </c>
      <c r="I20" s="1">
        <f t="shared" si="41"/>
        <v>0.53015873015873016</v>
      </c>
      <c r="J20" s="1">
        <f t="shared" si="41"/>
        <v>0.57725832012678291</v>
      </c>
      <c r="K20" s="1">
        <f t="shared" si="41"/>
        <v>0.75632911392405067</v>
      </c>
      <c r="L20" s="1">
        <f t="shared" si="41"/>
        <v>0.93759873617693523</v>
      </c>
      <c r="M20" s="1">
        <f t="shared" si="41"/>
        <v>0.97084318360914101</v>
      </c>
      <c r="N20" s="1">
        <f t="shared" si="41"/>
        <v>1.1799607072691551</v>
      </c>
      <c r="O20" s="1">
        <f t="shared" si="41"/>
        <v>1.1710681907765077</v>
      </c>
      <c r="P20" s="1">
        <f t="shared" si="41"/>
        <v>0.26073131955484896</v>
      </c>
      <c r="Q20" s="1">
        <f t="shared" si="41"/>
        <v>0.29211684673869548</v>
      </c>
      <c r="R20" s="1">
        <f t="shared" si="41"/>
        <v>0.57085183689947516</v>
      </c>
      <c r="S20" s="1">
        <f t="shared" ref="S20:T20" si="42">S18/S21</f>
        <v>0.82048192771084338</v>
      </c>
      <c r="T20" s="1">
        <f t="shared" si="42"/>
        <v>2.4761904761904763</v>
      </c>
      <c r="U20" s="1">
        <f t="shared" ref="U20:V20" si="43">U18/U21</f>
        <v>3.7060946271050521</v>
      </c>
      <c r="V20" s="1">
        <f t="shared" si="43"/>
        <v>4.0864859437751004</v>
      </c>
      <c r="W20" s="1"/>
      <c r="Y20" s="7">
        <f>Y18/Y21</f>
        <v>4.5244840145690004</v>
      </c>
      <c r="Z20" s="7">
        <f>Z18/Z21</f>
        <v>2.1209302325581394</v>
      </c>
      <c r="AA20" s="7">
        <f>AA18/AA21</f>
        <v>3.8461993493049396</v>
      </c>
      <c r="AB20" s="7">
        <f>AB18/AB21</f>
        <v>2.3001296240901388</v>
      </c>
    </row>
    <row r="21" spans="2:145" x14ac:dyDescent="0.2">
      <c r="B21" t="s">
        <v>6</v>
      </c>
      <c r="C21" s="4">
        <v>616</v>
      </c>
      <c r="D21" s="4">
        <v>616</v>
      </c>
      <c r="E21" s="4">
        <v>618</v>
      </c>
      <c r="F21" s="4">
        <v>621</v>
      </c>
      <c r="G21" s="4">
        <v>622</v>
      </c>
      <c r="H21" s="4">
        <v>2504</v>
      </c>
      <c r="I21" s="4">
        <v>2520</v>
      </c>
      <c r="J21" s="4">
        <v>2524</v>
      </c>
      <c r="K21" s="4">
        <v>2528</v>
      </c>
      <c r="L21" s="4">
        <v>2532</v>
      </c>
      <c r="M21" s="4">
        <v>2538</v>
      </c>
      <c r="N21" s="4">
        <v>2545</v>
      </c>
      <c r="O21" s="4">
        <v>2537</v>
      </c>
      <c r="P21" s="4">
        <v>2516</v>
      </c>
      <c r="Q21" s="4">
        <v>2499</v>
      </c>
      <c r="R21" s="4">
        <v>2477</v>
      </c>
      <c r="S21" s="4">
        <v>2490</v>
      </c>
      <c r="T21" s="4">
        <v>2499</v>
      </c>
      <c r="U21" s="4">
        <v>2494</v>
      </c>
      <c r="V21" s="4">
        <v>2490</v>
      </c>
      <c r="W21" s="4"/>
      <c r="Y21" s="4">
        <f>AVERAGE(C21:F21)</f>
        <v>617.75</v>
      </c>
      <c r="Z21" s="4">
        <f>AVERAGE(G21:J21)</f>
        <v>2042.5</v>
      </c>
      <c r="AA21" s="4">
        <f>AVERAGE(K21:N21)</f>
        <v>2535.75</v>
      </c>
      <c r="AB21" s="4">
        <f>AVERAGE(O21:R21)</f>
        <v>2507.25</v>
      </c>
    </row>
    <row r="22" spans="2:14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4"/>
      <c r="S22" s="4"/>
      <c r="T22" s="4"/>
      <c r="U22" s="4"/>
      <c r="V22" s="4"/>
      <c r="W22" s="4"/>
      <c r="Y22" s="4"/>
      <c r="AB22" s="4"/>
    </row>
    <row r="23" spans="2:145" x14ac:dyDescent="0.2">
      <c r="B23" t="s">
        <v>57</v>
      </c>
      <c r="C23" s="4"/>
      <c r="D23" s="4"/>
      <c r="E23" s="4"/>
      <c r="F23" s="4"/>
      <c r="G23" s="6">
        <f t="shared" ref="G23:Q23" si="44">G7/C7-1</f>
        <v>0.38738738738738743</v>
      </c>
      <c r="H23" s="6">
        <f t="shared" si="44"/>
        <v>0.49903063202791786</v>
      </c>
      <c r="I23" s="6">
        <f t="shared" si="44"/>
        <v>0.56801592568015935</v>
      </c>
      <c r="J23" s="6">
        <f t="shared" si="44"/>
        <v>0.61127214170692423</v>
      </c>
      <c r="K23" s="6">
        <f t="shared" si="44"/>
        <v>0.83798701298701306</v>
      </c>
      <c r="L23" s="6">
        <f t="shared" si="44"/>
        <v>0.68313502327987585</v>
      </c>
      <c r="M23" s="6">
        <f t="shared" si="44"/>
        <v>0.50296233601354201</v>
      </c>
      <c r="N23" s="6">
        <f t="shared" si="44"/>
        <v>0.52768338996602049</v>
      </c>
      <c r="O23" s="6">
        <f t="shared" si="44"/>
        <v>0.46405228758169925</v>
      </c>
      <c r="P23" s="6">
        <f t="shared" si="44"/>
        <v>3.0275088366374714E-2</v>
      </c>
      <c r="Q23" s="6">
        <f t="shared" si="44"/>
        <v>-0.15796142475010555</v>
      </c>
      <c r="R23" s="6">
        <f>R7/N7-1</f>
        <v>-0.20829517205285886</v>
      </c>
      <c r="S23" s="6">
        <f>S7/O7-1</f>
        <v>-0.13223938223938225</v>
      </c>
      <c r="T23" s="6">
        <f>T7/P7-1</f>
        <v>1.0147673031026252</v>
      </c>
      <c r="U23" s="6">
        <f>U7/Q7-1</f>
        <v>2.0295937134258484</v>
      </c>
      <c r="V23" s="6"/>
      <c r="W23" s="6"/>
      <c r="Y23" s="4"/>
      <c r="Z23" s="6">
        <f t="shared" ref="Z23:AA23" si="45">Z7/Y7-1</f>
        <v>0.52729437625938824</v>
      </c>
      <c r="AA23" s="6">
        <f t="shared" si="45"/>
        <v>0.61403298350824587</v>
      </c>
      <c r="AB23" s="6">
        <f>AB7/AA7-1</f>
        <v>4.0870922196625248E-3</v>
      </c>
      <c r="AC23" s="6">
        <f t="shared" ref="AC23:AJ23" si="46">AC7/AB7-1</f>
        <v>1.1765467732386026</v>
      </c>
      <c r="AD23" s="6">
        <f t="shared" si="46"/>
        <v>0.39999999999999991</v>
      </c>
      <c r="AE23" s="6">
        <f t="shared" si="46"/>
        <v>0.35000000000000009</v>
      </c>
      <c r="AF23" s="6">
        <f t="shared" si="46"/>
        <v>0.30000000000000004</v>
      </c>
      <c r="AG23" s="6">
        <f t="shared" si="46"/>
        <v>0.30000000000000004</v>
      </c>
      <c r="AH23" s="6">
        <f t="shared" si="46"/>
        <v>0.19999999999999996</v>
      </c>
      <c r="AI23" s="6">
        <f t="shared" si="46"/>
        <v>0.19999999999999996</v>
      </c>
      <c r="AJ23" s="6">
        <f t="shared" si="46"/>
        <v>0.19999999999999996</v>
      </c>
    </row>
    <row r="24" spans="2:145" x14ac:dyDescent="0.2">
      <c r="B24" t="s">
        <v>58</v>
      </c>
      <c r="C24" s="4"/>
      <c r="D24" s="4"/>
      <c r="E24" s="4"/>
      <c r="F24" s="4"/>
      <c r="G24" s="6">
        <f t="shared" ref="G24:Q24" si="47">G10/C10-1</f>
        <v>9.0504451038575739E-2</v>
      </c>
      <c r="H24" s="6">
        <f t="shared" si="47"/>
        <v>0.41619318181818188</v>
      </c>
      <c r="I24" s="6">
        <f t="shared" si="47"/>
        <v>0.47050561797752799</v>
      </c>
      <c r="J24" s="6">
        <f t="shared" si="47"/>
        <v>0.55420054200542013</v>
      </c>
      <c r="K24" s="6">
        <f t="shared" si="47"/>
        <v>0.56870748299319729</v>
      </c>
      <c r="L24" s="6">
        <f t="shared" si="47"/>
        <v>0.24874623871614854</v>
      </c>
      <c r="M24" s="6">
        <f t="shared" si="47"/>
        <v>0.34001910219675269</v>
      </c>
      <c r="N24" s="6">
        <f t="shared" si="47"/>
        <v>0.27811682650392333</v>
      </c>
      <c r="O24" s="6">
        <f t="shared" si="47"/>
        <v>0.40329575021682573</v>
      </c>
      <c r="P24" s="6">
        <f t="shared" si="47"/>
        <v>0.46506024096385534</v>
      </c>
      <c r="Q24" s="6">
        <f t="shared" si="47"/>
        <v>0.38631503920171073</v>
      </c>
      <c r="R24" s="6">
        <f>R10/N10-1</f>
        <v>0.33083219645293305</v>
      </c>
      <c r="S24" s="6">
        <f>S10/O10-1</f>
        <v>0.15883807169344877</v>
      </c>
      <c r="T24" s="6">
        <f t="shared" ref="T24:U24" si="48">T10/P10-1</f>
        <v>0.11842105263157898</v>
      </c>
      <c r="U24" s="6">
        <f t="shared" si="48"/>
        <v>0.17943444730077118</v>
      </c>
      <c r="V24" s="6"/>
      <c r="W24" s="6"/>
      <c r="Y24" s="4"/>
      <c r="Z24" s="6">
        <f t="shared" ref="Z24:AA24" si="49">Z10/Y10-1</f>
        <v>0.38826025459688829</v>
      </c>
      <c r="AA24" s="6">
        <f t="shared" si="49"/>
        <v>0.34156902699949065</v>
      </c>
      <c r="AB24" s="6">
        <f>AB10/AA10-1</f>
        <v>0.3932029618378583</v>
      </c>
      <c r="AC24" s="6">
        <f t="shared" ref="AC24:AJ24" si="50">AC10/AB10-1</f>
        <v>-1</v>
      </c>
      <c r="AD24" s="6" t="e">
        <f t="shared" si="50"/>
        <v>#DIV/0!</v>
      </c>
      <c r="AE24" s="6" t="e">
        <f t="shared" si="50"/>
        <v>#DIV/0!</v>
      </c>
      <c r="AF24" s="6" t="e">
        <f t="shared" si="50"/>
        <v>#DIV/0!</v>
      </c>
      <c r="AG24" s="6" t="e">
        <f t="shared" si="50"/>
        <v>#DIV/0!</v>
      </c>
      <c r="AH24" s="6" t="e">
        <f t="shared" si="50"/>
        <v>#DIV/0!</v>
      </c>
      <c r="AI24" s="6" t="e">
        <f t="shared" si="50"/>
        <v>#DIV/0!</v>
      </c>
      <c r="AJ24" s="6" t="e">
        <f t="shared" si="50"/>
        <v>#DIV/0!</v>
      </c>
    </row>
    <row r="25" spans="2:145" x14ac:dyDescent="0.2">
      <c r="B25" t="s">
        <v>59</v>
      </c>
      <c r="C25" s="4"/>
      <c r="D25" s="4"/>
      <c r="E25" s="4"/>
      <c r="F25" s="4"/>
      <c r="G25" s="6">
        <f t="shared" ref="G25:Q25" si="51">G11/C11-1</f>
        <v>0.10984848484848486</v>
      </c>
      <c r="H25" s="6">
        <f t="shared" si="51"/>
        <v>1.3571428571428572</v>
      </c>
      <c r="I25" s="6">
        <f t="shared" si="51"/>
        <v>0.8592057761732852</v>
      </c>
      <c r="J25" s="6">
        <f t="shared" si="51"/>
        <v>0.7526132404181185</v>
      </c>
      <c r="K25" s="6">
        <f t="shared" si="51"/>
        <v>0.77474402730375425</v>
      </c>
      <c r="L25" s="6">
        <f t="shared" si="51"/>
        <v>-0.16108452950558216</v>
      </c>
      <c r="M25" s="6">
        <f t="shared" si="51"/>
        <v>8.1553398058252347E-2</v>
      </c>
      <c r="N25" s="6">
        <f t="shared" si="51"/>
        <v>0.11928429423459241</v>
      </c>
      <c r="O25" s="6">
        <f t="shared" si="51"/>
        <v>0.13846153846153841</v>
      </c>
      <c r="P25" s="6">
        <f t="shared" si="51"/>
        <v>0.12547528517110274</v>
      </c>
      <c r="Q25" s="6">
        <f t="shared" si="51"/>
        <v>0.1328545780969479</v>
      </c>
      <c r="R25" s="6">
        <f>R11/N11-1</f>
        <v>0.11012433392539966</v>
      </c>
      <c r="S25" s="6">
        <f>S11/O11-1</f>
        <v>6.9256756756756799E-2</v>
      </c>
      <c r="T25" s="6">
        <f t="shared" ref="T25:U25" si="52">T11/P11-1</f>
        <v>5.0675675675675658E-2</v>
      </c>
      <c r="U25" s="6">
        <f t="shared" si="52"/>
        <v>9.191759112519815E-2</v>
      </c>
      <c r="V25" s="6"/>
      <c r="W25" s="6"/>
      <c r="Y25" s="4"/>
      <c r="Z25" s="6">
        <f t="shared" ref="Z25:AA25" si="53">Z11/Y11-1</f>
        <v>0.7714808043875685</v>
      </c>
      <c r="AA25" s="6">
        <f t="shared" si="53"/>
        <v>0.11764705882352944</v>
      </c>
      <c r="AB25" s="6">
        <f>AB11/AA11-1</f>
        <v>0.12650046168051698</v>
      </c>
      <c r="AC25" s="6">
        <f t="shared" ref="AC25:AJ25" si="54">AC11/AB11-1</f>
        <v>-1</v>
      </c>
      <c r="AD25" s="6" t="e">
        <f t="shared" si="54"/>
        <v>#DIV/0!</v>
      </c>
      <c r="AE25" s="6" t="e">
        <f t="shared" si="54"/>
        <v>#DIV/0!</v>
      </c>
      <c r="AF25" s="6" t="e">
        <f t="shared" si="54"/>
        <v>#DIV/0!</v>
      </c>
      <c r="AG25" s="6" t="e">
        <f t="shared" si="54"/>
        <v>#DIV/0!</v>
      </c>
      <c r="AH25" s="6" t="e">
        <f t="shared" si="54"/>
        <v>#DIV/0!</v>
      </c>
      <c r="AI25" s="6" t="e">
        <f t="shared" si="54"/>
        <v>#DIV/0!</v>
      </c>
      <c r="AJ25" s="6" t="e">
        <f t="shared" si="54"/>
        <v>#DIV/0!</v>
      </c>
    </row>
    <row r="26" spans="2:145" x14ac:dyDescent="0.2">
      <c r="B26" t="s">
        <v>60</v>
      </c>
      <c r="C26" s="4"/>
      <c r="D26" s="4"/>
      <c r="E26" s="4"/>
      <c r="F26" s="4"/>
      <c r="G26" s="6">
        <f t="shared" ref="G26:U26" si="55">G18/C18-1</f>
        <v>1.3274111675126905</v>
      </c>
      <c r="H26" s="6">
        <f t="shared" si="55"/>
        <v>0.12681159420289845</v>
      </c>
      <c r="I26" s="6">
        <f t="shared" si="55"/>
        <v>0.486095661846496</v>
      </c>
      <c r="J26" s="6">
        <f t="shared" si="55"/>
        <v>0.53368421052631576</v>
      </c>
      <c r="K26" s="6">
        <f t="shared" si="55"/>
        <v>1.085059978189749</v>
      </c>
      <c r="L26" s="6">
        <f t="shared" si="55"/>
        <v>2.8167202572347265</v>
      </c>
      <c r="M26" s="6">
        <f t="shared" si="55"/>
        <v>0.84431137724550909</v>
      </c>
      <c r="N26" s="6">
        <f t="shared" si="55"/>
        <v>1.0610844200411806</v>
      </c>
      <c r="O26" s="6">
        <f t="shared" si="55"/>
        <v>0.55387029288702938</v>
      </c>
      <c r="P26" s="6">
        <f t="shared" si="55"/>
        <v>-0.72367312552653751</v>
      </c>
      <c r="Q26" s="6">
        <f t="shared" si="55"/>
        <v>-0.70373376623376616</v>
      </c>
      <c r="R26" s="6">
        <f t="shared" si="55"/>
        <v>-0.52913752913752909</v>
      </c>
      <c r="S26" s="6">
        <f t="shared" si="55"/>
        <v>-0.3123527431841131</v>
      </c>
      <c r="T26" s="6">
        <f t="shared" si="55"/>
        <v>8.4329268292682933</v>
      </c>
      <c r="U26" s="6">
        <f t="shared" si="55"/>
        <v>11.661643835616438</v>
      </c>
      <c r="V26" s="6"/>
      <c r="W26" s="6"/>
      <c r="Y26" s="4"/>
      <c r="Z26" s="6">
        <f t="shared" ref="Z26:AJ26" si="56">Z18/Y18-1</f>
        <v>0.54991055456171734</v>
      </c>
      <c r="AA26" s="6">
        <f t="shared" si="56"/>
        <v>1.2513850415512464</v>
      </c>
      <c r="AB26" s="6">
        <f t="shared" si="56"/>
        <v>-0.40869476058648624</v>
      </c>
      <c r="AC26" s="6">
        <f t="shared" si="56"/>
        <v>4.0428464539621976</v>
      </c>
      <c r="AD26" s="6">
        <f t="shared" si="56"/>
        <v>0.42434013172297025</v>
      </c>
      <c r="AE26" s="6">
        <f t="shared" si="56"/>
        <v>0.36852141074240663</v>
      </c>
      <c r="AF26" s="6">
        <f t="shared" si="56"/>
        <v>0.31553914163996555</v>
      </c>
      <c r="AG26" s="6">
        <f t="shared" si="56"/>
        <v>0.31211320077631388</v>
      </c>
      <c r="AH26" s="6">
        <f t="shared" si="56"/>
        <v>0.21481149171619229</v>
      </c>
      <c r="AI26" s="6">
        <f t="shared" si="56"/>
        <v>0.21250332653134318</v>
      </c>
      <c r="AJ26" s="6">
        <f t="shared" si="56"/>
        <v>0.210574949426797</v>
      </c>
    </row>
    <row r="27" spans="2:145" x14ac:dyDescent="0.2">
      <c r="C27" s="4"/>
      <c r="D27" s="4"/>
      <c r="E27" s="4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Y27" s="4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145" x14ac:dyDescent="0.2">
      <c r="B28" t="s">
        <v>61</v>
      </c>
      <c r="C28" s="6"/>
      <c r="D28" s="6"/>
      <c r="E28" s="6"/>
      <c r="F28" s="6"/>
      <c r="G28" s="6"/>
      <c r="H28" s="6">
        <f t="shared" ref="H28:S32" si="57">H2/D2-1</f>
        <v>1.6748091603053434</v>
      </c>
      <c r="I28" s="6">
        <f t="shared" si="57"/>
        <v>1.6170798898071626</v>
      </c>
      <c r="J28" s="6">
        <f t="shared" si="57"/>
        <v>0.96590909090909083</v>
      </c>
      <c r="K28" s="6">
        <f t="shared" si="57"/>
        <v>0.79491673970201582</v>
      </c>
      <c r="L28" s="6">
        <f t="shared" si="57"/>
        <v>0.35045662100456632</v>
      </c>
      <c r="M28" s="6">
        <f t="shared" si="57"/>
        <v>0.54526315789473689</v>
      </c>
      <c r="N28" s="6">
        <f t="shared" si="57"/>
        <v>0.7146610614818707</v>
      </c>
      <c r="O28" s="6">
        <f t="shared" si="57"/>
        <v>0.8310546875</v>
      </c>
      <c r="P28" s="6">
        <f t="shared" si="57"/>
        <v>0.60862214708368545</v>
      </c>
      <c r="Q28" s="6">
        <f t="shared" si="57"/>
        <v>0.32254768392370581</v>
      </c>
      <c r="R28" s="6">
        <f t="shared" si="57"/>
        <v>0.10818265399938709</v>
      </c>
      <c r="S28" s="6">
        <f t="shared" si="57"/>
        <v>0.14240000000000008</v>
      </c>
      <c r="T28" s="6">
        <f t="shared" ref="T28:T32" si="58">T2/P2-1</f>
        <v>1.712296374146085</v>
      </c>
      <c r="U28" s="6">
        <f t="shared" ref="U28:U32" si="59">U2/Q2-1</f>
        <v>2.7378315735256247</v>
      </c>
      <c r="V28" s="6"/>
      <c r="W28" s="6"/>
      <c r="Y28" s="4"/>
      <c r="Z28" s="6"/>
      <c r="AA28" s="6">
        <f t="shared" ref="AA28" si="60">AA2/Z2-1</f>
        <v>0.5849761051373954</v>
      </c>
      <c r="AB28" s="6">
        <f>AB2/AA2-1</f>
        <v>0.41854329595778772</v>
      </c>
      <c r="AC28" s="6">
        <f t="shared" ref="AC28:AJ32" si="61">AC2/AB2-1</f>
        <v>-1</v>
      </c>
      <c r="AD28" s="6" t="e">
        <f t="shared" si="61"/>
        <v>#DIV/0!</v>
      </c>
      <c r="AE28" s="6" t="e">
        <f t="shared" si="61"/>
        <v>#DIV/0!</v>
      </c>
      <c r="AF28" s="6" t="e">
        <f t="shared" si="61"/>
        <v>#DIV/0!</v>
      </c>
      <c r="AG28" s="6" t="e">
        <f t="shared" si="61"/>
        <v>#DIV/0!</v>
      </c>
      <c r="AH28" s="6" t="e">
        <f t="shared" si="61"/>
        <v>#DIV/0!</v>
      </c>
      <c r="AI28" s="6" t="e">
        <f t="shared" si="61"/>
        <v>#DIV/0!</v>
      </c>
      <c r="AJ28" s="6" t="e">
        <f t="shared" si="61"/>
        <v>#DIV/0!</v>
      </c>
    </row>
    <row r="29" spans="2:145" x14ac:dyDescent="0.2">
      <c r="B29" t="s">
        <v>62</v>
      </c>
      <c r="C29" s="6"/>
      <c r="D29" s="6"/>
      <c r="E29" s="6"/>
      <c r="F29" s="6"/>
      <c r="G29" s="6"/>
      <c r="H29" s="6">
        <f t="shared" si="57"/>
        <v>0.25971058644325962</v>
      </c>
      <c r="I29" s="6">
        <f t="shared" si="57"/>
        <v>0.36889692585895117</v>
      </c>
      <c r="J29" s="6">
        <f t="shared" si="57"/>
        <v>0.67337357478202553</v>
      </c>
      <c r="K29" s="6">
        <f t="shared" si="57"/>
        <v>1.0612397311426438</v>
      </c>
      <c r="L29" s="6">
        <f t="shared" si="57"/>
        <v>0.85066505441354301</v>
      </c>
      <c r="M29" s="6">
        <f t="shared" si="57"/>
        <v>0.41831792162043158</v>
      </c>
      <c r="N29" s="6">
        <f t="shared" si="57"/>
        <v>0.3707414829659319</v>
      </c>
      <c r="O29" s="6">
        <f t="shared" si="57"/>
        <v>0.31159420289855078</v>
      </c>
      <c r="P29" s="6">
        <f t="shared" si="57"/>
        <v>-0.33289774583469456</v>
      </c>
      <c r="Q29" s="6">
        <f t="shared" si="57"/>
        <v>-0.51133188450791678</v>
      </c>
      <c r="R29" s="6">
        <f t="shared" si="57"/>
        <v>-0.46461988304093571</v>
      </c>
      <c r="S29" s="6">
        <f t="shared" si="57"/>
        <v>-0.38121546961325969</v>
      </c>
      <c r="T29" s="6">
        <f t="shared" si="58"/>
        <v>0.21743388834475996</v>
      </c>
      <c r="U29" s="6">
        <f t="shared" si="59"/>
        <v>0.81448538754764921</v>
      </c>
      <c r="V29" s="6"/>
      <c r="W29" s="6"/>
      <c r="Y29" s="4"/>
      <c r="Z29" s="6"/>
      <c r="AA29" s="6">
        <f t="shared" ref="AA29:AB32" si="62">AA3/Z3-1</f>
        <v>0.60613481118700863</v>
      </c>
      <c r="AB29" s="6">
        <f t="shared" si="62"/>
        <v>-0.27242818167228378</v>
      </c>
      <c r="AC29" s="6">
        <f t="shared" si="61"/>
        <v>-1</v>
      </c>
      <c r="AD29" s="6" t="e">
        <f t="shared" si="61"/>
        <v>#DIV/0!</v>
      </c>
      <c r="AE29" s="6" t="e">
        <f t="shared" si="61"/>
        <v>#DIV/0!</v>
      </c>
      <c r="AF29" s="6" t="e">
        <f t="shared" si="61"/>
        <v>#DIV/0!</v>
      </c>
      <c r="AG29" s="6" t="e">
        <f t="shared" si="61"/>
        <v>#DIV/0!</v>
      </c>
      <c r="AH29" s="6" t="e">
        <f t="shared" si="61"/>
        <v>#DIV/0!</v>
      </c>
      <c r="AI29" s="6" t="e">
        <f t="shared" si="61"/>
        <v>#DIV/0!</v>
      </c>
      <c r="AJ29" s="6" t="e">
        <f t="shared" si="61"/>
        <v>#DIV/0!</v>
      </c>
    </row>
    <row r="30" spans="2:145" x14ac:dyDescent="0.2">
      <c r="B30" t="s">
        <v>63</v>
      </c>
      <c r="C30" s="6"/>
      <c r="D30" s="6"/>
      <c r="E30" s="6"/>
      <c r="F30" s="6"/>
      <c r="G30" s="6"/>
      <c r="H30" s="6">
        <f t="shared" si="57"/>
        <v>-0.30240549828178698</v>
      </c>
      <c r="I30" s="6">
        <f t="shared" si="57"/>
        <v>-0.27160493827160492</v>
      </c>
      <c r="J30" s="6">
        <f t="shared" si="57"/>
        <v>-7.2507552870090586E-2</v>
      </c>
      <c r="K30" s="6">
        <f t="shared" si="57"/>
        <v>0.21172638436482094</v>
      </c>
      <c r="L30" s="6">
        <f t="shared" si="57"/>
        <v>1.5566502463054186</v>
      </c>
      <c r="M30" s="6">
        <f t="shared" si="57"/>
        <v>1.4449152542372881</v>
      </c>
      <c r="N30" s="6">
        <f t="shared" si="57"/>
        <v>1.0944625407166124</v>
      </c>
      <c r="O30" s="6">
        <f t="shared" si="57"/>
        <v>0.67204301075268824</v>
      </c>
      <c r="P30" s="6">
        <f t="shared" si="57"/>
        <v>-4.4315992292870865E-2</v>
      </c>
      <c r="Q30" s="6">
        <f t="shared" si="57"/>
        <v>-0.65337954939341425</v>
      </c>
      <c r="R30" s="6">
        <f t="shared" si="57"/>
        <v>-0.64852255054432351</v>
      </c>
      <c r="S30" s="6">
        <f t="shared" si="57"/>
        <v>-0.52572347266881025</v>
      </c>
      <c r="T30" s="6">
        <f t="shared" si="58"/>
        <v>-0.23588709677419351</v>
      </c>
      <c r="U30" s="6">
        <f t="shared" si="59"/>
        <v>1.08</v>
      </c>
      <c r="V30" s="6"/>
      <c r="W30" s="6"/>
      <c r="Y30" s="4"/>
      <c r="Z30" s="6"/>
      <c r="AA30" s="6">
        <f t="shared" si="62"/>
        <v>1.0047483380816713</v>
      </c>
      <c r="AB30" s="6">
        <f t="shared" si="62"/>
        <v>-0.26859308384651825</v>
      </c>
      <c r="AC30" s="6">
        <f t="shared" si="61"/>
        <v>-1</v>
      </c>
      <c r="AD30" s="6" t="e">
        <f t="shared" si="61"/>
        <v>#DIV/0!</v>
      </c>
      <c r="AE30" s="6" t="e">
        <f t="shared" si="61"/>
        <v>#DIV/0!</v>
      </c>
      <c r="AF30" s="6" t="e">
        <f t="shared" si="61"/>
        <v>#DIV/0!</v>
      </c>
      <c r="AG30" s="6" t="e">
        <f t="shared" si="61"/>
        <v>#DIV/0!</v>
      </c>
      <c r="AH30" s="6" t="e">
        <f t="shared" si="61"/>
        <v>#DIV/0!</v>
      </c>
      <c r="AI30" s="6" t="e">
        <f t="shared" si="61"/>
        <v>#DIV/0!</v>
      </c>
      <c r="AJ30" s="6" t="e">
        <f t="shared" si="61"/>
        <v>#DIV/0!</v>
      </c>
    </row>
    <row r="31" spans="2:145" x14ac:dyDescent="0.2">
      <c r="B31" t="s">
        <v>64</v>
      </c>
      <c r="C31" s="6"/>
      <c r="D31" s="6"/>
      <c r="E31" s="6"/>
      <c r="F31" s="6"/>
      <c r="G31" s="6"/>
      <c r="H31" s="6">
        <f t="shared" si="57"/>
        <v>-0.46889952153110048</v>
      </c>
      <c r="I31" s="6">
        <f t="shared" si="57"/>
        <v>-0.22839506172839508</v>
      </c>
      <c r="J31" s="6">
        <f t="shared" si="57"/>
        <v>-0.11042944785276076</v>
      </c>
      <c r="K31" s="6">
        <f t="shared" si="57"/>
        <v>-6.4516129032258229E-3</v>
      </c>
      <c r="L31" s="6">
        <f t="shared" si="57"/>
        <v>0.36936936936936937</v>
      </c>
      <c r="M31" s="6">
        <f t="shared" si="57"/>
        <v>8.0000000000000071E-2</v>
      </c>
      <c r="N31" s="6">
        <f t="shared" si="57"/>
        <v>-0.13793103448275867</v>
      </c>
      <c r="O31" s="6">
        <f t="shared" si="57"/>
        <v>-0.10389610389610393</v>
      </c>
      <c r="P31" s="6">
        <f t="shared" si="57"/>
        <v>0.44736842105263164</v>
      </c>
      <c r="Q31" s="6">
        <f t="shared" si="57"/>
        <v>0.85925925925925917</v>
      </c>
      <c r="R31" s="6">
        <f t="shared" si="57"/>
        <v>1.3519999999999999</v>
      </c>
      <c r="S31" s="6">
        <f t="shared" si="57"/>
        <v>1.1449275362318843</v>
      </c>
      <c r="T31" s="6">
        <f t="shared" si="58"/>
        <v>0.14999999999999991</v>
      </c>
      <c r="U31" s="6">
        <f t="shared" si="59"/>
        <v>3.9840637450199168E-2</v>
      </c>
      <c r="V31" s="6"/>
      <c r="W31" s="6"/>
      <c r="Y31" s="4"/>
      <c r="Z31" s="6"/>
      <c r="AA31" s="6">
        <f t="shared" si="62"/>
        <v>5.5970149253731449E-2</v>
      </c>
      <c r="AB31" s="6">
        <f t="shared" si="62"/>
        <v>0.59540636042402828</v>
      </c>
      <c r="AC31" s="6">
        <f t="shared" si="61"/>
        <v>-1</v>
      </c>
      <c r="AD31" s="6" t="e">
        <f t="shared" si="61"/>
        <v>#DIV/0!</v>
      </c>
      <c r="AE31" s="6" t="e">
        <f t="shared" si="61"/>
        <v>#DIV/0!</v>
      </c>
      <c r="AF31" s="6" t="e">
        <f t="shared" si="61"/>
        <v>#DIV/0!</v>
      </c>
      <c r="AG31" s="6" t="e">
        <f t="shared" si="61"/>
        <v>#DIV/0!</v>
      </c>
      <c r="AH31" s="6" t="e">
        <f t="shared" si="61"/>
        <v>#DIV/0!</v>
      </c>
      <c r="AI31" s="6" t="e">
        <f t="shared" si="61"/>
        <v>#DIV/0!</v>
      </c>
      <c r="AJ31" s="6" t="e">
        <f t="shared" si="61"/>
        <v>#DIV/0!</v>
      </c>
    </row>
    <row r="32" spans="2:145" x14ac:dyDescent="0.2">
      <c r="B32" t="s">
        <v>65</v>
      </c>
      <c r="C32" s="6"/>
      <c r="D32" s="6"/>
      <c r="E32" s="6"/>
      <c r="F32" s="6"/>
      <c r="G32" s="6"/>
      <c r="H32" s="6">
        <f t="shared" si="57"/>
        <v>0.31531531531531543</v>
      </c>
      <c r="I32" s="6">
        <f t="shared" si="57"/>
        <v>0.35664335664335667</v>
      </c>
      <c r="J32" s="6">
        <f t="shared" si="57"/>
        <v>6.5789473684210176E-3</v>
      </c>
      <c r="K32" s="6">
        <f t="shared" si="57"/>
        <v>1.3695652173913042</v>
      </c>
      <c r="L32" s="6">
        <f t="shared" si="57"/>
        <v>1.8013698630136985</v>
      </c>
      <c r="M32" s="6">
        <f t="shared" si="57"/>
        <v>0.20618556701030921</v>
      </c>
      <c r="N32" s="6">
        <f t="shared" si="57"/>
        <v>0.25490196078431371</v>
      </c>
      <c r="O32" s="6">
        <f t="shared" si="57"/>
        <v>-0.51681957186544336</v>
      </c>
      <c r="P32" s="6">
        <f t="shared" si="57"/>
        <v>-0.65770171149144252</v>
      </c>
      <c r="Q32" s="6">
        <f t="shared" si="57"/>
        <v>-0.68803418803418803</v>
      </c>
      <c r="R32" s="6">
        <f t="shared" si="57"/>
        <v>-0.5625</v>
      </c>
      <c r="S32" s="6">
        <f t="shared" si="57"/>
        <v>-0.51265822784810133</v>
      </c>
      <c r="T32" s="6">
        <f t="shared" si="58"/>
        <v>-0.52857142857142858</v>
      </c>
      <c r="U32" s="6">
        <f t="shared" si="59"/>
        <v>0</v>
      </c>
      <c r="V32" s="6"/>
      <c r="W32" s="6"/>
      <c r="Y32" s="4"/>
      <c r="Z32" s="6"/>
      <c r="AA32" s="6">
        <f t="shared" si="62"/>
        <v>0.84152139461172748</v>
      </c>
      <c r="AB32" s="6">
        <f t="shared" si="62"/>
        <v>-0.60843373493975905</v>
      </c>
      <c r="AC32" s="6">
        <f t="shared" si="61"/>
        <v>-1</v>
      </c>
      <c r="AD32" s="6" t="e">
        <f t="shared" si="61"/>
        <v>#DIV/0!</v>
      </c>
      <c r="AE32" s="6" t="e">
        <f>AE6/AD6-1</f>
        <v>#DIV/0!</v>
      </c>
      <c r="AF32" s="6" t="e">
        <f t="shared" si="61"/>
        <v>#DIV/0!</v>
      </c>
      <c r="AG32" s="6" t="e">
        <f t="shared" si="61"/>
        <v>#DIV/0!</v>
      </c>
      <c r="AH32" s="6" t="e">
        <f t="shared" si="61"/>
        <v>#DIV/0!</v>
      </c>
      <c r="AI32" s="6" t="e">
        <f t="shared" si="61"/>
        <v>#DIV/0!</v>
      </c>
      <c r="AJ32" s="6" t="e">
        <f t="shared" si="61"/>
        <v>#DIV/0!</v>
      </c>
    </row>
    <row r="33" spans="2:5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4"/>
      <c r="S33" s="4"/>
      <c r="T33" s="4"/>
      <c r="U33" s="4"/>
      <c r="V33" s="4"/>
      <c r="W33" s="4"/>
      <c r="Y33" s="4"/>
    </row>
    <row r="34" spans="2:50" x14ac:dyDescent="0.2">
      <c r="B34" t="s">
        <v>66</v>
      </c>
      <c r="C34" s="6">
        <f>C13/C7</f>
        <v>0.16126126126126125</v>
      </c>
      <c r="D34" s="6">
        <f t="shared" ref="D34:R34" si="63">D13/D7</f>
        <v>0.22140364482357502</v>
      </c>
      <c r="E34" s="6">
        <f t="shared" si="63"/>
        <v>0.30756469807564696</v>
      </c>
      <c r="F34" s="6">
        <f t="shared" si="63"/>
        <v>0.3188405797101449</v>
      </c>
      <c r="G34" s="6">
        <f t="shared" si="63"/>
        <v>0.31688311688311688</v>
      </c>
      <c r="H34" s="6">
        <f t="shared" si="63"/>
        <v>0.16839110191412313</v>
      </c>
      <c r="I34" s="6">
        <f t="shared" si="63"/>
        <v>0.29581041049513329</v>
      </c>
      <c r="J34" s="6">
        <f t="shared" si="63"/>
        <v>0.30121926843893665</v>
      </c>
      <c r="K34" s="6">
        <f t="shared" si="63"/>
        <v>0.34552199258081612</v>
      </c>
      <c r="L34" s="6">
        <f t="shared" si="63"/>
        <v>0.37559551252497309</v>
      </c>
      <c r="M34" s="6">
        <f t="shared" si="63"/>
        <v>0.37603829367872732</v>
      </c>
      <c r="N34" s="6">
        <f t="shared" si="63"/>
        <v>0.38859086746042132</v>
      </c>
      <c r="O34" s="6">
        <f t="shared" si="63"/>
        <v>0.38863416988416988</v>
      </c>
      <c r="P34" s="6">
        <f t="shared" si="63"/>
        <v>7.4433174224343673E-2</v>
      </c>
      <c r="Q34" s="6">
        <f t="shared" si="63"/>
        <v>0.10884467480354455</v>
      </c>
      <c r="R34" s="6">
        <f t="shared" si="63"/>
        <v>0.2077342588001983</v>
      </c>
      <c r="S34" s="6">
        <f t="shared" ref="S34:T34" si="64">S13/S7</f>
        <v>0.29755283648498332</v>
      </c>
      <c r="T34" s="6">
        <f t="shared" si="64"/>
        <v>0.50344265936181243</v>
      </c>
      <c r="U34" s="6">
        <f t="shared" ref="U34:V34" si="65">U13/U7</f>
        <v>0.5748896247240618</v>
      </c>
      <c r="V34" s="6">
        <f t="shared" si="65"/>
        <v>0.59</v>
      </c>
      <c r="W34" s="6"/>
      <c r="Y34" s="6">
        <f>Y13/Y7</f>
        <v>0.2606704524638212</v>
      </c>
      <c r="Z34" s="6">
        <f t="shared" ref="Z34:AJ34" si="66">Z13/Z7</f>
        <v>0.27178410794602698</v>
      </c>
      <c r="AA34" s="6">
        <f t="shared" si="66"/>
        <v>0.37307720888756779</v>
      </c>
      <c r="AB34" s="6">
        <f t="shared" si="66"/>
        <v>0.20825932504440497</v>
      </c>
      <c r="AC34" s="6">
        <f t="shared" si="66"/>
        <v>0.57999999999999996</v>
      </c>
      <c r="AD34" s="6">
        <f t="shared" si="66"/>
        <v>0.57999999999999996</v>
      </c>
      <c r="AE34" s="6">
        <f t="shared" si="66"/>
        <v>0.57999999999999996</v>
      </c>
      <c r="AF34" s="6">
        <f t="shared" si="66"/>
        <v>0.57999999999999996</v>
      </c>
      <c r="AG34" s="6">
        <f t="shared" si="66"/>
        <v>0.57999999999999996</v>
      </c>
      <c r="AH34" s="6">
        <f t="shared" si="66"/>
        <v>0.57999999999999996</v>
      </c>
      <c r="AI34" s="6">
        <f t="shared" si="66"/>
        <v>0.57999999999999996</v>
      </c>
      <c r="AJ34" s="6">
        <f t="shared" si="66"/>
        <v>0.57999999999999996</v>
      </c>
    </row>
    <row r="35" spans="2:50" x14ac:dyDescent="0.2">
      <c r="B35" t="s">
        <v>67</v>
      </c>
      <c r="C35" s="6">
        <f t="shared" ref="C35:R35" si="67">C9/C7</f>
        <v>0.58378378378378382</v>
      </c>
      <c r="D35" s="6">
        <f t="shared" si="67"/>
        <v>0.59751841799146954</v>
      </c>
      <c r="E35" s="6">
        <f t="shared" si="67"/>
        <v>0.63570006635700071</v>
      </c>
      <c r="F35" s="6">
        <f t="shared" si="67"/>
        <v>0.64895330112721417</v>
      </c>
      <c r="G35" s="6">
        <f t="shared" si="67"/>
        <v>0.6506493506493507</v>
      </c>
      <c r="H35" s="6">
        <f t="shared" si="67"/>
        <v>0.58846352819451631</v>
      </c>
      <c r="I35" s="6">
        <f t="shared" si="67"/>
        <v>0.62632247143461706</v>
      </c>
      <c r="J35" s="6">
        <f t="shared" si="67"/>
        <v>0.6310213871676994</v>
      </c>
      <c r="K35" s="6">
        <f t="shared" si="67"/>
        <v>0.6410528175234057</v>
      </c>
      <c r="L35" s="6">
        <f t="shared" si="67"/>
        <v>0.64776394651913327</v>
      </c>
      <c r="M35" s="6">
        <f t="shared" si="67"/>
        <v>0.65197803744896521</v>
      </c>
      <c r="N35" s="6">
        <f t="shared" si="67"/>
        <v>0.65406254088708626</v>
      </c>
      <c r="O35" s="6">
        <f t="shared" si="67"/>
        <v>0.65528474903474898</v>
      </c>
      <c r="P35" s="6">
        <f t="shared" si="67"/>
        <v>0.43481503579952269</v>
      </c>
      <c r="Q35" s="6">
        <f t="shared" si="67"/>
        <v>0.53954188262832303</v>
      </c>
      <c r="R35" s="6">
        <f t="shared" si="67"/>
        <v>0.63344901669145592</v>
      </c>
      <c r="S35" s="6">
        <f>S9/S7</f>
        <v>0.64627363737486099</v>
      </c>
      <c r="T35" s="6">
        <f>T9/T7</f>
        <v>0.7005256533649219</v>
      </c>
      <c r="U35" s="6">
        <f>U9/U7</f>
        <v>0.73951434878587197</v>
      </c>
      <c r="V35" s="6">
        <f>V9/V7</f>
        <v>0.75</v>
      </c>
      <c r="W35" s="6"/>
      <c r="Y35" s="6">
        <f t="shared" ref="Y35:AJ35" si="68">Y9/Y7</f>
        <v>0.61989375343469499</v>
      </c>
      <c r="Z35" s="6">
        <f t="shared" si="68"/>
        <v>0.62344827586206897</v>
      </c>
      <c r="AA35" s="6">
        <f t="shared" si="68"/>
        <v>0.64925317678531624</v>
      </c>
      <c r="AB35" s="6">
        <f t="shared" si="68"/>
        <v>0.57008584961515685</v>
      </c>
      <c r="AC35" s="6">
        <f t="shared" si="68"/>
        <v>0.74</v>
      </c>
      <c r="AD35" s="6">
        <f t="shared" si="68"/>
        <v>0.74</v>
      </c>
      <c r="AE35" s="6">
        <f t="shared" si="68"/>
        <v>0.74</v>
      </c>
      <c r="AF35" s="6">
        <f t="shared" si="68"/>
        <v>0.74</v>
      </c>
      <c r="AG35" s="6">
        <f t="shared" si="68"/>
        <v>0.74</v>
      </c>
      <c r="AH35" s="6">
        <f t="shared" si="68"/>
        <v>0.74</v>
      </c>
      <c r="AI35" s="6">
        <f t="shared" si="68"/>
        <v>0.74</v>
      </c>
      <c r="AJ35" s="6">
        <f t="shared" si="68"/>
        <v>0.74</v>
      </c>
    </row>
    <row r="36" spans="2:50" x14ac:dyDescent="0.2">
      <c r="B36" t="s">
        <v>68</v>
      </c>
      <c r="C36" s="6">
        <f t="shared" ref="C36:V36" si="69">C17/C16</f>
        <v>-1.2853470437017995E-2</v>
      </c>
      <c r="D36" s="6">
        <f t="shared" si="69"/>
        <v>8.9108910891089105E-2</v>
      </c>
      <c r="E36" s="6">
        <f t="shared" si="69"/>
        <v>6.2565172054223156E-2</v>
      </c>
      <c r="F36" s="6">
        <f t="shared" si="69"/>
        <v>6.4960629921259838E-2</v>
      </c>
      <c r="G36" s="6">
        <f t="shared" si="69"/>
        <v>6.5239551478083593E-2</v>
      </c>
      <c r="H36" s="6">
        <f t="shared" si="69"/>
        <v>-2.1346469622331693E-2</v>
      </c>
      <c r="I36" s="6">
        <f t="shared" si="69"/>
        <v>8.9020771513353119E-3</v>
      </c>
      <c r="J36" s="6">
        <f t="shared" si="69"/>
        <v>8.8435374149659872E-3</v>
      </c>
      <c r="K36" s="6">
        <f t="shared" si="69"/>
        <v>6.4579256360078274E-2</v>
      </c>
      <c r="L36" s="6">
        <f t="shared" si="69"/>
        <v>8.3542188805346695E-3</v>
      </c>
      <c r="M36" s="6">
        <f t="shared" si="69"/>
        <v>6.5959059893858987E-2</v>
      </c>
      <c r="N36" s="6">
        <f t="shared" si="69"/>
        <v>-4.8167539267015703E-2</v>
      </c>
      <c r="O36" s="6">
        <f t="shared" si="69"/>
        <v>5.9214692843571878E-2</v>
      </c>
      <c r="P36" s="6">
        <f t="shared" si="69"/>
        <v>-0.38105263157894737</v>
      </c>
      <c r="Q36" s="6">
        <f t="shared" si="69"/>
        <v>-0.10105580693815988</v>
      </c>
      <c r="R36" s="6">
        <f t="shared" si="69"/>
        <v>-9.6974398758727695E-2</v>
      </c>
      <c r="S36" s="6">
        <f t="shared" si="69"/>
        <v>7.5147125396106837E-2</v>
      </c>
      <c r="T36" s="6">
        <f t="shared" si="69"/>
        <v>0.11359404096834265</v>
      </c>
      <c r="U36" s="6">
        <f t="shared" si="69"/>
        <v>0.12155483748336818</v>
      </c>
      <c r="V36" s="6">
        <f t="shared" si="69"/>
        <v>0.15</v>
      </c>
      <c r="W36" s="6"/>
      <c r="Y36" s="6">
        <f t="shared" ref="Y36:AJ36" si="70">Y17/Y16</f>
        <v>5.8922558922558925E-2</v>
      </c>
      <c r="Z36" s="6">
        <f t="shared" si="70"/>
        <v>1.7241379310344827E-2</v>
      </c>
      <c r="AA36" s="6">
        <f t="shared" si="70"/>
        <v>1.8911578312041041E-2</v>
      </c>
      <c r="AB36" s="6">
        <f t="shared" si="70"/>
        <v>-3.3327360688048736E-2</v>
      </c>
      <c r="AC36" s="6">
        <f t="shared" si="70"/>
        <v>0.15</v>
      </c>
      <c r="AD36" s="6">
        <f t="shared" si="70"/>
        <v>0.15</v>
      </c>
      <c r="AE36" s="6">
        <f t="shared" si="70"/>
        <v>0.15</v>
      </c>
      <c r="AF36" s="6">
        <f t="shared" si="70"/>
        <v>0.15</v>
      </c>
      <c r="AG36" s="6">
        <f t="shared" si="70"/>
        <v>0.15</v>
      </c>
      <c r="AH36" s="6">
        <f t="shared" si="70"/>
        <v>0.15</v>
      </c>
      <c r="AI36" s="6">
        <f t="shared" si="70"/>
        <v>0.15</v>
      </c>
      <c r="AJ36" s="6">
        <f t="shared" si="70"/>
        <v>0.15</v>
      </c>
    </row>
    <row r="37" spans="2:50" x14ac:dyDescent="0.2">
      <c r="B37" t="s">
        <v>91</v>
      </c>
      <c r="C37" s="6">
        <f>C18/C7</f>
        <v>0.17747747747747747</v>
      </c>
      <c r="D37" s="6">
        <f t="shared" ref="D37:T37" si="71">D18/D7</f>
        <v>0.2140364482357503</v>
      </c>
      <c r="E37" s="6">
        <f t="shared" si="71"/>
        <v>0.29827471798274718</v>
      </c>
      <c r="F37" s="6">
        <f t="shared" si="71"/>
        <v>0.30595813204508859</v>
      </c>
      <c r="G37" s="6">
        <f t="shared" si="71"/>
        <v>0.29772727272727273</v>
      </c>
      <c r="H37" s="6">
        <f t="shared" si="71"/>
        <v>0.16088980858768753</v>
      </c>
      <c r="I37" s="6">
        <f t="shared" si="71"/>
        <v>0.28269149386373255</v>
      </c>
      <c r="J37" s="6">
        <f t="shared" si="71"/>
        <v>0.29122526484109534</v>
      </c>
      <c r="K37" s="6">
        <f t="shared" si="71"/>
        <v>0.33774951422010246</v>
      </c>
      <c r="L37" s="6">
        <f t="shared" si="71"/>
        <v>0.36483786691255571</v>
      </c>
      <c r="M37" s="6">
        <f t="shared" si="71"/>
        <v>0.3468956778825848</v>
      </c>
      <c r="N37" s="6">
        <f t="shared" si="71"/>
        <v>0.39290854376553708</v>
      </c>
      <c r="O37" s="6">
        <f t="shared" si="71"/>
        <v>0.35847007722007723</v>
      </c>
      <c r="P37" s="6">
        <f t="shared" si="71"/>
        <v>9.7852028639618144E-2</v>
      </c>
      <c r="Q37" s="6">
        <f t="shared" si="71"/>
        <v>0.12205316836649389</v>
      </c>
      <c r="R37" s="6">
        <f t="shared" si="71"/>
        <v>0.2336803834077012</v>
      </c>
      <c r="S37" s="6">
        <f t="shared" si="71"/>
        <v>0.28406562847608452</v>
      </c>
      <c r="T37" s="6">
        <f t="shared" si="71"/>
        <v>0.45813282001924927</v>
      </c>
      <c r="U37" s="6">
        <f t="shared" ref="U37:V37" si="72">U18/U7</f>
        <v>0.51009933774834437</v>
      </c>
      <c r="V37" s="6">
        <f t="shared" si="72"/>
        <v>0.50876750000000004</v>
      </c>
    </row>
    <row r="38" spans="2:50" x14ac:dyDescent="0.2">
      <c r="B38" t="s">
        <v>69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R38" s="4"/>
      <c r="AB38" s="4">
        <v>3307</v>
      </c>
      <c r="AC38" s="4">
        <f>+AB38+AC18</f>
        <v>32389.095499999996</v>
      </c>
      <c r="AD38" s="4">
        <f t="shared" ref="AD38:AI38" si="73">AC38+AD18</f>
        <v>73811.89123524999</v>
      </c>
      <c r="AE38" s="4">
        <f t="shared" si="73"/>
        <v>130499.87409174885</v>
      </c>
      <c r="AF38" s="4">
        <f t="shared" si="73"/>
        <v>205075.13440008846</v>
      </c>
      <c r="AG38" s="4">
        <f t="shared" si="73"/>
        <v>302926.31790199073</v>
      </c>
      <c r="AH38" s="4">
        <f t="shared" si="73"/>
        <v>421797.06009813148</v>
      </c>
      <c r="AI38" s="4">
        <f t="shared" si="73"/>
        <v>565928.2304382018</v>
      </c>
      <c r="AJ38" s="4">
        <f>AI38+AJ18</f>
        <v>740409.8146834576</v>
      </c>
    </row>
    <row r="39" spans="2:5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R39" s="4"/>
      <c r="S39" s="4"/>
      <c r="AL39" t="s">
        <v>70</v>
      </c>
      <c r="AM39" s="6">
        <v>-0.01</v>
      </c>
    </row>
    <row r="40" spans="2:50" x14ac:dyDescent="0.2">
      <c r="C40" s="4"/>
      <c r="D40" s="4"/>
      <c r="E40" s="4"/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AL40" t="s">
        <v>71</v>
      </c>
      <c r="AM40" s="6">
        <v>0.1</v>
      </c>
    </row>
    <row r="41" spans="2:5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4"/>
      <c r="X41" s="6"/>
      <c r="AL41" t="s">
        <v>72</v>
      </c>
      <c r="AM41" s="8">
        <f>NPV(AM40,AC18:EP18)</f>
        <v>1169979.7415148318</v>
      </c>
      <c r="AU41" s="4"/>
      <c r="AX41" s="18"/>
    </row>
    <row r="42" spans="2:50" x14ac:dyDescent="0.2">
      <c r="C42" s="4"/>
      <c r="D42" s="4"/>
      <c r="E42" s="4"/>
      <c r="G42" s="4"/>
      <c r="H42" s="4"/>
      <c r="I42" s="4"/>
      <c r="K42" s="4"/>
      <c r="L42" s="4"/>
      <c r="M42" s="4"/>
      <c r="N42" s="4"/>
      <c r="O42" s="4"/>
      <c r="P42" s="4"/>
      <c r="R42" s="4"/>
      <c r="AL42" t="s">
        <v>74</v>
      </c>
      <c r="AM42" s="6">
        <v>0.03</v>
      </c>
      <c r="AQ42" s="10"/>
      <c r="AR42" s="11"/>
      <c r="AS42" s="11"/>
      <c r="AT42" s="11"/>
      <c r="AU42" s="11"/>
      <c r="AV42" s="11"/>
      <c r="AW42" s="11"/>
      <c r="AX42" s="14"/>
    </row>
    <row r="43" spans="2:50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L43" t="s">
        <v>12</v>
      </c>
      <c r="AM43" s="1">
        <f>Main!L5-Main!L6</f>
        <v>2193</v>
      </c>
      <c r="AQ43" s="12"/>
      <c r="AR43" s="4"/>
      <c r="AS43" s="4"/>
      <c r="AT43" s="4"/>
      <c r="AU43" s="4"/>
      <c r="AV43" s="4"/>
      <c r="AW43" s="4"/>
      <c r="AX43" s="16"/>
    </row>
    <row r="44" spans="2:5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4"/>
      <c r="AG44" s="4"/>
      <c r="AL44" t="s">
        <v>77</v>
      </c>
      <c r="AM44" s="8">
        <f>AM41-AM43</f>
        <v>1167786.7415148318</v>
      </c>
      <c r="AP44" s="9"/>
      <c r="AQ44" s="13"/>
      <c r="AR44" s="15"/>
      <c r="AS44" s="15"/>
      <c r="AT44" s="15"/>
      <c r="AU44" s="15"/>
      <c r="AV44" s="15"/>
      <c r="AW44" s="15"/>
      <c r="AX44" s="17"/>
    </row>
    <row r="45" spans="2:50" x14ac:dyDescent="0.2">
      <c r="L45" s="4"/>
      <c r="M45" s="4"/>
      <c r="P45" s="4"/>
      <c r="R45" s="4"/>
      <c r="AG45" s="4"/>
    </row>
    <row r="46" spans="2:50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AL46" t="s">
        <v>73</v>
      </c>
      <c r="AM46">
        <f>Main!L2</f>
        <v>387</v>
      </c>
      <c r="AR46" s="6"/>
      <c r="AS46" s="6"/>
      <c r="AT46" s="6"/>
      <c r="AU46" s="6"/>
      <c r="AV46" s="6"/>
      <c r="AW46" s="6"/>
      <c r="AX46" s="6"/>
    </row>
    <row r="47" spans="2:50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AL47" t="s">
        <v>80</v>
      </c>
      <c r="AM47" s="9">
        <f>AM44/Main!L3</f>
        <v>474.71005752635438</v>
      </c>
    </row>
    <row r="48" spans="2:50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39" x14ac:dyDescent="0.2">
      <c r="M49" s="4"/>
      <c r="P49" s="4"/>
      <c r="R49" s="4"/>
      <c r="AL49" t="s">
        <v>79</v>
      </c>
      <c r="AM49" s="6">
        <f>AM47/AM46-1</f>
        <v>0.22664097552029561</v>
      </c>
    </row>
    <row r="50" spans="3:39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39" x14ac:dyDescent="0.2">
      <c r="M51" s="4"/>
      <c r="P51" s="4"/>
      <c r="R51" s="4"/>
    </row>
    <row r="52" spans="3:39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39" x14ac:dyDescent="0.2">
      <c r="M53" s="4"/>
    </row>
    <row r="54" spans="3:39" x14ac:dyDescent="0.2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3:39" x14ac:dyDescent="0.2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3:39" x14ac:dyDescent="0.2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3:39" x14ac:dyDescent="0.2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3:39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60" spans="3:39" x14ac:dyDescent="0.2">
      <c r="E60" s="4"/>
    </row>
    <row r="61" spans="3:39" x14ac:dyDescent="0.2">
      <c r="E61" s="4"/>
    </row>
  </sheetData>
  <hyperlinks>
    <hyperlink ref="A1" location="Main!A1" display="Main" xr:uid="{9FBB0CE3-563C-CB44-AD45-A356BDD8E171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5348-D3C0-5243-9896-1C5AE85D1865}">
  <dimension ref="B2:G9"/>
  <sheetViews>
    <sheetView workbookViewId="0">
      <selection activeCell="E42" sqref="E42"/>
    </sheetView>
  </sheetViews>
  <sheetFormatPr baseColWidth="10" defaultColWidth="11" defaultRowHeight="16" x14ac:dyDescent="0.2"/>
  <cols>
    <col min="2" max="2" width="13.6640625" bestFit="1" customWidth="1"/>
  </cols>
  <sheetData>
    <row r="2" spans="2:7" ht="17" thickBot="1" x14ac:dyDescent="0.25"/>
    <row r="3" spans="2:7" x14ac:dyDescent="0.2">
      <c r="B3" s="21" t="s">
        <v>81</v>
      </c>
      <c r="C3" s="25">
        <v>0</v>
      </c>
      <c r="D3" s="25">
        <v>0.1</v>
      </c>
      <c r="E3" s="25">
        <v>0.2</v>
      </c>
      <c r="F3" s="25">
        <v>0.3</v>
      </c>
      <c r="G3" s="26">
        <v>0.4</v>
      </c>
    </row>
    <row r="4" spans="2:7" x14ac:dyDescent="0.2">
      <c r="B4" s="27">
        <v>0</v>
      </c>
      <c r="C4" s="29">
        <v>9</v>
      </c>
      <c r="D4" s="29">
        <v>26</v>
      </c>
      <c r="E4" s="29">
        <v>56</v>
      </c>
      <c r="F4" s="30">
        <v>106</v>
      </c>
      <c r="G4" s="22">
        <v>190</v>
      </c>
    </row>
    <row r="5" spans="2:7" x14ac:dyDescent="0.2">
      <c r="B5" s="27">
        <v>0.1</v>
      </c>
      <c r="C5" s="29">
        <v>39</v>
      </c>
      <c r="D5" s="29">
        <v>56</v>
      </c>
      <c r="E5" s="29">
        <v>86</v>
      </c>
      <c r="F5">
        <v>137</v>
      </c>
      <c r="G5" s="22">
        <v>220</v>
      </c>
    </row>
    <row r="6" spans="2:7" x14ac:dyDescent="0.2">
      <c r="B6" s="27">
        <v>0.2</v>
      </c>
      <c r="C6" s="29">
        <v>92</v>
      </c>
      <c r="D6">
        <v>109</v>
      </c>
      <c r="E6">
        <v>139</v>
      </c>
      <c r="F6">
        <v>190</v>
      </c>
      <c r="G6" s="31">
        <v>273</v>
      </c>
    </row>
    <row r="7" spans="2:7" x14ac:dyDescent="0.2">
      <c r="B7" s="27">
        <v>0.3</v>
      </c>
      <c r="C7" s="30">
        <v>182</v>
      </c>
      <c r="D7">
        <v>199</v>
      </c>
      <c r="E7">
        <v>229</v>
      </c>
      <c r="F7" s="32">
        <v>280</v>
      </c>
      <c r="G7" s="31">
        <v>363</v>
      </c>
    </row>
    <row r="8" spans="2:7" x14ac:dyDescent="0.2">
      <c r="B8" s="27">
        <v>0.4</v>
      </c>
      <c r="C8" s="32">
        <v>331</v>
      </c>
      <c r="D8" s="32">
        <v>348</v>
      </c>
      <c r="E8" s="32">
        <v>378</v>
      </c>
      <c r="F8" s="32">
        <v>428</v>
      </c>
      <c r="G8" s="31">
        <v>512</v>
      </c>
    </row>
    <row r="9" spans="2:7" ht="17" thickBot="1" x14ac:dyDescent="0.25">
      <c r="B9" s="28"/>
      <c r="C9" s="23"/>
      <c r="D9" s="23"/>
      <c r="E9" s="23"/>
      <c r="F9" s="23"/>
      <c r="G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BF73-5EA5-EB4C-B42F-1AF2C669855A}">
  <dimension ref="A1:W30"/>
  <sheetViews>
    <sheetView zoomScaleNormal="100" workbookViewId="0">
      <selection activeCell="AD39" sqref="AD39"/>
    </sheetView>
  </sheetViews>
  <sheetFormatPr baseColWidth="10" defaultColWidth="11" defaultRowHeight="16" x14ac:dyDescent="0.2"/>
  <cols>
    <col min="1" max="1" width="22.5" bestFit="1" customWidth="1"/>
    <col min="17" max="17" width="13.6640625" customWidth="1"/>
  </cols>
  <sheetData>
    <row r="1" spans="1:1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s="4" t="s">
        <v>7</v>
      </c>
      <c r="P1" t="s">
        <v>41</v>
      </c>
      <c r="Q1" t="s">
        <v>42</v>
      </c>
    </row>
    <row r="2" spans="1:17" x14ac:dyDescent="0.2">
      <c r="A2" t="s">
        <v>3</v>
      </c>
      <c r="B2" s="4">
        <v>655</v>
      </c>
      <c r="C2" s="4">
        <v>726</v>
      </c>
      <c r="D2" s="4">
        <v>968</v>
      </c>
      <c r="E2" s="4">
        <v>1141</v>
      </c>
      <c r="F2" s="4">
        <v>1752</v>
      </c>
      <c r="G2" s="4">
        <v>1900</v>
      </c>
      <c r="H2" s="4">
        <v>1903</v>
      </c>
      <c r="I2" s="4">
        <v>2048</v>
      </c>
      <c r="J2" s="4">
        <v>2366</v>
      </c>
      <c r="K2" s="4">
        <v>2936</v>
      </c>
      <c r="L2" s="4">
        <v>3263</v>
      </c>
      <c r="M2" s="4">
        <v>3750</v>
      </c>
      <c r="N2" s="4">
        <v>3806</v>
      </c>
      <c r="O2" s="4">
        <v>3883</v>
      </c>
      <c r="P2" s="4">
        <v>3616</v>
      </c>
      <c r="Q2" s="4">
        <v>4284</v>
      </c>
    </row>
    <row r="3" spans="1:17" x14ac:dyDescent="0.2">
      <c r="A3" t="s">
        <v>5</v>
      </c>
      <c r="B3" s="4">
        <v>1313</v>
      </c>
      <c r="C3" s="4">
        <v>1659</v>
      </c>
      <c r="D3" s="4">
        <v>1491</v>
      </c>
      <c r="E3" s="4">
        <v>1339</v>
      </c>
      <c r="F3" s="4">
        <v>1654</v>
      </c>
      <c r="G3" s="4">
        <v>2271</v>
      </c>
      <c r="H3" s="4">
        <v>2495</v>
      </c>
      <c r="I3" s="4">
        <v>2760</v>
      </c>
      <c r="J3" s="4">
        <v>3061</v>
      </c>
      <c r="K3" s="4">
        <v>3221</v>
      </c>
      <c r="L3" s="4">
        <v>3420</v>
      </c>
      <c r="M3" s="4">
        <v>3620</v>
      </c>
      <c r="N3" s="4">
        <v>2042</v>
      </c>
      <c r="O3" s="4">
        <v>1574</v>
      </c>
      <c r="P3" s="4">
        <v>1831</v>
      </c>
      <c r="Q3" s="4">
        <v>2240</v>
      </c>
    </row>
    <row r="4" spans="1:17" x14ac:dyDescent="0.2">
      <c r="A4" t="s">
        <v>8</v>
      </c>
      <c r="B4" s="4">
        <v>291</v>
      </c>
      <c r="C4" s="4">
        <v>324</v>
      </c>
      <c r="D4" s="4">
        <v>331</v>
      </c>
      <c r="E4" s="4">
        <v>307</v>
      </c>
      <c r="F4" s="4">
        <v>203</v>
      </c>
      <c r="G4" s="4">
        <v>236</v>
      </c>
      <c r="H4" s="4">
        <v>307</v>
      </c>
      <c r="I4" s="4">
        <v>372</v>
      </c>
      <c r="J4" s="4">
        <v>519</v>
      </c>
      <c r="K4" s="4">
        <v>577</v>
      </c>
      <c r="L4" s="4">
        <v>643</v>
      </c>
      <c r="M4" s="4">
        <v>622</v>
      </c>
      <c r="N4" s="4">
        <v>496</v>
      </c>
      <c r="O4" s="4">
        <v>200</v>
      </c>
      <c r="P4" s="4">
        <v>226</v>
      </c>
      <c r="Q4" s="4">
        <v>295</v>
      </c>
    </row>
    <row r="5" spans="1:17" x14ac:dyDescent="0.2">
      <c r="A5" t="s">
        <v>43</v>
      </c>
      <c r="B5" s="4">
        <v>209</v>
      </c>
      <c r="C5" s="4">
        <v>162</v>
      </c>
      <c r="D5" s="4">
        <v>163</v>
      </c>
      <c r="E5" s="4">
        <v>155</v>
      </c>
      <c r="F5" s="4">
        <v>111</v>
      </c>
      <c r="G5" s="4">
        <v>125</v>
      </c>
      <c r="H5" s="4">
        <v>145</v>
      </c>
      <c r="I5" s="4">
        <v>154</v>
      </c>
      <c r="J5" s="4">
        <v>152</v>
      </c>
      <c r="K5" s="4">
        <v>135</v>
      </c>
      <c r="L5" s="4">
        <v>125</v>
      </c>
      <c r="M5" s="4">
        <v>138</v>
      </c>
      <c r="N5" s="4">
        <v>220</v>
      </c>
      <c r="O5" s="4">
        <v>251</v>
      </c>
      <c r="P5" s="4">
        <v>294</v>
      </c>
      <c r="Q5" s="4">
        <v>296</v>
      </c>
    </row>
    <row r="6" spans="1:17" x14ac:dyDescent="0.2">
      <c r="A6" t="s">
        <v>13</v>
      </c>
      <c r="B6" s="4">
        <v>111</v>
      </c>
      <c r="C6" s="4">
        <v>143</v>
      </c>
      <c r="D6" s="4">
        <v>152</v>
      </c>
      <c r="E6" s="4">
        <v>138</v>
      </c>
      <c r="F6" s="4">
        <v>146</v>
      </c>
      <c r="G6" s="4">
        <v>194</v>
      </c>
      <c r="H6" s="4">
        <v>153</v>
      </c>
      <c r="I6" s="4">
        <v>327</v>
      </c>
      <c r="J6" s="4">
        <v>409</v>
      </c>
      <c r="K6" s="4">
        <v>234</v>
      </c>
      <c r="L6" s="4">
        <v>192</v>
      </c>
      <c r="M6" s="4">
        <v>158</v>
      </c>
      <c r="N6" s="4">
        <v>140</v>
      </c>
      <c r="O6" s="4">
        <v>73</v>
      </c>
      <c r="P6" s="4">
        <v>84</v>
      </c>
      <c r="Q6" s="4">
        <v>77</v>
      </c>
    </row>
    <row r="7" spans="1:17" x14ac:dyDescent="0.2">
      <c r="A7" s="2" t="s">
        <v>44</v>
      </c>
      <c r="B7" s="5">
        <f t="shared" ref="B7:O7" si="0">SUM(B2:B6)</f>
        <v>2579</v>
      </c>
      <c r="C7" s="5">
        <f t="shared" si="0"/>
        <v>3014</v>
      </c>
      <c r="D7" s="5">
        <f t="shared" si="0"/>
        <v>3105</v>
      </c>
      <c r="E7" s="5">
        <f t="shared" si="0"/>
        <v>3080</v>
      </c>
      <c r="F7" s="5">
        <f t="shared" si="0"/>
        <v>3866</v>
      </c>
      <c r="G7" s="5">
        <f t="shared" si="0"/>
        <v>4726</v>
      </c>
      <c r="H7" s="5">
        <f t="shared" si="0"/>
        <v>5003</v>
      </c>
      <c r="I7" s="5">
        <f t="shared" si="0"/>
        <v>5661</v>
      </c>
      <c r="J7" s="5">
        <f t="shared" si="0"/>
        <v>6507</v>
      </c>
      <c r="K7" s="5">
        <f t="shared" si="0"/>
        <v>7103</v>
      </c>
      <c r="L7" s="5">
        <f t="shared" si="0"/>
        <v>7643</v>
      </c>
      <c r="M7" s="5">
        <f t="shared" si="0"/>
        <v>8288</v>
      </c>
      <c r="N7" s="5">
        <f t="shared" si="0"/>
        <v>6704</v>
      </c>
      <c r="O7" s="5">
        <f t="shared" si="0"/>
        <v>5981</v>
      </c>
      <c r="P7" s="5">
        <f>SUM(P2:P6)</f>
        <v>6051</v>
      </c>
      <c r="Q7" s="5">
        <f>SUM(Q2:Q6)</f>
        <v>7192</v>
      </c>
    </row>
    <row r="8" spans="1:17" x14ac:dyDescent="0.2">
      <c r="O8" s="20"/>
    </row>
    <row r="9" spans="1:17" x14ac:dyDescent="0.2"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  <c r="M9" t="s">
        <v>39</v>
      </c>
      <c r="N9" t="s">
        <v>40</v>
      </c>
      <c r="O9" s="4" t="s">
        <v>7</v>
      </c>
      <c r="P9" t="s">
        <v>41</v>
      </c>
      <c r="Q9" t="s">
        <v>42</v>
      </c>
    </row>
    <row r="10" spans="1:17" x14ac:dyDescent="0.2">
      <c r="A10" t="s">
        <v>82</v>
      </c>
      <c r="C10" s="19">
        <f t="shared" ref="C10:O11" si="1">C2/B2-1</f>
        <v>0.10839694656488552</v>
      </c>
      <c r="D10" s="19">
        <f t="shared" si="1"/>
        <v>0.33333333333333326</v>
      </c>
      <c r="E10" s="19">
        <f t="shared" si="1"/>
        <v>0.17871900826446274</v>
      </c>
      <c r="F10" s="19">
        <f t="shared" si="1"/>
        <v>0.5354951796669587</v>
      </c>
      <c r="G10" s="19">
        <f t="shared" si="1"/>
        <v>8.4474885844748826E-2</v>
      </c>
      <c r="H10" s="19">
        <f t="shared" si="1"/>
        <v>1.5789473684211242E-3</v>
      </c>
      <c r="I10" s="19">
        <f t="shared" si="1"/>
        <v>7.6195480819758243E-2</v>
      </c>
      <c r="J10" s="19">
        <f t="shared" si="1"/>
        <v>0.1552734375</v>
      </c>
      <c r="K10" s="19">
        <f t="shared" si="1"/>
        <v>0.24091293322062546</v>
      </c>
      <c r="L10" s="19">
        <f t="shared" si="1"/>
        <v>0.11137602179836503</v>
      </c>
      <c r="M10" s="19">
        <f t="shared" si="1"/>
        <v>0.14924915721728471</v>
      </c>
      <c r="N10" s="19">
        <f t="shared" si="1"/>
        <v>1.4933333333333243E-2</v>
      </c>
      <c r="O10" s="19">
        <f t="shared" si="1"/>
        <v>2.0231213872832443E-2</v>
      </c>
      <c r="P10" s="19">
        <f>P2/O2-1</f>
        <v>-6.8761267061550391E-2</v>
      </c>
      <c r="Q10" s="19">
        <f>Q2/P2-1</f>
        <v>0.18473451327433632</v>
      </c>
    </row>
    <row r="11" spans="1:17" x14ac:dyDescent="0.2">
      <c r="A11" t="s">
        <v>83</v>
      </c>
      <c r="C11" s="19">
        <f t="shared" si="1"/>
        <v>0.26351865955826348</v>
      </c>
      <c r="D11" s="19">
        <f t="shared" si="1"/>
        <v>-0.10126582278481011</v>
      </c>
      <c r="E11" s="19">
        <f t="shared" si="1"/>
        <v>-0.10194500335345402</v>
      </c>
      <c r="F11" s="19">
        <f t="shared" si="1"/>
        <v>0.23525018670649733</v>
      </c>
      <c r="G11" s="19">
        <f t="shared" si="1"/>
        <v>0.37303506650544138</v>
      </c>
      <c r="H11" s="19">
        <f t="shared" si="1"/>
        <v>9.8634962571554352E-2</v>
      </c>
      <c r="I11" s="19">
        <f t="shared" si="1"/>
        <v>0.10621242484969939</v>
      </c>
      <c r="J11" s="19">
        <f t="shared" si="1"/>
        <v>0.10905797101449277</v>
      </c>
      <c r="K11" s="19">
        <f t="shared" si="1"/>
        <v>5.2270499836654771E-2</v>
      </c>
      <c r="L11" s="19">
        <f t="shared" si="1"/>
        <v>6.1782055262340929E-2</v>
      </c>
      <c r="M11" s="19">
        <f t="shared" si="1"/>
        <v>5.8479532163742798E-2</v>
      </c>
      <c r="N11" s="19">
        <f t="shared" si="1"/>
        <v>-0.43591160220994474</v>
      </c>
      <c r="O11" s="19">
        <f t="shared" si="1"/>
        <v>-0.2291870714985309</v>
      </c>
      <c r="P11" s="19">
        <f>P3/O3-1</f>
        <v>0.1632782719186785</v>
      </c>
      <c r="Q11" s="19">
        <f>Q3/P3-1</f>
        <v>0.22337520480611683</v>
      </c>
    </row>
    <row r="12" spans="1:17" x14ac:dyDescent="0.2">
      <c r="A12" t="s">
        <v>84</v>
      </c>
      <c r="C12" s="19">
        <v>-0.24030000000000001</v>
      </c>
      <c r="D12" s="19">
        <v>-0.13009999999999999</v>
      </c>
      <c r="E12" s="19">
        <v>-0.1075</v>
      </c>
      <c r="F12" s="19">
        <v>0.42480000000000001</v>
      </c>
      <c r="G12" s="19">
        <v>0.1772</v>
      </c>
      <c r="H12" s="19">
        <v>1.6944999999999999</v>
      </c>
      <c r="I12" s="19">
        <v>0.1772</v>
      </c>
      <c r="J12" s="19">
        <v>-0.40200000000000002</v>
      </c>
      <c r="K12" s="19">
        <v>0.247</v>
      </c>
      <c r="L12" s="19">
        <v>5.6099999999999997E-2</v>
      </c>
      <c r="M12" s="19">
        <v>-6.7000000000000002E-3</v>
      </c>
      <c r="N12" s="19">
        <v>-0.56930000000000003</v>
      </c>
      <c r="O12" s="19">
        <v>-1.7100000000000001E-2</v>
      </c>
      <c r="P12" s="19">
        <v>-0.1338</v>
      </c>
      <c r="Q12" s="19">
        <v>-0.1338</v>
      </c>
    </row>
    <row r="13" spans="1:17" x14ac:dyDescent="0.2">
      <c r="A13" t="s">
        <v>85</v>
      </c>
      <c r="C13" s="19">
        <f t="shared" ref="C13:Q13" si="2">C4/B4-1</f>
        <v>0.11340206185567014</v>
      </c>
      <c r="D13" s="19">
        <f t="shared" si="2"/>
        <v>2.1604938271605034E-2</v>
      </c>
      <c r="E13" s="19">
        <f t="shared" si="2"/>
        <v>-7.2507552870090586E-2</v>
      </c>
      <c r="F13" s="19">
        <f t="shared" si="2"/>
        <v>-0.33876221498371339</v>
      </c>
      <c r="G13" s="19">
        <f t="shared" si="2"/>
        <v>0.16256157635467972</v>
      </c>
      <c r="H13" s="19">
        <f t="shared" si="2"/>
        <v>0.30084745762711873</v>
      </c>
      <c r="I13" s="19">
        <f t="shared" si="2"/>
        <v>0.21172638436482094</v>
      </c>
      <c r="J13" s="19">
        <f t="shared" si="2"/>
        <v>0.39516129032258074</v>
      </c>
      <c r="K13" s="19">
        <f t="shared" si="2"/>
        <v>0.11175337186897871</v>
      </c>
      <c r="L13" s="19">
        <f t="shared" si="2"/>
        <v>0.11438474870017323</v>
      </c>
      <c r="M13" s="19">
        <f t="shared" si="2"/>
        <v>-3.2659409020217689E-2</v>
      </c>
      <c r="N13" s="19">
        <f t="shared" si="2"/>
        <v>-0.202572347266881</v>
      </c>
      <c r="O13" s="19">
        <f t="shared" si="2"/>
        <v>-0.59677419354838712</v>
      </c>
      <c r="P13" s="19">
        <f t="shared" si="2"/>
        <v>0.12999999999999989</v>
      </c>
      <c r="Q13" s="19">
        <f t="shared" si="2"/>
        <v>0.30530973451327426</v>
      </c>
    </row>
    <row r="14" spans="1:17" x14ac:dyDescent="0.2">
      <c r="A14" t="s">
        <v>86</v>
      </c>
      <c r="C14" s="19">
        <f t="shared" ref="C14:Q14" si="3">C5/B5-1</f>
        <v>-0.22488038277511957</v>
      </c>
      <c r="D14" s="19">
        <f t="shared" si="3"/>
        <v>6.1728395061728669E-3</v>
      </c>
      <c r="E14" s="19">
        <f t="shared" si="3"/>
        <v>-4.9079754601227044E-2</v>
      </c>
      <c r="F14" s="19">
        <f t="shared" si="3"/>
        <v>-0.28387096774193543</v>
      </c>
      <c r="G14" s="19">
        <f t="shared" si="3"/>
        <v>0.12612612612612617</v>
      </c>
      <c r="H14" s="19">
        <f t="shared" si="3"/>
        <v>0.15999999999999992</v>
      </c>
      <c r="I14" s="19">
        <f t="shared" si="3"/>
        <v>6.2068965517241281E-2</v>
      </c>
      <c r="J14" s="19">
        <f t="shared" si="3"/>
        <v>-1.2987012987012991E-2</v>
      </c>
      <c r="K14" s="19">
        <f t="shared" si="3"/>
        <v>-0.11184210526315785</v>
      </c>
      <c r="L14" s="19">
        <f t="shared" si="3"/>
        <v>-7.407407407407407E-2</v>
      </c>
      <c r="M14" s="19">
        <f t="shared" si="3"/>
        <v>0.10400000000000009</v>
      </c>
      <c r="N14" s="19">
        <f t="shared" si="3"/>
        <v>0.59420289855072461</v>
      </c>
      <c r="O14" s="19">
        <f t="shared" si="3"/>
        <v>0.14090909090909087</v>
      </c>
      <c r="P14" s="19">
        <f t="shared" si="3"/>
        <v>0.17131474103585664</v>
      </c>
      <c r="Q14" s="19">
        <f t="shared" si="3"/>
        <v>6.8027210884353817E-3</v>
      </c>
    </row>
    <row r="15" spans="1:17" x14ac:dyDescent="0.2">
      <c r="A15" t="s">
        <v>87</v>
      </c>
      <c r="C15" s="19">
        <f t="shared" ref="C15:Q15" si="4">C6/B6-1</f>
        <v>0.28828828828828823</v>
      </c>
      <c r="D15" s="19">
        <f t="shared" si="4"/>
        <v>6.2937062937062915E-2</v>
      </c>
      <c r="E15" s="19">
        <f t="shared" si="4"/>
        <v>-9.210526315789469E-2</v>
      </c>
      <c r="F15" s="19">
        <f t="shared" si="4"/>
        <v>5.7971014492753659E-2</v>
      </c>
      <c r="G15" s="19">
        <f t="shared" si="4"/>
        <v>0.32876712328767121</v>
      </c>
      <c r="H15" s="19">
        <f t="shared" si="4"/>
        <v>-0.21134020618556704</v>
      </c>
      <c r="I15" s="19">
        <f t="shared" si="4"/>
        <v>1.1372549019607843</v>
      </c>
      <c r="J15" s="19">
        <f t="shared" si="4"/>
        <v>0.25076452599388377</v>
      </c>
      <c r="K15" s="19">
        <f t="shared" si="4"/>
        <v>-0.42787286063569685</v>
      </c>
      <c r="L15" s="19">
        <f t="shared" si="4"/>
        <v>-0.17948717948717952</v>
      </c>
      <c r="M15" s="19">
        <f t="shared" si="4"/>
        <v>-0.17708333333333337</v>
      </c>
      <c r="N15" s="19">
        <f t="shared" si="4"/>
        <v>-0.11392405063291144</v>
      </c>
      <c r="O15" s="19">
        <f t="shared" si="4"/>
        <v>-0.47857142857142854</v>
      </c>
      <c r="P15" s="19">
        <f t="shared" si="4"/>
        <v>0.15068493150684925</v>
      </c>
      <c r="Q15" s="19">
        <f t="shared" si="4"/>
        <v>-8.333333333333337E-2</v>
      </c>
    </row>
    <row r="16" spans="1:17" x14ac:dyDescent="0.2">
      <c r="A16" t="s">
        <v>88</v>
      </c>
      <c r="C16" s="19">
        <f t="shared" ref="C16:Q16" si="5">C7/B7-1</f>
        <v>0.16867002714230317</v>
      </c>
      <c r="D16" s="19">
        <f t="shared" si="5"/>
        <v>3.0192435301924281E-2</v>
      </c>
      <c r="E16" s="19">
        <f t="shared" si="5"/>
        <v>-8.0515297906602612E-3</v>
      </c>
      <c r="F16" s="19">
        <f t="shared" si="5"/>
        <v>0.2551948051948052</v>
      </c>
      <c r="G16" s="19">
        <f t="shared" si="5"/>
        <v>0.22245214692188298</v>
      </c>
      <c r="H16" s="19">
        <f t="shared" si="5"/>
        <v>5.8611933982225972E-2</v>
      </c>
      <c r="I16" s="19">
        <f t="shared" si="5"/>
        <v>0.13152108734759138</v>
      </c>
      <c r="J16" s="19">
        <f t="shared" si="5"/>
        <v>0.14944356120826718</v>
      </c>
      <c r="K16" s="19">
        <f t="shared" si="5"/>
        <v>9.1593668357153879E-2</v>
      </c>
      <c r="L16" s="19">
        <f t="shared" si="5"/>
        <v>7.6024215120371608E-2</v>
      </c>
      <c r="M16" s="19">
        <f t="shared" si="5"/>
        <v>8.4390945963626951E-2</v>
      </c>
      <c r="N16" s="19">
        <f t="shared" si="5"/>
        <v>-0.19111969111969107</v>
      </c>
      <c r="O16" s="19">
        <f t="shared" si="5"/>
        <v>-0.10784606205250602</v>
      </c>
      <c r="P16" s="19">
        <f t="shared" si="5"/>
        <v>1.170372847349932E-2</v>
      </c>
      <c r="Q16" s="19">
        <f t="shared" si="5"/>
        <v>0.1885638737398776</v>
      </c>
    </row>
    <row r="17" spans="16:23" ht="17" thickBot="1" x14ac:dyDescent="0.25"/>
    <row r="18" spans="16:23" x14ac:dyDescent="0.2">
      <c r="P18" s="50"/>
      <c r="Q18" s="21" t="s">
        <v>81</v>
      </c>
      <c r="R18" s="25">
        <v>0</v>
      </c>
      <c r="S18" s="25">
        <v>0.1</v>
      </c>
      <c r="T18" s="25">
        <v>0.2</v>
      </c>
      <c r="U18" s="25">
        <v>0.3</v>
      </c>
      <c r="V18" s="26">
        <v>0.4</v>
      </c>
      <c r="W18" s="50"/>
    </row>
    <row r="19" spans="16:23" x14ac:dyDescent="0.2">
      <c r="P19" s="50"/>
      <c r="Q19" s="27">
        <v>0</v>
      </c>
      <c r="R19" s="39">
        <v>9</v>
      </c>
      <c r="S19" s="39">
        <v>26</v>
      </c>
      <c r="T19" s="39">
        <v>56</v>
      </c>
      <c r="U19" s="40">
        <v>106</v>
      </c>
      <c r="V19" s="41">
        <v>190</v>
      </c>
      <c r="W19" s="50"/>
    </row>
    <row r="20" spans="16:23" x14ac:dyDescent="0.2">
      <c r="P20" s="50"/>
      <c r="Q20" s="27">
        <v>0.1</v>
      </c>
      <c r="R20" s="39">
        <v>39</v>
      </c>
      <c r="S20" s="39">
        <v>56</v>
      </c>
      <c r="T20" s="39">
        <v>86</v>
      </c>
      <c r="U20" s="42">
        <v>137</v>
      </c>
      <c r="V20" s="41">
        <v>220</v>
      </c>
      <c r="W20" s="50"/>
    </row>
    <row r="21" spans="16:23" x14ac:dyDescent="0.2">
      <c r="P21" s="50"/>
      <c r="Q21" s="27">
        <v>0.2</v>
      </c>
      <c r="R21" s="39">
        <v>92</v>
      </c>
      <c r="S21" s="42">
        <v>109</v>
      </c>
      <c r="T21" s="42">
        <v>139</v>
      </c>
      <c r="U21" s="42">
        <v>190</v>
      </c>
      <c r="V21" s="43">
        <v>273</v>
      </c>
      <c r="W21" s="50"/>
    </row>
    <row r="22" spans="16:23" x14ac:dyDescent="0.2">
      <c r="P22" s="50"/>
      <c r="Q22" s="27">
        <v>0.3</v>
      </c>
      <c r="R22" s="40">
        <v>182</v>
      </c>
      <c r="S22" s="42">
        <v>199</v>
      </c>
      <c r="T22" s="42">
        <v>229</v>
      </c>
      <c r="U22" s="44">
        <v>280</v>
      </c>
      <c r="V22" s="43">
        <v>363</v>
      </c>
      <c r="W22" s="50"/>
    </row>
    <row r="23" spans="16:23" x14ac:dyDescent="0.2">
      <c r="P23" s="50"/>
      <c r="Q23" s="27">
        <v>0.4</v>
      </c>
      <c r="R23" s="44">
        <v>331</v>
      </c>
      <c r="S23" s="44">
        <v>348</v>
      </c>
      <c r="T23" s="44">
        <v>378</v>
      </c>
      <c r="U23" s="44">
        <v>428</v>
      </c>
      <c r="V23" s="43">
        <v>512</v>
      </c>
      <c r="W23" s="50"/>
    </row>
    <row r="24" spans="16:23" ht="17" thickBot="1" x14ac:dyDescent="0.25">
      <c r="P24" s="50"/>
      <c r="Q24" s="27"/>
      <c r="V24" s="22"/>
      <c r="W24" s="50"/>
    </row>
    <row r="25" spans="16:23" x14ac:dyDescent="0.2">
      <c r="P25" s="33"/>
      <c r="Q25" s="34"/>
      <c r="R25" s="48" t="s">
        <v>89</v>
      </c>
      <c r="S25" s="34"/>
      <c r="T25" s="49">
        <v>5150.8726400000023</v>
      </c>
      <c r="U25" s="34"/>
      <c r="V25" s="34"/>
      <c r="W25" s="35" t="s">
        <v>73</v>
      </c>
    </row>
    <row r="26" spans="16:23" x14ac:dyDescent="0.2">
      <c r="P26" s="45" t="s">
        <v>75</v>
      </c>
      <c r="Q26" s="4">
        <v>15</v>
      </c>
      <c r="R26" s="4">
        <v>20</v>
      </c>
      <c r="S26" s="4">
        <v>25</v>
      </c>
      <c r="T26" s="4">
        <v>30</v>
      </c>
      <c r="U26" s="4">
        <v>35</v>
      </c>
      <c r="V26" s="4">
        <v>40</v>
      </c>
      <c r="W26" s="36">
        <v>96.524809435008621</v>
      </c>
    </row>
    <row r="27" spans="16:23" x14ac:dyDescent="0.2">
      <c r="P27" s="46" t="s">
        <v>76</v>
      </c>
      <c r="Q27" s="4">
        <v>77263.089600000036</v>
      </c>
      <c r="R27" s="4">
        <v>103017.45280000004</v>
      </c>
      <c r="S27" s="4">
        <v>128771.81600000006</v>
      </c>
      <c r="T27" s="4">
        <v>154526.17920000007</v>
      </c>
      <c r="U27" s="4">
        <v>180280.54240000009</v>
      </c>
      <c r="V27" s="4">
        <v>206034.90560000009</v>
      </c>
      <c r="W27" s="36">
        <v>497187</v>
      </c>
    </row>
    <row r="28" spans="16:23" x14ac:dyDescent="0.2">
      <c r="P28" s="46" t="s">
        <v>78</v>
      </c>
      <c r="Q28" s="4">
        <v>31.407760000000014</v>
      </c>
      <c r="R28" s="4">
        <v>41.877013333333352</v>
      </c>
      <c r="S28" s="4">
        <v>52.346266666666693</v>
      </c>
      <c r="T28" s="4">
        <v>62.815520000000028</v>
      </c>
      <c r="U28" s="4">
        <v>73.284773333333376</v>
      </c>
      <c r="V28" s="4">
        <v>83.754026666666704</v>
      </c>
      <c r="W28" s="36">
        <v>202.10853658536584</v>
      </c>
    </row>
    <row r="29" spans="16:23" x14ac:dyDescent="0.2">
      <c r="P29" s="46"/>
      <c r="W29" s="22"/>
    </row>
    <row r="30" spans="16:23" ht="17" thickBot="1" x14ac:dyDescent="0.25">
      <c r="P30" s="47" t="s">
        <v>79</v>
      </c>
      <c r="Q30" s="37">
        <v>-0.84528197044334963</v>
      </c>
      <c r="R30" s="37">
        <v>-0.79370929392446621</v>
      </c>
      <c r="S30" s="37">
        <v>-0.74213661740558279</v>
      </c>
      <c r="T30" s="37">
        <v>-0.69056394088669937</v>
      </c>
      <c r="U30" s="37">
        <v>-0.63899126436781595</v>
      </c>
      <c r="V30" s="37">
        <v>-0.58741858784893242</v>
      </c>
      <c r="W30" s="38">
        <v>-4.3914453922865304E-3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Matrix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Garza, Jacob S</cp:lastModifiedBy>
  <cp:revision/>
  <dcterms:created xsi:type="dcterms:W3CDTF">2023-01-18T22:07:02Z</dcterms:created>
  <dcterms:modified xsi:type="dcterms:W3CDTF">2024-01-24T16:03:54Z</dcterms:modified>
  <cp:category/>
  <cp:contentStatus/>
</cp:coreProperties>
</file>