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A96DF294-B786-DC4F-ACAD-82C8251F75F9}" xr6:coauthVersionLast="47" xr6:coauthVersionMax="47" xr10:uidLastSave="{00000000-0000-0000-0000-000000000000}"/>
  <bookViews>
    <workbookView xWindow="0" yWindow="500" windowWidth="35840" windowHeight="21900" activeTab="1" xr2:uid="{00000000-000D-0000-FFFF-FFFF00000000}"/>
  </bookViews>
  <sheets>
    <sheet name="Main" sheetId="1" r:id="rId1"/>
    <sheet name="Model" sheetId="2" r:id="rId2"/>
    <sheet name="Key Metric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" i="2" l="1"/>
  <c r="AA15" i="2" s="1"/>
  <c r="AB15" i="2" s="1"/>
  <c r="AC15" i="2" s="1"/>
  <c r="AD15" i="2" s="1"/>
  <c r="AE15" i="2" s="1"/>
  <c r="Y15" i="2"/>
  <c r="X30" i="2"/>
  <c r="X29" i="2"/>
  <c r="Z27" i="2"/>
  <c r="AA27" i="2" s="1"/>
  <c r="AB27" i="2" s="1"/>
  <c r="AC27" i="2" s="1"/>
  <c r="AD27" i="2" s="1"/>
  <c r="AE27" i="2" s="1"/>
  <c r="Y27" i="2"/>
  <c r="X27" i="2"/>
  <c r="X26" i="2"/>
  <c r="AE25" i="2"/>
  <c r="AD25" i="2"/>
  <c r="AC25" i="2"/>
  <c r="AB25" i="2"/>
  <c r="AA25" i="2"/>
  <c r="Z25" i="2"/>
  <c r="Y25" i="2"/>
  <c r="X25" i="2"/>
  <c r="Y24" i="2"/>
  <c r="Z24" i="2" s="1"/>
  <c r="AA24" i="2" s="1"/>
  <c r="AB24" i="2" s="1"/>
  <c r="AC24" i="2" s="1"/>
  <c r="AD24" i="2" s="1"/>
  <c r="AE24" i="2" s="1"/>
  <c r="Y23" i="2"/>
  <c r="Z23" i="2" s="1"/>
  <c r="AA23" i="2" s="1"/>
  <c r="AB23" i="2" s="1"/>
  <c r="AC23" i="2" s="1"/>
  <c r="AD23" i="2" s="1"/>
  <c r="AE23" i="2" s="1"/>
  <c r="X24" i="2"/>
  <c r="X23" i="2"/>
  <c r="Y22" i="2"/>
  <c r="Z22" i="2" s="1"/>
  <c r="AA22" i="2" s="1"/>
  <c r="AB22" i="2" s="1"/>
  <c r="AC22" i="2" s="1"/>
  <c r="AD22" i="2" s="1"/>
  <c r="AE22" i="2" s="1"/>
  <c r="X22" i="2"/>
  <c r="Y16" i="2"/>
  <c r="Y42" i="2" s="1"/>
  <c r="X15" i="2"/>
  <c r="X42" i="2"/>
  <c r="X41" i="2"/>
  <c r="X19" i="2"/>
  <c r="X21" i="2" s="1"/>
  <c r="X16" i="2"/>
  <c r="T31" i="2"/>
  <c r="S31" i="2"/>
  <c r="T29" i="2"/>
  <c r="S29" i="2"/>
  <c r="S26" i="2"/>
  <c r="T25" i="2"/>
  <c r="T26" i="2" s="1"/>
  <c r="S25" i="2"/>
  <c r="T21" i="2"/>
  <c r="S21" i="2"/>
  <c r="T19" i="2"/>
  <c r="S19" i="2"/>
  <c r="T15" i="2"/>
  <c r="S15" i="2"/>
  <c r="K30" i="2"/>
  <c r="K28" i="2"/>
  <c r="K27" i="2"/>
  <c r="K24" i="2"/>
  <c r="K23" i="2"/>
  <c r="K22" i="2"/>
  <c r="K20" i="2"/>
  <c r="K17" i="2"/>
  <c r="K13" i="2"/>
  <c r="K12" i="2"/>
  <c r="K11" i="2"/>
  <c r="K10" i="2"/>
  <c r="K7" i="2"/>
  <c r="K6" i="2"/>
  <c r="K5" i="2"/>
  <c r="K4" i="2"/>
  <c r="O30" i="2"/>
  <c r="O28" i="2"/>
  <c r="O27" i="2"/>
  <c r="O24" i="2"/>
  <c r="O23" i="2"/>
  <c r="O22" i="2"/>
  <c r="O25" i="2" s="1"/>
  <c r="O20" i="2"/>
  <c r="O17" i="2"/>
  <c r="O13" i="2"/>
  <c r="O12" i="2"/>
  <c r="O10" i="2"/>
  <c r="O7" i="2"/>
  <c r="O6" i="2"/>
  <c r="O5" i="2"/>
  <c r="O4" i="2"/>
  <c r="H16" i="2"/>
  <c r="H15" i="2"/>
  <c r="L16" i="2"/>
  <c r="L15" i="2"/>
  <c r="I16" i="2"/>
  <c r="I15" i="2"/>
  <c r="M16" i="2"/>
  <c r="M15" i="2"/>
  <c r="G29" i="2"/>
  <c r="F29" i="2"/>
  <c r="E29" i="2"/>
  <c r="D29" i="2"/>
  <c r="P22" i="2"/>
  <c r="P25" i="2"/>
  <c r="P16" i="2"/>
  <c r="P19" i="2" s="1"/>
  <c r="Z16" i="2" l="1"/>
  <c r="X40" i="2"/>
  <c r="P20" i="2"/>
  <c r="P21" i="2"/>
  <c r="P36" i="2" s="1"/>
  <c r="P38" i="2"/>
  <c r="P26" i="2"/>
  <c r="P37" i="2" s="1"/>
  <c r="M19" i="2"/>
  <c r="M21" i="2" s="1"/>
  <c r="M36" i="2" s="1"/>
  <c r="L19" i="2"/>
  <c r="L21" i="2" s="1"/>
  <c r="L36" i="2" s="1"/>
  <c r="I19" i="2"/>
  <c r="I21" i="2" s="1"/>
  <c r="I36" i="2" s="1"/>
  <c r="H19" i="2"/>
  <c r="H21" i="2" s="1"/>
  <c r="G19" i="2"/>
  <c r="F19" i="2"/>
  <c r="E19" i="2"/>
  <c r="D19" i="2"/>
  <c r="J16" i="2"/>
  <c r="J15" i="2"/>
  <c r="J19" i="2" s="1"/>
  <c r="J21" i="2" s="1"/>
  <c r="J36" i="2" s="1"/>
  <c r="N16" i="2"/>
  <c r="N15" i="2"/>
  <c r="N25" i="2"/>
  <c r="W16" i="2"/>
  <c r="V16" i="2"/>
  <c r="U16" i="2"/>
  <c r="W15" i="2"/>
  <c r="V15" i="2"/>
  <c r="U15" i="2"/>
  <c r="U25" i="2"/>
  <c r="V25" i="2"/>
  <c r="W25" i="2"/>
  <c r="D13" i="3"/>
  <c r="C13" i="3"/>
  <c r="D12" i="3"/>
  <c r="C12" i="3"/>
  <c r="B13" i="3"/>
  <c r="B12" i="3"/>
  <c r="J2" i="1"/>
  <c r="J3" i="1" s="1"/>
  <c r="J6" i="1" s="1"/>
  <c r="X1" i="2"/>
  <c r="Y1" i="2" s="1"/>
  <c r="Z1" i="2" s="1"/>
  <c r="AA1" i="2" s="1"/>
  <c r="AB1" i="2" s="1"/>
  <c r="AC1" i="2" s="1"/>
  <c r="AD1" i="2" s="1"/>
  <c r="AE1" i="2" s="1"/>
  <c r="AA16" i="2" l="1"/>
  <c r="Z42" i="2"/>
  <c r="V19" i="2"/>
  <c r="K15" i="2"/>
  <c r="W19" i="2"/>
  <c r="O15" i="2"/>
  <c r="V42" i="2"/>
  <c r="K16" i="2"/>
  <c r="W42" i="2"/>
  <c r="O16" i="2"/>
  <c r="W41" i="2"/>
  <c r="U19" i="2"/>
  <c r="U21" i="2" s="1"/>
  <c r="U36" i="2" s="1"/>
  <c r="V41" i="2"/>
  <c r="N19" i="2"/>
  <c r="N21" i="2" s="1"/>
  <c r="N26" i="2" s="1"/>
  <c r="N29" i="2" s="1"/>
  <c r="N31" i="2" s="1"/>
  <c r="U26" i="2"/>
  <c r="H36" i="2"/>
  <c r="H25" i="2"/>
  <c r="H26" i="2" s="1"/>
  <c r="H29" i="2" s="1"/>
  <c r="L25" i="2"/>
  <c r="L26" i="2" s="1"/>
  <c r="L29" i="2" s="1"/>
  <c r="M25" i="2"/>
  <c r="M26" i="2" s="1"/>
  <c r="I25" i="2"/>
  <c r="I26" i="2" s="1"/>
  <c r="J25" i="2"/>
  <c r="J26" i="2" s="1"/>
  <c r="AB16" i="2" l="1"/>
  <c r="AA42" i="2"/>
  <c r="N36" i="2"/>
  <c r="N34" i="2"/>
  <c r="N38" i="2"/>
  <c r="U29" i="2"/>
  <c r="U31" i="2" s="1"/>
  <c r="U34" i="2" s="1"/>
  <c r="U37" i="2"/>
  <c r="N37" i="2"/>
  <c r="J29" i="2"/>
  <c r="J31" i="2" s="1"/>
  <c r="J34" i="2" s="1"/>
  <c r="O19" i="2"/>
  <c r="O21" i="2" s="1"/>
  <c r="W21" i="2"/>
  <c r="W40" i="2"/>
  <c r="K19" i="2"/>
  <c r="V21" i="2"/>
  <c r="V40" i="2"/>
  <c r="I37" i="2"/>
  <c r="I29" i="2"/>
  <c r="I31" i="2" s="1"/>
  <c r="I34" i="2" s="1"/>
  <c r="M37" i="2"/>
  <c r="M29" i="2"/>
  <c r="M31" i="2"/>
  <c r="M34" i="2" s="1"/>
  <c r="J37" i="2"/>
  <c r="H31" i="2"/>
  <c r="H34" i="2" s="1"/>
  <c r="H37" i="2"/>
  <c r="L31" i="2"/>
  <c r="L34" i="2" s="1"/>
  <c r="L37" i="2"/>
  <c r="AC16" i="2" l="1"/>
  <c r="AB42" i="2"/>
  <c r="Y19" i="2"/>
  <c r="Y41" i="2"/>
  <c r="X36" i="2"/>
  <c r="K21" i="2"/>
  <c r="K25" i="2" s="1"/>
  <c r="K26" i="2" s="1"/>
  <c r="W36" i="2"/>
  <c r="W26" i="2"/>
  <c r="V36" i="2"/>
  <c r="V26" i="2"/>
  <c r="O36" i="2"/>
  <c r="O26" i="2"/>
  <c r="AC42" i="2" l="1"/>
  <c r="AD16" i="2"/>
  <c r="Z19" i="2"/>
  <c r="Z41" i="2"/>
  <c r="Y40" i="2"/>
  <c r="Y21" i="2"/>
  <c r="Y26" i="2" s="1"/>
  <c r="Y29" i="2" s="1"/>
  <c r="Y30" i="2" s="1"/>
  <c r="O29" i="2"/>
  <c r="O31" i="2" s="1"/>
  <c r="O37" i="2"/>
  <c r="V29" i="2"/>
  <c r="V31" i="2" s="1"/>
  <c r="V34" i="2" s="1"/>
  <c r="V37" i="2"/>
  <c r="W29" i="2"/>
  <c r="W31" i="2" s="1"/>
  <c r="W37" i="2"/>
  <c r="K29" i="2"/>
  <c r="K31" i="2" s="1"/>
  <c r="K34" i="2" s="1"/>
  <c r="K37" i="2"/>
  <c r="K36" i="2"/>
  <c r="Y36" i="2"/>
  <c r="X37" i="2"/>
  <c r="X31" i="2"/>
  <c r="AE16" i="2" l="1"/>
  <c r="AE42" i="2" s="1"/>
  <c r="AD42" i="2"/>
  <c r="AA19" i="2"/>
  <c r="AA41" i="2"/>
  <c r="Z40" i="2"/>
  <c r="Z21" i="2"/>
  <c r="Z26" i="2" s="1"/>
  <c r="Z29" i="2" s="1"/>
  <c r="Z30" i="2" s="1"/>
  <c r="X38" i="2"/>
  <c r="Z36" i="2"/>
  <c r="Z37" i="2"/>
  <c r="Y37" i="2"/>
  <c r="Y31" i="2"/>
  <c r="Y38" i="2" s="1"/>
  <c r="W34" i="2"/>
  <c r="W38" i="2"/>
  <c r="O34" i="2"/>
  <c r="O38" i="2"/>
  <c r="AB19" i="2" l="1"/>
  <c r="AB41" i="2"/>
  <c r="AA40" i="2"/>
  <c r="AA21" i="2"/>
  <c r="Z31" i="2"/>
  <c r="Z38" i="2" s="1"/>
  <c r="AA36" i="2" l="1"/>
  <c r="AA26" i="2"/>
  <c r="AC19" i="2"/>
  <c r="AC41" i="2"/>
  <c r="AB40" i="2"/>
  <c r="AB21" i="2"/>
  <c r="AB26" i="2" s="1"/>
  <c r="AB29" i="2" s="1"/>
  <c r="AB30" i="2" s="1"/>
  <c r="AB36" i="2"/>
  <c r="AB37" i="2"/>
  <c r="AA29" i="2" l="1"/>
  <c r="AA37" i="2"/>
  <c r="AD19" i="2"/>
  <c r="AD41" i="2"/>
  <c r="AC40" i="2"/>
  <c r="AC21" i="2"/>
  <c r="AC26" i="2" s="1"/>
  <c r="AC29" i="2" s="1"/>
  <c r="AC30" i="2" s="1"/>
  <c r="AB31" i="2"/>
  <c r="AB38" i="2" s="1"/>
  <c r="AC36" i="2"/>
  <c r="AA30" i="2" l="1"/>
  <c r="AA31" i="2"/>
  <c r="AA38" i="2" s="1"/>
  <c r="AE19" i="2"/>
  <c r="AE41" i="2"/>
  <c r="AD40" i="2"/>
  <c r="AD21" i="2"/>
  <c r="AC37" i="2"/>
  <c r="AC31" i="2"/>
  <c r="AD36" i="2" l="1"/>
  <c r="AD26" i="2"/>
  <c r="AD29" i="2" s="1"/>
  <c r="AD30" i="2" s="1"/>
  <c r="AE21" i="2"/>
  <c r="AE40" i="2"/>
  <c r="AC38" i="2"/>
  <c r="AD37" i="2"/>
  <c r="AD31" i="2"/>
  <c r="AD38" i="2" s="1"/>
  <c r="AE36" i="2" l="1"/>
  <c r="AE26" i="2"/>
  <c r="AE29" i="2" l="1"/>
  <c r="AE37" i="2"/>
  <c r="AE30" i="2" l="1"/>
  <c r="AE31" i="2"/>
  <c r="AF31" i="2" l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B31" i="2" s="1"/>
  <c r="FC31" i="2" s="1"/>
  <c r="FD31" i="2" s="1"/>
  <c r="FE31" i="2" s="1"/>
  <c r="FF31" i="2" s="1"/>
  <c r="FG31" i="2" s="1"/>
  <c r="FH31" i="2" s="1"/>
  <c r="FI31" i="2" s="1"/>
  <c r="FJ31" i="2" s="1"/>
  <c r="FK31" i="2" s="1"/>
  <c r="FL31" i="2" s="1"/>
  <c r="FM31" i="2" s="1"/>
  <c r="FN31" i="2" s="1"/>
  <c r="FO31" i="2" s="1"/>
  <c r="FP31" i="2" s="1"/>
  <c r="FQ31" i="2" s="1"/>
  <c r="FR31" i="2" s="1"/>
  <c r="FS31" i="2" s="1"/>
  <c r="FT31" i="2" s="1"/>
  <c r="FU31" i="2" s="1"/>
  <c r="FV31" i="2" s="1"/>
  <c r="FW31" i="2" s="1"/>
  <c r="FX31" i="2" s="1"/>
  <c r="FY31" i="2" s="1"/>
  <c r="FZ31" i="2" s="1"/>
  <c r="GA31" i="2" s="1"/>
  <c r="GB31" i="2" s="1"/>
  <c r="GC31" i="2" s="1"/>
  <c r="GD31" i="2" s="1"/>
  <c r="GE31" i="2" s="1"/>
  <c r="GF31" i="2" s="1"/>
  <c r="GG31" i="2" s="1"/>
  <c r="GH31" i="2" s="1"/>
  <c r="GI31" i="2" s="1"/>
  <c r="GJ31" i="2" s="1"/>
  <c r="GK31" i="2" s="1"/>
  <c r="GL31" i="2" s="1"/>
  <c r="GM31" i="2" s="1"/>
  <c r="GN31" i="2" s="1"/>
  <c r="GO31" i="2" s="1"/>
  <c r="GP31" i="2" s="1"/>
  <c r="GQ31" i="2" s="1"/>
  <c r="GR31" i="2" s="1"/>
  <c r="GS31" i="2" s="1"/>
  <c r="GT31" i="2" s="1"/>
  <c r="GU31" i="2" s="1"/>
  <c r="GV31" i="2" s="1"/>
  <c r="GW31" i="2" s="1"/>
  <c r="GX31" i="2" s="1"/>
  <c r="GY31" i="2" s="1"/>
  <c r="GZ31" i="2" s="1"/>
  <c r="HA31" i="2" s="1"/>
  <c r="HB31" i="2" s="1"/>
  <c r="HC31" i="2" s="1"/>
  <c r="HD31" i="2" s="1"/>
  <c r="HE31" i="2" s="1"/>
  <c r="HF31" i="2" s="1"/>
  <c r="HG31" i="2" s="1"/>
  <c r="HH31" i="2" s="1"/>
  <c r="AE38" i="2"/>
  <c r="AH36" i="2" l="1"/>
  <c r="AH37" i="2" s="1"/>
  <c r="AH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tc={03271829-BED3-704F-A038-7613BAC59E5A}</author>
  </authors>
  <commentList>
    <comment ref="B1" authorId="0" shapeId="0" xr:uid="{03271829-BED3-704F-A038-7613BAC59E5A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Crypto Asset impairment, restructuring, and other operating expense</t>
      </text>
    </comment>
  </commentList>
</comments>
</file>

<file path=xl/sharedStrings.xml><?xml version="1.0" encoding="utf-8"?>
<sst xmlns="http://schemas.openxmlformats.org/spreadsheetml/2006/main" count="69" uniqueCount="68">
  <si>
    <t>Main</t>
  </si>
  <si>
    <t>Model</t>
  </si>
  <si>
    <t>Price</t>
  </si>
  <si>
    <t>Shares</t>
  </si>
  <si>
    <t>MC</t>
  </si>
  <si>
    <t>Cash</t>
  </si>
  <si>
    <t>Debt</t>
  </si>
  <si>
    <t>EV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</si>
  <si>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</si>
  <si>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</si>
  <si>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</si>
  <si>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</si>
  <si>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</si>
  <si>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</si>
  <si>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</si>
  <si>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</si>
  <si>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</si>
  <si>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</si>
  <si>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</si>
  <si>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</si>
  <si>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</si>
  <si>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</si>
  <si>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Transaction Expense</t>
  </si>
  <si>
    <t>T&amp;D</t>
  </si>
  <si>
    <t>S&amp;M</t>
  </si>
  <si>
    <t>G&amp;A</t>
  </si>
  <si>
    <t>Operating Expense</t>
  </si>
  <si>
    <t>Operating Income</t>
  </si>
  <si>
    <t>Pretax Income</t>
  </si>
  <si>
    <t>Taxes</t>
  </si>
  <si>
    <t>Net Income</t>
  </si>
  <si>
    <t>Interest Expense</t>
  </si>
  <si>
    <t>EPS</t>
  </si>
  <si>
    <t>Gross Margin</t>
  </si>
  <si>
    <t>Operating Margin</t>
  </si>
  <si>
    <t>Profit Margin</t>
  </si>
  <si>
    <t>Rev y/y</t>
  </si>
  <si>
    <t>Gross Profit</t>
  </si>
  <si>
    <t>Monthly Transacting Users (Millions)</t>
  </si>
  <si>
    <t>Trading Volume (Billions)</t>
  </si>
  <si>
    <t>Institutional Volume</t>
  </si>
  <si>
    <t>Consumer Volume</t>
  </si>
  <si>
    <t>Volume mix (Institutional)</t>
  </si>
  <si>
    <t>Volume mix (Consumer)</t>
  </si>
  <si>
    <t>Transaction Revenue</t>
  </si>
  <si>
    <t>Subs and services</t>
  </si>
  <si>
    <t>Other</t>
  </si>
  <si>
    <t>Other (Income)</t>
  </si>
  <si>
    <t>Notes</t>
  </si>
  <si>
    <t>BTC/USD</t>
  </si>
  <si>
    <t>Consumer Revenue</t>
  </si>
  <si>
    <t>Institutional Revenue</t>
  </si>
  <si>
    <t>Stablecoin Rev</t>
  </si>
  <si>
    <t>Blockchain Rev</t>
  </si>
  <si>
    <t>Interest income</t>
  </si>
  <si>
    <t>Custodial fee revenue</t>
  </si>
  <si>
    <t>Other revenue</t>
  </si>
  <si>
    <t>Institutional Volume (Billions)</t>
  </si>
  <si>
    <t>Consumer Volume (Billions)</t>
  </si>
  <si>
    <t>Transaction Rev y/y</t>
  </si>
  <si>
    <t>Subs and services y/y</t>
  </si>
  <si>
    <t>Discount</t>
  </si>
  <si>
    <t>Maturity</t>
  </si>
  <si>
    <t>NPV</t>
  </si>
  <si>
    <t>FVE</t>
  </si>
  <si>
    <t>Value?</t>
  </si>
  <si>
    <t>Q124</t>
  </si>
  <si>
    <t>**Not Accurate**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</si>
</sst>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2" fillId="0" borderId="0" xfId="0" applyFont="1"/>
    <xf numFmtId="1" fontId="2" fillId="0" borderId="0" xfId="0" applyNumberFormat="1" applyFont="1"/>
    <xf numFmtId="3" fontId="2" fillId="0" borderId="0" xfId="0" applyNumberFormat="1" applyFon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'Key Metrics'!$A$3</c:f>
              <c:strCache>
                <c:ptCount val="1"/>
                <c:pt idx="0">
                  <c:v>Trading Volume (Billions)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'Key Metrics'!$B$1:$D$1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'Key Metrics'!$B$3:$D$3</c:f>
              <c:numCache>
                <c:formatCode>General</c:formatCode>
                <c:ptCount val="3"/>
                <c:pt idx="0">
                  <c:v>1671</c:v>
                </c:pt>
                <c:pt idx="1">
                  <c:v>830</c:v>
                </c:pt>
                <c:pt idx="2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184B-92B3-FBFA8F4B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940560"/>
        <c:axId val="1068949728"/>
      </c:lineChart>
      <c:lineChart>
        <c:grouping val="standard"/>
        <c:varyColors val="0"/>
        <c:ser>
          <c:idx val="0"/>
          <c:order val="0"/>
          <c:tx>
            <c:strRef>
              <c:f>'Key Metrics'!$A$2</c:f>
              <c:strCache>
                <c:ptCount val="1"/>
                <c:pt idx="0">
                  <c:v>Monthly Transacting Users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'Key Metrics'!$B$1:$D$1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'Key Metrics'!$B$2:$D$2</c:f>
              <c:numCache>
                <c:formatCode>General</c:formatCode>
                <c:ptCount val="3"/>
                <c:pt idx="0">
                  <c:v>11.2</c:v>
                </c:pt>
                <c:pt idx="1">
                  <c:v>8.3000000000000007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184B-92B3-FBFA8F4B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23327"/>
        <c:axId val="1240817647"/>
      </c:lineChart>
      <c:catAx>
        <c:axId val="10689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9728"/>
        <c:crosses val="autoZero"/>
        <c:auto val="1"/>
        <c:lblAlgn val="ctr"/>
        <c:lblOffset val="100"/>
        <c:noMultiLvlLbl val="0"/>
      </c:catAx>
      <c:valAx>
        <c:axId val="1068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0560"/>
        <c:crosses val="autoZero"/>
        <c:crossBetween val="between"/>
      </c:valAx>
      <c:valAx>
        <c:axId val="1240817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3327"/>
        <c:crosses val="max"/>
        <c:crossBetween val="between"/>
      </c:valAx>
      <c:catAx>
        <c:axId val="124082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817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4</xdr:row>
      <xdr:rowOff>182880</xdr:rowOff>
    </xdr:from>
    <xdr:to>
      <xdr:col>23</xdr:col>
      <xdr:colOff>330200</xdr:colOff>
      <xdr:row>4</xdr:row>
      <xdr:rowOff>182880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112A1C1-83DB-E5E9-3700-71A53744CBA8}"/>
            </a:ext>
          </a:extLst>
        </xdr:cNvPr>
        <xdr:cNvCxnSpPr/>
      </xdr:nvCxnSpPr>
      <xdr:spPr>
        <a:xfrm>
          <a:off x="355600" y="955040"/>
          <a:ext cx="14300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71120</xdr:rowOff>
    </xdr:from>
    <xdr:to>
      <xdr:col>15</xdr:col>
      <xdr:colOff>0</xdr:colOff>
      <xdr:row>44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43B5E98-4635-AA99-D619-EB71677C3C8E}"/>
            </a:ext>
          </a:extLst>
        </xdr:cNvPr>
        <xdr:cNvCxnSpPr/>
      </xdr:nvCxnSpPr>
      <xdr:spPr>
        <a:xfrm>
          <a:off x="10972800" y="71120"/>
          <a:ext cx="0" cy="848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20320</xdr:rowOff>
    </xdr:from>
    <xdr:to>
      <xdr:col>23</xdr:col>
      <xdr:colOff>0</xdr:colOff>
      <xdr:row>44</xdr:row>
      <xdr:rowOff>10160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1571DCF-30AC-0649-8869-F40B2D0F6D4F}"/>
            </a:ext>
          </a:extLst>
        </xdr:cNvPr>
        <xdr:cNvCxnSpPr/>
      </xdr:nvCxnSpPr>
      <xdr:spPr>
        <a:xfrm>
          <a:off x="14325600" y="20320"/>
          <a:ext cx="0" cy="848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16</xdr:row>
      <xdr:rowOff>25400</xdr:rowOff>
    </xdr:from>
    <xdr:to>
      <xdr:col>7</xdr:col>
      <xdr:colOff>273050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DC036-DE41-57CD-D080-D0D61A37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E588B327-89F0-964B-963F-09B59D151706}" userId="S::jgarza25@illinois.edu::9792bea3-4872-461e-a1cc-52c9d9b6c1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6T05:16:25.49" personId="{E588B327-89F0-964B-963F-09B59D151706}" id="{03271829-BED3-704F-A038-7613BAC59E5A}">
    <text>Excludes Crypto Asset impairment, restructuring, and other operating expense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opLeftCell="D1" workbookViewId="0">
      <selection activeCell="J3" sqref="J3"/>
    </sheetView>
  </sheetViews>
  <sheetFormatPr baseColWidth="10" defaultColWidth="8.83203125" defaultRowHeight="15" x14ac:dyDescent="0.2"/>
  <cols>
    <col min="1" max="1" width="6.6640625" bestFit="1" customWidth="1"/>
    <col min="10" max="10" width="13.83203125" bestFit="1" customWidth="1"/>
  </cols>
  <sheetData>
    <row r="1" spans="1:10" x14ac:dyDescent="0.2">
      <c r="A1" s="1" t="s">
        <v>1</v>
      </c>
      <c r="I1" t="s">
        <v>2</v>
      </c>
      <c r="J1" s="2">
        <v>190</v>
      </c>
    </row>
    <row r="2" spans="1:10" x14ac:dyDescent="0.2">
      <c r="I2" t="s">
        <v>3</v>
      </c>
      <c r="J2">
        <f>195.5+46.7</f>
        <v>242.2</v>
      </c>
    </row>
    <row r="3" spans="1:10" x14ac:dyDescent="0.2">
      <c r="I3" t="s">
        <v>4</v>
      </c>
      <c r="J3" s="2">
        <f>J1*J2</f>
        <v>46018</v>
      </c>
    </row>
    <row r="4" spans="1:10" x14ac:dyDescent="0.2">
      <c r="I4" t="s">
        <v>5</v>
      </c>
      <c r="J4" s="2">
        <v>5100</v>
      </c>
    </row>
    <row r="5" spans="1:10" x14ac:dyDescent="0.2">
      <c r="I5" t="s">
        <v>6</v>
      </c>
      <c r="J5" s="2">
        <v>3395</v>
      </c>
    </row>
    <row r="6" spans="1:10" x14ac:dyDescent="0.2">
      <c r="I6" t="s">
        <v>7</v>
      </c>
      <c r="J6" s="2">
        <f>J3-J4+J5</f>
        <v>44313</v>
      </c>
    </row>
  </sheetData>
  <hyperlinks>
    <hyperlink ref="A1" location="Model!A1" display="Model" xr:uid="{59E38B96-A887-486C-B1DE-F8D064B90A7B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8549-ACF3-45F2-9BB5-01980EBA453A}">
  <dimension ref="A1:HH42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R33" sqref="R33"/>
    </sheetView>
  </sheetViews>
  <sheetFormatPr baseColWidth="10" defaultColWidth="8.83203125" defaultRowHeight="15" x14ac:dyDescent="0.2"/>
  <cols>
    <col min="1" max="1" width="5.5" bestFit="1" customWidth="1"/>
    <col min="2" max="2" width="24.1640625" bestFit="1" customWidth="1"/>
    <col min="34" max="34" width="10.6640625" bestFit="1" customWidth="1"/>
  </cols>
  <sheetData>
    <row r="1" spans="1:31" x14ac:dyDescent="0.2">
      <c r="A1" s="1" t="s">
        <v>0</v>
      </c>
      <c r="B1" t="s">
        <v>48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66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f>W1+1</f>
        <v>2024</v>
      </c>
      <c r="Y1">
        <f t="shared" ref="Y1:AE1" si="0">X1+1</f>
        <v>2025</v>
      </c>
      <c r="Z1">
        <f t="shared" si="0"/>
        <v>2026</v>
      </c>
      <c r="AA1">
        <f t="shared" si="0"/>
        <v>2027</v>
      </c>
      <c r="AB1">
        <f t="shared" si="0"/>
        <v>2028</v>
      </c>
      <c r="AC1">
        <f t="shared" si="0"/>
        <v>2029</v>
      </c>
      <c r="AD1">
        <f t="shared" si="0"/>
        <v>2030</v>
      </c>
      <c r="AE1">
        <f t="shared" si="0"/>
        <v>2031</v>
      </c>
    </row>
    <row r="2" spans="1:31" x14ac:dyDescent="0.2">
      <c r="A2" s="1"/>
      <c r="B2" t="s">
        <v>49</v>
      </c>
      <c r="U2" s="2">
        <v>47733</v>
      </c>
      <c r="V2" s="2">
        <v>16529</v>
      </c>
      <c r="W2" s="2">
        <v>42141</v>
      </c>
    </row>
    <row r="3" spans="1:31" x14ac:dyDescent="0.2">
      <c r="A3" s="1"/>
      <c r="U3" s="2"/>
      <c r="V3" s="2"/>
      <c r="W3" s="2"/>
    </row>
    <row r="4" spans="1:31" x14ac:dyDescent="0.2">
      <c r="A4" s="1"/>
      <c r="B4" t="s">
        <v>58</v>
      </c>
      <c r="H4">
        <v>74</v>
      </c>
      <c r="I4">
        <v>46</v>
      </c>
      <c r="J4">
        <v>26</v>
      </c>
      <c r="K4" s="2">
        <f>V4-J4-I4-H4</f>
        <v>21</v>
      </c>
      <c r="L4">
        <v>21</v>
      </c>
      <c r="M4">
        <v>14</v>
      </c>
      <c r="N4">
        <v>11</v>
      </c>
      <c r="O4" s="2">
        <f>W4-N4-M4-L4</f>
        <v>29</v>
      </c>
      <c r="S4">
        <v>35</v>
      </c>
      <c r="T4">
        <v>73</v>
      </c>
      <c r="U4" s="2">
        <v>535</v>
      </c>
      <c r="V4" s="2">
        <v>167</v>
      </c>
      <c r="W4" s="2">
        <v>75</v>
      </c>
    </row>
    <row r="5" spans="1:31" x14ac:dyDescent="0.2">
      <c r="B5" t="s">
        <v>57</v>
      </c>
      <c r="H5">
        <v>235</v>
      </c>
      <c r="I5">
        <v>171</v>
      </c>
      <c r="J5">
        <v>133</v>
      </c>
      <c r="K5" s="2">
        <f>V5-J5-I5-H5</f>
        <v>124</v>
      </c>
      <c r="L5">
        <v>124</v>
      </c>
      <c r="M5">
        <v>78</v>
      </c>
      <c r="N5">
        <v>65</v>
      </c>
      <c r="O5" s="2">
        <f>W5-N5-M5-L5</f>
        <v>126</v>
      </c>
      <c r="S5">
        <v>45</v>
      </c>
      <c r="T5">
        <v>120</v>
      </c>
      <c r="U5" s="2">
        <v>1136</v>
      </c>
      <c r="V5" s="2">
        <v>663</v>
      </c>
      <c r="W5" s="2">
        <v>393</v>
      </c>
    </row>
    <row r="6" spans="1:31" x14ac:dyDescent="0.2">
      <c r="B6" t="s">
        <v>50</v>
      </c>
      <c r="H6">
        <v>965</v>
      </c>
      <c r="I6">
        <v>616</v>
      </c>
      <c r="J6">
        <v>346</v>
      </c>
      <c r="K6" s="2">
        <f>V6-J6-I6-H6</f>
        <v>309.90000000000009</v>
      </c>
      <c r="L6">
        <v>352</v>
      </c>
      <c r="M6">
        <v>310</v>
      </c>
      <c r="N6">
        <v>274.5</v>
      </c>
      <c r="O6" s="2">
        <f>W6-N6-M6-L6</f>
        <v>492.90000000000009</v>
      </c>
      <c r="S6" s="2">
        <v>432.9</v>
      </c>
      <c r="T6" s="2">
        <v>1040</v>
      </c>
      <c r="U6" s="2">
        <v>6490.9</v>
      </c>
      <c r="V6" s="2">
        <v>2236.9</v>
      </c>
      <c r="W6" s="2">
        <v>1429.4</v>
      </c>
    </row>
    <row r="7" spans="1:31" x14ac:dyDescent="0.2">
      <c r="A7" s="1"/>
      <c r="B7" t="s">
        <v>51</v>
      </c>
      <c r="H7">
        <v>47</v>
      </c>
      <c r="I7">
        <v>39</v>
      </c>
      <c r="J7">
        <v>19.7</v>
      </c>
      <c r="K7" s="2">
        <f>V7-J7-I7-H7</f>
        <v>13.599999999999994</v>
      </c>
      <c r="L7">
        <v>22</v>
      </c>
      <c r="M7">
        <v>17</v>
      </c>
      <c r="N7">
        <v>14</v>
      </c>
      <c r="O7" s="2">
        <f>W7-N7-M7-L7</f>
        <v>37.159999999999997</v>
      </c>
      <c r="S7" s="2">
        <v>30</v>
      </c>
      <c r="T7" s="2">
        <v>55.9</v>
      </c>
      <c r="U7" s="2">
        <v>346.2</v>
      </c>
      <c r="V7" s="2">
        <v>119.3</v>
      </c>
      <c r="W7" s="2">
        <v>90.16</v>
      </c>
    </row>
    <row r="8" spans="1:31" x14ac:dyDescent="0.2">
      <c r="A8" s="1"/>
    </row>
    <row r="9" spans="1:31" x14ac:dyDescent="0.2">
      <c r="A9" s="1"/>
      <c r="B9" t="s">
        <v>52</v>
      </c>
      <c r="J9">
        <v>76.8</v>
      </c>
      <c r="N9">
        <v>172</v>
      </c>
      <c r="U9" s="2">
        <v>9.8000000000000007</v>
      </c>
      <c r="V9" s="2">
        <v>245.7</v>
      </c>
      <c r="W9" s="2">
        <v>694.2</v>
      </c>
    </row>
    <row r="10" spans="1:31" x14ac:dyDescent="0.2">
      <c r="A10" s="1"/>
      <c r="B10" t="s">
        <v>53</v>
      </c>
      <c r="H10">
        <v>81.8</v>
      </c>
      <c r="I10">
        <v>68.400000000000006</v>
      </c>
      <c r="J10">
        <v>62.7</v>
      </c>
      <c r="K10" s="2">
        <f>V10-J10-I10-H10</f>
        <v>62.600000000000009</v>
      </c>
      <c r="L10">
        <v>73.7</v>
      </c>
      <c r="M10">
        <v>87.6</v>
      </c>
      <c r="N10">
        <v>74</v>
      </c>
      <c r="O10" s="2">
        <f>W10-N10-M10-L10</f>
        <v>95.500000000000014</v>
      </c>
      <c r="U10" s="2">
        <v>223</v>
      </c>
      <c r="V10" s="2">
        <v>275.5</v>
      </c>
      <c r="W10" s="2">
        <v>330.8</v>
      </c>
    </row>
    <row r="11" spans="1:31" x14ac:dyDescent="0.2">
      <c r="A11" s="1"/>
      <c r="B11" t="s">
        <v>54</v>
      </c>
      <c r="H11">
        <v>10.4</v>
      </c>
      <c r="I11">
        <v>32.5</v>
      </c>
      <c r="J11">
        <v>24.9</v>
      </c>
      <c r="K11" s="2">
        <f>V11-J11-I11-H11</f>
        <v>13.400000000000004</v>
      </c>
      <c r="L11">
        <v>240.8</v>
      </c>
      <c r="M11">
        <v>201.36</v>
      </c>
      <c r="N11">
        <v>39</v>
      </c>
      <c r="U11" s="2">
        <v>15.9</v>
      </c>
      <c r="V11" s="2">
        <v>81.2</v>
      </c>
      <c r="W11" s="2">
        <v>173.9</v>
      </c>
    </row>
    <row r="12" spans="1:31" x14ac:dyDescent="0.2">
      <c r="A12" s="1"/>
      <c r="B12" t="s">
        <v>55</v>
      </c>
      <c r="H12">
        <v>31.6</v>
      </c>
      <c r="I12">
        <v>22.17</v>
      </c>
      <c r="J12">
        <v>14.5</v>
      </c>
      <c r="K12" s="2">
        <f>V12-J12-I12-H12</f>
        <v>11.57</v>
      </c>
      <c r="L12">
        <v>17</v>
      </c>
      <c r="M12">
        <v>16.899999999999999</v>
      </c>
      <c r="N12">
        <v>15.8</v>
      </c>
      <c r="O12" s="2">
        <f t="shared" ref="O12:O17" si="1">W12-N12-M12-L12</f>
        <v>19.800000000000004</v>
      </c>
      <c r="U12" s="2">
        <v>136.19999999999999</v>
      </c>
      <c r="V12" s="2">
        <v>79.84</v>
      </c>
      <c r="W12" s="2">
        <v>69.5</v>
      </c>
    </row>
    <row r="13" spans="1:31" x14ac:dyDescent="0.2">
      <c r="A13" s="1"/>
      <c r="B13" t="s">
        <v>56</v>
      </c>
      <c r="H13">
        <v>27.8</v>
      </c>
      <c r="I13">
        <v>24.2</v>
      </c>
      <c r="J13">
        <v>31.4</v>
      </c>
      <c r="K13" s="2">
        <f>V13-J13-I13-H13</f>
        <v>26.800000000000008</v>
      </c>
      <c r="L13">
        <v>30</v>
      </c>
      <c r="M13">
        <v>29.4</v>
      </c>
      <c r="N13">
        <v>32</v>
      </c>
      <c r="O13" s="2">
        <f t="shared" si="1"/>
        <v>46.930000000000007</v>
      </c>
      <c r="U13" s="2">
        <v>132.30000000000001</v>
      </c>
      <c r="V13" s="2">
        <v>110.2</v>
      </c>
      <c r="W13" s="2">
        <v>138.33000000000001</v>
      </c>
    </row>
    <row r="14" spans="1:31" x14ac:dyDescent="0.2">
      <c r="A14" s="1"/>
    </row>
    <row r="15" spans="1:31" x14ac:dyDescent="0.2">
      <c r="A15" s="1"/>
      <c r="B15" t="s">
        <v>44</v>
      </c>
      <c r="H15" s="2">
        <f>SUM(H6:H7)</f>
        <v>1012</v>
      </c>
      <c r="I15" s="2">
        <f>SUM(I6:I7)</f>
        <v>655</v>
      </c>
      <c r="J15" s="2">
        <f>SUM(J6:J7)</f>
        <v>365.7</v>
      </c>
      <c r="K15" s="2">
        <f t="shared" ref="K15:K17" si="2">V15-J15-I15-H15</f>
        <v>323.50000000000023</v>
      </c>
      <c r="L15" s="2">
        <f>SUM(L6:L7)</f>
        <v>374</v>
      </c>
      <c r="M15" s="2">
        <f>SUM(M6:M7)</f>
        <v>327</v>
      </c>
      <c r="N15" s="2">
        <f>SUM(N6:N7)</f>
        <v>288.5</v>
      </c>
      <c r="O15" s="2">
        <f t="shared" si="1"/>
        <v>530.06000000000017</v>
      </c>
      <c r="P15">
        <v>640</v>
      </c>
      <c r="S15" s="2">
        <f t="shared" ref="S15:U15" si="3">SUM(S6:S7)</f>
        <v>462.9</v>
      </c>
      <c r="T15" s="2">
        <f t="shared" si="3"/>
        <v>1095.9000000000001</v>
      </c>
      <c r="U15" s="2">
        <f>SUM(U6:U7)</f>
        <v>6837.0999999999995</v>
      </c>
      <c r="V15" s="2">
        <f t="shared" ref="V15:W15" si="4">SUM(V6:V7)</f>
        <v>2356.2000000000003</v>
      </c>
      <c r="W15" s="2">
        <f t="shared" si="4"/>
        <v>1519.5600000000002</v>
      </c>
      <c r="X15" s="2">
        <f>W15*1.5</f>
        <v>2279.34</v>
      </c>
      <c r="Y15" s="2">
        <f>X15*1.1</f>
        <v>2507.2740000000003</v>
      </c>
      <c r="Z15" s="2">
        <f t="shared" ref="Z15" si="5">Y15*1.1</f>
        <v>2758.0014000000006</v>
      </c>
      <c r="AA15" s="2">
        <f t="shared" ref="Z15:AE15" si="6">Z15*0.9</f>
        <v>2482.2012600000007</v>
      </c>
      <c r="AB15" s="2">
        <f t="shared" si="6"/>
        <v>2233.9811340000006</v>
      </c>
      <c r="AC15" s="2">
        <f t="shared" si="6"/>
        <v>2010.5830206000005</v>
      </c>
      <c r="AD15" s="2">
        <f t="shared" si="6"/>
        <v>1809.5247185400005</v>
      </c>
      <c r="AE15" s="2">
        <f t="shared" si="6"/>
        <v>1628.5722466860004</v>
      </c>
    </row>
    <row r="16" spans="1:31" x14ac:dyDescent="0.2">
      <c r="A16" s="1"/>
      <c r="B16" t="s">
        <v>45</v>
      </c>
      <c r="H16" s="2">
        <f>SUM(H9:H13)</f>
        <v>151.60000000000002</v>
      </c>
      <c r="I16" s="2">
        <f>SUM(I9:I13)</f>
        <v>147.27000000000001</v>
      </c>
      <c r="J16" s="2">
        <f>SUM(J9:J13)</f>
        <v>210.3</v>
      </c>
      <c r="K16" s="2">
        <f t="shared" si="2"/>
        <v>283.2700000000001</v>
      </c>
      <c r="L16" s="2">
        <f>SUM(L9:L13)</f>
        <v>361.5</v>
      </c>
      <c r="M16" s="2">
        <f>SUM(M9:M13)</f>
        <v>335.26</v>
      </c>
      <c r="N16" s="2">
        <f>SUM(N9:N13)</f>
        <v>332.8</v>
      </c>
      <c r="O16" s="2">
        <f t="shared" si="1"/>
        <v>377.17000000000007</v>
      </c>
      <c r="P16">
        <f>(410+480)/2</f>
        <v>445</v>
      </c>
      <c r="S16" s="2">
        <v>20</v>
      </c>
      <c r="T16" s="2">
        <v>45</v>
      </c>
      <c r="U16" s="2">
        <f>SUM(U9:U13)</f>
        <v>517.20000000000005</v>
      </c>
      <c r="V16" s="2">
        <f>SUM(V9:V13)</f>
        <v>792.44000000000017</v>
      </c>
      <c r="W16" s="2">
        <f>SUM(W9:W13)</f>
        <v>1406.73</v>
      </c>
      <c r="X16" s="2">
        <f>W16*1.2</f>
        <v>1688.076</v>
      </c>
      <c r="Y16" s="2">
        <f t="shared" ref="Y16:AE16" si="7">X16*1.2</f>
        <v>2025.6912</v>
      </c>
      <c r="Z16" s="2">
        <f t="shared" si="7"/>
        <v>2430.82944</v>
      </c>
      <c r="AA16" s="2">
        <f t="shared" si="7"/>
        <v>2916.995328</v>
      </c>
      <c r="AB16" s="2">
        <f t="shared" si="7"/>
        <v>3500.3943936000001</v>
      </c>
      <c r="AC16" s="2">
        <f t="shared" si="7"/>
        <v>4200.4732723199995</v>
      </c>
      <c r="AD16" s="2">
        <f t="shared" si="7"/>
        <v>5040.5679267839996</v>
      </c>
      <c r="AE16" s="2">
        <f t="shared" si="7"/>
        <v>6048.681512140799</v>
      </c>
    </row>
    <row r="17" spans="1:216" x14ac:dyDescent="0.2">
      <c r="A17" s="1"/>
      <c r="B17" t="s">
        <v>46</v>
      </c>
      <c r="H17">
        <v>1.5</v>
      </c>
      <c r="I17">
        <v>5.7</v>
      </c>
      <c r="J17">
        <v>13.9</v>
      </c>
      <c r="K17" s="2">
        <f t="shared" si="2"/>
        <v>24.290000000000003</v>
      </c>
      <c r="L17" s="2">
        <v>36</v>
      </c>
      <c r="M17" s="2">
        <v>45.4</v>
      </c>
      <c r="N17" s="2">
        <v>51</v>
      </c>
      <c r="O17" s="2">
        <f t="shared" si="1"/>
        <v>49.400000000000006</v>
      </c>
      <c r="S17" s="4">
        <v>39.799999999999997</v>
      </c>
      <c r="T17">
        <v>133</v>
      </c>
      <c r="U17" s="2">
        <v>484.69</v>
      </c>
      <c r="V17" s="2">
        <v>45.39</v>
      </c>
      <c r="W17" s="2">
        <v>181.8</v>
      </c>
    </row>
    <row r="18" spans="1:216" x14ac:dyDescent="0.2">
      <c r="A18" s="1"/>
      <c r="U18" s="2"/>
      <c r="V18" s="2"/>
      <c r="W18" s="2"/>
    </row>
    <row r="19" spans="1:216" x14ac:dyDescent="0.2">
      <c r="B19" t="s">
        <v>21</v>
      </c>
      <c r="D19" s="2">
        <f t="shared" ref="D19:M19" si="8">SUM(D15:D17)</f>
        <v>0</v>
      </c>
      <c r="E19" s="2">
        <f t="shared" si="8"/>
        <v>0</v>
      </c>
      <c r="F19" s="2">
        <f t="shared" si="8"/>
        <v>0</v>
      </c>
      <c r="G19" s="2">
        <f t="shared" si="8"/>
        <v>0</v>
      </c>
      <c r="H19" s="2">
        <f t="shared" si="8"/>
        <v>1165.0999999999999</v>
      </c>
      <c r="I19" s="2">
        <f t="shared" si="8"/>
        <v>807.97</v>
      </c>
      <c r="J19" s="2">
        <f t="shared" si="8"/>
        <v>589.9</v>
      </c>
      <c r="K19" s="2">
        <f t="shared" si="8"/>
        <v>631.06000000000029</v>
      </c>
      <c r="L19" s="2">
        <f t="shared" si="8"/>
        <v>771.5</v>
      </c>
      <c r="M19" s="2">
        <f t="shared" si="8"/>
        <v>707.66</v>
      </c>
      <c r="N19" s="2">
        <f>SUM(N15:N17)</f>
        <v>672.3</v>
      </c>
      <c r="O19" s="2">
        <f>SUM(O15:O17)</f>
        <v>956.63000000000022</v>
      </c>
      <c r="P19" s="2">
        <f>P15+P16</f>
        <v>1085</v>
      </c>
      <c r="Q19" s="2"/>
      <c r="R19" s="2"/>
      <c r="S19" s="2">
        <f t="shared" ref="S19:U19" si="9">SUM(S15:S17)</f>
        <v>522.69999999999993</v>
      </c>
      <c r="T19" s="2">
        <f t="shared" si="9"/>
        <v>1273.9000000000001</v>
      </c>
      <c r="U19" s="2">
        <f>SUM(U15:U17)</f>
        <v>7838.9899999999989</v>
      </c>
      <c r="V19" s="2">
        <f>SUM(V15:V17)</f>
        <v>3194.03</v>
      </c>
      <c r="W19" s="2">
        <f>SUM(W15:W17)</f>
        <v>3108.09</v>
      </c>
      <c r="X19" s="2">
        <f t="shared" ref="X19:AE19" si="10">SUM(X15:X17)</f>
        <v>3967.4160000000002</v>
      </c>
      <c r="Y19" s="2">
        <f t="shared" si="10"/>
        <v>4532.9652000000006</v>
      </c>
      <c r="Z19" s="2">
        <f t="shared" si="10"/>
        <v>5188.8308400000005</v>
      </c>
      <c r="AA19" s="2">
        <f t="shared" si="10"/>
        <v>5399.1965880000007</v>
      </c>
      <c r="AB19" s="2">
        <f t="shared" si="10"/>
        <v>5734.3755276000011</v>
      </c>
      <c r="AC19" s="2">
        <f t="shared" si="10"/>
        <v>6211.0562929200005</v>
      </c>
      <c r="AD19" s="2">
        <f t="shared" si="10"/>
        <v>6850.0926453239999</v>
      </c>
      <c r="AE19" s="2">
        <f t="shared" si="10"/>
        <v>7677.2537588267996</v>
      </c>
    </row>
    <row r="20" spans="1:216" x14ac:dyDescent="0.2">
      <c r="B20" t="s">
        <v>22</v>
      </c>
      <c r="H20" s="4">
        <v>277.82</v>
      </c>
      <c r="I20" s="4">
        <v>167</v>
      </c>
      <c r="J20" s="4">
        <v>101</v>
      </c>
      <c r="K20" s="2">
        <f t="shared" ref="K20:K24" si="11">V20-J20-I20-H20</f>
        <v>83.979999999999961</v>
      </c>
      <c r="L20" s="4">
        <v>96.36</v>
      </c>
      <c r="M20" s="4">
        <v>108</v>
      </c>
      <c r="N20" s="2">
        <v>90.5</v>
      </c>
      <c r="O20" s="2">
        <f t="shared" ref="O20:O24" si="12">W20-N20-M20-L20</f>
        <v>125.83999999999999</v>
      </c>
      <c r="P20">
        <f>P19*0.14</f>
        <v>151.9</v>
      </c>
      <c r="S20">
        <v>82</v>
      </c>
      <c r="T20">
        <v>135</v>
      </c>
      <c r="U20" s="2">
        <v>1267.9000000000001</v>
      </c>
      <c r="V20" s="2">
        <v>629.79999999999995</v>
      </c>
      <c r="W20" s="2">
        <v>420.7</v>
      </c>
    </row>
    <row r="21" spans="1:216" s="6" customFormat="1" x14ac:dyDescent="0.2">
      <c r="B21" s="6" t="s">
        <v>37</v>
      </c>
      <c r="H21" s="7">
        <f>H19-H20</f>
        <v>887.28</v>
      </c>
      <c r="I21" s="7">
        <f t="shared" ref="I21:M21" si="13">I19-I20</f>
        <v>640.97</v>
      </c>
      <c r="J21" s="7">
        <f t="shared" si="13"/>
        <v>488.9</v>
      </c>
      <c r="K21" s="7">
        <f t="shared" si="13"/>
        <v>547.08000000000038</v>
      </c>
      <c r="L21" s="7">
        <f t="shared" si="13"/>
        <v>675.14</v>
      </c>
      <c r="M21" s="7">
        <f t="shared" si="13"/>
        <v>599.66</v>
      </c>
      <c r="N21" s="8">
        <f>N19-N20</f>
        <v>581.79999999999995</v>
      </c>
      <c r="O21" s="8">
        <f>O19-O20</f>
        <v>830.79000000000019</v>
      </c>
      <c r="P21" s="8">
        <f>P19-P20</f>
        <v>933.1</v>
      </c>
      <c r="Q21" s="8"/>
      <c r="R21" s="8"/>
      <c r="S21" s="8">
        <f t="shared" ref="S21:T21" si="14">S19-S20</f>
        <v>440.69999999999993</v>
      </c>
      <c r="T21" s="8">
        <f t="shared" si="14"/>
        <v>1138.9000000000001</v>
      </c>
      <c r="U21" s="8">
        <f>U19-U20</f>
        <v>6571.0899999999983</v>
      </c>
      <c r="V21" s="8">
        <f>V19-V20</f>
        <v>2564.2300000000005</v>
      </c>
      <c r="W21" s="8">
        <f>W19-W20</f>
        <v>2687.3900000000003</v>
      </c>
      <c r="X21" s="8">
        <f>X19*0.87</f>
        <v>3451.6519200000002</v>
      </c>
      <c r="Y21" s="8">
        <f t="shared" ref="Y21:AE21" si="15">Y19*0.87</f>
        <v>3943.6797240000005</v>
      </c>
      <c r="Z21" s="8">
        <f t="shared" si="15"/>
        <v>4514.2828308000007</v>
      </c>
      <c r="AA21" s="8">
        <f t="shared" si="15"/>
        <v>4697.3010315600004</v>
      </c>
      <c r="AB21" s="8">
        <f t="shared" si="15"/>
        <v>4988.9067090120006</v>
      </c>
      <c r="AC21" s="8">
        <f t="shared" si="15"/>
        <v>5403.6189748404004</v>
      </c>
      <c r="AD21" s="8">
        <f t="shared" si="15"/>
        <v>5959.5806014318796</v>
      </c>
      <c r="AE21" s="8">
        <f t="shared" si="15"/>
        <v>6679.2107701793157</v>
      </c>
    </row>
    <row r="22" spans="1:216" x14ac:dyDescent="0.2">
      <c r="B22" t="s">
        <v>23</v>
      </c>
      <c r="H22" s="4">
        <v>570.66</v>
      </c>
      <c r="I22" s="4">
        <v>609</v>
      </c>
      <c r="J22" s="4">
        <v>556</v>
      </c>
      <c r="K22" s="2">
        <f t="shared" si="11"/>
        <v>590.68999999999994</v>
      </c>
      <c r="L22" s="4">
        <v>358.03</v>
      </c>
      <c r="M22" s="4">
        <v>320</v>
      </c>
      <c r="N22" s="2">
        <v>322.7</v>
      </c>
      <c r="O22" s="2">
        <f t="shared" si="12"/>
        <v>323.77</v>
      </c>
      <c r="P22">
        <f>625-255</f>
        <v>370</v>
      </c>
      <c r="S22">
        <v>185</v>
      </c>
      <c r="T22">
        <v>271</v>
      </c>
      <c r="U22" s="2">
        <v>1291</v>
      </c>
      <c r="V22" s="2">
        <v>2326.35</v>
      </c>
      <c r="W22" s="2">
        <v>1324.5</v>
      </c>
      <c r="X22" s="2">
        <f>W22*1.05</f>
        <v>1390.7250000000001</v>
      </c>
      <c r="Y22" s="2">
        <f t="shared" ref="Y22:AE22" si="16">X22*1.05</f>
        <v>1460.2612500000002</v>
      </c>
      <c r="Z22" s="2">
        <f t="shared" si="16"/>
        <v>1533.2743125000004</v>
      </c>
      <c r="AA22" s="2">
        <f t="shared" si="16"/>
        <v>1609.9380281250005</v>
      </c>
      <c r="AB22" s="2">
        <f t="shared" si="16"/>
        <v>1690.4349295312506</v>
      </c>
      <c r="AC22" s="2">
        <f t="shared" si="16"/>
        <v>1774.9566760078133</v>
      </c>
      <c r="AD22" s="2">
        <f t="shared" si="16"/>
        <v>1863.704509808204</v>
      </c>
      <c r="AE22" s="2">
        <f t="shared" si="16"/>
        <v>1956.8897352986141</v>
      </c>
    </row>
    <row r="23" spans="1:216" x14ac:dyDescent="0.2">
      <c r="B23" t="s">
        <v>24</v>
      </c>
      <c r="H23" s="4">
        <v>200.2</v>
      </c>
      <c r="I23" s="4">
        <v>140</v>
      </c>
      <c r="J23" s="4">
        <v>75</v>
      </c>
      <c r="K23" s="2">
        <f t="shared" si="11"/>
        <v>94.800000000000011</v>
      </c>
      <c r="L23" s="4">
        <v>63.97</v>
      </c>
      <c r="M23" s="4">
        <v>83</v>
      </c>
      <c r="N23" s="2">
        <v>78.17</v>
      </c>
      <c r="O23" s="2">
        <f t="shared" si="12"/>
        <v>107.16</v>
      </c>
      <c r="P23">
        <v>90</v>
      </c>
      <c r="S23">
        <v>24</v>
      </c>
      <c r="T23">
        <v>57</v>
      </c>
      <c r="U23" s="2">
        <v>663</v>
      </c>
      <c r="V23" s="2">
        <v>510</v>
      </c>
      <c r="W23" s="2">
        <v>332.3</v>
      </c>
      <c r="X23" s="2">
        <f t="shared" ref="X23:AE24" si="17">W23*1.05</f>
        <v>348.91500000000002</v>
      </c>
      <c r="Y23" s="2">
        <f t="shared" si="17"/>
        <v>366.36075000000005</v>
      </c>
      <c r="Z23" s="2">
        <f t="shared" si="17"/>
        <v>384.67878750000006</v>
      </c>
      <c r="AA23" s="2">
        <f t="shared" si="17"/>
        <v>403.91272687500009</v>
      </c>
      <c r="AB23" s="2">
        <f t="shared" si="17"/>
        <v>424.10836321875013</v>
      </c>
      <c r="AC23" s="2">
        <f t="shared" si="17"/>
        <v>445.31378137968767</v>
      </c>
      <c r="AD23" s="2">
        <f t="shared" si="17"/>
        <v>467.57947044867205</v>
      </c>
      <c r="AE23" s="2">
        <f t="shared" si="17"/>
        <v>490.95844397110568</v>
      </c>
    </row>
    <row r="24" spans="1:216" x14ac:dyDescent="0.2">
      <c r="B24" t="s">
        <v>25</v>
      </c>
      <c r="H24" s="4">
        <v>413.57799999999997</v>
      </c>
      <c r="I24" s="4">
        <v>470</v>
      </c>
      <c r="J24" s="4">
        <v>339</v>
      </c>
      <c r="K24" s="2">
        <f t="shared" si="11"/>
        <v>378.02199999999993</v>
      </c>
      <c r="L24" s="4">
        <v>248.76</v>
      </c>
      <c r="M24" s="4">
        <v>258</v>
      </c>
      <c r="N24" s="2">
        <v>252.63</v>
      </c>
      <c r="O24" s="2">
        <f t="shared" si="12"/>
        <v>281.90999999999997</v>
      </c>
      <c r="P24">
        <v>255</v>
      </c>
      <c r="S24">
        <v>232</v>
      </c>
      <c r="T24">
        <v>280</v>
      </c>
      <c r="U24" s="2">
        <v>909</v>
      </c>
      <c r="V24" s="2">
        <v>1600.6</v>
      </c>
      <c r="W24" s="2">
        <v>1041.3</v>
      </c>
      <c r="X24" s="2">
        <f t="shared" si="17"/>
        <v>1093.365</v>
      </c>
      <c r="Y24" s="2">
        <f t="shared" si="17"/>
        <v>1148.03325</v>
      </c>
      <c r="Z24" s="2">
        <f t="shared" si="17"/>
        <v>1205.4349125000001</v>
      </c>
      <c r="AA24" s="2">
        <f t="shared" si="17"/>
        <v>1265.7066581250001</v>
      </c>
      <c r="AB24" s="2">
        <f t="shared" si="17"/>
        <v>1328.9919910312501</v>
      </c>
      <c r="AC24" s="2">
        <f t="shared" si="17"/>
        <v>1395.4415905828128</v>
      </c>
      <c r="AD24" s="2">
        <f t="shared" si="17"/>
        <v>1465.2136701119534</v>
      </c>
      <c r="AE24" s="2">
        <f t="shared" si="17"/>
        <v>1538.4743536175511</v>
      </c>
    </row>
    <row r="25" spans="1:216" x14ac:dyDescent="0.2">
      <c r="B25" t="s">
        <v>26</v>
      </c>
      <c r="H25" s="4">
        <f>SUM(H20:H24)</f>
        <v>2349.5379999999996</v>
      </c>
      <c r="I25" s="4">
        <f>SUM(I20:I24)</f>
        <v>2026.97</v>
      </c>
      <c r="J25" s="4">
        <f>SUM(J20:J24)</f>
        <v>1559.9</v>
      </c>
      <c r="K25" s="4">
        <f>SUM(K20:K24)</f>
        <v>1694.5720000000003</v>
      </c>
      <c r="L25" s="4">
        <f>SUM(L20:L24)</f>
        <v>1442.26</v>
      </c>
      <c r="M25" s="4">
        <f>SUM(M20:M24)</f>
        <v>1368.6599999999999</v>
      </c>
      <c r="N25" s="2">
        <f>SUM(N22:N24)</f>
        <v>653.5</v>
      </c>
      <c r="O25" s="2">
        <f>SUM(O22:O24)</f>
        <v>712.83999999999992</v>
      </c>
      <c r="P25" s="2">
        <f>SUM(P22:P24)</f>
        <v>715</v>
      </c>
      <c r="Q25" s="2"/>
      <c r="R25" s="2"/>
      <c r="S25" s="2">
        <f t="shared" ref="S25:T25" si="18">SUM(S22:S24)</f>
        <v>441</v>
      </c>
      <c r="T25" s="2">
        <f t="shared" si="18"/>
        <v>608</v>
      </c>
      <c r="U25" s="2">
        <f>SUM(U22:U24)</f>
        <v>2863</v>
      </c>
      <c r="V25" s="2">
        <f>SUM(V22:V24)</f>
        <v>4436.95</v>
      </c>
      <c r="W25" s="2">
        <f>SUM(W22:W24)</f>
        <v>2698.1</v>
      </c>
      <c r="X25" s="2">
        <f t="shared" ref="X25:AE25" si="19">SUM(X22:X24)</f>
        <v>2833.0050000000001</v>
      </c>
      <c r="Y25" s="2">
        <f t="shared" si="19"/>
        <v>2974.6552500000003</v>
      </c>
      <c r="Z25" s="2">
        <f t="shared" si="19"/>
        <v>3123.3880125000005</v>
      </c>
      <c r="AA25" s="2">
        <f t="shared" si="19"/>
        <v>3279.5574131250005</v>
      </c>
      <c r="AB25" s="2">
        <f t="shared" si="19"/>
        <v>3443.5352837812507</v>
      </c>
      <c r="AC25" s="2">
        <f t="shared" si="19"/>
        <v>3615.7120479703135</v>
      </c>
      <c r="AD25" s="2">
        <f t="shared" si="19"/>
        <v>3796.4976503688295</v>
      </c>
      <c r="AE25" s="2">
        <f t="shared" si="19"/>
        <v>3986.3225328872709</v>
      </c>
    </row>
    <row r="26" spans="1:216" x14ac:dyDescent="0.2">
      <c r="B26" t="s">
        <v>27</v>
      </c>
      <c r="H26" s="4">
        <f>H19-H25</f>
        <v>-1184.4379999999996</v>
      </c>
      <c r="I26" s="4">
        <f>I19-I25</f>
        <v>-1219</v>
      </c>
      <c r="J26" s="4">
        <f>J19-J25</f>
        <v>-970.00000000000011</v>
      </c>
      <c r="K26" s="4">
        <f>K19-K25</f>
        <v>-1063.5120000000002</v>
      </c>
      <c r="L26" s="4">
        <f>L19-L25</f>
        <v>-670.76</v>
      </c>
      <c r="M26" s="4">
        <f>M19-M25</f>
        <v>-660.99999999999989</v>
      </c>
      <c r="N26" s="2">
        <f>N21-N25</f>
        <v>-71.700000000000045</v>
      </c>
      <c r="O26" s="2">
        <f>O21-O25</f>
        <v>117.95000000000027</v>
      </c>
      <c r="P26" s="2">
        <f>P21-P25</f>
        <v>218.10000000000002</v>
      </c>
      <c r="Q26" s="2"/>
      <c r="R26" s="2"/>
      <c r="S26" s="2">
        <f>S21-S25</f>
        <v>-0.30000000000006821</v>
      </c>
      <c r="T26" s="2">
        <f t="shared" ref="S26:T26" si="20">T21-T25</f>
        <v>530.90000000000009</v>
      </c>
      <c r="U26" s="2">
        <f>U21-U25</f>
        <v>3708.0899999999983</v>
      </c>
      <c r="V26" s="2">
        <f>V21-V25</f>
        <v>-1872.7199999999993</v>
      </c>
      <c r="W26" s="2">
        <f>W21-W25</f>
        <v>-10.709999999999582</v>
      </c>
      <c r="X26" s="2">
        <f t="shared" ref="X26:AE26" si="21">X21-X25</f>
        <v>618.64692000000014</v>
      </c>
      <c r="Y26" s="2">
        <f t="shared" si="21"/>
        <v>969.02447400000028</v>
      </c>
      <c r="Z26" s="2">
        <f t="shared" si="21"/>
        <v>1390.8948183000002</v>
      </c>
      <c r="AA26" s="2">
        <f t="shared" si="21"/>
        <v>1417.7436184349999</v>
      </c>
      <c r="AB26" s="2">
        <f t="shared" si="21"/>
        <v>1545.37142523075</v>
      </c>
      <c r="AC26" s="2">
        <f t="shared" si="21"/>
        <v>1787.9069268700869</v>
      </c>
      <c r="AD26" s="2">
        <f t="shared" si="21"/>
        <v>2163.0829510630501</v>
      </c>
      <c r="AE26" s="2">
        <f t="shared" si="21"/>
        <v>2692.8882372920448</v>
      </c>
    </row>
    <row r="27" spans="1:216" x14ac:dyDescent="0.2">
      <c r="B27" t="s">
        <v>31</v>
      </c>
      <c r="H27" s="4">
        <v>22</v>
      </c>
      <c r="I27" s="4">
        <v>23.6</v>
      </c>
      <c r="J27" s="4">
        <v>21</v>
      </c>
      <c r="K27" s="2">
        <f t="shared" ref="K27:K30" si="22">V27-J27-I27-H27</f>
        <v>22.300000000000004</v>
      </c>
      <c r="L27" s="4">
        <v>21</v>
      </c>
      <c r="M27" s="4">
        <v>21.6</v>
      </c>
      <c r="N27" s="2">
        <v>20.8</v>
      </c>
      <c r="O27" s="2">
        <f t="shared" ref="O27:O30" si="23">W27-N27-M27-L27</f>
        <v>19.300000000000004</v>
      </c>
      <c r="S27">
        <v>0</v>
      </c>
      <c r="T27">
        <v>0</v>
      </c>
      <c r="U27" s="2">
        <v>29.1</v>
      </c>
      <c r="V27" s="2">
        <v>88.9</v>
      </c>
      <c r="W27" s="2">
        <v>82.7</v>
      </c>
      <c r="X27" s="4">
        <f>W27*1.05</f>
        <v>86.835000000000008</v>
      </c>
      <c r="Y27" s="4">
        <f>X27*1.01</f>
        <v>87.703350000000015</v>
      </c>
      <c r="Z27" s="4">
        <f t="shared" ref="Z27:AE27" si="24">Y27*1.01</f>
        <v>88.580383500000011</v>
      </c>
      <c r="AA27" s="4">
        <f t="shared" si="24"/>
        <v>89.466187335000015</v>
      </c>
      <c r="AB27" s="4">
        <f t="shared" si="24"/>
        <v>90.360849208350018</v>
      </c>
      <c r="AC27" s="4">
        <f t="shared" si="24"/>
        <v>91.264457700433525</v>
      </c>
      <c r="AD27" s="4">
        <f t="shared" si="24"/>
        <v>92.177102277437854</v>
      </c>
      <c r="AE27" s="4">
        <f t="shared" si="24"/>
        <v>93.098873300212233</v>
      </c>
    </row>
    <row r="28" spans="1:216" x14ac:dyDescent="0.2">
      <c r="B28" t="s">
        <v>47</v>
      </c>
      <c r="H28" s="4">
        <v>-32</v>
      </c>
      <c r="I28" s="4">
        <v>-172</v>
      </c>
      <c r="J28" s="4">
        <v>-65.599999999999994</v>
      </c>
      <c r="K28" s="2">
        <f t="shared" si="22"/>
        <v>4.2000000000000171</v>
      </c>
      <c r="L28" s="4">
        <v>-20</v>
      </c>
      <c r="M28" s="4">
        <v>16.5</v>
      </c>
      <c r="N28" s="2">
        <v>135</v>
      </c>
      <c r="O28" s="2">
        <f t="shared" si="23"/>
        <v>36</v>
      </c>
      <c r="S28">
        <v>0</v>
      </c>
      <c r="T28">
        <v>0</v>
      </c>
      <c r="U28" s="2">
        <v>-20.399999999999999</v>
      </c>
      <c r="V28" s="2">
        <v>-265.39999999999998</v>
      </c>
      <c r="W28" s="2">
        <v>167.5</v>
      </c>
    </row>
    <row r="29" spans="1:216" x14ac:dyDescent="0.2">
      <c r="B29" t="s">
        <v>28</v>
      </c>
      <c r="D29" s="2">
        <f t="shared" ref="D29:M29" si="25">D26-D27+D28</f>
        <v>0</v>
      </c>
      <c r="E29" s="2">
        <f t="shared" si="25"/>
        <v>0</v>
      </c>
      <c r="F29" s="2">
        <f t="shared" si="25"/>
        <v>0</v>
      </c>
      <c r="G29" s="2">
        <f t="shared" si="25"/>
        <v>0</v>
      </c>
      <c r="H29" s="2">
        <f t="shared" si="25"/>
        <v>-1238.4379999999996</v>
      </c>
      <c r="I29" s="2">
        <f t="shared" si="25"/>
        <v>-1414.6</v>
      </c>
      <c r="J29" s="2">
        <f t="shared" si="25"/>
        <v>-1056.6000000000001</v>
      </c>
      <c r="K29" s="2">
        <f t="shared" si="25"/>
        <v>-1081.6120000000001</v>
      </c>
      <c r="L29" s="2">
        <f t="shared" si="25"/>
        <v>-711.76</v>
      </c>
      <c r="M29" s="2">
        <f t="shared" si="25"/>
        <v>-666.09999999999991</v>
      </c>
      <c r="N29" s="2">
        <f>N26-N27+N28</f>
        <v>42.499999999999957</v>
      </c>
      <c r="O29" s="2">
        <f>O26-O27+O28</f>
        <v>134.65000000000026</v>
      </c>
      <c r="S29" s="2">
        <f t="shared" ref="S29:T29" si="26">S26-S27+S28</f>
        <v>-0.30000000000006821</v>
      </c>
      <c r="T29" s="2">
        <f t="shared" si="26"/>
        <v>530.90000000000009</v>
      </c>
      <c r="U29" s="2">
        <f>U26-U27+U28</f>
        <v>3658.5899999999983</v>
      </c>
      <c r="V29" s="2">
        <f>V26-V27+V28</f>
        <v>-2227.0199999999995</v>
      </c>
      <c r="W29" s="2">
        <f>W26-W27+W28</f>
        <v>74.090000000000416</v>
      </c>
      <c r="X29" s="2">
        <f t="shared" ref="X29:AE29" si="27">X26-X27+X28</f>
        <v>531.8119200000001</v>
      </c>
      <c r="Y29" s="2">
        <f t="shared" si="27"/>
        <v>881.32112400000028</v>
      </c>
      <c r="Z29" s="2">
        <f t="shared" si="27"/>
        <v>1302.3144348000003</v>
      </c>
      <c r="AA29" s="2">
        <f t="shared" si="27"/>
        <v>1328.2774310999998</v>
      </c>
      <c r="AB29" s="2">
        <f t="shared" si="27"/>
        <v>1455.0105760224001</v>
      </c>
      <c r="AC29" s="2">
        <f t="shared" si="27"/>
        <v>1696.6424691696534</v>
      </c>
      <c r="AD29" s="2">
        <f t="shared" si="27"/>
        <v>2070.9058487856123</v>
      </c>
      <c r="AE29" s="2">
        <f t="shared" si="27"/>
        <v>2599.7893639918325</v>
      </c>
    </row>
    <row r="30" spans="1:216" x14ac:dyDescent="0.2">
      <c r="B30" t="s">
        <v>29</v>
      </c>
      <c r="H30" s="4">
        <v>-180</v>
      </c>
      <c r="I30" s="4">
        <v>-146</v>
      </c>
      <c r="J30" s="4">
        <v>-99</v>
      </c>
      <c r="K30" s="2">
        <f t="shared" si="22"/>
        <v>-14.600000000000023</v>
      </c>
      <c r="L30" s="4">
        <v>-86.78</v>
      </c>
      <c r="M30" s="4">
        <v>18</v>
      </c>
      <c r="N30" s="2">
        <v>36.9</v>
      </c>
      <c r="O30" s="2">
        <f t="shared" si="23"/>
        <v>-139.82</v>
      </c>
      <c r="S30">
        <v>-15</v>
      </c>
      <c r="T30">
        <v>87</v>
      </c>
      <c r="U30" s="2">
        <v>-597</v>
      </c>
      <c r="V30" s="2">
        <v>-439.6</v>
      </c>
      <c r="W30" s="2">
        <v>-171.7</v>
      </c>
      <c r="X30" s="4">
        <f>X29*0.18</f>
        <v>95.726145600000009</v>
      </c>
      <c r="Y30" s="4">
        <f t="shared" ref="Y30:AE30" si="28">Y29*0.18</f>
        <v>158.63780232000005</v>
      </c>
      <c r="Z30" s="4">
        <f t="shared" si="28"/>
        <v>234.41659826400004</v>
      </c>
      <c r="AA30" s="4">
        <f t="shared" si="28"/>
        <v>239.08993759799995</v>
      </c>
      <c r="AB30" s="4">
        <f t="shared" si="28"/>
        <v>261.90190368403199</v>
      </c>
      <c r="AC30" s="4">
        <f t="shared" si="28"/>
        <v>305.39564445053759</v>
      </c>
      <c r="AD30" s="4">
        <f t="shared" si="28"/>
        <v>372.76305278141018</v>
      </c>
      <c r="AE30" s="4">
        <f t="shared" si="28"/>
        <v>467.96208551852982</v>
      </c>
    </row>
    <row r="31" spans="1:216" s="6" customFormat="1" x14ac:dyDescent="0.2">
      <c r="B31" s="6" t="s">
        <v>30</v>
      </c>
      <c r="H31" s="7">
        <f>H29-H30</f>
        <v>-1058.4379999999996</v>
      </c>
      <c r="I31" s="7">
        <f>I29-I30</f>
        <v>-1268.5999999999999</v>
      </c>
      <c r="J31" s="7">
        <f>J29-J30</f>
        <v>-957.60000000000014</v>
      </c>
      <c r="K31" s="7">
        <f>K29-K30</f>
        <v>-1067.0120000000002</v>
      </c>
      <c r="L31" s="7">
        <f>L29-L30</f>
        <v>-624.98</v>
      </c>
      <c r="M31" s="7">
        <f>M29-M30</f>
        <v>-684.09999999999991</v>
      </c>
      <c r="N31" s="8">
        <f>N29-N30</f>
        <v>5.5999999999999588</v>
      </c>
      <c r="O31" s="8">
        <f>O29-O30</f>
        <v>274.47000000000025</v>
      </c>
      <c r="S31" s="8">
        <f t="shared" ref="S31:T31" si="29">S29-S30</f>
        <v>14.699999999999932</v>
      </c>
      <c r="T31" s="8">
        <f t="shared" si="29"/>
        <v>443.90000000000009</v>
      </c>
      <c r="U31" s="8">
        <f>U29-U30</f>
        <v>4255.5899999999983</v>
      </c>
      <c r="V31" s="8">
        <f>V29-V30</f>
        <v>-1787.4199999999996</v>
      </c>
      <c r="W31" s="8">
        <f>W29-W30</f>
        <v>245.79000000000042</v>
      </c>
      <c r="X31" s="8">
        <f t="shared" ref="X31:AE31" si="30">X29-X30</f>
        <v>436.0857744000001</v>
      </c>
      <c r="Y31" s="8">
        <f t="shared" si="30"/>
        <v>722.68332168000029</v>
      </c>
      <c r="Z31" s="8">
        <f t="shared" si="30"/>
        <v>1067.8978365360003</v>
      </c>
      <c r="AA31" s="8">
        <f t="shared" si="30"/>
        <v>1089.1874935019998</v>
      </c>
      <c r="AB31" s="8">
        <f t="shared" si="30"/>
        <v>1193.108672338368</v>
      </c>
      <c r="AC31" s="8">
        <f t="shared" si="30"/>
        <v>1391.2468247191159</v>
      </c>
      <c r="AD31" s="8">
        <f t="shared" si="30"/>
        <v>1698.1427960042022</v>
      </c>
      <c r="AE31" s="8">
        <f t="shared" si="30"/>
        <v>2131.8272784733026</v>
      </c>
      <c r="AF31" s="6">
        <f>AE31*(1+$AH$35)</f>
        <v>2110.5090056885697</v>
      </c>
      <c r="AG31" s="6">
        <f>AF31*(1+$AH$35)</f>
        <v>2089.403915631684</v>
      </c>
      <c r="AH31" s="6">
        <f t="shared" ref="AH31:CS31" si="31">AG31*(1+$AH$35)</f>
        <v>2068.509876475367</v>
      </c>
      <c r="AI31" s="6">
        <f t="shared" si="31"/>
        <v>2047.8247777106133</v>
      </c>
      <c r="AJ31" s="6">
        <f t="shared" si="31"/>
        <v>2027.3465299335071</v>
      </c>
      <c r="AK31" s="6">
        <f t="shared" si="31"/>
        <v>2007.0730646341719</v>
      </c>
      <c r="AL31" s="6">
        <f t="shared" si="31"/>
        <v>1987.0023339878303</v>
      </c>
      <c r="AM31" s="6">
        <f t="shared" si="31"/>
        <v>1967.132310647952</v>
      </c>
      <c r="AN31" s="6">
        <f t="shared" si="31"/>
        <v>1947.4609875414724</v>
      </c>
      <c r="AO31" s="6">
        <f t="shared" si="31"/>
        <v>1927.9863776660577</v>
      </c>
      <c r="AP31" s="6">
        <f t="shared" si="31"/>
        <v>1908.706513889397</v>
      </c>
      <c r="AQ31" s="6">
        <f t="shared" si="31"/>
        <v>1889.6194487505031</v>
      </c>
      <c r="AR31" s="6">
        <f t="shared" si="31"/>
        <v>1870.7232542629981</v>
      </c>
      <c r="AS31" s="6">
        <f t="shared" si="31"/>
        <v>1852.0160217203681</v>
      </c>
      <c r="AT31" s="6">
        <f t="shared" si="31"/>
        <v>1833.4958615031644</v>
      </c>
      <c r="AU31" s="6">
        <f t="shared" si="31"/>
        <v>1815.1609028881328</v>
      </c>
      <c r="AV31" s="6">
        <f t="shared" si="31"/>
        <v>1797.0092938592516</v>
      </c>
      <c r="AW31" s="6">
        <f t="shared" si="31"/>
        <v>1779.0392009206589</v>
      </c>
      <c r="AX31" s="6">
        <f t="shared" si="31"/>
        <v>1761.2488089114522</v>
      </c>
      <c r="AY31" s="6">
        <f t="shared" si="31"/>
        <v>1743.6363208223377</v>
      </c>
      <c r="AZ31" s="6">
        <f t="shared" si="31"/>
        <v>1726.1999576141143</v>
      </c>
      <c r="BA31" s="6">
        <f t="shared" si="31"/>
        <v>1708.9379580379732</v>
      </c>
      <c r="BB31" s="6">
        <f t="shared" si="31"/>
        <v>1691.8485784575935</v>
      </c>
      <c r="BC31" s="6">
        <f t="shared" si="31"/>
        <v>1674.9300926730175</v>
      </c>
      <c r="BD31" s="6">
        <f t="shared" si="31"/>
        <v>1658.1807917462872</v>
      </c>
      <c r="BE31" s="6">
        <f t="shared" si="31"/>
        <v>1641.5989838288244</v>
      </c>
      <c r="BF31" s="6">
        <f t="shared" si="31"/>
        <v>1625.1829939905363</v>
      </c>
      <c r="BG31" s="6">
        <f t="shared" si="31"/>
        <v>1608.931164050631</v>
      </c>
      <c r="BH31" s="6">
        <f t="shared" si="31"/>
        <v>1592.8418524101246</v>
      </c>
      <c r="BI31" s="6">
        <f t="shared" si="31"/>
        <v>1576.9134338860233</v>
      </c>
      <c r="BJ31" s="6">
        <f t="shared" si="31"/>
        <v>1561.144299547163</v>
      </c>
      <c r="BK31" s="6">
        <f t="shared" si="31"/>
        <v>1545.5328565516913</v>
      </c>
      <c r="BL31" s="6">
        <f t="shared" si="31"/>
        <v>1530.0775279861743</v>
      </c>
      <c r="BM31" s="6">
        <f t="shared" si="31"/>
        <v>1514.7767527063127</v>
      </c>
      <c r="BN31" s="6">
        <f t="shared" si="31"/>
        <v>1499.6289851792494</v>
      </c>
      <c r="BO31" s="6">
        <f t="shared" si="31"/>
        <v>1484.632695327457</v>
      </c>
      <c r="BP31" s="6">
        <f t="shared" si="31"/>
        <v>1469.7863683741823</v>
      </c>
      <c r="BQ31" s="6">
        <f t="shared" si="31"/>
        <v>1455.0885046904405</v>
      </c>
      <c r="BR31" s="6">
        <f t="shared" si="31"/>
        <v>1440.5376196435361</v>
      </c>
      <c r="BS31" s="6">
        <f t="shared" si="31"/>
        <v>1426.1322434471008</v>
      </c>
      <c r="BT31" s="6">
        <f t="shared" si="31"/>
        <v>1411.8709210126299</v>
      </c>
      <c r="BU31" s="6">
        <f t="shared" si="31"/>
        <v>1397.7522118025036</v>
      </c>
      <c r="BV31" s="6">
        <f t="shared" si="31"/>
        <v>1383.7746896844785</v>
      </c>
      <c r="BW31" s="6">
        <f t="shared" si="31"/>
        <v>1369.9369427876338</v>
      </c>
      <c r="BX31" s="6">
        <f t="shared" si="31"/>
        <v>1356.2375733597576</v>
      </c>
      <c r="BY31" s="6">
        <f t="shared" si="31"/>
        <v>1342.6751976261601</v>
      </c>
      <c r="BZ31" s="6">
        <f t="shared" si="31"/>
        <v>1329.2484456498985</v>
      </c>
      <c r="CA31" s="6">
        <f t="shared" si="31"/>
        <v>1315.9559611933994</v>
      </c>
      <c r="CB31" s="6">
        <f t="shared" si="31"/>
        <v>1302.7964015814655</v>
      </c>
      <c r="CC31" s="6">
        <f t="shared" si="31"/>
        <v>1289.7684375656509</v>
      </c>
      <c r="CD31" s="6">
        <f t="shared" si="31"/>
        <v>1276.8707531899943</v>
      </c>
      <c r="CE31" s="6">
        <f t="shared" si="31"/>
        <v>1264.1020456580943</v>
      </c>
      <c r="CF31" s="6">
        <f t="shared" si="31"/>
        <v>1251.4610252015134</v>
      </c>
      <c r="CG31" s="6">
        <f t="shared" si="31"/>
        <v>1238.9464149494981</v>
      </c>
      <c r="CH31" s="6">
        <f t="shared" si="31"/>
        <v>1226.5569508000031</v>
      </c>
      <c r="CI31" s="6">
        <f t="shared" si="31"/>
        <v>1214.2913812920031</v>
      </c>
      <c r="CJ31" s="6">
        <f t="shared" si="31"/>
        <v>1202.1484674790829</v>
      </c>
      <c r="CK31" s="6">
        <f t="shared" si="31"/>
        <v>1190.1269828042921</v>
      </c>
      <c r="CL31" s="6">
        <f t="shared" si="31"/>
        <v>1178.225712976249</v>
      </c>
      <c r="CM31" s="6">
        <f t="shared" si="31"/>
        <v>1166.4434558464866</v>
      </c>
      <c r="CN31" s="6">
        <f t="shared" si="31"/>
        <v>1154.7790212880218</v>
      </c>
      <c r="CO31" s="6">
        <f t="shared" si="31"/>
        <v>1143.2312310751415</v>
      </c>
      <c r="CP31" s="6">
        <f t="shared" si="31"/>
        <v>1131.79891876439</v>
      </c>
      <c r="CQ31" s="6">
        <f t="shared" si="31"/>
        <v>1120.4809295767461</v>
      </c>
      <c r="CR31" s="6">
        <f t="shared" si="31"/>
        <v>1109.2761202809786</v>
      </c>
      <c r="CS31" s="6">
        <f t="shared" si="31"/>
        <v>1098.1833590781689</v>
      </c>
      <c r="CT31" s="6">
        <f t="shared" ref="CT31:FE31" si="32">CS31*(1+$AH$35)</f>
        <v>1087.2015254873872</v>
      </c>
      <c r="CU31" s="6">
        <f t="shared" si="32"/>
        <v>1076.3295102325133</v>
      </c>
      <c r="CV31" s="6">
        <f t="shared" si="32"/>
        <v>1065.5662151301881</v>
      </c>
      <c r="CW31" s="6">
        <f t="shared" si="32"/>
        <v>1054.9105529788862</v>
      </c>
      <c r="CX31" s="6">
        <f t="shared" si="32"/>
        <v>1044.3614474490973</v>
      </c>
      <c r="CY31" s="6">
        <f t="shared" si="32"/>
        <v>1033.9178329746064</v>
      </c>
      <c r="CZ31" s="6">
        <f t="shared" si="32"/>
        <v>1023.5786546448603</v>
      </c>
      <c r="DA31" s="6">
        <f t="shared" si="32"/>
        <v>1013.3428680984117</v>
      </c>
      <c r="DB31" s="6">
        <f t="shared" si="32"/>
        <v>1003.2094394174276</v>
      </c>
      <c r="DC31" s="6">
        <f t="shared" si="32"/>
        <v>993.17734502325334</v>
      </c>
      <c r="DD31" s="6">
        <f t="shared" si="32"/>
        <v>983.24557157302081</v>
      </c>
      <c r="DE31" s="6">
        <f t="shared" si="32"/>
        <v>973.41311585729056</v>
      </c>
      <c r="DF31" s="6">
        <f t="shared" si="32"/>
        <v>963.67898469871761</v>
      </c>
      <c r="DG31" s="6">
        <f t="shared" si="32"/>
        <v>954.04219485173041</v>
      </c>
      <c r="DH31" s="6">
        <f t="shared" si="32"/>
        <v>944.50177290321312</v>
      </c>
      <c r="DI31" s="6">
        <f t="shared" si="32"/>
        <v>935.05675517418103</v>
      </c>
      <c r="DJ31" s="6">
        <f t="shared" si="32"/>
        <v>925.70618762243919</v>
      </c>
      <c r="DK31" s="6">
        <f t="shared" si="32"/>
        <v>916.4491257462148</v>
      </c>
      <c r="DL31" s="6">
        <f t="shared" si="32"/>
        <v>907.28463448875266</v>
      </c>
      <c r="DM31" s="6">
        <f t="shared" si="32"/>
        <v>898.21178814386508</v>
      </c>
      <c r="DN31" s="6">
        <f t="shared" si="32"/>
        <v>889.22967026242645</v>
      </c>
      <c r="DO31" s="6">
        <f t="shared" si="32"/>
        <v>880.33737355980213</v>
      </c>
      <c r="DP31" s="6">
        <f t="shared" si="32"/>
        <v>871.5339998242041</v>
      </c>
      <c r="DQ31" s="6">
        <f t="shared" si="32"/>
        <v>862.81865982596207</v>
      </c>
      <c r="DR31" s="6">
        <f t="shared" si="32"/>
        <v>854.19047322770246</v>
      </c>
      <c r="DS31" s="6">
        <f t="shared" si="32"/>
        <v>845.64856849542548</v>
      </c>
      <c r="DT31" s="6">
        <f t="shared" si="32"/>
        <v>837.19208281047122</v>
      </c>
      <c r="DU31" s="6">
        <f t="shared" si="32"/>
        <v>828.82016198236647</v>
      </c>
      <c r="DV31" s="6">
        <f t="shared" si="32"/>
        <v>820.5319603625428</v>
      </c>
      <c r="DW31" s="6">
        <f t="shared" si="32"/>
        <v>812.32664075891739</v>
      </c>
      <c r="DX31" s="6">
        <f t="shared" si="32"/>
        <v>804.20337435132819</v>
      </c>
      <c r="DY31" s="6">
        <f t="shared" si="32"/>
        <v>796.16134060781485</v>
      </c>
      <c r="DZ31" s="6">
        <f t="shared" si="32"/>
        <v>788.19972720173666</v>
      </c>
      <c r="EA31" s="6">
        <f t="shared" si="32"/>
        <v>780.31772992971923</v>
      </c>
      <c r="EB31" s="6">
        <f t="shared" si="32"/>
        <v>772.51455263042203</v>
      </c>
      <c r="EC31" s="6">
        <f t="shared" si="32"/>
        <v>764.7894071041178</v>
      </c>
      <c r="ED31" s="6">
        <f t="shared" si="32"/>
        <v>757.14151303307665</v>
      </c>
      <c r="EE31" s="6">
        <f t="shared" si="32"/>
        <v>749.57009790274583</v>
      </c>
      <c r="EF31" s="6">
        <f t="shared" si="32"/>
        <v>742.07439692371838</v>
      </c>
      <c r="EG31" s="6">
        <f t="shared" si="32"/>
        <v>734.65365295448123</v>
      </c>
      <c r="EH31" s="6">
        <f t="shared" si="32"/>
        <v>727.30711642493645</v>
      </c>
      <c r="EI31" s="6">
        <f t="shared" si="32"/>
        <v>720.03404526068709</v>
      </c>
      <c r="EJ31" s="6">
        <f t="shared" si="32"/>
        <v>712.83370480808026</v>
      </c>
      <c r="EK31" s="6">
        <f t="shared" si="32"/>
        <v>705.70536775999949</v>
      </c>
      <c r="EL31" s="6">
        <f t="shared" si="32"/>
        <v>698.64831408239945</v>
      </c>
      <c r="EM31" s="6">
        <f t="shared" si="32"/>
        <v>691.66183094157543</v>
      </c>
      <c r="EN31" s="6">
        <f t="shared" si="32"/>
        <v>684.74521263215968</v>
      </c>
      <c r="EO31" s="6">
        <f t="shared" si="32"/>
        <v>677.89776050583805</v>
      </c>
      <c r="EP31" s="6">
        <f t="shared" si="32"/>
        <v>671.11878290077971</v>
      </c>
      <c r="EQ31" s="6">
        <f t="shared" si="32"/>
        <v>664.40759507177188</v>
      </c>
      <c r="ER31" s="6">
        <f t="shared" si="32"/>
        <v>657.76351912105417</v>
      </c>
      <c r="ES31" s="6">
        <f t="shared" si="32"/>
        <v>651.18588392984361</v>
      </c>
      <c r="ET31" s="6">
        <f t="shared" si="32"/>
        <v>644.67402509054511</v>
      </c>
      <c r="EU31" s="6">
        <f t="shared" si="32"/>
        <v>638.22728483963965</v>
      </c>
      <c r="EV31" s="6">
        <f t="shared" si="32"/>
        <v>631.84501199124327</v>
      </c>
      <c r="EW31" s="6">
        <f t="shared" si="32"/>
        <v>625.52656187133084</v>
      </c>
      <c r="EX31" s="6">
        <f t="shared" si="32"/>
        <v>619.2712962526175</v>
      </c>
      <c r="EY31" s="6">
        <f t="shared" si="32"/>
        <v>613.07858329009127</v>
      </c>
      <c r="EZ31" s="6">
        <f t="shared" si="32"/>
        <v>606.9477974571904</v>
      </c>
      <c r="FA31" s="6">
        <f t="shared" si="32"/>
        <v>600.87831948261851</v>
      </c>
      <c r="FB31" s="6">
        <f t="shared" si="32"/>
        <v>594.86953628779236</v>
      </c>
      <c r="FC31" s="6">
        <f t="shared" si="32"/>
        <v>588.92084092491439</v>
      </c>
      <c r="FD31" s="6">
        <f t="shared" si="32"/>
        <v>583.03163251566525</v>
      </c>
      <c r="FE31" s="6">
        <f t="shared" si="32"/>
        <v>577.20131619050858</v>
      </c>
      <c r="FF31" s="6">
        <f t="shared" ref="FF31:HH31" si="33">FE31*(1+$AH$35)</f>
        <v>571.4293030286035</v>
      </c>
      <c r="FG31" s="6">
        <f t="shared" si="33"/>
        <v>565.71500999831744</v>
      </c>
      <c r="FH31" s="6">
        <f t="shared" si="33"/>
        <v>560.0578598983343</v>
      </c>
      <c r="FI31" s="6">
        <f t="shared" si="33"/>
        <v>554.45728129935094</v>
      </c>
      <c r="FJ31" s="6">
        <f t="shared" si="33"/>
        <v>548.91270848635747</v>
      </c>
      <c r="FK31" s="6">
        <f t="shared" si="33"/>
        <v>543.42358140149395</v>
      </c>
      <c r="FL31" s="6">
        <f t="shared" si="33"/>
        <v>537.98934558747897</v>
      </c>
      <c r="FM31" s="6">
        <f t="shared" si="33"/>
        <v>532.60945213160414</v>
      </c>
      <c r="FN31" s="6">
        <f t="shared" si="33"/>
        <v>527.28335761028814</v>
      </c>
      <c r="FO31" s="6">
        <f t="shared" si="33"/>
        <v>522.01052403418521</v>
      </c>
      <c r="FP31" s="6">
        <f t="shared" si="33"/>
        <v>516.7904187938434</v>
      </c>
      <c r="FQ31" s="6">
        <f t="shared" si="33"/>
        <v>511.62251460590494</v>
      </c>
      <c r="FR31" s="6">
        <f t="shared" si="33"/>
        <v>506.5062894598459</v>
      </c>
      <c r="FS31" s="6">
        <f t="shared" si="33"/>
        <v>501.44122656524746</v>
      </c>
      <c r="FT31" s="6">
        <f t="shared" si="33"/>
        <v>496.42681429959498</v>
      </c>
      <c r="FU31" s="6">
        <f t="shared" si="33"/>
        <v>491.46254615659905</v>
      </c>
      <c r="FV31" s="6">
        <f t="shared" si="33"/>
        <v>486.54792069503304</v>
      </c>
      <c r="FW31" s="6">
        <f t="shared" si="33"/>
        <v>481.6824414880827</v>
      </c>
      <c r="FX31" s="6">
        <f t="shared" si="33"/>
        <v>476.86561707320186</v>
      </c>
      <c r="FY31" s="6">
        <f t="shared" si="33"/>
        <v>472.09696090246985</v>
      </c>
      <c r="FZ31" s="6">
        <f t="shared" si="33"/>
        <v>467.37599129344517</v>
      </c>
      <c r="GA31" s="6">
        <f t="shared" si="33"/>
        <v>462.70223138051074</v>
      </c>
      <c r="GB31" s="6">
        <f t="shared" si="33"/>
        <v>458.07520906670561</v>
      </c>
      <c r="GC31" s="6">
        <f t="shared" si="33"/>
        <v>453.49445697603858</v>
      </c>
      <c r="GD31" s="6">
        <f t="shared" si="33"/>
        <v>448.95951240627818</v>
      </c>
      <c r="GE31" s="6">
        <f t="shared" si="33"/>
        <v>444.46991728221542</v>
      </c>
      <c r="GF31" s="6">
        <f t="shared" si="33"/>
        <v>440.02521810939328</v>
      </c>
      <c r="GG31" s="6">
        <f t="shared" si="33"/>
        <v>435.62496592829933</v>
      </c>
      <c r="GH31" s="6">
        <f t="shared" si="33"/>
        <v>431.26871626901635</v>
      </c>
      <c r="GI31" s="6">
        <f t="shared" si="33"/>
        <v>426.95602910632618</v>
      </c>
      <c r="GJ31" s="6">
        <f t="shared" si="33"/>
        <v>422.68646881526291</v>
      </c>
      <c r="GK31" s="6">
        <f t="shared" si="33"/>
        <v>418.45960412711025</v>
      </c>
      <c r="GL31" s="6">
        <f t="shared" si="33"/>
        <v>414.27500808583915</v>
      </c>
      <c r="GM31" s="6">
        <f t="shared" si="33"/>
        <v>410.13225800498077</v>
      </c>
      <c r="GN31" s="6">
        <f t="shared" si="33"/>
        <v>406.03093542493093</v>
      </c>
      <c r="GO31" s="6">
        <f t="shared" si="33"/>
        <v>401.97062607068159</v>
      </c>
      <c r="GP31" s="6">
        <f t="shared" si="33"/>
        <v>397.95091980997478</v>
      </c>
      <c r="GQ31" s="6">
        <f t="shared" si="33"/>
        <v>393.971410611875</v>
      </c>
      <c r="GR31" s="6">
        <f t="shared" si="33"/>
        <v>390.03169650575626</v>
      </c>
      <c r="GS31" s="6">
        <f t="shared" si="33"/>
        <v>386.13137954069867</v>
      </c>
      <c r="GT31" s="6">
        <f t="shared" si="33"/>
        <v>382.27006574529167</v>
      </c>
      <c r="GU31" s="6">
        <f t="shared" si="33"/>
        <v>378.44736508783876</v>
      </c>
      <c r="GV31" s="6">
        <f t="shared" si="33"/>
        <v>374.66289143696036</v>
      </c>
      <c r="GW31" s="6">
        <f t="shared" si="33"/>
        <v>370.91626252259078</v>
      </c>
      <c r="GX31" s="6">
        <f t="shared" si="33"/>
        <v>367.20709989736486</v>
      </c>
      <c r="GY31" s="6">
        <f t="shared" si="33"/>
        <v>363.5350288983912</v>
      </c>
      <c r="GZ31" s="6">
        <f t="shared" si="33"/>
        <v>359.89967860940726</v>
      </c>
      <c r="HA31" s="6">
        <f t="shared" si="33"/>
        <v>356.3006818233132</v>
      </c>
      <c r="HB31" s="6">
        <f t="shared" si="33"/>
        <v>352.73767500508006</v>
      </c>
      <c r="HC31" s="6">
        <f t="shared" si="33"/>
        <v>349.21029825502927</v>
      </c>
      <c r="HD31" s="6">
        <f t="shared" si="33"/>
        <v>345.71819527247897</v>
      </c>
      <c r="HE31" s="6">
        <f t="shared" si="33"/>
        <v>342.26101331975417</v>
      </c>
      <c r="HF31" s="6">
        <f t="shared" si="33"/>
        <v>338.8384031865566</v>
      </c>
      <c r="HG31" s="6">
        <f t="shared" si="33"/>
        <v>335.45001915469106</v>
      </c>
      <c r="HH31" s="6">
        <f t="shared" si="33"/>
        <v>332.09551896314417</v>
      </c>
    </row>
    <row r="32" spans="1:216" x14ac:dyDescent="0.2">
      <c r="H32" s="4"/>
      <c r="I32" s="4"/>
      <c r="J32" s="4"/>
      <c r="L32" s="4"/>
      <c r="M32" s="4"/>
      <c r="N32" s="4"/>
    </row>
    <row r="33" spans="2:36" x14ac:dyDescent="0.2">
      <c r="B33" t="s">
        <v>3</v>
      </c>
      <c r="H33" s="4">
        <v>231.48</v>
      </c>
      <c r="I33" s="4">
        <v>221</v>
      </c>
      <c r="J33" s="4">
        <v>223</v>
      </c>
      <c r="K33" s="4">
        <v>226</v>
      </c>
      <c r="L33" s="4">
        <v>231.48</v>
      </c>
      <c r="M33" s="4">
        <v>234</v>
      </c>
      <c r="N33" s="4">
        <v>237</v>
      </c>
      <c r="O33" s="4">
        <v>242.2</v>
      </c>
      <c r="U33">
        <v>242.2</v>
      </c>
      <c r="V33">
        <v>226</v>
      </c>
      <c r="W33">
        <v>242.2</v>
      </c>
    </row>
    <row r="34" spans="2:36" x14ac:dyDescent="0.2">
      <c r="B34" t="s">
        <v>32</v>
      </c>
      <c r="H34" s="3">
        <f>H31/H33</f>
        <v>-4.5724814238811113</v>
      </c>
      <c r="I34" s="3">
        <f>I31/I33</f>
        <v>-5.7402714932126688</v>
      </c>
      <c r="J34" s="3">
        <f>J31/J33</f>
        <v>-4.2941704035874446</v>
      </c>
      <c r="K34" s="3">
        <f>K31/K33</f>
        <v>-4.7212920353982311</v>
      </c>
      <c r="L34" s="3">
        <f>L31/L33</f>
        <v>-2.6999308795576296</v>
      </c>
      <c r="M34" s="3">
        <f>M31/M33</f>
        <v>-2.9235042735042733</v>
      </c>
      <c r="N34" s="3">
        <f>N31/N33</f>
        <v>2.3628691983122188E-2</v>
      </c>
      <c r="O34" s="3">
        <f>O31/O33</f>
        <v>1.1332369942196543</v>
      </c>
      <c r="U34" s="3">
        <f>U31/U33</f>
        <v>17.570561519405445</v>
      </c>
      <c r="V34" s="3">
        <f>V31/V33</f>
        <v>-7.9089380530973434</v>
      </c>
      <c r="W34" s="3">
        <f>W31/W33</f>
        <v>1.0148224607762197</v>
      </c>
      <c r="AG34" t="s">
        <v>61</v>
      </c>
      <c r="AH34" s="5">
        <v>0.11</v>
      </c>
    </row>
    <row r="35" spans="2:36" x14ac:dyDescent="0.2">
      <c r="AG35" t="s">
        <v>62</v>
      </c>
      <c r="AH35" s="5">
        <v>-0.01</v>
      </c>
    </row>
    <row r="36" spans="2:36" x14ac:dyDescent="0.2">
      <c r="B36" t="s">
        <v>33</v>
      </c>
      <c r="H36" s="5">
        <f>H21/H19</f>
        <v>0.7615483649472149</v>
      </c>
      <c r="I36" s="5">
        <f t="shared" ref="I36:P36" si="34">I21/I19</f>
        <v>0.79330915751822473</v>
      </c>
      <c r="J36" s="5">
        <f t="shared" si="34"/>
        <v>0.82878453975250044</v>
      </c>
      <c r="K36" s="5">
        <f t="shared" si="34"/>
        <v>0.86692232117389811</v>
      </c>
      <c r="L36" s="5">
        <f t="shared" si="34"/>
        <v>0.87510045366169797</v>
      </c>
      <c r="M36" s="5">
        <f t="shared" si="34"/>
        <v>0.847384337111042</v>
      </c>
      <c r="N36" s="5">
        <f t="shared" si="34"/>
        <v>0.86538747582924291</v>
      </c>
      <c r="O36" s="5">
        <f t="shared" si="34"/>
        <v>0.86845488851489083</v>
      </c>
      <c r="P36" s="5">
        <f t="shared" si="34"/>
        <v>0.86</v>
      </c>
      <c r="Q36" s="5"/>
      <c r="R36" s="5"/>
      <c r="S36" s="5"/>
      <c r="U36" s="5">
        <f t="shared" ref="U36:V36" si="35">U21/U19</f>
        <v>0.83825722446386575</v>
      </c>
      <c r="V36" s="5">
        <f t="shared" si="35"/>
        <v>0.80281963538226009</v>
      </c>
      <c r="W36" s="5">
        <f>W21/W19</f>
        <v>0.86464355922769298</v>
      </c>
      <c r="X36" s="5">
        <f t="shared" ref="X36:AE36" si="36">X21/X19</f>
        <v>0.87</v>
      </c>
      <c r="Y36" s="5">
        <f t="shared" si="36"/>
        <v>0.87</v>
      </c>
      <c r="Z36" s="5">
        <f t="shared" si="36"/>
        <v>0.87000000000000011</v>
      </c>
      <c r="AA36" s="5">
        <f t="shared" si="36"/>
        <v>0.87</v>
      </c>
      <c r="AB36" s="5">
        <f t="shared" si="36"/>
        <v>0.87</v>
      </c>
      <c r="AC36" s="5">
        <f t="shared" si="36"/>
        <v>0.87</v>
      </c>
      <c r="AD36" s="5">
        <f t="shared" si="36"/>
        <v>0.87</v>
      </c>
      <c r="AE36" s="5">
        <f t="shared" si="36"/>
        <v>0.87</v>
      </c>
      <c r="AG36" t="s">
        <v>63</v>
      </c>
      <c r="AH36" s="9">
        <f>NPV(AH34,X31:HH31)</f>
        <v>13304.300503577379</v>
      </c>
      <c r="AJ36" t="s">
        <v>67</v>
      </c>
    </row>
    <row r="37" spans="2:36" x14ac:dyDescent="0.2">
      <c r="B37" t="s">
        <v>34</v>
      </c>
      <c r="H37" s="5">
        <f>H26/H19</f>
        <v>-1.0165977169341684</v>
      </c>
      <c r="I37" s="5">
        <f t="shared" ref="I37:W37" si="37">I26/I19</f>
        <v>-1.5087193831454138</v>
      </c>
      <c r="J37" s="5">
        <f t="shared" si="37"/>
        <v>-1.6443464994066794</v>
      </c>
      <c r="K37" s="5">
        <f t="shared" si="37"/>
        <v>-1.6852787373625324</v>
      </c>
      <c r="L37" s="5">
        <f t="shared" si="37"/>
        <v>-0.86942320155541153</v>
      </c>
      <c r="M37" s="5">
        <f t="shared" si="37"/>
        <v>-0.93406438120001123</v>
      </c>
      <c r="N37" s="5">
        <f t="shared" si="37"/>
        <v>-0.10664881749219106</v>
      </c>
      <c r="O37" s="5">
        <f t="shared" si="37"/>
        <v>0.12329740861148014</v>
      </c>
      <c r="P37" s="5">
        <f t="shared" si="37"/>
        <v>0.20101382488479264</v>
      </c>
      <c r="Q37" s="5"/>
      <c r="R37" s="5"/>
      <c r="S37" s="5"/>
      <c r="U37" s="5">
        <f t="shared" si="37"/>
        <v>0.47303160228549834</v>
      </c>
      <c r="V37" s="5">
        <f t="shared" si="37"/>
        <v>-0.58631885110659554</v>
      </c>
      <c r="W37" s="5">
        <f t="shared" si="37"/>
        <v>-3.44584616275577E-3</v>
      </c>
      <c r="X37" s="5">
        <f t="shared" ref="X37:AE37" si="38">X26/X19</f>
        <v>0.15593195167837204</v>
      </c>
      <c r="Y37" s="5">
        <f t="shared" si="38"/>
        <v>0.21377275828192993</v>
      </c>
      <c r="Z37" s="5">
        <f t="shared" si="38"/>
        <v>0.26805553335402238</v>
      </c>
      <c r="AA37" s="5">
        <f t="shared" si="38"/>
        <v>0.26258418179956811</v>
      </c>
      <c r="AB37" s="5">
        <f t="shared" si="38"/>
        <v>0.2694925398228204</v>
      </c>
      <c r="AC37" s="5">
        <f t="shared" si="38"/>
        <v>0.28785875421997492</v>
      </c>
      <c r="AD37" s="5">
        <f t="shared" si="38"/>
        <v>0.31577426219769605</v>
      </c>
      <c r="AE37" s="5">
        <f t="shared" si="38"/>
        <v>0.35076191589941125</v>
      </c>
      <c r="AG37" t="s">
        <v>64</v>
      </c>
      <c r="AH37" s="3">
        <f>AH36/Main!J2</f>
        <v>54.931050799245995</v>
      </c>
    </row>
    <row r="38" spans="2:36" x14ac:dyDescent="0.2">
      <c r="B38" t="s">
        <v>35</v>
      </c>
      <c r="N38" s="5">
        <f>N31/N19</f>
        <v>8.3296147553175055E-3</v>
      </c>
      <c r="O38" s="5">
        <f t="shared" ref="O38:P38" si="39">O31/O19</f>
        <v>0.28691343570659522</v>
      </c>
      <c r="P38" s="5">
        <f t="shared" si="39"/>
        <v>0</v>
      </c>
      <c r="Q38" s="5"/>
      <c r="R38" s="5"/>
      <c r="S38" s="5"/>
      <c r="W38" s="5">
        <f t="shared" ref="W38:AE38" si="40">W31/W19</f>
        <v>7.9080721600725976E-2</v>
      </c>
      <c r="X38" s="5">
        <f t="shared" si="40"/>
        <v>0.10991682606512654</v>
      </c>
      <c r="Y38" s="5">
        <f t="shared" si="40"/>
        <v>0.15942838512856886</v>
      </c>
      <c r="Z38" s="5">
        <f t="shared" si="40"/>
        <v>0.20580702463909967</v>
      </c>
      <c r="AA38" s="5">
        <f t="shared" si="40"/>
        <v>0.20173140128343844</v>
      </c>
      <c r="AB38" s="5">
        <f t="shared" si="40"/>
        <v>0.20806252862161573</v>
      </c>
      <c r="AC38" s="5">
        <f t="shared" si="40"/>
        <v>0.22399520453630437</v>
      </c>
      <c r="AD38" s="5">
        <f t="shared" si="40"/>
        <v>0.24790070498730932</v>
      </c>
      <c r="AE38" s="5">
        <f t="shared" si="40"/>
        <v>0.27768097101418177</v>
      </c>
      <c r="AG38" t="s">
        <v>65</v>
      </c>
      <c r="AH38" s="5">
        <f>AH37/Main!J1-1</f>
        <v>-0.71088920631975794</v>
      </c>
    </row>
    <row r="40" spans="2:36" x14ac:dyDescent="0.2">
      <c r="B40" t="s">
        <v>36</v>
      </c>
      <c r="V40" s="5">
        <f>V19/U19-1</f>
        <v>-0.5925457233648721</v>
      </c>
      <c r="W40" s="5">
        <f>W19/V19-1</f>
        <v>-2.6906447340820261E-2</v>
      </c>
      <c r="X40" s="5">
        <f t="shared" ref="X40:AE40" si="41">X19/W19-1</f>
        <v>0.27648041079891517</v>
      </c>
      <c r="Y40" s="5">
        <f t="shared" si="41"/>
        <v>0.14254850008166531</v>
      </c>
      <c r="Z40" s="5">
        <f t="shared" si="41"/>
        <v>0.14468799363383589</v>
      </c>
      <c r="AA40" s="5">
        <f t="shared" si="41"/>
        <v>4.0542032393563243E-2</v>
      </c>
      <c r="AB40" s="5">
        <f t="shared" si="41"/>
        <v>6.2079410174645799E-2</v>
      </c>
      <c r="AC40" s="5">
        <f t="shared" si="41"/>
        <v>8.3126883306769317E-2</v>
      </c>
      <c r="AD40" s="5">
        <f t="shared" si="41"/>
        <v>0.10288690397677414</v>
      </c>
      <c r="AE40" s="5">
        <f t="shared" si="41"/>
        <v>0.12075181407472435</v>
      </c>
    </row>
    <row r="41" spans="2:36" x14ac:dyDescent="0.2">
      <c r="B41" t="s">
        <v>59</v>
      </c>
      <c r="V41" s="5">
        <f>V15/U15-1</f>
        <v>-0.65538020505769978</v>
      </c>
      <c r="W41" s="5">
        <f>W15/V15-1</f>
        <v>-0.35508021390374334</v>
      </c>
      <c r="X41" s="5">
        <f t="shared" ref="X41:AE41" si="42">X15/W15-1</f>
        <v>0.5</v>
      </c>
      <c r="Y41" s="5">
        <f t="shared" si="42"/>
        <v>0.10000000000000009</v>
      </c>
      <c r="Z41" s="5">
        <f t="shared" si="42"/>
        <v>0.10000000000000009</v>
      </c>
      <c r="AA41" s="5">
        <f t="shared" si="42"/>
        <v>-9.9999999999999867E-2</v>
      </c>
      <c r="AB41" s="5">
        <f t="shared" si="42"/>
        <v>-0.10000000000000009</v>
      </c>
      <c r="AC41" s="5">
        <f t="shared" si="42"/>
        <v>-9.9999999999999978E-2</v>
      </c>
      <c r="AD41" s="5">
        <f t="shared" si="42"/>
        <v>-9.9999999999999978E-2</v>
      </c>
      <c r="AE41" s="5">
        <f t="shared" si="42"/>
        <v>-0.10000000000000009</v>
      </c>
    </row>
    <row r="42" spans="2:36" x14ac:dyDescent="0.2">
      <c r="B42" t="s">
        <v>60</v>
      </c>
      <c r="V42" s="5">
        <f>V16/U16-1</f>
        <v>0.53217324052590897</v>
      </c>
      <c r="W42" s="5">
        <f>W16/V16-1</f>
        <v>0.77518802685376786</v>
      </c>
      <c r="X42" s="5">
        <f t="shared" ref="X42:AE42" si="43">X16/W16-1</f>
        <v>0.19999999999999996</v>
      </c>
      <c r="Y42" s="5">
        <f t="shared" si="43"/>
        <v>0.19999999999999996</v>
      </c>
      <c r="Z42" s="5">
        <f t="shared" si="43"/>
        <v>0.19999999999999996</v>
      </c>
      <c r="AA42" s="5">
        <f t="shared" si="43"/>
        <v>0.19999999999999996</v>
      </c>
      <c r="AB42" s="5">
        <f t="shared" si="43"/>
        <v>0.19999999999999996</v>
      </c>
      <c r="AC42" s="5">
        <f t="shared" si="43"/>
        <v>0.19999999999999973</v>
      </c>
      <c r="AD42" s="5">
        <f t="shared" si="43"/>
        <v>0.19999999999999996</v>
      </c>
      <c r="AE42" s="5">
        <f t="shared" si="43"/>
        <v>0.19999999999999996</v>
      </c>
    </row>
  </sheetData>
  <hyperlinks>
    <hyperlink ref="A1" location="Main!A1" display="Main" xr:uid="{8B9102C8-9E8F-4C74-A5EE-F35151A03FD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0F2F-DA8C-4E4A-B331-D13F4FE9D4BD}">
  <dimension ref="A1:D13"/>
  <sheetViews>
    <sheetView workbookViewId="0">
      <selection activeCell="A5" sqref="A5:D6"/>
    </sheetView>
  </sheetViews>
  <sheetFormatPr baseColWidth="10" defaultRowHeight="15" x14ac:dyDescent="0.2"/>
  <cols>
    <col min="1" max="1" width="29" bestFit="1" customWidth="1"/>
  </cols>
  <sheetData>
    <row r="1" spans="1:4" x14ac:dyDescent="0.2">
      <c r="B1">
        <v>2021</v>
      </c>
      <c r="C1">
        <v>2022</v>
      </c>
      <c r="D1">
        <v>2023</v>
      </c>
    </row>
    <row r="2" spans="1:4" x14ac:dyDescent="0.2">
      <c r="A2" t="s">
        <v>38</v>
      </c>
      <c r="B2">
        <v>11.2</v>
      </c>
      <c r="C2">
        <v>8.3000000000000007</v>
      </c>
      <c r="D2">
        <v>7</v>
      </c>
    </row>
    <row r="3" spans="1:4" x14ac:dyDescent="0.2">
      <c r="A3" t="s">
        <v>39</v>
      </c>
      <c r="B3">
        <v>1671</v>
      </c>
      <c r="C3">
        <v>830</v>
      </c>
      <c r="D3">
        <v>468</v>
      </c>
    </row>
    <row r="5" spans="1:4" x14ac:dyDescent="0.2">
      <c r="A5" t="s">
        <v>40</v>
      </c>
      <c r="B5">
        <v>535</v>
      </c>
      <c r="C5">
        <v>167</v>
      </c>
      <c r="D5">
        <v>75</v>
      </c>
    </row>
    <row r="6" spans="1:4" x14ac:dyDescent="0.2">
      <c r="A6" t="s">
        <v>41</v>
      </c>
      <c r="B6">
        <v>1136</v>
      </c>
      <c r="C6">
        <v>663</v>
      </c>
      <c r="D6">
        <v>393</v>
      </c>
    </row>
    <row r="12" spans="1:4" x14ac:dyDescent="0.2">
      <c r="A12" t="s">
        <v>42</v>
      </c>
      <c r="B12" s="5">
        <f>B5/B3</f>
        <v>0.32016756433273491</v>
      </c>
      <c r="C12" s="5">
        <f t="shared" ref="C12:D12" si="0">C5/C3</f>
        <v>0.20120481927710843</v>
      </c>
      <c r="D12" s="5">
        <f t="shared" si="0"/>
        <v>0.16025641025641027</v>
      </c>
    </row>
    <row r="13" spans="1:4" x14ac:dyDescent="0.2">
      <c r="A13" t="s">
        <v>43</v>
      </c>
      <c r="B13" s="5">
        <f>B6/B3</f>
        <v>0.67983243566726514</v>
      </c>
      <c r="C13" s="5">
        <f t="shared" ref="C13:D13" si="1">C6/C3</f>
        <v>0.79879518072289157</v>
      </c>
      <c r="D13" s="5">
        <f t="shared" si="1"/>
        <v>0.83974358974358976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Key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2023-07-09T00:01:17Z</dcterms:created>
  <dcterms:modified xsi:type="dcterms:W3CDTF">2024-02-19T16:00:53Z</dcterms:modified>
  <cp:category/>
  <cp:contentStatus/>
</cp:coreProperties>
</file>