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garza/repos/Stock_Models/"/>
    </mc:Choice>
  </mc:AlternateContent>
  <xr:revisionPtr revIDLastSave="0" documentId="13_ncr:1_{5BF8849D-B6AA-884A-B0A7-CA49784C6FCF}" xr6:coauthVersionLast="47" xr6:coauthVersionMax="47" xr10:uidLastSave="{00000000-0000-0000-0000-000000000000}"/>
  <bookViews>
    <workbookView xWindow="20" yWindow="500" windowWidth="35840" windowHeight="20980" activeTab="1" xr2:uid="{AA25DAD4-58B6-7949-BD18-F6E7EA80AEDE}"/>
  </bookViews>
  <sheets>
    <sheet name="Main" sheetId="1" r:id="rId1"/>
    <sheet name="Mode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2" l="1"/>
  <c r="Y2" i="2" s="1"/>
  <c r="Z2" i="2" s="1"/>
  <c r="Y4" i="2"/>
  <c r="Z4" i="2" s="1"/>
  <c r="X4" i="2"/>
  <c r="X7" i="2"/>
  <c r="Z5" i="2"/>
  <c r="Y5" i="2"/>
  <c r="X5" i="2"/>
  <c r="Z3" i="2"/>
  <c r="Y3" i="2"/>
  <c r="X3" i="2"/>
  <c r="W4" i="2"/>
  <c r="W5" i="2"/>
  <c r="AH20" i="2"/>
  <c r="AH19" i="2"/>
  <c r="AH17" i="2"/>
  <c r="AH16" i="2"/>
  <c r="AH13" i="2"/>
  <c r="AH12" i="2"/>
  <c r="AH11" i="2"/>
  <c r="AH10" i="2"/>
  <c r="Z14" i="2"/>
  <c r="Y14" i="2"/>
  <c r="X14" i="2"/>
  <c r="W14" i="2"/>
  <c r="AH14" i="2"/>
  <c r="AG23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V27" i="2"/>
  <c r="W7" i="2"/>
  <c r="W27" i="2" s="1"/>
  <c r="W3" i="2"/>
  <c r="U14" i="2"/>
  <c r="V14" i="2"/>
  <c r="V7" i="2"/>
  <c r="V9" i="2" s="1"/>
  <c r="U7" i="2"/>
  <c r="U9" i="2" s="1"/>
  <c r="T7" i="2"/>
  <c r="Z7" i="2" l="1"/>
  <c r="Y7" i="2"/>
  <c r="W8" i="2"/>
  <c r="W9" i="2" s="1"/>
  <c r="X27" i="2"/>
  <c r="U15" i="2"/>
  <c r="U18" i="2" s="1"/>
  <c r="U21" i="2" s="1"/>
  <c r="V15" i="2"/>
  <c r="V18" i="2" s="1"/>
  <c r="V21" i="2" s="1"/>
  <c r="AG20" i="2"/>
  <c r="AG17" i="2"/>
  <c r="AG16" i="2"/>
  <c r="AG13" i="2"/>
  <c r="AG12" i="2"/>
  <c r="AG11" i="2"/>
  <c r="AI11" i="2" s="1"/>
  <c r="AJ11" i="2" s="1"/>
  <c r="AK11" i="2" s="1"/>
  <c r="AL11" i="2" s="1"/>
  <c r="AM11" i="2" s="1"/>
  <c r="AN11" i="2" s="1"/>
  <c r="AG10" i="2"/>
  <c r="AI10" i="2" s="1"/>
  <c r="AJ10" i="2" s="1"/>
  <c r="AK10" i="2" s="1"/>
  <c r="AL10" i="2" s="1"/>
  <c r="AM10" i="2" s="1"/>
  <c r="AN10" i="2" s="1"/>
  <c r="V28" i="2"/>
  <c r="AG8" i="2"/>
  <c r="T14" i="2"/>
  <c r="T9" i="2"/>
  <c r="S14" i="2"/>
  <c r="S7" i="2"/>
  <c r="AG7" i="2" s="1"/>
  <c r="M7" i="2"/>
  <c r="P7" i="2"/>
  <c r="N7" i="2"/>
  <c r="R7" i="2"/>
  <c r="L7" i="2"/>
  <c r="Q7" i="2"/>
  <c r="W28" i="2" l="1"/>
  <c r="W15" i="2"/>
  <c r="X8" i="2"/>
  <c r="X9" i="2" s="1"/>
  <c r="X15" i="2" s="1"/>
  <c r="X18" i="2" s="1"/>
  <c r="X21" i="2" s="1"/>
  <c r="X23" i="2" s="1"/>
  <c r="W30" i="2"/>
  <c r="W18" i="2"/>
  <c r="AN14" i="2"/>
  <c r="AJ14" i="2"/>
  <c r="AK14" i="2"/>
  <c r="AL14" i="2"/>
  <c r="AM14" i="2"/>
  <c r="AG14" i="2"/>
  <c r="AI14" i="2"/>
  <c r="V30" i="2"/>
  <c r="AG9" i="2"/>
  <c r="AG15" i="2" s="1"/>
  <c r="AG31" i="2" s="1"/>
  <c r="U28" i="2"/>
  <c r="S9" i="2"/>
  <c r="S15" i="2" s="1"/>
  <c r="S30" i="2" s="1"/>
  <c r="T28" i="2"/>
  <c r="T15" i="2"/>
  <c r="T30" i="2" s="1"/>
  <c r="AF7" i="2"/>
  <c r="R9" i="2"/>
  <c r="R28" i="2" s="1"/>
  <c r="AF33" i="2"/>
  <c r="AG1" i="2"/>
  <c r="AH1" i="2" s="1"/>
  <c r="AI1" i="2" s="1"/>
  <c r="AJ1" i="2" s="1"/>
  <c r="AK1" i="2" s="1"/>
  <c r="AL1" i="2" s="1"/>
  <c r="AM1" i="2" s="1"/>
  <c r="AN1" i="2" s="1"/>
  <c r="AC24" i="2"/>
  <c r="AC20" i="2"/>
  <c r="AC13" i="2"/>
  <c r="AC12" i="2"/>
  <c r="AD24" i="2"/>
  <c r="AD20" i="2"/>
  <c r="AD17" i="2"/>
  <c r="AD13" i="2"/>
  <c r="AD12" i="2"/>
  <c r="AE24" i="2"/>
  <c r="AE20" i="2"/>
  <c r="AE12" i="2"/>
  <c r="AF20" i="2"/>
  <c r="AF17" i="2"/>
  <c r="AF16" i="2"/>
  <c r="AF13" i="2"/>
  <c r="AF12" i="2"/>
  <c r="AF11" i="2"/>
  <c r="AF10" i="2"/>
  <c r="R14" i="2"/>
  <c r="R24" i="2"/>
  <c r="J19" i="2"/>
  <c r="AD19" i="2" s="1"/>
  <c r="J16" i="2"/>
  <c r="AD16" i="2" s="1"/>
  <c r="J11" i="2"/>
  <c r="AD11" i="2" s="1"/>
  <c r="J10" i="2"/>
  <c r="AD10" i="2" s="1"/>
  <c r="J8" i="2"/>
  <c r="AD8" i="2" s="1"/>
  <c r="J7" i="2"/>
  <c r="J9" i="2" s="1"/>
  <c r="F19" i="2"/>
  <c r="F17" i="2"/>
  <c r="AC17" i="2" s="1"/>
  <c r="F16" i="2"/>
  <c r="AC16" i="2" s="1"/>
  <c r="F11" i="2"/>
  <c r="AC11" i="2" s="1"/>
  <c r="F10" i="2"/>
  <c r="F14" i="2" s="1"/>
  <c r="F8" i="2"/>
  <c r="AC8" i="2" s="1"/>
  <c r="F7" i="2"/>
  <c r="C14" i="2"/>
  <c r="C9" i="2"/>
  <c r="C28" i="2" s="1"/>
  <c r="G14" i="2"/>
  <c r="G9" i="2"/>
  <c r="G28" i="2" s="1"/>
  <c r="D14" i="2"/>
  <c r="D9" i="2"/>
  <c r="D28" i="2" s="1"/>
  <c r="H14" i="2"/>
  <c r="H9" i="2"/>
  <c r="H15" i="2" s="1"/>
  <c r="H30" i="2" s="1"/>
  <c r="E14" i="2"/>
  <c r="E9" i="2"/>
  <c r="I14" i="2"/>
  <c r="I9" i="2"/>
  <c r="I28" i="2" s="1"/>
  <c r="N19" i="2"/>
  <c r="AE19" i="2" s="1"/>
  <c r="N17" i="2"/>
  <c r="AE17" i="2" s="1"/>
  <c r="N16" i="2"/>
  <c r="AE16" i="2" s="1"/>
  <c r="N13" i="2"/>
  <c r="AE13" i="2" s="1"/>
  <c r="N11" i="2"/>
  <c r="AE11" i="2" s="1"/>
  <c r="N10" i="2"/>
  <c r="AE10" i="2" s="1"/>
  <c r="N8" i="2"/>
  <c r="AE8" i="2" s="1"/>
  <c r="AE7" i="2"/>
  <c r="K14" i="2"/>
  <c r="K9" i="2"/>
  <c r="K28" i="2" s="1"/>
  <c r="O14" i="2"/>
  <c r="O9" i="2"/>
  <c r="O28" i="2" s="1"/>
  <c r="L14" i="2"/>
  <c r="L9" i="2"/>
  <c r="P14" i="2"/>
  <c r="P9" i="2"/>
  <c r="P28" i="2" s="1"/>
  <c r="Q33" i="2"/>
  <c r="M14" i="2"/>
  <c r="M9" i="2"/>
  <c r="Q14" i="2"/>
  <c r="Q9" i="2"/>
  <c r="K6" i="1"/>
  <c r="K5" i="1"/>
  <c r="K4" i="1"/>
  <c r="K7" i="1" s="1"/>
  <c r="Y8" i="2" l="1"/>
  <c r="AH7" i="2"/>
  <c r="Y27" i="2"/>
  <c r="W29" i="2"/>
  <c r="W21" i="2"/>
  <c r="AG18" i="2"/>
  <c r="V29" i="2"/>
  <c r="U30" i="2"/>
  <c r="S18" i="2"/>
  <c r="S21" i="2" s="1"/>
  <c r="S31" i="2" s="1"/>
  <c r="Q28" i="2"/>
  <c r="S28" i="2"/>
  <c r="H18" i="2"/>
  <c r="H21" i="2" s="1"/>
  <c r="H31" i="2" s="1"/>
  <c r="T18" i="2"/>
  <c r="T29" i="2" s="1"/>
  <c r="AC10" i="2"/>
  <c r="AC14" i="2" s="1"/>
  <c r="AE14" i="2"/>
  <c r="F9" i="2"/>
  <c r="F28" i="2" s="1"/>
  <c r="AF24" i="2"/>
  <c r="AF27" i="2"/>
  <c r="AD14" i="2"/>
  <c r="AF14" i="2"/>
  <c r="AE9" i="2"/>
  <c r="AC19" i="2"/>
  <c r="AF8" i="2"/>
  <c r="AF9" i="2" s="1"/>
  <c r="E28" i="2"/>
  <c r="R15" i="2"/>
  <c r="R30" i="2" s="1"/>
  <c r="AD7" i="2"/>
  <c r="AC7" i="2"/>
  <c r="AC9" i="2" s="1"/>
  <c r="AC28" i="2" s="1"/>
  <c r="J28" i="2"/>
  <c r="L28" i="2"/>
  <c r="M28" i="2"/>
  <c r="H28" i="2"/>
  <c r="Q15" i="2"/>
  <c r="Q30" i="2" s="1"/>
  <c r="J14" i="2"/>
  <c r="J15" i="2" s="1"/>
  <c r="J30" i="2" s="1"/>
  <c r="N14" i="2"/>
  <c r="N9" i="2"/>
  <c r="C15" i="2"/>
  <c r="G15" i="2"/>
  <c r="G30" i="2" s="1"/>
  <c r="D15" i="2"/>
  <c r="D30" i="2" s="1"/>
  <c r="E15" i="2"/>
  <c r="E30" i="2" s="1"/>
  <c r="I15" i="2"/>
  <c r="I30" i="2" s="1"/>
  <c r="K15" i="2"/>
  <c r="K30" i="2" s="1"/>
  <c r="O15" i="2"/>
  <c r="O30" i="2" s="1"/>
  <c r="L15" i="2"/>
  <c r="L30" i="2" s="1"/>
  <c r="P15" i="2"/>
  <c r="P30" i="2" s="1"/>
  <c r="M15" i="2"/>
  <c r="M30" i="2" s="1"/>
  <c r="AI7" i="2" l="1"/>
  <c r="Y9" i="2"/>
  <c r="Y15" i="2" s="1"/>
  <c r="Y18" i="2" s="1"/>
  <c r="Y21" i="2" s="1"/>
  <c r="Y23" i="2" s="1"/>
  <c r="Z8" i="2"/>
  <c r="Z9" i="2" s="1"/>
  <c r="Z15" i="2" s="1"/>
  <c r="Z18" i="2" s="1"/>
  <c r="Z21" i="2" s="1"/>
  <c r="Z23" i="2" s="1"/>
  <c r="Z27" i="2"/>
  <c r="W31" i="2"/>
  <c r="W23" i="2"/>
  <c r="H29" i="2"/>
  <c r="F15" i="2"/>
  <c r="F30" i="2" s="1"/>
  <c r="N15" i="2"/>
  <c r="N30" i="2" s="1"/>
  <c r="T21" i="2"/>
  <c r="T31" i="2" s="1"/>
  <c r="V23" i="2"/>
  <c r="V31" i="2"/>
  <c r="G18" i="2"/>
  <c r="G21" i="2" s="1"/>
  <c r="G31" i="2" s="1"/>
  <c r="S29" i="2"/>
  <c r="M18" i="2"/>
  <c r="M21" i="2" s="1"/>
  <c r="M31" i="2" s="1"/>
  <c r="D18" i="2"/>
  <c r="D21" i="2" s="1"/>
  <c r="D31" i="2" s="1"/>
  <c r="S23" i="2"/>
  <c r="C18" i="2"/>
  <c r="C29" i="2" s="1"/>
  <c r="C30" i="2"/>
  <c r="F18" i="2"/>
  <c r="F21" i="2" s="1"/>
  <c r="F31" i="2" s="1"/>
  <c r="N18" i="2"/>
  <c r="N21" i="2" s="1"/>
  <c r="N31" i="2" s="1"/>
  <c r="J18" i="2"/>
  <c r="J21" i="2" s="1"/>
  <c r="J31" i="2" s="1"/>
  <c r="Q18" i="2"/>
  <c r="Q21" i="2" s="1"/>
  <c r="Q31" i="2" s="1"/>
  <c r="T23" i="2"/>
  <c r="P18" i="2"/>
  <c r="P21" i="2" s="1"/>
  <c r="P31" i="2" s="1"/>
  <c r="L18" i="2"/>
  <c r="L29" i="2" s="1"/>
  <c r="R18" i="2"/>
  <c r="R21" i="2" s="1"/>
  <c r="R31" i="2" s="1"/>
  <c r="O18" i="2"/>
  <c r="O21" i="2" s="1"/>
  <c r="O31" i="2" s="1"/>
  <c r="H23" i="2"/>
  <c r="K18" i="2"/>
  <c r="K21" i="2" s="1"/>
  <c r="K31" i="2" s="1"/>
  <c r="I18" i="2"/>
  <c r="I21" i="2" s="1"/>
  <c r="I31" i="2" s="1"/>
  <c r="E18" i="2"/>
  <c r="E21" i="2" s="1"/>
  <c r="E31" i="2" s="1"/>
  <c r="AF15" i="2"/>
  <c r="AF31" i="2" s="1"/>
  <c r="AF28" i="2"/>
  <c r="AD9" i="2"/>
  <c r="AD27" i="2"/>
  <c r="AF19" i="2"/>
  <c r="AG27" i="2"/>
  <c r="N28" i="2"/>
  <c r="AE27" i="2"/>
  <c r="AE15" i="2"/>
  <c r="AE31" i="2" s="1"/>
  <c r="AE28" i="2"/>
  <c r="AC15" i="2"/>
  <c r="AC31" i="2" s="1"/>
  <c r="AJ7" i="2" l="1"/>
  <c r="AI9" i="2"/>
  <c r="AI15" i="2" s="1"/>
  <c r="AH8" i="2"/>
  <c r="AH9" i="2" s="1"/>
  <c r="AH15" i="2" s="1"/>
  <c r="M29" i="2"/>
  <c r="E29" i="2"/>
  <c r="I29" i="2"/>
  <c r="O29" i="2"/>
  <c r="U29" i="2"/>
  <c r="AG19" i="2"/>
  <c r="AG21" i="2" s="1"/>
  <c r="AG30" i="2" s="1"/>
  <c r="R29" i="2"/>
  <c r="Q29" i="2"/>
  <c r="C21" i="2"/>
  <c r="C31" i="2" s="1"/>
  <c r="D29" i="2"/>
  <c r="G23" i="2"/>
  <c r="P23" i="2"/>
  <c r="I23" i="2"/>
  <c r="K23" i="2"/>
  <c r="N23" i="2"/>
  <c r="O23" i="2"/>
  <c r="M23" i="2"/>
  <c r="Q23" i="2"/>
  <c r="L21" i="2"/>
  <c r="L31" i="2" s="1"/>
  <c r="P29" i="2"/>
  <c r="G29" i="2"/>
  <c r="R23" i="2"/>
  <c r="J23" i="2"/>
  <c r="J29" i="2"/>
  <c r="D23" i="2"/>
  <c r="E23" i="2"/>
  <c r="F23" i="2"/>
  <c r="N29" i="2"/>
  <c r="K29" i="2"/>
  <c r="F29" i="2"/>
  <c r="AC18" i="2"/>
  <c r="AG28" i="2"/>
  <c r="AD15" i="2"/>
  <c r="AD31" i="2" s="1"/>
  <c r="AD28" i="2"/>
  <c r="AE18" i="2"/>
  <c r="AH27" i="2"/>
  <c r="AF18" i="2"/>
  <c r="AF21" i="2" s="1"/>
  <c r="AH18" i="2" l="1"/>
  <c r="AH21" i="2" s="1"/>
  <c r="AH23" i="2" s="1"/>
  <c r="AH31" i="2"/>
  <c r="AI18" i="2"/>
  <c r="AI19" i="2" s="1"/>
  <c r="AI21" i="2" s="1"/>
  <c r="AI31" i="2"/>
  <c r="AK7" i="2"/>
  <c r="AJ9" i="2"/>
  <c r="AJ15" i="2" s="1"/>
  <c r="C23" i="2"/>
  <c r="U31" i="2"/>
  <c r="U23" i="2"/>
  <c r="AF23" i="2"/>
  <c r="AF30" i="2"/>
  <c r="L23" i="2"/>
  <c r="AI27" i="2"/>
  <c r="AH28" i="2"/>
  <c r="AE21" i="2"/>
  <c r="AE29" i="2"/>
  <c r="AD18" i="2"/>
  <c r="AC21" i="2"/>
  <c r="AC29" i="2"/>
  <c r="AF29" i="2"/>
  <c r="AJ18" i="2" l="1"/>
  <c r="AJ19" i="2" s="1"/>
  <c r="AJ21" i="2" s="1"/>
  <c r="AJ31" i="2"/>
  <c r="AL7" i="2"/>
  <c r="AK9" i="2"/>
  <c r="AK15" i="2" s="1"/>
  <c r="AC23" i="2"/>
  <c r="AC30" i="2"/>
  <c r="AE23" i="2"/>
  <c r="AE30" i="2"/>
  <c r="AG29" i="2"/>
  <c r="AD21" i="2"/>
  <c r="AD29" i="2"/>
  <c r="AI28" i="2"/>
  <c r="AJ27" i="2"/>
  <c r="AK18" i="2" l="1"/>
  <c r="AK19" i="2" s="1"/>
  <c r="AK21" i="2" s="1"/>
  <c r="AK31" i="2"/>
  <c r="AM7" i="2"/>
  <c r="AL9" i="2"/>
  <c r="AL15" i="2" s="1"/>
  <c r="AD23" i="2"/>
  <c r="AD30" i="2"/>
  <c r="AK27" i="2"/>
  <c r="AG33" i="2"/>
  <c r="AJ28" i="2"/>
  <c r="AL18" i="2" l="1"/>
  <c r="AL19" i="2" s="1"/>
  <c r="AL21" i="2" s="1"/>
  <c r="AL31" i="2"/>
  <c r="AN7" i="2"/>
  <c r="AN9" i="2" s="1"/>
  <c r="AN15" i="2" s="1"/>
  <c r="AM9" i="2"/>
  <c r="AM15" i="2" s="1"/>
  <c r="AK28" i="2"/>
  <c r="AL27" i="2"/>
  <c r="AM18" i="2" l="1"/>
  <c r="AM19" i="2" s="1"/>
  <c r="AM21" i="2" s="1"/>
  <c r="AM31" i="2"/>
  <c r="AN18" i="2"/>
  <c r="AN19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BP21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CG21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CX21" i="2" s="1"/>
  <c r="CY21" i="2" s="1"/>
  <c r="CZ21" i="2" s="1"/>
  <c r="DA21" i="2" s="1"/>
  <c r="DB21" i="2" s="1"/>
  <c r="DC21" i="2" s="1"/>
  <c r="DD21" i="2" s="1"/>
  <c r="DE21" i="2" s="1"/>
  <c r="DF21" i="2" s="1"/>
  <c r="DG21" i="2" s="1"/>
  <c r="DH21" i="2" s="1"/>
  <c r="DI21" i="2" s="1"/>
  <c r="DJ21" i="2" s="1"/>
  <c r="DK21" i="2" s="1"/>
  <c r="DL21" i="2" s="1"/>
  <c r="DM21" i="2" s="1"/>
  <c r="DN21" i="2" s="1"/>
  <c r="DO21" i="2" s="1"/>
  <c r="DP21" i="2" s="1"/>
  <c r="DQ21" i="2" s="1"/>
  <c r="DR21" i="2" s="1"/>
  <c r="DS21" i="2" s="1"/>
  <c r="DT21" i="2" s="1"/>
  <c r="DU21" i="2" s="1"/>
  <c r="DV21" i="2" s="1"/>
  <c r="DW21" i="2" s="1"/>
  <c r="DX21" i="2" s="1"/>
  <c r="DY21" i="2" s="1"/>
  <c r="DZ21" i="2" s="1"/>
  <c r="EA21" i="2" s="1"/>
  <c r="EB21" i="2" s="1"/>
  <c r="EC21" i="2" s="1"/>
  <c r="ED21" i="2" s="1"/>
  <c r="EE21" i="2" s="1"/>
  <c r="EF21" i="2" s="1"/>
  <c r="EG21" i="2" s="1"/>
  <c r="EH21" i="2" s="1"/>
  <c r="EI21" i="2" s="1"/>
  <c r="EJ21" i="2" s="1"/>
  <c r="EK21" i="2" s="1"/>
  <c r="EL21" i="2" s="1"/>
  <c r="EM21" i="2" s="1"/>
  <c r="EN21" i="2" s="1"/>
  <c r="EO21" i="2" s="1"/>
  <c r="EP21" i="2" s="1"/>
  <c r="EQ21" i="2" s="1"/>
  <c r="ER21" i="2" s="1"/>
  <c r="ES21" i="2" s="1"/>
  <c r="ET21" i="2" s="1"/>
  <c r="EU21" i="2" s="1"/>
  <c r="EV21" i="2" s="1"/>
  <c r="EW21" i="2" s="1"/>
  <c r="EX21" i="2" s="1"/>
  <c r="EY21" i="2" s="1"/>
  <c r="EZ21" i="2" s="1"/>
  <c r="FA21" i="2" s="1"/>
  <c r="FB21" i="2" s="1"/>
  <c r="FC21" i="2" s="1"/>
  <c r="FD21" i="2" s="1"/>
  <c r="FE21" i="2" s="1"/>
  <c r="FF21" i="2" s="1"/>
  <c r="FG21" i="2" s="1"/>
  <c r="FH21" i="2" s="1"/>
  <c r="FI21" i="2" s="1"/>
  <c r="FJ21" i="2" s="1"/>
  <c r="FK21" i="2" s="1"/>
  <c r="FL21" i="2" s="1"/>
  <c r="FM21" i="2" s="1"/>
  <c r="FN21" i="2" s="1"/>
  <c r="FO21" i="2" s="1"/>
  <c r="FP21" i="2" s="1"/>
  <c r="FQ21" i="2" s="1"/>
  <c r="FR21" i="2" s="1"/>
  <c r="FS21" i="2" s="1"/>
  <c r="FT21" i="2" s="1"/>
  <c r="FU21" i="2" s="1"/>
  <c r="FV21" i="2" s="1"/>
  <c r="FW21" i="2" s="1"/>
  <c r="FX21" i="2" s="1"/>
  <c r="FY21" i="2" s="1"/>
  <c r="FZ21" i="2" s="1"/>
  <c r="GA21" i="2" s="1"/>
  <c r="GB21" i="2" s="1"/>
  <c r="GC21" i="2" s="1"/>
  <c r="GD21" i="2" s="1"/>
  <c r="GE21" i="2" s="1"/>
  <c r="GF21" i="2" s="1"/>
  <c r="GG21" i="2" s="1"/>
  <c r="GH21" i="2" s="1"/>
  <c r="GI21" i="2" s="1"/>
  <c r="GJ21" i="2" s="1"/>
  <c r="GK21" i="2" s="1"/>
  <c r="GL21" i="2" s="1"/>
  <c r="GM21" i="2" s="1"/>
  <c r="GN21" i="2" s="1"/>
  <c r="GO21" i="2" s="1"/>
  <c r="GP21" i="2" s="1"/>
  <c r="GQ21" i="2" s="1"/>
  <c r="GR21" i="2" s="1"/>
  <c r="GS21" i="2" s="1"/>
  <c r="GT21" i="2" s="1"/>
  <c r="GU21" i="2" s="1"/>
  <c r="GV21" i="2" s="1"/>
  <c r="GW21" i="2" s="1"/>
  <c r="GX21" i="2" s="1"/>
  <c r="GY21" i="2" s="1"/>
  <c r="GZ21" i="2" s="1"/>
  <c r="HA21" i="2" s="1"/>
  <c r="HB21" i="2" s="1"/>
  <c r="HC21" i="2" s="1"/>
  <c r="HD21" i="2" s="1"/>
  <c r="HE21" i="2" s="1"/>
  <c r="HF21" i="2" s="1"/>
  <c r="HG21" i="2" s="1"/>
  <c r="HH21" i="2" s="1"/>
  <c r="HI21" i="2" s="1"/>
  <c r="HJ21" i="2" s="1"/>
  <c r="HK21" i="2" s="1"/>
  <c r="HL21" i="2" s="1"/>
  <c r="HM21" i="2" s="1"/>
  <c r="HN21" i="2" s="1"/>
  <c r="HO21" i="2" s="1"/>
  <c r="HP21" i="2" s="1"/>
  <c r="HQ21" i="2" s="1"/>
  <c r="HR21" i="2" s="1"/>
  <c r="HS21" i="2" s="1"/>
  <c r="HT21" i="2" s="1"/>
  <c r="HU21" i="2" s="1"/>
  <c r="HV21" i="2" s="1"/>
  <c r="HW21" i="2" s="1"/>
  <c r="HX21" i="2" s="1"/>
  <c r="HY21" i="2" s="1"/>
  <c r="HZ21" i="2" s="1"/>
  <c r="IA21" i="2" s="1"/>
  <c r="IB21" i="2" s="1"/>
  <c r="IC21" i="2" s="1"/>
  <c r="ID21" i="2" s="1"/>
  <c r="IE21" i="2" s="1"/>
  <c r="IF21" i="2" s="1"/>
  <c r="IG21" i="2" s="1"/>
  <c r="IH21" i="2" s="1"/>
  <c r="II21" i="2" s="1"/>
  <c r="IJ21" i="2" s="1"/>
  <c r="IK21" i="2" s="1"/>
  <c r="IL21" i="2" s="1"/>
  <c r="IM21" i="2" s="1"/>
  <c r="IN21" i="2" s="1"/>
  <c r="IO21" i="2" s="1"/>
  <c r="IP21" i="2" s="1"/>
  <c r="IQ21" i="2" s="1"/>
  <c r="IR21" i="2" s="1"/>
  <c r="IS21" i="2" s="1"/>
  <c r="IT21" i="2" s="1"/>
  <c r="IU21" i="2" s="1"/>
  <c r="IV21" i="2" s="1"/>
  <c r="IW21" i="2" s="1"/>
  <c r="IX21" i="2" s="1"/>
  <c r="IY21" i="2" s="1"/>
  <c r="IZ21" i="2" s="1"/>
  <c r="JA21" i="2" s="1"/>
  <c r="JB21" i="2" s="1"/>
  <c r="JC21" i="2" s="1"/>
  <c r="JD21" i="2" s="1"/>
  <c r="JE21" i="2" s="1"/>
  <c r="JF21" i="2" s="1"/>
  <c r="JG21" i="2" s="1"/>
  <c r="JH21" i="2" s="1"/>
  <c r="JI21" i="2" s="1"/>
  <c r="JJ21" i="2" s="1"/>
  <c r="JK21" i="2" s="1"/>
  <c r="JL21" i="2" s="1"/>
  <c r="JM21" i="2" s="1"/>
  <c r="JN21" i="2" s="1"/>
  <c r="JO21" i="2" s="1"/>
  <c r="JP21" i="2" s="1"/>
  <c r="JQ21" i="2" s="1"/>
  <c r="JR21" i="2" s="1"/>
  <c r="JS21" i="2" s="1"/>
  <c r="JT21" i="2" s="1"/>
  <c r="JU21" i="2" s="1"/>
  <c r="JV21" i="2" s="1"/>
  <c r="JW21" i="2" s="1"/>
  <c r="JX21" i="2" s="1"/>
  <c r="JY21" i="2" s="1"/>
  <c r="JZ21" i="2" s="1"/>
  <c r="KA21" i="2" s="1"/>
  <c r="KB21" i="2" s="1"/>
  <c r="KC21" i="2" s="1"/>
  <c r="KD21" i="2" s="1"/>
  <c r="KE21" i="2" s="1"/>
  <c r="KF21" i="2" s="1"/>
  <c r="KG21" i="2" s="1"/>
  <c r="KH21" i="2" s="1"/>
  <c r="KI21" i="2" s="1"/>
  <c r="KJ21" i="2" s="1"/>
  <c r="KK21" i="2" s="1"/>
  <c r="KL21" i="2" s="1"/>
  <c r="KM21" i="2" s="1"/>
  <c r="KN21" i="2" s="1"/>
  <c r="KO21" i="2" s="1"/>
  <c r="KP21" i="2" s="1"/>
  <c r="KQ21" i="2" s="1"/>
  <c r="KR21" i="2" s="1"/>
  <c r="KS21" i="2" s="1"/>
  <c r="KT21" i="2" s="1"/>
  <c r="KU21" i="2" s="1"/>
  <c r="KV21" i="2" s="1"/>
  <c r="KW21" i="2" s="1"/>
  <c r="KX21" i="2" s="1"/>
  <c r="KY21" i="2" s="1"/>
  <c r="KZ21" i="2" s="1"/>
  <c r="LA21" i="2" s="1"/>
  <c r="LB21" i="2" s="1"/>
  <c r="LC21" i="2" s="1"/>
  <c r="LD21" i="2" s="1"/>
  <c r="LE21" i="2" s="1"/>
  <c r="LF21" i="2" s="1"/>
  <c r="LG21" i="2" s="1"/>
  <c r="LH21" i="2" s="1"/>
  <c r="LI21" i="2" s="1"/>
  <c r="LJ21" i="2" s="1"/>
  <c r="LK21" i="2" s="1"/>
  <c r="LL21" i="2" s="1"/>
  <c r="LM21" i="2" s="1"/>
  <c r="LN21" i="2" s="1"/>
  <c r="LO21" i="2" s="1"/>
  <c r="LP21" i="2" s="1"/>
  <c r="LQ21" i="2" s="1"/>
  <c r="LR21" i="2" s="1"/>
  <c r="LS21" i="2" s="1"/>
  <c r="LT21" i="2" s="1"/>
  <c r="LU21" i="2" s="1"/>
  <c r="LV21" i="2" s="1"/>
  <c r="LW21" i="2" s="1"/>
  <c r="LX21" i="2" s="1"/>
  <c r="LY21" i="2" s="1"/>
  <c r="LZ21" i="2" s="1"/>
  <c r="MA21" i="2" s="1"/>
  <c r="MB21" i="2" s="1"/>
  <c r="MC21" i="2" s="1"/>
  <c r="MD21" i="2" s="1"/>
  <c r="ME21" i="2" s="1"/>
  <c r="MF21" i="2" s="1"/>
  <c r="MG21" i="2" s="1"/>
  <c r="MH21" i="2" s="1"/>
  <c r="MI21" i="2" s="1"/>
  <c r="MJ21" i="2" s="1"/>
  <c r="MK21" i="2" s="1"/>
  <c r="ML21" i="2" s="1"/>
  <c r="MM21" i="2" s="1"/>
  <c r="MN21" i="2" s="1"/>
  <c r="MO21" i="2" s="1"/>
  <c r="MP21" i="2" s="1"/>
  <c r="MQ21" i="2" s="1"/>
  <c r="MR21" i="2" s="1"/>
  <c r="MS21" i="2" s="1"/>
  <c r="MT21" i="2" s="1"/>
  <c r="MU21" i="2" s="1"/>
  <c r="MV21" i="2" s="1"/>
  <c r="MW21" i="2" s="1"/>
  <c r="MX21" i="2" s="1"/>
  <c r="MY21" i="2" s="1"/>
  <c r="MZ21" i="2" s="1"/>
  <c r="NA21" i="2" s="1"/>
  <c r="NB21" i="2" s="1"/>
  <c r="NC21" i="2" s="1"/>
  <c r="ND21" i="2" s="1"/>
  <c r="NE21" i="2" s="1"/>
  <c r="NF21" i="2" s="1"/>
  <c r="NG21" i="2" s="1"/>
  <c r="NH21" i="2" s="1"/>
  <c r="NI21" i="2" s="1"/>
  <c r="NJ21" i="2" s="1"/>
  <c r="AR36" i="2" s="1"/>
  <c r="AR37" i="2" s="1"/>
  <c r="AN31" i="2"/>
  <c r="AL28" i="2"/>
  <c r="AM27" i="2"/>
  <c r="AH29" i="2"/>
  <c r="AN27" i="2" l="1"/>
  <c r="AM28" i="2"/>
  <c r="AH33" i="2" l="1"/>
  <c r="AH30" i="2"/>
  <c r="AN28" i="2"/>
  <c r="AI29" i="2" l="1"/>
  <c r="AI33" i="2" l="1"/>
  <c r="AI30" i="2"/>
  <c r="AJ29" i="2"/>
  <c r="AJ33" i="2" l="1"/>
  <c r="AJ30" i="2"/>
  <c r="AK29" i="2" l="1"/>
  <c r="AK33" i="2" l="1"/>
  <c r="AK30" i="2"/>
  <c r="AL29" i="2"/>
  <c r="AL33" i="2" l="1"/>
  <c r="AL30" i="2"/>
  <c r="AM29" i="2"/>
  <c r="AM33" i="2" l="1"/>
  <c r="AM30" i="2"/>
  <c r="AN29" i="2"/>
  <c r="AN30" i="2" l="1"/>
  <c r="AN33" i="2" l="1"/>
</calcChain>
</file>

<file path=xl/sharedStrings.xml><?xml version="1.0" encoding="utf-8"?>
<sst xmlns="http://schemas.openxmlformats.org/spreadsheetml/2006/main" count="74" uniqueCount="68">
  <si>
    <t>Model</t>
  </si>
  <si>
    <t>Price</t>
  </si>
  <si>
    <t>Shares</t>
  </si>
  <si>
    <t>Segment</t>
  </si>
  <si>
    <t>MC</t>
  </si>
  <si>
    <t>Cash</t>
  </si>
  <si>
    <t>Data Center</t>
  </si>
  <si>
    <t>Server CPUs GPUs, DPUs, Field Programmable Gate Arrays, Adaptive System on Chip for DC</t>
  </si>
  <si>
    <t>Debt</t>
  </si>
  <si>
    <t>Client</t>
  </si>
  <si>
    <t>CPUS, APUs</t>
  </si>
  <si>
    <t>EV</t>
  </si>
  <si>
    <t>Gaming</t>
  </si>
  <si>
    <t>GPUs, semi-custom SoC products</t>
  </si>
  <si>
    <t>Embedded</t>
  </si>
  <si>
    <t>Embedded CPUs and GPUs</t>
  </si>
  <si>
    <t>Main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</si>
  <si>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</si>
  <si>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</si>
  <si>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</si>
  <si>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</si>
  <si>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</si>
  <si>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</si>
  <si>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</si>
  <si>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</si>
  <si>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</si>
  <si>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</si>
  <si>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</si>
  <si>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</si>
  <si>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</si>
  <si>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</si>
  <si>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</si>
  <si>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</si>
  <si>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</si>
  <si>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Revenue</t>
  </si>
  <si>
    <t>COGS</t>
  </si>
  <si>
    <t>Gross Profit</t>
  </si>
  <si>
    <t>R&amp;D</t>
  </si>
  <si>
    <t>MG&amp;A</t>
  </si>
  <si>
    <t>Goodwill</t>
  </si>
  <si>
    <t>Licensing</t>
  </si>
  <si>
    <t>Operating Expense</t>
  </si>
  <si>
    <t>Operating Income</t>
  </si>
  <si>
    <t>Interest</t>
  </si>
  <si>
    <t>Other Income</t>
  </si>
  <si>
    <t>Pre Tax Income</t>
  </si>
  <si>
    <t>Taxes</t>
  </si>
  <si>
    <t>Investments</t>
  </si>
  <si>
    <t>Net Income</t>
  </si>
  <si>
    <t>EPS</t>
  </si>
  <si>
    <t>Rev y/y</t>
  </si>
  <si>
    <t xml:space="preserve">Gross Margin </t>
  </si>
  <si>
    <t xml:space="preserve">Tax Rate </t>
  </si>
  <si>
    <t>Operating Margin</t>
  </si>
  <si>
    <t>Maturity</t>
  </si>
  <si>
    <t>Discount</t>
  </si>
  <si>
    <t>NPV</t>
  </si>
  <si>
    <t>Q223</t>
  </si>
  <si>
    <t>Q323</t>
  </si>
  <si>
    <t>Profit Margin</t>
  </si>
  <si>
    <t>Q423</t>
  </si>
  <si>
    <t xml:space="preserve"> </t>
  </si>
  <si>
    <t>Share Est</t>
  </si>
  <si>
    <t>TESTING GIT</t>
  </si>
  <si>
    <t>Q124</t>
  </si>
  <si>
    <t>Q224</t>
  </si>
  <si>
    <t>Q324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</si>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</sst>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1"/>
    <xf numFmtId="1" fontId="0" fillId="0" borderId="0" xfId="0" applyNumberForma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4" fontId="0" fillId="0" borderId="0" xfId="0" applyNumberFormat="1"/>
    <xf numFmtId="9" fontId="0" fillId="0" borderId="0" xfId="0" applyNumberFormat="1"/>
    <xf numFmtId="2" fontId="0" fillId="0" borderId="0" xfId="0" applyNumberFormat="1"/>
    <xf numFmtId="3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19050</xdr:colOff>
      <xdr:row>0</xdr:row>
      <xdr:rowOff>0</xdr:rowOff>
    </xdr:from>
    <xdr:to>
      <xdr:col>33</xdr:col>
      <xdr:colOff>19050</xdr:colOff>
      <xdr:row>39</xdr:row>
      <xdr:rowOff>114300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8ACC8FA2-0728-8EF6-57FD-A4F23968B7A3}"/>
            </a:ext>
          </a:extLst>
        </xdr:cNvPr>
        <xdr:cNvCxnSpPr/>
      </xdr:nvCxnSpPr>
      <xdr:spPr>
        <a:xfrm>
          <a:off x="24326850" y="0"/>
          <a:ext cx="0" cy="80391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12700</xdr:colOff>
      <xdr:row>0</xdr:row>
      <xdr:rowOff>0</xdr:rowOff>
    </xdr:from>
    <xdr:to>
      <xdr:col>22</xdr:col>
      <xdr:colOff>12700</xdr:colOff>
      <xdr:row>39</xdr:row>
      <xdr:rowOff>114300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96338826-BC70-4108-BC28-C022609ECB17}"/>
            </a:ext>
          </a:extLst>
        </xdr:cNvPr>
        <xdr:cNvCxnSpPr/>
      </xdr:nvCxnSpPr>
      <xdr:spPr>
        <a:xfrm>
          <a:off x="18453100" y="0"/>
          <a:ext cx="0" cy="80391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2974A-74B6-1344-B9D6-82D7C031A22B}">
  <dimension ref="A1:K9"/>
  <sheetViews>
    <sheetView workbookViewId="0">
      <selection activeCell="C9" sqref="C9"/>
    </sheetView>
  </sheetViews>
  <sheetFormatPr baseColWidth="10" defaultColWidth="11" defaultRowHeight="16" x14ac:dyDescent="0.2"/>
  <cols>
    <col min="1" max="1" width="6.33203125" bestFit="1" customWidth="1"/>
  </cols>
  <sheetData>
    <row r="1" spans="1:11" x14ac:dyDescent="0.2">
      <c r="A1" s="1" t="s">
        <v>0</v>
      </c>
    </row>
    <row r="2" spans="1:11" x14ac:dyDescent="0.2">
      <c r="J2" t="s">
        <v>1</v>
      </c>
      <c r="K2">
        <v>72</v>
      </c>
    </row>
    <row r="3" spans="1:11" x14ac:dyDescent="0.2">
      <c r="J3" t="s">
        <v>2</v>
      </c>
      <c r="K3" s="3">
        <v>1612</v>
      </c>
    </row>
    <row r="4" spans="1:11" x14ac:dyDescent="0.2">
      <c r="B4" s="4" t="s">
        <v>3</v>
      </c>
      <c r="J4" t="s">
        <v>4</v>
      </c>
      <c r="K4" s="3">
        <f>K2*K3</f>
        <v>116064</v>
      </c>
    </row>
    <row r="5" spans="1:11" x14ac:dyDescent="0.2">
      <c r="J5" t="s">
        <v>5</v>
      </c>
      <c r="K5" s="3">
        <f>3398+2193</f>
        <v>5591</v>
      </c>
    </row>
    <row r="6" spans="1:11" x14ac:dyDescent="0.2">
      <c r="B6" t="s">
        <v>6</v>
      </c>
      <c r="C6" t="s">
        <v>7</v>
      </c>
      <c r="J6" t="s">
        <v>8</v>
      </c>
      <c r="K6" s="3">
        <f>2466</f>
        <v>2466</v>
      </c>
    </row>
    <row r="7" spans="1:11" x14ac:dyDescent="0.2">
      <c r="B7" t="s">
        <v>9</v>
      </c>
      <c r="C7" t="s">
        <v>10</v>
      </c>
      <c r="J7" t="s">
        <v>11</v>
      </c>
      <c r="K7" s="3">
        <f>K4-K5+K6</f>
        <v>112939</v>
      </c>
    </row>
    <row r="8" spans="1:11" x14ac:dyDescent="0.2">
      <c r="B8" t="s">
        <v>12</v>
      </c>
      <c r="C8" t="s">
        <v>13</v>
      </c>
    </row>
    <row r="9" spans="1:11" x14ac:dyDescent="0.2">
      <c r="B9" t="s">
        <v>14</v>
      </c>
      <c r="C9" t="s">
        <v>15</v>
      </c>
    </row>
  </sheetData>
  <hyperlinks>
    <hyperlink ref="A1" location="Model!A1" display="Model" xr:uid="{3035BB33-7129-6548-BD93-BEA372D6DBE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8C6EA-50B3-0044-B739-48369242993C}">
  <dimension ref="A1:NJ39"/>
  <sheetViews>
    <sheetView tabSelected="1" workbookViewId="0">
      <pane xSplit="2" ySplit="1" topLeftCell="T2" activePane="bottomRight" state="frozen"/>
      <selection pane="topRight" activeCell="C1" sqref="C1"/>
      <selection pane="bottomLeft" activeCell="A2" sqref="A2"/>
      <selection pane="bottomRight" activeCell="AB40" sqref="AB40"/>
    </sheetView>
  </sheetViews>
  <sheetFormatPr baseColWidth="10" defaultColWidth="11" defaultRowHeight="16" x14ac:dyDescent="0.2"/>
  <cols>
    <col min="1" max="1" width="5.33203125" bestFit="1" customWidth="1"/>
    <col min="2" max="2" width="16.6640625" bestFit="1" customWidth="1"/>
    <col min="44" max="44" width="11.5" bestFit="1" customWidth="1"/>
  </cols>
  <sheetData>
    <row r="1" spans="1:40" x14ac:dyDescent="0.2">
      <c r="A1" s="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57</v>
      </c>
      <c r="U1" t="s">
        <v>58</v>
      </c>
      <c r="V1" t="s">
        <v>60</v>
      </c>
      <c r="W1" t="s">
        <v>64</v>
      </c>
      <c r="X1" t="s">
        <v>65</v>
      </c>
      <c r="Y1" t="s">
        <v>66</v>
      </c>
      <c r="Z1" t="s">
        <v>67</v>
      </c>
      <c r="AC1">
        <v>2019</v>
      </c>
      <c r="AD1">
        <v>2020</v>
      </c>
      <c r="AE1">
        <v>2021</v>
      </c>
      <c r="AF1">
        <v>2022</v>
      </c>
      <c r="AG1">
        <f>AF1+1</f>
        <v>2023</v>
      </c>
      <c r="AH1">
        <f t="shared" ref="AH1:AN1" si="0">AG1+1</f>
        <v>2024</v>
      </c>
      <c r="AI1">
        <f t="shared" si="0"/>
        <v>2025</v>
      </c>
      <c r="AJ1">
        <f t="shared" si="0"/>
        <v>2026</v>
      </c>
      <c r="AK1">
        <f t="shared" si="0"/>
        <v>2027</v>
      </c>
      <c r="AL1">
        <f t="shared" si="0"/>
        <v>2028</v>
      </c>
      <c r="AM1">
        <f t="shared" si="0"/>
        <v>2029</v>
      </c>
      <c r="AN1">
        <f t="shared" si="0"/>
        <v>2030</v>
      </c>
    </row>
    <row r="2" spans="1:40" x14ac:dyDescent="0.2">
      <c r="A2" s="1"/>
      <c r="B2" t="s">
        <v>6</v>
      </c>
      <c r="L2" s="3">
        <v>813</v>
      </c>
      <c r="M2" s="3">
        <v>1108</v>
      </c>
      <c r="N2" s="3">
        <v>1163</v>
      </c>
      <c r="O2" s="3">
        <v>1293</v>
      </c>
      <c r="P2" s="3">
        <v>1486</v>
      </c>
      <c r="Q2" s="3">
        <v>1609</v>
      </c>
      <c r="R2">
        <v>1655</v>
      </c>
      <c r="S2" s="3">
        <v>1295</v>
      </c>
      <c r="T2" s="3">
        <v>1321</v>
      </c>
      <c r="U2" s="3">
        <v>1598</v>
      </c>
      <c r="V2" s="3">
        <v>2282</v>
      </c>
      <c r="W2" s="3">
        <v>2282</v>
      </c>
      <c r="X2" s="3">
        <f>W2*1.1</f>
        <v>2510.2000000000003</v>
      </c>
      <c r="Y2" s="3">
        <f t="shared" ref="Y2:Z2" si="1">X2*1.2</f>
        <v>3012.2400000000002</v>
      </c>
      <c r="Z2" s="3">
        <f t="shared" si="1"/>
        <v>3614.6880000000001</v>
      </c>
    </row>
    <row r="3" spans="1:40" x14ac:dyDescent="0.2">
      <c r="A3" s="1"/>
      <c r="B3" t="s">
        <v>9</v>
      </c>
      <c r="L3" s="3">
        <v>1728</v>
      </c>
      <c r="M3" s="3">
        <v>1692</v>
      </c>
      <c r="N3" s="3">
        <v>1829</v>
      </c>
      <c r="P3" s="3">
        <v>2152</v>
      </c>
      <c r="Q3" s="3">
        <v>1022</v>
      </c>
      <c r="R3">
        <v>903</v>
      </c>
      <c r="S3" s="3">
        <v>739</v>
      </c>
      <c r="T3" s="3">
        <v>998</v>
      </c>
      <c r="U3" s="3">
        <v>1453</v>
      </c>
      <c r="V3" s="3">
        <v>1461</v>
      </c>
      <c r="W3" s="3">
        <f>V3*0.85</f>
        <v>1241.8499999999999</v>
      </c>
      <c r="X3" s="3">
        <f>W3*1</f>
        <v>1241.8499999999999</v>
      </c>
      <c r="Y3" s="3">
        <f>X3*1.05</f>
        <v>1303.9424999999999</v>
      </c>
      <c r="Z3" s="3">
        <f>Y3*1.05</f>
        <v>1369.139625</v>
      </c>
      <c r="AA3" s="3"/>
      <c r="AB3" s="3"/>
    </row>
    <row r="4" spans="1:40" x14ac:dyDescent="0.2">
      <c r="A4" s="1"/>
      <c r="B4" t="s">
        <v>12</v>
      </c>
      <c r="L4" s="3">
        <v>1255</v>
      </c>
      <c r="M4" s="3">
        <v>1434</v>
      </c>
      <c r="N4" s="3">
        <v>1763</v>
      </c>
      <c r="P4" s="3">
        <v>1655</v>
      </c>
      <c r="Q4" s="3">
        <v>1631</v>
      </c>
      <c r="R4">
        <v>1644</v>
      </c>
      <c r="S4" s="3">
        <v>1757</v>
      </c>
      <c r="T4" s="3">
        <v>1581</v>
      </c>
      <c r="U4" s="3">
        <v>1506</v>
      </c>
      <c r="V4" s="3">
        <v>1368</v>
      </c>
      <c r="W4" s="3">
        <f>V4*0.7</f>
        <v>957.59999999999991</v>
      </c>
      <c r="X4" s="2">
        <f>W4*1.1</f>
        <v>1053.3599999999999</v>
      </c>
      <c r="Y4" s="2">
        <f t="shared" ref="Y4:Z4" si="2">X4*1.1</f>
        <v>1158.6959999999999</v>
      </c>
      <c r="Z4" s="2">
        <f t="shared" si="2"/>
        <v>1274.5655999999999</v>
      </c>
    </row>
    <row r="5" spans="1:40" x14ac:dyDescent="0.2">
      <c r="A5" s="1"/>
      <c r="B5" t="s">
        <v>14</v>
      </c>
      <c r="L5" s="3">
        <v>54</v>
      </c>
      <c r="M5" s="3">
        <v>79</v>
      </c>
      <c r="N5" s="3">
        <v>71</v>
      </c>
      <c r="P5" s="3">
        <v>1257</v>
      </c>
      <c r="Q5" s="3">
        <v>1303</v>
      </c>
      <c r="R5">
        <v>1397</v>
      </c>
      <c r="S5" s="3">
        <v>1562</v>
      </c>
      <c r="T5" s="3">
        <v>1459</v>
      </c>
      <c r="U5" s="3">
        <v>1243</v>
      </c>
      <c r="V5" s="3">
        <v>1057</v>
      </c>
      <c r="W5" s="3">
        <f>V5*0.86</f>
        <v>909.02</v>
      </c>
      <c r="X5" s="3">
        <f>W5*1</f>
        <v>909.02</v>
      </c>
      <c r="Y5" s="3">
        <f>X5*1.05</f>
        <v>954.471</v>
      </c>
      <c r="Z5" s="3">
        <f t="shared" ref="Z5" si="3">Y5*1.05</f>
        <v>1002.19455</v>
      </c>
    </row>
    <row r="6" spans="1:40" x14ac:dyDescent="0.2">
      <c r="A6" s="1"/>
      <c r="L6" s="3"/>
      <c r="M6" s="3"/>
      <c r="N6" s="3"/>
      <c r="P6" s="3"/>
      <c r="Q6" s="3"/>
      <c r="S6" s="3"/>
      <c r="U6" t="s">
        <v>61</v>
      </c>
    </row>
    <row r="7" spans="1:40" x14ac:dyDescent="0.2">
      <c r="B7" t="s">
        <v>34</v>
      </c>
      <c r="C7" s="3">
        <v>1272</v>
      </c>
      <c r="D7" s="3">
        <v>1531</v>
      </c>
      <c r="E7" s="3">
        <v>1801</v>
      </c>
      <c r="F7" s="3">
        <f>6731-E7-D7-C7</f>
        <v>2127</v>
      </c>
      <c r="G7" s="3">
        <v>1786</v>
      </c>
      <c r="H7" s="3">
        <v>1932</v>
      </c>
      <c r="I7" s="3">
        <v>2801</v>
      </c>
      <c r="J7" s="3">
        <f>9763-I7-H7-G7</f>
        <v>3244</v>
      </c>
      <c r="K7" s="3">
        <v>3445</v>
      </c>
      <c r="L7" s="3">
        <f>SUM(L2:L5)</f>
        <v>3850</v>
      </c>
      <c r="M7" s="3">
        <f>SUM(M2:M5)</f>
        <v>4313</v>
      </c>
      <c r="N7" s="3">
        <f>SUM(N2:N5)</f>
        <v>4826</v>
      </c>
      <c r="O7" s="3">
        <v>5887</v>
      </c>
      <c r="P7" s="3">
        <f>SUM(P2:P5)</f>
        <v>6550</v>
      </c>
      <c r="Q7" s="3">
        <f>SUM(Q2:Q5)</f>
        <v>5565</v>
      </c>
      <c r="R7" s="3">
        <f>SUM(R2:R5)</f>
        <v>5599</v>
      </c>
      <c r="S7" s="3">
        <f>SUM(S2:S5)</f>
        <v>5353</v>
      </c>
      <c r="T7" s="3">
        <f t="shared" ref="T7:V7" si="4">SUM(T2:T5)</f>
        <v>5359</v>
      </c>
      <c r="U7" s="3">
        <f t="shared" si="4"/>
        <v>5800</v>
      </c>
      <c r="V7" s="3">
        <f t="shared" si="4"/>
        <v>6168</v>
      </c>
      <c r="W7" s="3">
        <f>SUM(W2:W5)</f>
        <v>5390.4699999999993</v>
      </c>
      <c r="X7" s="3">
        <f t="shared" ref="X7:Z7" si="5">SUM(X2:X5)</f>
        <v>5714.43</v>
      </c>
      <c r="Y7" s="3">
        <f t="shared" si="5"/>
        <v>6429.3495000000003</v>
      </c>
      <c r="Z7" s="3">
        <f t="shared" si="5"/>
        <v>7260.587775</v>
      </c>
      <c r="AA7" s="3"/>
      <c r="AC7" s="3">
        <f>SUM(C7:F7)</f>
        <v>6731</v>
      </c>
      <c r="AD7" s="3">
        <f>SUM(G7:J7)</f>
        <v>9763</v>
      </c>
      <c r="AE7" s="3">
        <f>SUM(K7:N7)</f>
        <v>16434</v>
      </c>
      <c r="AF7" s="3">
        <f>SUM(O7:R7)</f>
        <v>23601</v>
      </c>
      <c r="AG7" s="3">
        <f>SUM(S7:V7)</f>
        <v>22680</v>
      </c>
      <c r="AH7" s="3">
        <f>SUM(W7:Z7)</f>
        <v>24794.837274999998</v>
      </c>
      <c r="AI7" s="3">
        <f>AH7*1.15</f>
        <v>28514.062866249995</v>
      </c>
      <c r="AJ7" s="3">
        <f>AI7*1.2</f>
        <v>34216.875439499992</v>
      </c>
      <c r="AK7" s="3">
        <f t="shared" ref="AK7:AN7" si="6">AJ7*1.2</f>
        <v>41060.250527399992</v>
      </c>
      <c r="AL7" s="3">
        <f t="shared" si="6"/>
        <v>49272.300632879989</v>
      </c>
      <c r="AM7" s="3">
        <f t="shared" si="6"/>
        <v>59126.760759455981</v>
      </c>
      <c r="AN7" s="3">
        <f t="shared" si="6"/>
        <v>70952.112911347169</v>
      </c>
    </row>
    <row r="8" spans="1:40" x14ac:dyDescent="0.2">
      <c r="B8" t="s">
        <v>35</v>
      </c>
      <c r="C8" s="3">
        <v>751</v>
      </c>
      <c r="D8" s="3">
        <v>910</v>
      </c>
      <c r="E8" s="3">
        <v>1024</v>
      </c>
      <c r="F8" s="3">
        <f>3863-E8-D8-C8</f>
        <v>1178</v>
      </c>
      <c r="G8" s="3">
        <v>968</v>
      </c>
      <c r="H8" s="3">
        <v>1084</v>
      </c>
      <c r="I8" s="3">
        <v>1571</v>
      </c>
      <c r="J8" s="3">
        <f>5416-I8-H8-G8</f>
        <v>1793</v>
      </c>
      <c r="K8" s="3">
        <v>1858</v>
      </c>
      <c r="L8" s="3">
        <v>2020</v>
      </c>
      <c r="M8" s="3">
        <v>2227</v>
      </c>
      <c r="N8" s="3">
        <f>8505-M8-L8-K8</f>
        <v>2400</v>
      </c>
      <c r="O8" s="3">
        <v>2883</v>
      </c>
      <c r="P8" s="3">
        <v>3115</v>
      </c>
      <c r="Q8" s="3">
        <v>2799</v>
      </c>
      <c r="R8" s="3">
        <v>2753</v>
      </c>
      <c r="S8" s="3">
        <v>2689</v>
      </c>
      <c r="T8" s="3">
        <v>2704</v>
      </c>
      <c r="U8" s="3">
        <v>2843</v>
      </c>
      <c r="V8" s="3">
        <v>3042</v>
      </c>
      <c r="W8" s="3">
        <f>W7*0.49</f>
        <v>2641.3302999999996</v>
      </c>
      <c r="X8" s="3">
        <f t="shared" ref="X8:Z8" si="7">X7*0.49</f>
        <v>2800.0707000000002</v>
      </c>
      <c r="Y8" s="3">
        <f t="shared" si="7"/>
        <v>3150.3812550000002</v>
      </c>
      <c r="Z8" s="3">
        <f t="shared" si="7"/>
        <v>3557.6880097499998</v>
      </c>
      <c r="AC8" s="3">
        <f>SUM(C8:F8)</f>
        <v>3863</v>
      </c>
      <c r="AD8" s="3">
        <f>SUM(G8:J8)</f>
        <v>5416</v>
      </c>
      <c r="AE8" s="3">
        <f>SUM(K8:N8)</f>
        <v>8505</v>
      </c>
      <c r="AF8" s="3">
        <f>SUM(O8:R8)</f>
        <v>11550</v>
      </c>
      <c r="AG8" s="3">
        <f>SUM(S8:V8)</f>
        <v>11278</v>
      </c>
      <c r="AH8" s="3">
        <f>SUM(W8:Z8)</f>
        <v>12149.47026475</v>
      </c>
      <c r="AI8" s="3"/>
      <c r="AJ8" s="3"/>
      <c r="AK8" s="3"/>
      <c r="AL8" s="3"/>
      <c r="AM8" s="3"/>
      <c r="AN8" s="3"/>
    </row>
    <row r="9" spans="1:40" s="4" customFormat="1" x14ac:dyDescent="0.2">
      <c r="B9" s="4" t="s">
        <v>36</v>
      </c>
      <c r="C9" s="5">
        <f t="shared" ref="C9:Q9" si="8">C7-C8</f>
        <v>521</v>
      </c>
      <c r="D9" s="5">
        <f t="shared" si="8"/>
        <v>621</v>
      </c>
      <c r="E9" s="5">
        <f t="shared" si="8"/>
        <v>777</v>
      </c>
      <c r="F9" s="5">
        <f t="shared" si="8"/>
        <v>949</v>
      </c>
      <c r="G9" s="5">
        <f t="shared" si="8"/>
        <v>818</v>
      </c>
      <c r="H9" s="5">
        <f t="shared" si="8"/>
        <v>848</v>
      </c>
      <c r="I9" s="5">
        <f t="shared" si="8"/>
        <v>1230</v>
      </c>
      <c r="J9" s="5">
        <f t="shared" si="8"/>
        <v>1451</v>
      </c>
      <c r="K9" s="5">
        <f t="shared" si="8"/>
        <v>1587</v>
      </c>
      <c r="L9" s="5">
        <f t="shared" si="8"/>
        <v>1830</v>
      </c>
      <c r="M9" s="5">
        <f t="shared" si="8"/>
        <v>2086</v>
      </c>
      <c r="N9" s="5">
        <f t="shared" si="8"/>
        <v>2426</v>
      </c>
      <c r="O9" s="5">
        <f t="shared" si="8"/>
        <v>3004</v>
      </c>
      <c r="P9" s="5">
        <f t="shared" si="8"/>
        <v>3435</v>
      </c>
      <c r="Q9" s="5">
        <f t="shared" si="8"/>
        <v>2766</v>
      </c>
      <c r="R9" s="5">
        <f>R7-R8</f>
        <v>2846</v>
      </c>
      <c r="S9" s="5">
        <f>S7-S8</f>
        <v>2664</v>
      </c>
      <c r="T9" s="5">
        <f>T7-T8</f>
        <v>2655</v>
      </c>
      <c r="U9" s="5">
        <f>U7-U8</f>
        <v>2957</v>
      </c>
      <c r="V9" s="5">
        <f>V7-V8</f>
        <v>3126</v>
      </c>
      <c r="W9" s="5">
        <f>W7-W8</f>
        <v>2749.1396999999997</v>
      </c>
      <c r="X9" s="5">
        <f t="shared" ref="X9:Z9" si="9">X7-X8</f>
        <v>2914.3593000000001</v>
      </c>
      <c r="Y9" s="5">
        <f t="shared" si="9"/>
        <v>3278.968245</v>
      </c>
      <c r="Z9" s="5">
        <f t="shared" si="9"/>
        <v>3702.8997652500002</v>
      </c>
      <c r="AC9" s="5">
        <f>AC7-AC8</f>
        <v>2868</v>
      </c>
      <c r="AD9" s="5">
        <f>AD7-AD8</f>
        <v>4347</v>
      </c>
      <c r="AE9" s="5">
        <f>AE7-AE8</f>
        <v>7929</v>
      </c>
      <c r="AF9" s="5">
        <f>AF7-AF8</f>
        <v>12051</v>
      </c>
      <c r="AG9" s="5">
        <f>AG7-AG8</f>
        <v>11402</v>
      </c>
      <c r="AH9" s="5">
        <f>AH7-AH8</f>
        <v>12645.367010249998</v>
      </c>
      <c r="AI9" s="5">
        <f t="shared" ref="AI9:AN9" si="10">AI7*0.5</f>
        <v>14257.031433124997</v>
      </c>
      <c r="AJ9" s="5">
        <f t="shared" si="10"/>
        <v>17108.437719749996</v>
      </c>
      <c r="AK9" s="5">
        <f t="shared" si="10"/>
        <v>20530.125263699996</v>
      </c>
      <c r="AL9" s="5">
        <f t="shared" si="10"/>
        <v>24636.150316439995</v>
      </c>
      <c r="AM9" s="5">
        <f t="shared" si="10"/>
        <v>29563.380379727991</v>
      </c>
      <c r="AN9" s="5">
        <f t="shared" si="10"/>
        <v>35476.056455673584</v>
      </c>
    </row>
    <row r="10" spans="1:40" x14ac:dyDescent="0.2">
      <c r="B10" t="s">
        <v>37</v>
      </c>
      <c r="C10" s="3">
        <v>373</v>
      </c>
      <c r="D10" s="3">
        <v>373</v>
      </c>
      <c r="E10" s="3">
        <v>406</v>
      </c>
      <c r="F10" s="3">
        <f>1547-E10-D10-C10</f>
        <v>395</v>
      </c>
      <c r="G10" s="3">
        <v>442</v>
      </c>
      <c r="H10" s="3">
        <v>460</v>
      </c>
      <c r="I10" s="3">
        <v>508</v>
      </c>
      <c r="J10" s="3">
        <f>1983-I10-H10-G10</f>
        <v>573</v>
      </c>
      <c r="K10" s="3">
        <v>610</v>
      </c>
      <c r="L10" s="3">
        <v>659</v>
      </c>
      <c r="M10" s="3">
        <v>765</v>
      </c>
      <c r="N10" s="3">
        <f>2845-M10-L10-K10</f>
        <v>811</v>
      </c>
      <c r="O10" s="3">
        <v>1060</v>
      </c>
      <c r="P10" s="3">
        <v>1300</v>
      </c>
      <c r="Q10" s="3">
        <v>1279</v>
      </c>
      <c r="R10" s="3">
        <v>1366</v>
      </c>
      <c r="S10" s="3">
        <v>1411</v>
      </c>
      <c r="T10" s="3">
        <v>1443</v>
      </c>
      <c r="U10" s="3">
        <v>1507</v>
      </c>
      <c r="V10" s="3">
        <v>1511</v>
      </c>
      <c r="W10" s="3">
        <v>1511</v>
      </c>
      <c r="X10" s="3">
        <v>1511</v>
      </c>
      <c r="Y10" s="3">
        <v>1511</v>
      </c>
      <c r="Z10" s="3">
        <v>1511</v>
      </c>
      <c r="AC10" s="3">
        <f>SUM(C10:F10)</f>
        <v>1547</v>
      </c>
      <c r="AD10" s="3">
        <f>SUM(G10:J10)</f>
        <v>1983</v>
      </c>
      <c r="AE10" s="3">
        <f>SUM(K10:N10)</f>
        <v>2845</v>
      </c>
      <c r="AF10" s="3">
        <f>SUM(O10:R10)</f>
        <v>5005</v>
      </c>
      <c r="AG10" s="3">
        <f t="shared" ref="AG10:AH13" si="11">SUM(S10:V10)</f>
        <v>5872</v>
      </c>
      <c r="AH10" s="3">
        <f t="shared" ref="AH10:AH13" si="12">SUM(W10:Z10)</f>
        <v>6044</v>
      </c>
      <c r="AI10" s="3">
        <f t="shared" ref="AI10:AN10" si="13">AH10*1.1</f>
        <v>6648.4000000000005</v>
      </c>
      <c r="AJ10" s="3">
        <f t="shared" si="13"/>
        <v>7313.2400000000016</v>
      </c>
      <c r="AK10" s="3">
        <f t="shared" si="13"/>
        <v>8044.5640000000021</v>
      </c>
      <c r="AL10" s="3">
        <f t="shared" si="13"/>
        <v>8849.0204000000031</v>
      </c>
      <c r="AM10" s="3">
        <f t="shared" si="13"/>
        <v>9733.9224400000039</v>
      </c>
      <c r="AN10" s="3">
        <f t="shared" si="13"/>
        <v>10707.314684000004</v>
      </c>
    </row>
    <row r="11" spans="1:40" x14ac:dyDescent="0.2">
      <c r="B11" t="s">
        <v>38</v>
      </c>
      <c r="C11" s="3">
        <v>170</v>
      </c>
      <c r="D11" s="3">
        <v>189</v>
      </c>
      <c r="E11" s="3">
        <v>185</v>
      </c>
      <c r="F11" s="3">
        <f>750-E11-D11-C11</f>
        <v>206</v>
      </c>
      <c r="G11" s="3">
        <v>199</v>
      </c>
      <c r="H11" s="3">
        <v>215</v>
      </c>
      <c r="I11" s="3">
        <v>273</v>
      </c>
      <c r="J11" s="3">
        <f>995-I11-H11-G11</f>
        <v>308</v>
      </c>
      <c r="K11" s="3">
        <v>319</v>
      </c>
      <c r="L11" s="3">
        <v>341</v>
      </c>
      <c r="M11" s="3">
        <v>376</v>
      </c>
      <c r="N11" s="3">
        <f>1448-M11-L11-K11</f>
        <v>412</v>
      </c>
      <c r="O11" s="3">
        <v>597</v>
      </c>
      <c r="P11" s="3">
        <v>592</v>
      </c>
      <c r="Q11" s="3">
        <v>557</v>
      </c>
      <c r="R11" s="3">
        <v>590</v>
      </c>
      <c r="S11" s="3">
        <v>585</v>
      </c>
      <c r="T11" s="3">
        <v>547</v>
      </c>
      <c r="U11" s="3">
        <v>576</v>
      </c>
      <c r="V11" s="3">
        <v>644</v>
      </c>
      <c r="W11" s="3">
        <v>644</v>
      </c>
      <c r="X11" s="3">
        <v>644</v>
      </c>
      <c r="Y11" s="3">
        <v>644</v>
      </c>
      <c r="Z11" s="3">
        <v>644</v>
      </c>
      <c r="AC11" s="3">
        <f>SUM(C11:F11)</f>
        <v>750</v>
      </c>
      <c r="AD11" s="3">
        <f>SUM(G11:J11)</f>
        <v>995</v>
      </c>
      <c r="AE11" s="3">
        <f>SUM(K11:N11)</f>
        <v>1448</v>
      </c>
      <c r="AF11" s="3">
        <f>SUM(O11:R11)</f>
        <v>2336</v>
      </c>
      <c r="AG11" s="3">
        <f t="shared" si="11"/>
        <v>2352</v>
      </c>
      <c r="AH11" s="3">
        <f t="shared" si="12"/>
        <v>2576</v>
      </c>
      <c r="AI11" s="3">
        <f t="shared" ref="AI11:AN11" si="14">AH11*1.05</f>
        <v>2704.8</v>
      </c>
      <c r="AJ11" s="3">
        <f t="shared" si="14"/>
        <v>2840.0400000000004</v>
      </c>
      <c r="AK11" s="3">
        <f t="shared" si="14"/>
        <v>2982.0420000000004</v>
      </c>
      <c r="AL11" s="3">
        <f t="shared" si="14"/>
        <v>3131.1441000000004</v>
      </c>
      <c r="AM11" s="3">
        <f t="shared" si="14"/>
        <v>3287.7013050000005</v>
      </c>
      <c r="AN11" s="3">
        <f t="shared" si="14"/>
        <v>3452.0863702500005</v>
      </c>
    </row>
    <row r="12" spans="1:40" x14ac:dyDescent="0.2">
      <c r="B12" t="s">
        <v>39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>
        <v>0</v>
      </c>
      <c r="K12" s="3">
        <v>0</v>
      </c>
      <c r="L12" s="3">
        <v>0</v>
      </c>
      <c r="M12" s="3">
        <v>0</v>
      </c>
      <c r="N12" s="3">
        <v>0</v>
      </c>
      <c r="O12" s="3">
        <v>293</v>
      </c>
      <c r="P12" s="3">
        <v>616</v>
      </c>
      <c r="Q12" s="3">
        <v>590</v>
      </c>
      <c r="R12" s="3">
        <v>601</v>
      </c>
      <c r="S12" s="3">
        <v>518</v>
      </c>
      <c r="T12" s="3">
        <v>481</v>
      </c>
      <c r="U12" s="3">
        <v>450</v>
      </c>
      <c r="V12" s="3">
        <v>420</v>
      </c>
      <c r="W12" s="3">
        <v>420</v>
      </c>
      <c r="X12" s="3">
        <v>420</v>
      </c>
      <c r="Y12" s="3">
        <v>420</v>
      </c>
      <c r="Z12" s="3">
        <v>420</v>
      </c>
      <c r="AC12" s="3">
        <f>SUM(C12:F12)</f>
        <v>0</v>
      </c>
      <c r="AD12" s="3">
        <f>SUM(G12:J12)</f>
        <v>0</v>
      </c>
      <c r="AE12" s="3">
        <f>SUM(K12:N12)</f>
        <v>0</v>
      </c>
      <c r="AF12" s="3">
        <f>SUM(O12:R12)</f>
        <v>2100</v>
      </c>
      <c r="AG12" s="3">
        <f t="shared" si="11"/>
        <v>1869</v>
      </c>
      <c r="AH12" s="3">
        <f t="shared" si="12"/>
        <v>1680</v>
      </c>
      <c r="AI12" s="3">
        <v>2000</v>
      </c>
      <c r="AJ12" s="3">
        <v>2000</v>
      </c>
      <c r="AK12" s="3">
        <v>2000</v>
      </c>
      <c r="AL12" s="3">
        <v>2000</v>
      </c>
      <c r="AM12" s="3">
        <v>2000</v>
      </c>
      <c r="AN12" s="3">
        <v>2000</v>
      </c>
    </row>
    <row r="13" spans="1:40" x14ac:dyDescent="0.2">
      <c r="B13" t="s">
        <v>40</v>
      </c>
      <c r="C13" s="3">
        <v>-60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>
        <v>0</v>
      </c>
      <c r="K13" s="3">
        <v>-4</v>
      </c>
      <c r="L13" s="3">
        <v>-1</v>
      </c>
      <c r="M13" s="3">
        <v>-3</v>
      </c>
      <c r="N13" s="3">
        <f>-12-M13-L13-K13</f>
        <v>-4</v>
      </c>
      <c r="O13" s="3">
        <v>-83</v>
      </c>
      <c r="P13" s="3">
        <v>-6</v>
      </c>
      <c r="Q13" s="3">
        <v>-8</v>
      </c>
      <c r="R13" s="3">
        <v>-5</v>
      </c>
      <c r="S13" s="3">
        <v>-10</v>
      </c>
      <c r="T13" s="3">
        <v>-8</v>
      </c>
      <c r="U13" s="3">
        <v>-10</v>
      </c>
      <c r="V13" s="3">
        <v>-6</v>
      </c>
      <c r="W13" s="3">
        <v>-6</v>
      </c>
      <c r="X13" s="3">
        <v>-6</v>
      </c>
      <c r="Y13" s="3">
        <v>-6</v>
      </c>
      <c r="Z13" s="3">
        <v>-6</v>
      </c>
      <c r="AC13" s="3">
        <f>SUM(C13:F13)</f>
        <v>-60</v>
      </c>
      <c r="AD13" s="3">
        <f>SUM(G13:J13)</f>
        <v>0</v>
      </c>
      <c r="AE13" s="3">
        <f>SUM(K13:N13)</f>
        <v>-12</v>
      </c>
      <c r="AF13" s="3">
        <f>SUM(O13:R13)</f>
        <v>-102</v>
      </c>
      <c r="AG13" s="3">
        <f t="shared" si="11"/>
        <v>-34</v>
      </c>
      <c r="AH13" s="3">
        <f t="shared" si="12"/>
        <v>-24</v>
      </c>
    </row>
    <row r="14" spans="1:40" x14ac:dyDescent="0.2">
      <c r="B14" t="s">
        <v>41</v>
      </c>
      <c r="C14" s="3">
        <f t="shared" ref="C14:R14" si="15">C13+C12+C11+C10</f>
        <v>483</v>
      </c>
      <c r="D14" s="3">
        <f t="shared" si="15"/>
        <v>562</v>
      </c>
      <c r="E14" s="3">
        <f t="shared" si="15"/>
        <v>591</v>
      </c>
      <c r="F14" s="3">
        <f t="shared" si="15"/>
        <v>601</v>
      </c>
      <c r="G14" s="3">
        <f t="shared" si="15"/>
        <v>641</v>
      </c>
      <c r="H14" s="3">
        <f t="shared" si="15"/>
        <v>675</v>
      </c>
      <c r="I14" s="3">
        <f t="shared" si="15"/>
        <v>781</v>
      </c>
      <c r="J14" s="3">
        <f t="shared" si="15"/>
        <v>881</v>
      </c>
      <c r="K14" s="3">
        <f t="shared" si="15"/>
        <v>925</v>
      </c>
      <c r="L14" s="3">
        <f t="shared" si="15"/>
        <v>999</v>
      </c>
      <c r="M14" s="3">
        <f t="shared" si="15"/>
        <v>1138</v>
      </c>
      <c r="N14" s="3">
        <f t="shared" si="15"/>
        <v>1219</v>
      </c>
      <c r="O14" s="3">
        <f t="shared" si="15"/>
        <v>1867</v>
      </c>
      <c r="P14" s="3">
        <f t="shared" si="15"/>
        <v>2502</v>
      </c>
      <c r="Q14" s="3">
        <f t="shared" si="15"/>
        <v>2418</v>
      </c>
      <c r="R14" s="3">
        <f t="shared" si="15"/>
        <v>2552</v>
      </c>
      <c r="S14" s="3">
        <f t="shared" ref="S14:T14" si="16">S13+S12+S11+S10</f>
        <v>2504</v>
      </c>
      <c r="T14" s="3">
        <f t="shared" si="16"/>
        <v>2463</v>
      </c>
      <c r="U14" s="3">
        <f t="shared" ref="U14" si="17">U13+U12+U11+U10</f>
        <v>2523</v>
      </c>
      <c r="V14" s="3">
        <f t="shared" ref="V14:W14" si="18">V13+V12+V11+V10</f>
        <v>2569</v>
      </c>
      <c r="W14" s="3">
        <f t="shared" si="18"/>
        <v>2569</v>
      </c>
      <c r="X14" s="3">
        <f t="shared" ref="X14:Z14" si="19">X13+X12+X11+X10</f>
        <v>2569</v>
      </c>
      <c r="Y14" s="3">
        <f t="shared" si="19"/>
        <v>2569</v>
      </c>
      <c r="Z14" s="3">
        <f t="shared" si="19"/>
        <v>2569</v>
      </c>
      <c r="AC14" s="3">
        <f t="shared" ref="AC14:AH14" si="20">SUM(AC10:AC13)</f>
        <v>2237</v>
      </c>
      <c r="AD14" s="3">
        <f t="shared" si="20"/>
        <v>2978</v>
      </c>
      <c r="AE14" s="3">
        <f t="shared" si="20"/>
        <v>4281</v>
      </c>
      <c r="AF14" s="3">
        <f t="shared" si="20"/>
        <v>9339</v>
      </c>
      <c r="AG14" s="3">
        <f t="shared" si="20"/>
        <v>10059</v>
      </c>
      <c r="AH14" s="3">
        <f t="shared" ref="AH14" si="21">SUM(AH10:AH13)</f>
        <v>10276</v>
      </c>
      <c r="AI14" s="3">
        <f t="shared" ref="AI14:AN14" si="22">SUM(AI10:AI13)</f>
        <v>11353.2</v>
      </c>
      <c r="AJ14" s="3">
        <f t="shared" si="22"/>
        <v>12153.280000000002</v>
      </c>
      <c r="AK14" s="3">
        <f t="shared" si="22"/>
        <v>13026.606000000003</v>
      </c>
      <c r="AL14" s="3">
        <f t="shared" si="22"/>
        <v>13980.164500000003</v>
      </c>
      <c r="AM14" s="3">
        <f t="shared" si="22"/>
        <v>15021.623745000004</v>
      </c>
      <c r="AN14" s="3">
        <f t="shared" si="22"/>
        <v>16159.401054250005</v>
      </c>
    </row>
    <row r="15" spans="1:40" x14ac:dyDescent="0.2">
      <c r="B15" t="s">
        <v>42</v>
      </c>
      <c r="C15" s="3">
        <f t="shared" ref="C15:R15" si="23">C9-C14</f>
        <v>38</v>
      </c>
      <c r="D15" s="3">
        <f t="shared" si="23"/>
        <v>59</v>
      </c>
      <c r="E15" s="3">
        <f t="shared" si="23"/>
        <v>186</v>
      </c>
      <c r="F15" s="3">
        <f t="shared" si="23"/>
        <v>348</v>
      </c>
      <c r="G15" s="3">
        <f t="shared" si="23"/>
        <v>177</v>
      </c>
      <c r="H15" s="3">
        <f t="shared" si="23"/>
        <v>173</v>
      </c>
      <c r="I15" s="3">
        <f t="shared" si="23"/>
        <v>449</v>
      </c>
      <c r="J15" s="3">
        <f t="shared" si="23"/>
        <v>570</v>
      </c>
      <c r="K15" s="3">
        <f t="shared" si="23"/>
        <v>662</v>
      </c>
      <c r="L15" s="3">
        <f t="shared" si="23"/>
        <v>831</v>
      </c>
      <c r="M15" s="3">
        <f t="shared" si="23"/>
        <v>948</v>
      </c>
      <c r="N15" s="3">
        <f t="shared" si="23"/>
        <v>1207</v>
      </c>
      <c r="O15" s="3">
        <f t="shared" si="23"/>
        <v>1137</v>
      </c>
      <c r="P15" s="3">
        <f t="shared" si="23"/>
        <v>933</v>
      </c>
      <c r="Q15" s="3">
        <f t="shared" si="23"/>
        <v>348</v>
      </c>
      <c r="R15" s="3">
        <f t="shared" si="23"/>
        <v>294</v>
      </c>
      <c r="S15" s="3">
        <f t="shared" ref="S15:T15" si="24">S9-S14</f>
        <v>160</v>
      </c>
      <c r="T15" s="3">
        <f t="shared" si="24"/>
        <v>192</v>
      </c>
      <c r="U15" s="3">
        <f t="shared" ref="U15" si="25">U9-U14</f>
        <v>434</v>
      </c>
      <c r="V15" s="3">
        <f t="shared" ref="V15:W15" si="26">V9-V14</f>
        <v>557</v>
      </c>
      <c r="W15" s="3">
        <f t="shared" si="26"/>
        <v>180.13969999999972</v>
      </c>
      <c r="X15" s="3">
        <f t="shared" ref="X15:Z15" si="27">X9-X14</f>
        <v>345.35930000000008</v>
      </c>
      <c r="Y15" s="3">
        <f t="shared" si="27"/>
        <v>709.96824500000002</v>
      </c>
      <c r="Z15" s="3">
        <f t="shared" si="27"/>
        <v>1133.8997652500002</v>
      </c>
      <c r="AC15" s="3">
        <f>AC9-AC14</f>
        <v>631</v>
      </c>
      <c r="AD15" s="3">
        <f>AD9-AD14</f>
        <v>1369</v>
      </c>
      <c r="AE15" s="3">
        <f>AE9-AE14</f>
        <v>3648</v>
      </c>
      <c r="AF15" s="3">
        <f>AF9-AF14</f>
        <v>2712</v>
      </c>
      <c r="AG15" s="3">
        <f>AG9-AG14</f>
        <v>1343</v>
      </c>
      <c r="AH15" s="3">
        <f>AH9-AH14</f>
        <v>2369.3670102499982</v>
      </c>
      <c r="AI15" s="3">
        <f t="shared" ref="AH15:AN15" si="28">AI9-AI14</f>
        <v>2903.8314331249967</v>
      </c>
      <c r="AJ15" s="3">
        <f t="shared" si="28"/>
        <v>4955.1577197499937</v>
      </c>
      <c r="AK15" s="3">
        <f t="shared" si="28"/>
        <v>7503.5192636999927</v>
      </c>
      <c r="AL15" s="3">
        <f t="shared" si="28"/>
        <v>10655.985816439992</v>
      </c>
      <c r="AM15" s="3">
        <f t="shared" si="28"/>
        <v>14541.756634727986</v>
      </c>
      <c r="AN15" s="3">
        <f t="shared" si="28"/>
        <v>19316.655401423581</v>
      </c>
    </row>
    <row r="16" spans="1:40" x14ac:dyDescent="0.2">
      <c r="B16" t="s">
        <v>43</v>
      </c>
      <c r="C16" s="3">
        <v>-27</v>
      </c>
      <c r="D16" s="3">
        <v>-25</v>
      </c>
      <c r="E16" s="3">
        <v>-24</v>
      </c>
      <c r="F16" s="3">
        <f>-94-E16-D16-C16</f>
        <v>-18</v>
      </c>
      <c r="G16" s="3">
        <v>-13</v>
      </c>
      <c r="H16" s="3">
        <v>-14</v>
      </c>
      <c r="I16" s="3">
        <v>-11</v>
      </c>
      <c r="J16" s="3">
        <f>-47-I16-H16-G16</f>
        <v>-9</v>
      </c>
      <c r="K16" s="3">
        <v>-9</v>
      </c>
      <c r="L16" s="3">
        <v>-10</v>
      </c>
      <c r="M16" s="3">
        <v>-7</v>
      </c>
      <c r="N16" s="3">
        <f>-34-M16-L16-K16</f>
        <v>-8</v>
      </c>
      <c r="O16" s="3">
        <v>-13</v>
      </c>
      <c r="P16" s="3">
        <v>-25</v>
      </c>
      <c r="Q16" s="3">
        <v>-31</v>
      </c>
      <c r="R16" s="3">
        <v>-19</v>
      </c>
      <c r="S16" s="3">
        <v>-25</v>
      </c>
      <c r="T16" s="3">
        <v>-28</v>
      </c>
      <c r="U16" s="3">
        <v>-26</v>
      </c>
      <c r="V16" s="3">
        <v>-24</v>
      </c>
      <c r="W16" s="3">
        <v>-24</v>
      </c>
      <c r="X16" s="3">
        <v>-24</v>
      </c>
      <c r="Y16" s="3">
        <v>-24</v>
      </c>
      <c r="Z16" s="3">
        <v>-24</v>
      </c>
      <c r="AC16" s="3">
        <f>SUM(C16:F16)</f>
        <v>-94</v>
      </c>
      <c r="AD16" s="3">
        <f>SUM(G16:J16)</f>
        <v>-47</v>
      </c>
      <c r="AE16" s="3">
        <f>SUM(K16:N16)</f>
        <v>-34</v>
      </c>
      <c r="AF16" s="3">
        <f>SUM(O16:R16)</f>
        <v>-88</v>
      </c>
      <c r="AG16" s="3">
        <f t="shared" ref="AG16:AH17" si="29">SUM(S16:V16)</f>
        <v>-103</v>
      </c>
      <c r="AH16" s="3">
        <f t="shared" ref="AH16:AH20" si="30">SUM(W16:Z16)</f>
        <v>-96</v>
      </c>
      <c r="AI16" s="2"/>
      <c r="AJ16" s="2"/>
      <c r="AK16" s="2"/>
      <c r="AL16" s="2"/>
      <c r="AM16" s="2"/>
      <c r="AN16" s="2"/>
    </row>
    <row r="17" spans="1:374" x14ac:dyDescent="0.2">
      <c r="B17" t="s">
        <v>44</v>
      </c>
      <c r="C17" s="3">
        <v>-7</v>
      </c>
      <c r="D17" s="3">
        <v>3</v>
      </c>
      <c r="E17" s="3">
        <v>-36</v>
      </c>
      <c r="F17" s="3">
        <f>-165-D17-E17-C17</f>
        <v>-125</v>
      </c>
      <c r="G17" s="3">
        <v>4</v>
      </c>
      <c r="H17" s="3">
        <v>1</v>
      </c>
      <c r="I17" s="3">
        <v>-37</v>
      </c>
      <c r="J17" s="3">
        <v>0</v>
      </c>
      <c r="K17" s="3">
        <v>-11</v>
      </c>
      <c r="L17" s="3">
        <v>0</v>
      </c>
      <c r="M17" s="3">
        <v>62</v>
      </c>
      <c r="N17" s="3">
        <f>55-M17-L17-K17</f>
        <v>4</v>
      </c>
      <c r="O17" s="3">
        <v>-42</v>
      </c>
      <c r="P17" s="3">
        <v>-4</v>
      </c>
      <c r="Q17" s="3">
        <v>22</v>
      </c>
      <c r="R17" s="3">
        <v>0</v>
      </c>
      <c r="S17" s="3">
        <v>43</v>
      </c>
      <c r="T17" s="3">
        <v>43</v>
      </c>
      <c r="U17" s="3">
        <v>59</v>
      </c>
      <c r="V17" s="3">
        <v>49</v>
      </c>
      <c r="W17" s="3">
        <v>49</v>
      </c>
      <c r="X17" s="3">
        <v>49</v>
      </c>
      <c r="Y17" s="3">
        <v>49</v>
      </c>
      <c r="Z17" s="3">
        <v>49</v>
      </c>
      <c r="AC17" s="3">
        <f>SUM(C17:F17)</f>
        <v>-165</v>
      </c>
      <c r="AD17" s="3">
        <f>SUM(G17:J17)</f>
        <v>-32</v>
      </c>
      <c r="AE17" s="3">
        <f>SUM(K17:N17)</f>
        <v>55</v>
      </c>
      <c r="AF17" s="3">
        <f>SUM(O17:R17)</f>
        <v>-24</v>
      </c>
      <c r="AG17" s="3">
        <f t="shared" si="29"/>
        <v>194</v>
      </c>
      <c r="AH17" s="3">
        <f t="shared" si="30"/>
        <v>196</v>
      </c>
    </row>
    <row r="18" spans="1:374" x14ac:dyDescent="0.2">
      <c r="B18" t="s">
        <v>45</v>
      </c>
      <c r="C18" s="3">
        <f t="shared" ref="C18:R18" si="31">C15+C16+C17</f>
        <v>4</v>
      </c>
      <c r="D18" s="3">
        <f t="shared" si="31"/>
        <v>37</v>
      </c>
      <c r="E18" s="3">
        <f t="shared" si="31"/>
        <v>126</v>
      </c>
      <c r="F18" s="3">
        <f t="shared" si="31"/>
        <v>205</v>
      </c>
      <c r="G18" s="3">
        <f t="shared" si="31"/>
        <v>168</v>
      </c>
      <c r="H18" s="3">
        <f t="shared" si="31"/>
        <v>160</v>
      </c>
      <c r="I18" s="3">
        <f t="shared" si="31"/>
        <v>401</v>
      </c>
      <c r="J18" s="3">
        <f t="shared" si="31"/>
        <v>561</v>
      </c>
      <c r="K18" s="3">
        <f t="shared" si="31"/>
        <v>642</v>
      </c>
      <c r="L18" s="3">
        <f t="shared" si="31"/>
        <v>821</v>
      </c>
      <c r="M18" s="3">
        <f t="shared" si="31"/>
        <v>1003</v>
      </c>
      <c r="N18" s="3">
        <f t="shared" si="31"/>
        <v>1203</v>
      </c>
      <c r="O18" s="3">
        <f t="shared" si="31"/>
        <v>1082</v>
      </c>
      <c r="P18" s="3">
        <f t="shared" si="31"/>
        <v>904</v>
      </c>
      <c r="Q18" s="3">
        <f t="shared" si="31"/>
        <v>339</v>
      </c>
      <c r="R18" s="3">
        <f t="shared" si="31"/>
        <v>275</v>
      </c>
      <c r="S18" s="3">
        <f t="shared" ref="S18:T18" si="32">S15+S16+S17</f>
        <v>178</v>
      </c>
      <c r="T18" s="3">
        <f t="shared" si="32"/>
        <v>207</v>
      </c>
      <c r="U18" s="3">
        <f t="shared" ref="U18" si="33">U15+U16+U17</f>
        <v>467</v>
      </c>
      <c r="V18" s="3">
        <f t="shared" ref="V18:W18" si="34">V15+V16+V17</f>
        <v>582</v>
      </c>
      <c r="W18" s="3">
        <f t="shared" si="34"/>
        <v>205.13969999999972</v>
      </c>
      <c r="X18" s="3">
        <f t="shared" ref="X18:Z18" si="35">X15+X16+X17</f>
        <v>370.35930000000008</v>
      </c>
      <c r="Y18" s="3">
        <f t="shared" si="35"/>
        <v>734.96824500000002</v>
      </c>
      <c r="Z18" s="3">
        <f t="shared" si="35"/>
        <v>1158.8997652500002</v>
      </c>
      <c r="AC18" s="3">
        <f>AC15+AC16+AC17</f>
        <v>372</v>
      </c>
      <c r="AD18" s="3">
        <f>AD15+AD16+AD17</f>
        <v>1290</v>
      </c>
      <c r="AE18" s="3">
        <f>AE15+AE16+AE17</f>
        <v>3669</v>
      </c>
      <c r="AF18" s="3">
        <f>AF15+AF16+AF17</f>
        <v>2600</v>
      </c>
      <c r="AG18" s="3">
        <f>AG15+AG16+AG17</f>
        <v>1434</v>
      </c>
      <c r="AH18" s="3">
        <f>AH15+AH16+AH17</f>
        <v>2469.3670102499982</v>
      </c>
      <c r="AI18" s="3">
        <f t="shared" ref="AH18:AN18" si="36">AI15+AI16+AI17</f>
        <v>2903.8314331249967</v>
      </c>
      <c r="AJ18" s="3">
        <f t="shared" si="36"/>
        <v>4955.1577197499937</v>
      </c>
      <c r="AK18" s="3">
        <f t="shared" si="36"/>
        <v>7503.5192636999927</v>
      </c>
      <c r="AL18" s="3">
        <f t="shared" si="36"/>
        <v>10655.985816439992</v>
      </c>
      <c r="AM18" s="3">
        <f t="shared" si="36"/>
        <v>14541.756634727986</v>
      </c>
      <c r="AN18" s="3">
        <f t="shared" si="36"/>
        <v>19316.655401423581</v>
      </c>
    </row>
    <row r="19" spans="1:374" x14ac:dyDescent="0.2">
      <c r="B19" t="s">
        <v>46</v>
      </c>
      <c r="C19" s="3">
        <v>-13</v>
      </c>
      <c r="D19" s="3">
        <v>2</v>
      </c>
      <c r="E19" s="3">
        <v>7</v>
      </c>
      <c r="F19" s="3">
        <f>31-E19-D19-C19</f>
        <v>35</v>
      </c>
      <c r="G19" s="3">
        <v>6</v>
      </c>
      <c r="H19" s="3">
        <v>4</v>
      </c>
      <c r="I19" s="3">
        <v>12</v>
      </c>
      <c r="J19" s="3">
        <f>-1210-I19-H19-G19</f>
        <v>-1232</v>
      </c>
      <c r="K19" s="3">
        <v>89</v>
      </c>
      <c r="L19" s="3">
        <v>113</v>
      </c>
      <c r="M19" s="3">
        <v>82</v>
      </c>
      <c r="N19" s="3">
        <f>513-M19-L19-K19</f>
        <v>229</v>
      </c>
      <c r="O19" s="3">
        <v>113</v>
      </c>
      <c r="P19" s="3">
        <v>54</v>
      </c>
      <c r="Q19" s="3">
        <v>-135</v>
      </c>
      <c r="R19">
        <v>-154</v>
      </c>
      <c r="S19">
        <v>13</v>
      </c>
      <c r="T19">
        <v>-23</v>
      </c>
      <c r="U19">
        <v>-39</v>
      </c>
      <c r="V19">
        <v>-297</v>
      </c>
      <c r="W19">
        <v>-20</v>
      </c>
      <c r="X19">
        <v>-20</v>
      </c>
      <c r="Y19">
        <v>-20</v>
      </c>
      <c r="Z19">
        <v>-20</v>
      </c>
      <c r="AC19" s="3">
        <f>SUM(C19:F19)</f>
        <v>31</v>
      </c>
      <c r="AD19" s="3">
        <f>SUM(G19:J19)</f>
        <v>-1210</v>
      </c>
      <c r="AE19" s="3">
        <f>SUM(K19:N19)</f>
        <v>513</v>
      </c>
      <c r="AF19" s="3">
        <f>SUM(O19:R19)</f>
        <v>-122</v>
      </c>
      <c r="AG19" s="3">
        <f>SUM(S19:V19)</f>
        <v>-346</v>
      </c>
      <c r="AH19" s="3">
        <f t="shared" si="30"/>
        <v>-80</v>
      </c>
      <c r="AI19" s="3">
        <f t="shared" ref="AI19:AN19" si="37">AI18*0.1</f>
        <v>290.38314331249967</v>
      </c>
      <c r="AJ19" s="3">
        <f t="shared" si="37"/>
        <v>495.51577197499938</v>
      </c>
      <c r="AK19" s="3">
        <f t="shared" si="37"/>
        <v>750.35192636999932</v>
      </c>
      <c r="AL19" s="3">
        <f t="shared" si="37"/>
        <v>1065.5985816439993</v>
      </c>
      <c r="AM19" s="3">
        <f t="shared" si="37"/>
        <v>1454.1756634727988</v>
      </c>
      <c r="AN19" s="3">
        <f t="shared" si="37"/>
        <v>1931.6655401423582</v>
      </c>
    </row>
    <row r="20" spans="1:374" x14ac:dyDescent="0.2">
      <c r="B20" t="s">
        <v>47</v>
      </c>
      <c r="C20" s="3">
        <v>-1</v>
      </c>
      <c r="D20" s="3">
        <v>0</v>
      </c>
      <c r="E20" s="3">
        <v>1</v>
      </c>
      <c r="F20" s="3">
        <v>0</v>
      </c>
      <c r="G20" s="3">
        <v>0</v>
      </c>
      <c r="H20" s="3">
        <v>1</v>
      </c>
      <c r="I20" s="3">
        <v>1</v>
      </c>
      <c r="J20" s="3">
        <v>0</v>
      </c>
      <c r="K20" s="3">
        <v>2</v>
      </c>
      <c r="L20" s="3">
        <v>2</v>
      </c>
      <c r="M20" s="3">
        <v>2</v>
      </c>
      <c r="N20" s="3">
        <v>3</v>
      </c>
      <c r="O20" s="3">
        <v>3</v>
      </c>
      <c r="P20" s="3">
        <v>4</v>
      </c>
      <c r="Q20" s="3">
        <v>4</v>
      </c>
      <c r="R20" s="3">
        <v>5</v>
      </c>
      <c r="S20" s="3">
        <v>1</v>
      </c>
      <c r="T20" s="3">
        <v>6</v>
      </c>
      <c r="U20" s="3">
        <v>3</v>
      </c>
      <c r="V20" s="3">
        <v>6</v>
      </c>
      <c r="W20" s="3">
        <v>6</v>
      </c>
      <c r="X20" s="3">
        <v>6</v>
      </c>
      <c r="Y20" s="3">
        <v>6</v>
      </c>
      <c r="Z20" s="3">
        <v>6</v>
      </c>
      <c r="AC20" s="3">
        <f>SUM(C20:F20)</f>
        <v>0</v>
      </c>
      <c r="AD20" s="3">
        <f>SUM(G20:J20)</f>
        <v>2</v>
      </c>
      <c r="AE20" s="3">
        <f>SUM(K20:N20)</f>
        <v>9</v>
      </c>
      <c r="AF20" s="3">
        <f>SUM(O20:R20)</f>
        <v>16</v>
      </c>
      <c r="AG20" s="3">
        <f t="shared" ref="AG20:AH20" si="38">SUM(S20:V20)</f>
        <v>16</v>
      </c>
      <c r="AH20" s="3">
        <f t="shared" si="30"/>
        <v>24</v>
      </c>
      <c r="AI20" s="3"/>
      <c r="AJ20" s="3"/>
      <c r="AK20" s="3"/>
      <c r="AL20" s="3"/>
      <c r="AM20" s="3"/>
      <c r="AN20" s="3"/>
    </row>
    <row r="21" spans="1:374" s="3" customFormat="1" x14ac:dyDescent="0.2">
      <c r="A21"/>
      <c r="B21" t="s">
        <v>48</v>
      </c>
      <c r="C21" s="3">
        <f t="shared" ref="C21:R21" si="39">C18-C19+C20</f>
        <v>16</v>
      </c>
      <c r="D21" s="3">
        <f t="shared" si="39"/>
        <v>35</v>
      </c>
      <c r="E21" s="3">
        <f t="shared" si="39"/>
        <v>120</v>
      </c>
      <c r="F21" s="3">
        <f t="shared" si="39"/>
        <v>170</v>
      </c>
      <c r="G21" s="3">
        <f t="shared" si="39"/>
        <v>162</v>
      </c>
      <c r="H21" s="3">
        <f t="shared" si="39"/>
        <v>157</v>
      </c>
      <c r="I21" s="3">
        <f t="shared" si="39"/>
        <v>390</v>
      </c>
      <c r="J21" s="3">
        <f t="shared" si="39"/>
        <v>1793</v>
      </c>
      <c r="K21" s="3">
        <f t="shared" si="39"/>
        <v>555</v>
      </c>
      <c r="L21" s="3">
        <f t="shared" si="39"/>
        <v>710</v>
      </c>
      <c r="M21" s="3">
        <f t="shared" si="39"/>
        <v>923</v>
      </c>
      <c r="N21" s="3">
        <f t="shared" si="39"/>
        <v>977</v>
      </c>
      <c r="O21" s="3">
        <f t="shared" si="39"/>
        <v>972</v>
      </c>
      <c r="P21" s="3">
        <f t="shared" si="39"/>
        <v>854</v>
      </c>
      <c r="Q21" s="3">
        <f t="shared" si="39"/>
        <v>478</v>
      </c>
      <c r="R21" s="3">
        <f t="shared" si="39"/>
        <v>434</v>
      </c>
      <c r="S21" s="3">
        <f t="shared" ref="S21:T21" si="40">S18-S19+S20</f>
        <v>166</v>
      </c>
      <c r="T21" s="3">
        <f t="shared" si="40"/>
        <v>236</v>
      </c>
      <c r="U21" s="3">
        <f t="shared" ref="U21" si="41">U18-U19+U20</f>
        <v>509</v>
      </c>
      <c r="V21" s="3">
        <f>V18-V19+V20</f>
        <v>885</v>
      </c>
      <c r="W21" s="3">
        <f>W18-W19+W20</f>
        <v>231.13969999999972</v>
      </c>
      <c r="X21" s="3">
        <f t="shared" ref="X21:Z21" si="42">X18-X19+X20</f>
        <v>396.35930000000008</v>
      </c>
      <c r="Y21" s="3">
        <f t="shared" si="42"/>
        <v>760.96824500000002</v>
      </c>
      <c r="Z21" s="3">
        <f t="shared" si="42"/>
        <v>1184.8997652500002</v>
      </c>
      <c r="AA21"/>
      <c r="AB21"/>
      <c r="AC21" s="3">
        <f>AC18-AC19-AC20</f>
        <v>341</v>
      </c>
      <c r="AD21" s="3">
        <f>AD18-AD19-AD20</f>
        <v>2498</v>
      </c>
      <c r="AE21" s="3">
        <f>AE18-AE19-AE20</f>
        <v>3147</v>
      </c>
      <c r="AF21" s="3">
        <f>AF18-AF19-AF20</f>
        <v>2706</v>
      </c>
      <c r="AG21" s="3">
        <f>AG18-AG19-AG20</f>
        <v>1764</v>
      </c>
      <c r="AH21" s="3">
        <f>AH18-AH19-AH20</f>
        <v>2525.3670102499982</v>
      </c>
      <c r="AI21" s="3">
        <f t="shared" ref="AH21:AN21" si="43">AI18-AI19-AI20</f>
        <v>2613.448289812497</v>
      </c>
      <c r="AJ21" s="3">
        <f t="shared" si="43"/>
        <v>4459.6419477749942</v>
      </c>
      <c r="AK21" s="3">
        <f t="shared" si="43"/>
        <v>6753.1673373299936</v>
      </c>
      <c r="AL21" s="3">
        <f t="shared" si="43"/>
        <v>9590.3872347959932</v>
      </c>
      <c r="AM21" s="3">
        <f t="shared" si="43"/>
        <v>13087.580971255187</v>
      </c>
      <c r="AN21" s="3">
        <f t="shared" si="43"/>
        <v>17384.989861281221</v>
      </c>
      <c r="AO21" s="3">
        <f>AN21*(1+$AR$35)</f>
        <v>17211.139962668411</v>
      </c>
      <c r="AP21" s="3">
        <f t="shared" ref="AP21:DA21" si="44">AO21*(1+$AR$35)</f>
        <v>17039.028563041727</v>
      </c>
      <c r="AQ21" s="3">
        <f t="shared" si="44"/>
        <v>16868.638277411312</v>
      </c>
      <c r="AR21" s="3">
        <f t="shared" si="44"/>
        <v>16699.951894637197</v>
      </c>
      <c r="AS21" s="3">
        <f t="shared" si="44"/>
        <v>16532.952375690824</v>
      </c>
      <c r="AT21" s="3">
        <f t="shared" si="44"/>
        <v>16367.622851933915</v>
      </c>
      <c r="AU21" s="3">
        <f t="shared" si="44"/>
        <v>16203.946623414575</v>
      </c>
      <c r="AV21" s="3">
        <f t="shared" si="44"/>
        <v>16041.907157180429</v>
      </c>
      <c r="AW21" s="3">
        <f t="shared" si="44"/>
        <v>15881.488085608624</v>
      </c>
      <c r="AX21" s="3">
        <f t="shared" si="44"/>
        <v>15722.673204752537</v>
      </c>
      <c r="AY21" s="3">
        <f t="shared" si="44"/>
        <v>15565.446472705011</v>
      </c>
      <c r="AZ21" s="3">
        <f t="shared" si="44"/>
        <v>15409.792007977961</v>
      </c>
      <c r="BA21" s="3">
        <f t="shared" si="44"/>
        <v>15255.694087898182</v>
      </c>
      <c r="BB21" s="3">
        <f t="shared" si="44"/>
        <v>15103.137147019201</v>
      </c>
      <c r="BC21" s="3">
        <f t="shared" si="44"/>
        <v>14952.105775549009</v>
      </c>
      <c r="BD21" s="3">
        <f t="shared" si="44"/>
        <v>14802.584717793519</v>
      </c>
      <c r="BE21" s="3">
        <f t="shared" si="44"/>
        <v>14654.558870615583</v>
      </c>
      <c r="BF21" s="3">
        <f t="shared" si="44"/>
        <v>14508.013281909427</v>
      </c>
      <c r="BG21" s="3">
        <f t="shared" si="44"/>
        <v>14362.933149090333</v>
      </c>
      <c r="BH21" s="3">
        <f t="shared" si="44"/>
        <v>14219.30381759943</v>
      </c>
      <c r="BI21" s="3">
        <f t="shared" si="44"/>
        <v>14077.110779423436</v>
      </c>
      <c r="BJ21" s="3">
        <f t="shared" si="44"/>
        <v>13936.339671629201</v>
      </c>
      <c r="BK21" s="3">
        <f t="shared" si="44"/>
        <v>13796.97627491291</v>
      </c>
      <c r="BL21" s="3">
        <f t="shared" si="44"/>
        <v>13659.00651216378</v>
      </c>
      <c r="BM21" s="3">
        <f t="shared" si="44"/>
        <v>13522.416447042142</v>
      </c>
      <c r="BN21" s="3">
        <f t="shared" si="44"/>
        <v>13387.192282571721</v>
      </c>
      <c r="BO21" s="3">
        <f t="shared" si="44"/>
        <v>13253.320359746003</v>
      </c>
      <c r="BP21" s="3">
        <f t="shared" si="44"/>
        <v>13120.787156148543</v>
      </c>
      <c r="BQ21" s="3">
        <f t="shared" si="44"/>
        <v>12989.579284587056</v>
      </c>
      <c r="BR21" s="3">
        <f t="shared" si="44"/>
        <v>12859.683491741185</v>
      </c>
      <c r="BS21" s="3">
        <f t="shared" si="44"/>
        <v>12731.086656823773</v>
      </c>
      <c r="BT21" s="3">
        <f t="shared" si="44"/>
        <v>12603.775790255535</v>
      </c>
      <c r="BU21" s="3">
        <f t="shared" si="44"/>
        <v>12477.73803235298</v>
      </c>
      <c r="BV21" s="3">
        <f t="shared" si="44"/>
        <v>12352.960652029449</v>
      </c>
      <c r="BW21" s="3">
        <f t="shared" si="44"/>
        <v>12229.431045509155</v>
      </c>
      <c r="BX21" s="3">
        <f t="shared" si="44"/>
        <v>12107.136735054062</v>
      </c>
      <c r="BY21" s="3">
        <f t="shared" si="44"/>
        <v>11986.065367703521</v>
      </c>
      <c r="BZ21" s="3">
        <f t="shared" si="44"/>
        <v>11866.204714026486</v>
      </c>
      <c r="CA21" s="3">
        <f t="shared" si="44"/>
        <v>11747.54266688622</v>
      </c>
      <c r="CB21" s="3">
        <f t="shared" si="44"/>
        <v>11630.067240217359</v>
      </c>
      <c r="CC21" s="3">
        <f t="shared" si="44"/>
        <v>11513.766567815184</v>
      </c>
      <c r="CD21" s="3">
        <f t="shared" si="44"/>
        <v>11398.628902137032</v>
      </c>
      <c r="CE21" s="3">
        <f t="shared" si="44"/>
        <v>11284.642613115662</v>
      </c>
      <c r="CF21" s="3">
        <f t="shared" si="44"/>
        <v>11171.796186984506</v>
      </c>
      <c r="CG21" s="3">
        <f t="shared" si="44"/>
        <v>11060.078225114661</v>
      </c>
      <c r="CH21" s="3">
        <f t="shared" si="44"/>
        <v>10949.477442863514</v>
      </c>
      <c r="CI21" s="3">
        <f t="shared" si="44"/>
        <v>10839.982668434879</v>
      </c>
      <c r="CJ21" s="3">
        <f t="shared" si="44"/>
        <v>10731.582841750531</v>
      </c>
      <c r="CK21" s="3">
        <f t="shared" si="44"/>
        <v>10624.267013333025</v>
      </c>
      <c r="CL21" s="3">
        <f t="shared" si="44"/>
        <v>10518.024343199695</v>
      </c>
      <c r="CM21" s="3">
        <f t="shared" si="44"/>
        <v>10412.844099767697</v>
      </c>
      <c r="CN21" s="3">
        <f t="shared" si="44"/>
        <v>10308.715658770019</v>
      </c>
      <c r="CO21" s="3">
        <f t="shared" si="44"/>
        <v>10205.628502182319</v>
      </c>
      <c r="CP21" s="3">
        <f t="shared" si="44"/>
        <v>10103.572217160496</v>
      </c>
      <c r="CQ21" s="3">
        <f t="shared" si="44"/>
        <v>10002.53649498889</v>
      </c>
      <c r="CR21" s="3">
        <f t="shared" si="44"/>
        <v>9902.5111300390017</v>
      </c>
      <c r="CS21" s="3">
        <f t="shared" si="44"/>
        <v>9803.4860187386112</v>
      </c>
      <c r="CT21" s="3">
        <f t="shared" si="44"/>
        <v>9705.4511585512246</v>
      </c>
      <c r="CU21" s="3">
        <f t="shared" si="44"/>
        <v>9608.3966469657116</v>
      </c>
      <c r="CV21" s="3">
        <f t="shared" si="44"/>
        <v>9512.3126804960539</v>
      </c>
      <c r="CW21" s="3">
        <f t="shared" si="44"/>
        <v>9417.1895536910924</v>
      </c>
      <c r="CX21" s="3">
        <f t="shared" si="44"/>
        <v>9323.0176581541818</v>
      </c>
      <c r="CY21" s="3">
        <f t="shared" si="44"/>
        <v>9229.7874815726391</v>
      </c>
      <c r="CZ21" s="3">
        <f t="shared" si="44"/>
        <v>9137.4896067569134</v>
      </c>
      <c r="DA21" s="3">
        <f t="shared" si="44"/>
        <v>9046.1147106893441</v>
      </c>
      <c r="DB21" s="3">
        <f t="shared" ref="DB21:FM21" si="45">DA21*(1+$AR$35)</f>
        <v>8955.6535635824512</v>
      </c>
      <c r="DC21" s="3">
        <f t="shared" si="45"/>
        <v>8866.0970279466273</v>
      </c>
      <c r="DD21" s="3">
        <f t="shared" si="45"/>
        <v>8777.4360576671606</v>
      </c>
      <c r="DE21" s="3">
        <f t="shared" si="45"/>
        <v>8689.6616970904888</v>
      </c>
      <c r="DF21" s="3">
        <f t="shared" si="45"/>
        <v>8602.7650801195832</v>
      </c>
      <c r="DG21" s="3">
        <f t="shared" si="45"/>
        <v>8516.7374293183875</v>
      </c>
      <c r="DH21" s="3">
        <f t="shared" si="45"/>
        <v>8431.5700550252041</v>
      </c>
      <c r="DI21" s="3">
        <f t="shared" si="45"/>
        <v>8347.2543544749515</v>
      </c>
      <c r="DJ21" s="3">
        <f t="shared" si="45"/>
        <v>8263.7818109302025</v>
      </c>
      <c r="DK21" s="3">
        <f t="shared" si="45"/>
        <v>8181.1439928209002</v>
      </c>
      <c r="DL21" s="3">
        <f t="shared" si="45"/>
        <v>8099.3325528926907</v>
      </c>
      <c r="DM21" s="3">
        <f t="shared" si="45"/>
        <v>8018.3392273637637</v>
      </c>
      <c r="DN21" s="3">
        <f t="shared" si="45"/>
        <v>7938.1558350901259</v>
      </c>
      <c r="DO21" s="3">
        <f t="shared" si="45"/>
        <v>7858.7742767392247</v>
      </c>
      <c r="DP21" s="3">
        <f t="shared" si="45"/>
        <v>7780.1865339718324</v>
      </c>
      <c r="DQ21" s="3">
        <f t="shared" si="45"/>
        <v>7702.384668632114</v>
      </c>
      <c r="DR21" s="3">
        <f t="shared" si="45"/>
        <v>7625.3608219457928</v>
      </c>
      <c r="DS21" s="3">
        <f t="shared" si="45"/>
        <v>7549.1072137263345</v>
      </c>
      <c r="DT21" s="3">
        <f t="shared" si="45"/>
        <v>7473.616141589071</v>
      </c>
      <c r="DU21" s="3">
        <f t="shared" si="45"/>
        <v>7398.8799801731802</v>
      </c>
      <c r="DV21" s="3">
        <f t="shared" si="45"/>
        <v>7324.8911803714482</v>
      </c>
      <c r="DW21" s="3">
        <f t="shared" si="45"/>
        <v>7251.6422685677335</v>
      </c>
      <c r="DX21" s="3">
        <f t="shared" si="45"/>
        <v>7179.1258458820557</v>
      </c>
      <c r="DY21" s="3">
        <f t="shared" si="45"/>
        <v>7107.3345874232355</v>
      </c>
      <c r="DZ21" s="3">
        <f t="shared" si="45"/>
        <v>7036.261241549003</v>
      </c>
      <c r="EA21" s="3">
        <f t="shared" si="45"/>
        <v>6965.8986291335132</v>
      </c>
      <c r="EB21" s="3">
        <f t="shared" si="45"/>
        <v>6896.239642842178</v>
      </c>
      <c r="EC21" s="3">
        <f t="shared" si="45"/>
        <v>6827.2772464137561</v>
      </c>
      <c r="ED21" s="3">
        <f t="shared" si="45"/>
        <v>6759.0044739496188</v>
      </c>
      <c r="EE21" s="3">
        <f t="shared" si="45"/>
        <v>6691.4144292101228</v>
      </c>
      <c r="EF21" s="3">
        <f t="shared" si="45"/>
        <v>6624.5002849180219</v>
      </c>
      <c r="EG21" s="3">
        <f t="shared" si="45"/>
        <v>6558.2552820688416</v>
      </c>
      <c r="EH21" s="3">
        <f t="shared" si="45"/>
        <v>6492.6727292481528</v>
      </c>
      <c r="EI21" s="3">
        <f t="shared" si="45"/>
        <v>6427.7460019556711</v>
      </c>
      <c r="EJ21" s="3">
        <f t="shared" si="45"/>
        <v>6363.468541936114</v>
      </c>
      <c r="EK21" s="3">
        <f t="shared" si="45"/>
        <v>6299.8338565167523</v>
      </c>
      <c r="EL21" s="3">
        <f t="shared" si="45"/>
        <v>6236.8355179515847</v>
      </c>
      <c r="EM21" s="3">
        <f t="shared" si="45"/>
        <v>6174.4671627720691</v>
      </c>
      <c r="EN21" s="3">
        <f t="shared" si="45"/>
        <v>6112.7224911443482</v>
      </c>
      <c r="EO21" s="3">
        <f t="shared" si="45"/>
        <v>6051.5952662329046</v>
      </c>
      <c r="EP21" s="3">
        <f t="shared" si="45"/>
        <v>5991.0793135705753</v>
      </c>
      <c r="EQ21" s="3">
        <f t="shared" si="45"/>
        <v>5931.1685204348696</v>
      </c>
      <c r="ER21" s="3">
        <f t="shared" si="45"/>
        <v>5871.856835230521</v>
      </c>
      <c r="ES21" s="3">
        <f t="shared" si="45"/>
        <v>5813.1382668782162</v>
      </c>
      <c r="ET21" s="3">
        <f t="shared" si="45"/>
        <v>5755.0068842094342</v>
      </c>
      <c r="EU21" s="3">
        <f t="shared" si="45"/>
        <v>5697.4568153673399</v>
      </c>
      <c r="EV21" s="3">
        <f t="shared" si="45"/>
        <v>5640.4822472136666</v>
      </c>
      <c r="EW21" s="3">
        <f t="shared" si="45"/>
        <v>5584.0774247415302</v>
      </c>
      <c r="EX21" s="3">
        <f t="shared" si="45"/>
        <v>5528.2366504941147</v>
      </c>
      <c r="EY21" s="3">
        <f t="shared" si="45"/>
        <v>5472.9542839891737</v>
      </c>
      <c r="EZ21" s="3">
        <f t="shared" si="45"/>
        <v>5418.2247411492817</v>
      </c>
      <c r="FA21" s="3">
        <f t="shared" si="45"/>
        <v>5364.0424937377893</v>
      </c>
      <c r="FB21" s="3">
        <f t="shared" si="45"/>
        <v>5310.4020688004111</v>
      </c>
      <c r="FC21" s="3">
        <f t="shared" si="45"/>
        <v>5257.2980481124068</v>
      </c>
      <c r="FD21" s="3">
        <f t="shared" si="45"/>
        <v>5204.7250676312824</v>
      </c>
      <c r="FE21" s="3">
        <f t="shared" si="45"/>
        <v>5152.6778169549698</v>
      </c>
      <c r="FF21" s="3">
        <f t="shared" si="45"/>
        <v>5101.1510387854196</v>
      </c>
      <c r="FG21" s="3">
        <f t="shared" si="45"/>
        <v>5050.1395283975653</v>
      </c>
      <c r="FH21" s="3">
        <f t="shared" si="45"/>
        <v>4999.6381331135899</v>
      </c>
      <c r="FI21" s="3">
        <f t="shared" si="45"/>
        <v>4949.6417517824539</v>
      </c>
      <c r="FJ21" s="3">
        <f t="shared" si="45"/>
        <v>4900.1453342646291</v>
      </c>
      <c r="FK21" s="3">
        <f t="shared" si="45"/>
        <v>4851.1438809219826</v>
      </c>
      <c r="FL21" s="3">
        <f t="shared" si="45"/>
        <v>4802.6324421127629</v>
      </c>
      <c r="FM21" s="3">
        <f t="shared" si="45"/>
        <v>4754.6061176916355</v>
      </c>
      <c r="FN21" s="3">
        <f t="shared" ref="FN21:HY21" si="46">FM21*(1+$AR$35)</f>
        <v>4707.0600565147188</v>
      </c>
      <c r="FO21" s="3">
        <f t="shared" si="46"/>
        <v>4659.9894559495715</v>
      </c>
      <c r="FP21" s="3">
        <f t="shared" si="46"/>
        <v>4613.3895613900759</v>
      </c>
      <c r="FQ21" s="3">
        <f t="shared" si="46"/>
        <v>4567.2556657761752</v>
      </c>
      <c r="FR21" s="3">
        <f t="shared" si="46"/>
        <v>4521.5831091184136</v>
      </c>
      <c r="FS21" s="3">
        <f t="shared" si="46"/>
        <v>4476.3672780272291</v>
      </c>
      <c r="FT21" s="3">
        <f t="shared" si="46"/>
        <v>4431.6036052469572</v>
      </c>
      <c r="FU21" s="3">
        <f t="shared" si="46"/>
        <v>4387.2875691944873</v>
      </c>
      <c r="FV21" s="3">
        <f t="shared" si="46"/>
        <v>4343.4146935025428</v>
      </c>
      <c r="FW21" s="3">
        <f t="shared" si="46"/>
        <v>4299.9805465675172</v>
      </c>
      <c r="FX21" s="3">
        <f t="shared" si="46"/>
        <v>4256.9807411018419</v>
      </c>
      <c r="FY21" s="3">
        <f t="shared" si="46"/>
        <v>4214.4109336908232</v>
      </c>
      <c r="FZ21" s="3">
        <f t="shared" si="46"/>
        <v>4172.2668243539147</v>
      </c>
      <c r="GA21" s="3">
        <f t="shared" si="46"/>
        <v>4130.5441561103753</v>
      </c>
      <c r="GB21" s="3">
        <f t="shared" si="46"/>
        <v>4089.2387145492717</v>
      </c>
      <c r="GC21" s="3">
        <f t="shared" si="46"/>
        <v>4048.346327403779</v>
      </c>
      <c r="GD21" s="3">
        <f t="shared" si="46"/>
        <v>4007.8628641297414</v>
      </c>
      <c r="GE21" s="3">
        <f t="shared" si="46"/>
        <v>3967.7842354884438</v>
      </c>
      <c r="GF21" s="3">
        <f t="shared" si="46"/>
        <v>3928.1063931335593</v>
      </c>
      <c r="GG21" s="3">
        <f t="shared" si="46"/>
        <v>3888.8253292022237</v>
      </c>
      <c r="GH21" s="3">
        <f t="shared" si="46"/>
        <v>3849.9370759102012</v>
      </c>
      <c r="GI21" s="3">
        <f t="shared" si="46"/>
        <v>3811.4377051510992</v>
      </c>
      <c r="GJ21" s="3">
        <f t="shared" si="46"/>
        <v>3773.3233280995883</v>
      </c>
      <c r="GK21" s="3">
        <f t="shared" si="46"/>
        <v>3735.5900948185922</v>
      </c>
      <c r="GL21" s="3">
        <f t="shared" si="46"/>
        <v>3698.2341938704062</v>
      </c>
      <c r="GM21" s="3">
        <f t="shared" si="46"/>
        <v>3661.2518519317023</v>
      </c>
      <c r="GN21" s="3">
        <f t="shared" si="46"/>
        <v>3624.6393334123854</v>
      </c>
      <c r="GO21" s="3">
        <f t="shared" si="46"/>
        <v>3588.3929400782617</v>
      </c>
      <c r="GP21" s="3">
        <f t="shared" si="46"/>
        <v>3552.5090106774792</v>
      </c>
      <c r="GQ21" s="3">
        <f t="shared" si="46"/>
        <v>3516.9839205707044</v>
      </c>
      <c r="GR21" s="3">
        <f t="shared" si="46"/>
        <v>3481.8140813649975</v>
      </c>
      <c r="GS21" s="3">
        <f t="shared" si="46"/>
        <v>3446.9959405513473</v>
      </c>
      <c r="GT21" s="3">
        <f t="shared" si="46"/>
        <v>3412.5259811458336</v>
      </c>
      <c r="GU21" s="3">
        <f t="shared" si="46"/>
        <v>3378.4007213343752</v>
      </c>
      <c r="GV21" s="3">
        <f t="shared" si="46"/>
        <v>3344.6167141210317</v>
      </c>
      <c r="GW21" s="3">
        <f t="shared" si="46"/>
        <v>3311.1705469798212</v>
      </c>
      <c r="GX21" s="3">
        <f t="shared" si="46"/>
        <v>3278.0588415100228</v>
      </c>
      <c r="GY21" s="3">
        <f t="shared" si="46"/>
        <v>3245.2782530949225</v>
      </c>
      <c r="GZ21" s="3">
        <f t="shared" si="46"/>
        <v>3212.8254705639733</v>
      </c>
      <c r="HA21" s="3">
        <f t="shared" si="46"/>
        <v>3180.6972158583335</v>
      </c>
      <c r="HB21" s="3">
        <f t="shared" si="46"/>
        <v>3148.89024369975</v>
      </c>
      <c r="HC21" s="3">
        <f t="shared" si="46"/>
        <v>3117.4013412627523</v>
      </c>
      <c r="HD21" s="3">
        <f t="shared" si="46"/>
        <v>3086.2273278501248</v>
      </c>
      <c r="HE21" s="3">
        <f t="shared" si="46"/>
        <v>3055.3650545716237</v>
      </c>
      <c r="HF21" s="3">
        <f t="shared" si="46"/>
        <v>3024.8114040259074</v>
      </c>
      <c r="HG21" s="3">
        <f t="shared" si="46"/>
        <v>2994.5632899856482</v>
      </c>
      <c r="HH21" s="3">
        <f t="shared" si="46"/>
        <v>2964.6176570857915</v>
      </c>
      <c r="HI21" s="3">
        <f t="shared" si="46"/>
        <v>2934.9714805149338</v>
      </c>
      <c r="HJ21" s="3">
        <f t="shared" si="46"/>
        <v>2905.6217657097845</v>
      </c>
      <c r="HK21" s="3">
        <f t="shared" si="46"/>
        <v>2876.5655480526866</v>
      </c>
      <c r="HL21" s="3">
        <f t="shared" si="46"/>
        <v>2847.7998925721599</v>
      </c>
      <c r="HM21" s="3">
        <f t="shared" si="46"/>
        <v>2819.3218936464382</v>
      </c>
      <c r="HN21" s="3">
        <f t="shared" si="46"/>
        <v>2791.1286747099739</v>
      </c>
      <c r="HO21" s="3">
        <f t="shared" si="46"/>
        <v>2763.217387962874</v>
      </c>
      <c r="HP21" s="3">
        <f t="shared" si="46"/>
        <v>2735.5852140832453</v>
      </c>
      <c r="HQ21" s="3">
        <f t="shared" si="46"/>
        <v>2708.2293619424127</v>
      </c>
      <c r="HR21" s="3">
        <f t="shared" si="46"/>
        <v>2681.1470683229886</v>
      </c>
      <c r="HS21" s="3">
        <f t="shared" si="46"/>
        <v>2654.3355976397588</v>
      </c>
      <c r="HT21" s="3">
        <f t="shared" si="46"/>
        <v>2627.792241663361</v>
      </c>
      <c r="HU21" s="3">
        <f t="shared" si="46"/>
        <v>2601.5143192467272</v>
      </c>
      <c r="HV21" s="3">
        <f t="shared" si="46"/>
        <v>2575.4991760542598</v>
      </c>
      <c r="HW21" s="3">
        <f t="shared" si="46"/>
        <v>2549.7441842937174</v>
      </c>
      <c r="HX21" s="3">
        <f t="shared" si="46"/>
        <v>2524.2467424507799</v>
      </c>
      <c r="HY21" s="3">
        <f t="shared" si="46"/>
        <v>2499.0042750262724</v>
      </c>
      <c r="HZ21" s="3">
        <f t="shared" ref="HZ21:KK21" si="47">HY21*(1+$AR$35)</f>
        <v>2474.0142322760098</v>
      </c>
      <c r="IA21" s="3">
        <f t="shared" si="47"/>
        <v>2449.2740899532496</v>
      </c>
      <c r="IB21" s="3">
        <f t="shared" si="47"/>
        <v>2424.7813490537169</v>
      </c>
      <c r="IC21" s="3">
        <f t="shared" si="47"/>
        <v>2400.5335355631796</v>
      </c>
      <c r="ID21" s="3">
        <f t="shared" si="47"/>
        <v>2376.5282002075478</v>
      </c>
      <c r="IE21" s="3">
        <f t="shared" si="47"/>
        <v>2352.7629182054725</v>
      </c>
      <c r="IF21" s="3">
        <f t="shared" si="47"/>
        <v>2329.2352890234179</v>
      </c>
      <c r="IG21" s="3">
        <f t="shared" si="47"/>
        <v>2305.9429361331836</v>
      </c>
      <c r="IH21" s="3">
        <f t="shared" si="47"/>
        <v>2282.8835067718519</v>
      </c>
      <c r="II21" s="3">
        <f t="shared" si="47"/>
        <v>2260.0546717041334</v>
      </c>
      <c r="IJ21" s="3">
        <f t="shared" si="47"/>
        <v>2237.4541249870922</v>
      </c>
      <c r="IK21" s="3">
        <f t="shared" si="47"/>
        <v>2215.0795837372211</v>
      </c>
      <c r="IL21" s="3">
        <f t="shared" si="47"/>
        <v>2192.9287878998489</v>
      </c>
      <c r="IM21" s="3">
        <f t="shared" si="47"/>
        <v>2170.9995000208505</v>
      </c>
      <c r="IN21" s="3">
        <f t="shared" si="47"/>
        <v>2149.2895050206421</v>
      </c>
      <c r="IO21" s="3">
        <f t="shared" si="47"/>
        <v>2127.7966099704358</v>
      </c>
      <c r="IP21" s="3">
        <f t="shared" si="47"/>
        <v>2106.5186438707315</v>
      </c>
      <c r="IQ21" s="3">
        <f t="shared" si="47"/>
        <v>2085.4534574320242</v>
      </c>
      <c r="IR21" s="3">
        <f t="shared" si="47"/>
        <v>2064.5989228577041</v>
      </c>
      <c r="IS21" s="3">
        <f t="shared" si="47"/>
        <v>2043.9529336291271</v>
      </c>
      <c r="IT21" s="3">
        <f t="shared" si="47"/>
        <v>2023.5134042928357</v>
      </c>
      <c r="IU21" s="3">
        <f t="shared" si="47"/>
        <v>2003.2782702499073</v>
      </c>
      <c r="IV21" s="3">
        <f t="shared" si="47"/>
        <v>1983.2454875474082</v>
      </c>
      <c r="IW21" s="3">
        <f t="shared" si="47"/>
        <v>1963.4130326719342</v>
      </c>
      <c r="IX21" s="3">
        <f t="shared" si="47"/>
        <v>1943.7789023452149</v>
      </c>
      <c r="IY21" s="3">
        <f t="shared" si="47"/>
        <v>1924.3411133217628</v>
      </c>
      <c r="IZ21" s="3">
        <f t="shared" si="47"/>
        <v>1905.0977021885451</v>
      </c>
      <c r="JA21" s="3">
        <f t="shared" si="47"/>
        <v>1886.0467251666596</v>
      </c>
      <c r="JB21" s="3">
        <f t="shared" si="47"/>
        <v>1867.1862579149929</v>
      </c>
      <c r="JC21" s="3">
        <f t="shared" si="47"/>
        <v>1848.5143953358429</v>
      </c>
      <c r="JD21" s="3">
        <f t="shared" si="47"/>
        <v>1830.0292513824845</v>
      </c>
      <c r="JE21" s="3">
        <f t="shared" si="47"/>
        <v>1811.7289588686597</v>
      </c>
      <c r="JF21" s="3">
        <f t="shared" si="47"/>
        <v>1793.6116692799731</v>
      </c>
      <c r="JG21" s="3">
        <f t="shared" si="47"/>
        <v>1775.6755525871733</v>
      </c>
      <c r="JH21" s="3">
        <f t="shared" si="47"/>
        <v>1757.9187970613016</v>
      </c>
      <c r="JI21" s="3">
        <f t="shared" si="47"/>
        <v>1740.3396090906886</v>
      </c>
      <c r="JJ21" s="3">
        <f t="shared" si="47"/>
        <v>1722.9362129997817</v>
      </c>
      <c r="JK21" s="3">
        <f t="shared" si="47"/>
        <v>1705.7068508697839</v>
      </c>
      <c r="JL21" s="3">
        <f t="shared" si="47"/>
        <v>1688.649782361086</v>
      </c>
      <c r="JM21" s="3">
        <f t="shared" si="47"/>
        <v>1671.7632845374751</v>
      </c>
      <c r="JN21" s="3">
        <f t="shared" si="47"/>
        <v>1655.0456516921004</v>
      </c>
      <c r="JO21" s="3">
        <f t="shared" si="47"/>
        <v>1638.4951951751793</v>
      </c>
      <c r="JP21" s="3">
        <f t="shared" si="47"/>
        <v>1622.1102432234275</v>
      </c>
      <c r="JQ21" s="3">
        <f t="shared" si="47"/>
        <v>1605.8891407911931</v>
      </c>
      <c r="JR21" s="3">
        <f t="shared" si="47"/>
        <v>1589.8302493832812</v>
      </c>
      <c r="JS21" s="3">
        <f t="shared" si="47"/>
        <v>1573.9319468894485</v>
      </c>
      <c r="JT21" s="3">
        <f t="shared" si="47"/>
        <v>1558.1926274205539</v>
      </c>
      <c r="JU21" s="3">
        <f t="shared" si="47"/>
        <v>1542.6107011463484</v>
      </c>
      <c r="JV21" s="3">
        <f t="shared" si="47"/>
        <v>1527.1845941348849</v>
      </c>
      <c r="JW21" s="3">
        <f t="shared" si="47"/>
        <v>1511.9127481935361</v>
      </c>
      <c r="JX21" s="3">
        <f t="shared" si="47"/>
        <v>1496.7936207116009</v>
      </c>
      <c r="JY21" s="3">
        <f t="shared" si="47"/>
        <v>1481.8256845044848</v>
      </c>
      <c r="JZ21" s="3">
        <f t="shared" si="47"/>
        <v>1467.0074276594398</v>
      </c>
      <c r="KA21" s="3">
        <f t="shared" si="47"/>
        <v>1452.3373533828453</v>
      </c>
      <c r="KB21" s="3">
        <f t="shared" si="47"/>
        <v>1437.813979849017</v>
      </c>
      <c r="KC21" s="3">
        <f t="shared" si="47"/>
        <v>1423.4358400505268</v>
      </c>
      <c r="KD21" s="3">
        <f t="shared" si="47"/>
        <v>1409.2014816500216</v>
      </c>
      <c r="KE21" s="3">
        <f t="shared" si="47"/>
        <v>1395.1094668335213</v>
      </c>
      <c r="KF21" s="3">
        <f t="shared" si="47"/>
        <v>1381.1583721651862</v>
      </c>
      <c r="KG21" s="3">
        <f t="shared" si="47"/>
        <v>1367.3467884435343</v>
      </c>
      <c r="KH21" s="3">
        <f t="shared" si="47"/>
        <v>1353.6733205590988</v>
      </c>
      <c r="KI21" s="3">
        <f t="shared" si="47"/>
        <v>1340.1365873535078</v>
      </c>
      <c r="KJ21" s="3">
        <f t="shared" si="47"/>
        <v>1326.7352214799728</v>
      </c>
      <c r="KK21" s="3">
        <f t="shared" si="47"/>
        <v>1313.467869265173</v>
      </c>
      <c r="KL21" s="3">
        <f t="shared" ref="KL21:MW21" si="48">KK21*(1+$AR$35)</f>
        <v>1300.3331905725213</v>
      </c>
      <c r="KM21" s="3">
        <f t="shared" si="48"/>
        <v>1287.3298586667961</v>
      </c>
      <c r="KN21" s="3">
        <f t="shared" si="48"/>
        <v>1274.4565600801282</v>
      </c>
      <c r="KO21" s="3">
        <f t="shared" si="48"/>
        <v>1261.7119944793269</v>
      </c>
      <c r="KP21" s="3">
        <f t="shared" si="48"/>
        <v>1249.0948745345336</v>
      </c>
      <c r="KQ21" s="3">
        <f t="shared" si="48"/>
        <v>1236.6039257891882</v>
      </c>
      <c r="KR21" s="3">
        <f t="shared" si="48"/>
        <v>1224.2378865312962</v>
      </c>
      <c r="KS21" s="3">
        <f t="shared" si="48"/>
        <v>1211.9955076659833</v>
      </c>
      <c r="KT21" s="3">
        <f t="shared" si="48"/>
        <v>1199.8755525893234</v>
      </c>
      <c r="KU21" s="3">
        <f t="shared" si="48"/>
        <v>1187.8767970634301</v>
      </c>
      <c r="KV21" s="3">
        <f t="shared" si="48"/>
        <v>1175.9980290927958</v>
      </c>
      <c r="KW21" s="3">
        <f t="shared" si="48"/>
        <v>1164.2380488018678</v>
      </c>
      <c r="KX21" s="3">
        <f t="shared" si="48"/>
        <v>1152.595668313849</v>
      </c>
      <c r="KY21" s="3">
        <f t="shared" si="48"/>
        <v>1141.0697116307106</v>
      </c>
      <c r="KZ21" s="3">
        <f t="shared" si="48"/>
        <v>1129.6590145144035</v>
      </c>
      <c r="LA21" s="3">
        <f t="shared" si="48"/>
        <v>1118.3624243692593</v>
      </c>
      <c r="LB21" s="3">
        <f t="shared" si="48"/>
        <v>1107.1788001255668</v>
      </c>
      <c r="LC21" s="3">
        <f t="shared" si="48"/>
        <v>1096.107012124311</v>
      </c>
      <c r="LD21" s="3">
        <f t="shared" si="48"/>
        <v>1085.1459420030678</v>
      </c>
      <c r="LE21" s="3">
        <f t="shared" si="48"/>
        <v>1074.2944825830371</v>
      </c>
      <c r="LF21" s="3">
        <f t="shared" si="48"/>
        <v>1063.5515377572067</v>
      </c>
      <c r="LG21" s="3">
        <f t="shared" si="48"/>
        <v>1052.9160223796346</v>
      </c>
      <c r="LH21" s="3">
        <f t="shared" si="48"/>
        <v>1042.3868621558381</v>
      </c>
      <c r="LI21" s="3">
        <f t="shared" si="48"/>
        <v>1031.9629935342798</v>
      </c>
      <c r="LJ21" s="3">
        <f t="shared" si="48"/>
        <v>1021.643363598937</v>
      </c>
      <c r="LK21" s="3">
        <f t="shared" si="48"/>
        <v>1011.4269299629476</v>
      </c>
      <c r="LL21" s="3">
        <f t="shared" si="48"/>
        <v>1001.3126606633181</v>
      </c>
      <c r="LM21" s="3">
        <f t="shared" si="48"/>
        <v>991.29953405668493</v>
      </c>
      <c r="LN21" s="3">
        <f t="shared" si="48"/>
        <v>981.38653871611803</v>
      </c>
      <c r="LO21" s="3">
        <f t="shared" si="48"/>
        <v>971.57267332895685</v>
      </c>
      <c r="LP21" s="3">
        <f t="shared" si="48"/>
        <v>961.8569465956673</v>
      </c>
      <c r="LQ21" s="3">
        <f t="shared" si="48"/>
        <v>952.23837712971067</v>
      </c>
      <c r="LR21" s="3">
        <f t="shared" si="48"/>
        <v>942.71599335841358</v>
      </c>
      <c r="LS21" s="3">
        <f t="shared" si="48"/>
        <v>933.28883342482948</v>
      </c>
      <c r="LT21" s="3">
        <f t="shared" si="48"/>
        <v>923.95594509058117</v>
      </c>
      <c r="LU21" s="3">
        <f t="shared" si="48"/>
        <v>914.71638563967531</v>
      </c>
      <c r="LV21" s="3">
        <f t="shared" si="48"/>
        <v>905.56922178327852</v>
      </c>
      <c r="LW21" s="3">
        <f t="shared" si="48"/>
        <v>896.51352956544577</v>
      </c>
      <c r="LX21" s="3">
        <f t="shared" si="48"/>
        <v>887.54839426979129</v>
      </c>
      <c r="LY21" s="3">
        <f t="shared" si="48"/>
        <v>878.6729103270934</v>
      </c>
      <c r="LZ21" s="3">
        <f t="shared" si="48"/>
        <v>869.88618122382252</v>
      </c>
      <c r="MA21" s="3">
        <f t="shared" si="48"/>
        <v>861.18731941158433</v>
      </c>
      <c r="MB21" s="3">
        <f t="shared" si="48"/>
        <v>852.57544621746842</v>
      </c>
      <c r="MC21" s="3">
        <f t="shared" si="48"/>
        <v>844.04969175529368</v>
      </c>
      <c r="MD21" s="3">
        <f t="shared" si="48"/>
        <v>835.60919483774069</v>
      </c>
      <c r="ME21" s="3">
        <f t="shared" si="48"/>
        <v>827.25310288936328</v>
      </c>
      <c r="MF21" s="3">
        <f t="shared" si="48"/>
        <v>818.98057186046958</v>
      </c>
      <c r="MG21" s="3">
        <f t="shared" si="48"/>
        <v>810.79076614186488</v>
      </c>
      <c r="MH21" s="3">
        <f t="shared" si="48"/>
        <v>802.68285848044627</v>
      </c>
      <c r="MI21" s="3">
        <f t="shared" si="48"/>
        <v>794.65602989564184</v>
      </c>
      <c r="MJ21" s="3">
        <f t="shared" si="48"/>
        <v>786.70946959668538</v>
      </c>
      <c r="MK21" s="3">
        <f t="shared" si="48"/>
        <v>778.84237490071848</v>
      </c>
      <c r="ML21" s="3">
        <f t="shared" si="48"/>
        <v>771.05395115171132</v>
      </c>
      <c r="MM21" s="3">
        <f t="shared" si="48"/>
        <v>763.34341164019418</v>
      </c>
      <c r="MN21" s="3">
        <f t="shared" si="48"/>
        <v>755.70997752379219</v>
      </c>
      <c r="MO21" s="3">
        <f t="shared" si="48"/>
        <v>748.15287774855426</v>
      </c>
      <c r="MP21" s="3">
        <f t="shared" si="48"/>
        <v>740.67134897106871</v>
      </c>
      <c r="MQ21" s="3">
        <f t="shared" si="48"/>
        <v>733.26463548135803</v>
      </c>
      <c r="MR21" s="3">
        <f t="shared" si="48"/>
        <v>725.93198912654441</v>
      </c>
      <c r="MS21" s="3">
        <f t="shared" si="48"/>
        <v>718.67266923527893</v>
      </c>
      <c r="MT21" s="3">
        <f t="shared" si="48"/>
        <v>711.48594254292618</v>
      </c>
      <c r="MU21" s="3">
        <f t="shared" si="48"/>
        <v>704.37108311749694</v>
      </c>
      <c r="MV21" s="3">
        <f t="shared" si="48"/>
        <v>697.32737228632197</v>
      </c>
      <c r="MW21" s="3">
        <f t="shared" si="48"/>
        <v>690.35409856345871</v>
      </c>
      <c r="MX21" s="3">
        <f t="shared" ref="MX21:NJ21" si="49">MW21*(1+$AR$35)</f>
        <v>683.45055757782416</v>
      </c>
      <c r="MY21" s="3">
        <f t="shared" si="49"/>
        <v>676.61605200204588</v>
      </c>
      <c r="MZ21" s="3">
        <f t="shared" si="49"/>
        <v>669.84989148202544</v>
      </c>
      <c r="NA21" s="3">
        <f t="shared" si="49"/>
        <v>663.15139256720522</v>
      </c>
      <c r="NB21" s="3">
        <f t="shared" si="49"/>
        <v>656.51987864153318</v>
      </c>
      <c r="NC21" s="3">
        <f t="shared" si="49"/>
        <v>649.95467985511789</v>
      </c>
      <c r="ND21" s="3">
        <f t="shared" si="49"/>
        <v>643.45513305656675</v>
      </c>
      <c r="NE21" s="3">
        <f t="shared" si="49"/>
        <v>637.02058172600107</v>
      </c>
      <c r="NF21" s="3">
        <f t="shared" si="49"/>
        <v>630.65037590874101</v>
      </c>
      <c r="NG21" s="3">
        <f t="shared" si="49"/>
        <v>624.34387214965363</v>
      </c>
      <c r="NH21" s="3">
        <f t="shared" si="49"/>
        <v>618.10043342815709</v>
      </c>
      <c r="NI21" s="3">
        <f t="shared" si="49"/>
        <v>611.91942909387546</v>
      </c>
      <c r="NJ21" s="3">
        <f t="shared" si="49"/>
        <v>605.80023480293676</v>
      </c>
    </row>
    <row r="22" spans="1:374" x14ac:dyDescent="0.2">
      <c r="C22" s="3"/>
      <c r="D22" s="3"/>
      <c r="E22" s="3"/>
      <c r="F22" s="3"/>
      <c r="G22" s="3"/>
      <c r="H22" s="3"/>
      <c r="I22" s="3"/>
      <c r="K22" s="3"/>
      <c r="L22" s="3"/>
      <c r="M22" s="3"/>
      <c r="N22" s="3"/>
      <c r="O22" s="3"/>
      <c r="P22" s="3"/>
      <c r="Q22" s="3"/>
    </row>
    <row r="23" spans="1:374" x14ac:dyDescent="0.2">
      <c r="B23" t="s">
        <v>49</v>
      </c>
      <c r="C23" s="6">
        <f t="shared" ref="C23:R23" si="50">C21/C24</f>
        <v>1.4625228519195612E-2</v>
      </c>
      <c r="D23" s="6">
        <f t="shared" si="50"/>
        <v>3.1559963931469794E-2</v>
      </c>
      <c r="E23" s="6">
        <f t="shared" si="50"/>
        <v>0.10743061772605192</v>
      </c>
      <c r="F23" s="6">
        <f t="shared" si="50"/>
        <v>0.1388888888888889</v>
      </c>
      <c r="G23" s="6">
        <f t="shared" si="50"/>
        <v>0.13235294117647059</v>
      </c>
      <c r="H23" s="6">
        <f t="shared" si="50"/>
        <v>0.12795436022819887</v>
      </c>
      <c r="I23" s="6">
        <f t="shared" si="50"/>
        <v>0.32098765432098764</v>
      </c>
      <c r="J23" s="6">
        <f t="shared" si="50"/>
        <v>1.4565393988627133</v>
      </c>
      <c r="K23" s="6">
        <f t="shared" si="50"/>
        <v>0.45085296506904954</v>
      </c>
      <c r="L23" s="6">
        <f t="shared" si="50"/>
        <v>0.57629870129870131</v>
      </c>
      <c r="M23" s="6">
        <f t="shared" si="50"/>
        <v>0.75040650406504061</v>
      </c>
      <c r="N23" s="6">
        <f t="shared" si="50"/>
        <v>0.69290780141843966</v>
      </c>
      <c r="O23" s="6">
        <f t="shared" si="50"/>
        <v>0.68936170212765957</v>
      </c>
      <c r="P23" s="6">
        <f t="shared" si="50"/>
        <v>0.52328431372549022</v>
      </c>
      <c r="Q23" s="6">
        <f t="shared" si="50"/>
        <v>0.38830219333874899</v>
      </c>
      <c r="R23" s="6">
        <f t="shared" si="50"/>
        <v>0.30547246172796061</v>
      </c>
      <c r="S23" s="6">
        <f t="shared" ref="S23:T23" si="51">S21/S24</f>
        <v>0.10304158907510863</v>
      </c>
      <c r="T23" s="6">
        <f t="shared" si="51"/>
        <v>0.14649286157666047</v>
      </c>
      <c r="U23" s="6">
        <f t="shared" ref="U23:V23" si="52">U21/U24</f>
        <v>0.31246163290362183</v>
      </c>
      <c r="V23" s="6">
        <f t="shared" si="52"/>
        <v>0.54461538461538461</v>
      </c>
      <c r="W23" s="6">
        <f t="shared" ref="W23:Z23" si="53">W21/W24</f>
        <v>0.14223981538461522</v>
      </c>
      <c r="X23" s="6">
        <f t="shared" si="53"/>
        <v>0.24391341538461542</v>
      </c>
      <c r="Y23" s="6">
        <f t="shared" si="53"/>
        <v>0.4682881507692308</v>
      </c>
      <c r="Z23" s="6">
        <f t="shared" si="53"/>
        <v>0.72916908630769239</v>
      </c>
      <c r="AC23" s="8">
        <f>AC21/AC24</f>
        <v>0.25823551684967816</v>
      </c>
      <c r="AD23" s="8">
        <f>AD21/AD24</f>
        <v>1.7585357268567405</v>
      </c>
      <c r="AE23" s="8">
        <f>AE21/AE24</f>
        <v>2.2150272743269399</v>
      </c>
      <c r="AF23" s="8">
        <f>AF21/AF24</f>
        <v>1.9010318331503842</v>
      </c>
      <c r="AG23" s="8">
        <f>AG21/AG24</f>
        <v>1.0855384615384616</v>
      </c>
      <c r="AH23" s="8">
        <f>AH21/AH24</f>
        <v>1.5540720063076912</v>
      </c>
    </row>
    <row r="24" spans="1:374" x14ac:dyDescent="0.2">
      <c r="B24" t="s">
        <v>2</v>
      </c>
      <c r="C24" s="3">
        <v>1094</v>
      </c>
      <c r="D24" s="3">
        <v>1109</v>
      </c>
      <c r="E24" s="3">
        <v>1117</v>
      </c>
      <c r="F24" s="3">
        <v>1224</v>
      </c>
      <c r="G24" s="3">
        <v>1224</v>
      </c>
      <c r="H24" s="3">
        <v>1227</v>
      </c>
      <c r="I24" s="3">
        <v>1215</v>
      </c>
      <c r="J24" s="3">
        <v>1231</v>
      </c>
      <c r="K24" s="3">
        <v>1231</v>
      </c>
      <c r="L24" s="3">
        <v>1232</v>
      </c>
      <c r="M24" s="3">
        <v>1230</v>
      </c>
      <c r="N24" s="3">
        <v>1410</v>
      </c>
      <c r="O24" s="3">
        <v>1410</v>
      </c>
      <c r="P24" s="3">
        <v>1632</v>
      </c>
      <c r="Q24" s="3">
        <v>1231</v>
      </c>
      <c r="R24" s="3">
        <f>AVERAGE(N24:Q24)</f>
        <v>1420.75</v>
      </c>
      <c r="S24" s="3">
        <v>1611</v>
      </c>
      <c r="T24" s="3">
        <v>1611</v>
      </c>
      <c r="U24" s="3">
        <v>1629</v>
      </c>
      <c r="V24" s="3">
        <v>1625</v>
      </c>
      <c r="W24" s="3">
        <v>1625</v>
      </c>
      <c r="X24" s="3">
        <v>1625</v>
      </c>
      <c r="Y24" s="3">
        <v>1625</v>
      </c>
      <c r="Z24" s="3">
        <v>1625</v>
      </c>
      <c r="AC24" s="3">
        <f>AVERAGE(L24:O24)</f>
        <v>1320.5</v>
      </c>
      <c r="AD24" s="3">
        <f>AVERAGE(M24:P24)</f>
        <v>1420.5</v>
      </c>
      <c r="AE24" s="3">
        <f>AVERAGE(N24:Q24)</f>
        <v>1420.75</v>
      </c>
      <c r="AF24" s="3">
        <f>AVERAGE(O24:R24)</f>
        <v>1423.4375</v>
      </c>
      <c r="AG24" s="3">
        <v>1625</v>
      </c>
      <c r="AH24" s="3">
        <v>1625</v>
      </c>
    </row>
    <row r="27" spans="1:374" x14ac:dyDescent="0.2">
      <c r="B27" t="s">
        <v>50</v>
      </c>
      <c r="G27" s="7">
        <f t="shared" ref="G27:U27" si="54">G7/C7-1</f>
        <v>0.40408805031446549</v>
      </c>
      <c r="H27" s="7">
        <f t="shared" si="54"/>
        <v>0.26192031352057477</v>
      </c>
      <c r="I27" s="7">
        <f t="shared" si="54"/>
        <v>0.55524708495280395</v>
      </c>
      <c r="J27" s="7">
        <f t="shared" si="54"/>
        <v>0.5251527973671839</v>
      </c>
      <c r="K27" s="7">
        <f t="shared" si="54"/>
        <v>0.92889137737961924</v>
      </c>
      <c r="L27" s="7">
        <f t="shared" si="54"/>
        <v>0.99275362318840576</v>
      </c>
      <c r="M27" s="7">
        <f t="shared" si="54"/>
        <v>0.5398072117101036</v>
      </c>
      <c r="N27" s="7">
        <f t="shared" si="54"/>
        <v>0.48766954377311955</v>
      </c>
      <c r="O27" s="7">
        <f t="shared" si="54"/>
        <v>0.70885341074020314</v>
      </c>
      <c r="P27" s="7">
        <f t="shared" si="54"/>
        <v>0.70129870129870131</v>
      </c>
      <c r="Q27" s="7">
        <f t="shared" si="54"/>
        <v>0.29028518432645489</v>
      </c>
      <c r="R27" s="7">
        <f t="shared" si="54"/>
        <v>0.16017405719021971</v>
      </c>
      <c r="S27" s="7">
        <f t="shared" si="54"/>
        <v>-9.0708340411075228E-2</v>
      </c>
      <c r="T27" s="7">
        <f t="shared" si="54"/>
        <v>-0.18183206106870231</v>
      </c>
      <c r="U27" s="7">
        <f t="shared" si="54"/>
        <v>4.2228212039532753E-2</v>
      </c>
      <c r="V27" s="7">
        <f>V7/R7-1</f>
        <v>0.10162529023039824</v>
      </c>
      <c r="W27" s="7">
        <f>W7/S7-1</f>
        <v>6.9998131888659998E-3</v>
      </c>
      <c r="X27" s="7">
        <f t="shared" ref="X27:Z27" si="55">X7/T7-1</f>
        <v>6.6323941033775036E-2</v>
      </c>
      <c r="Y27" s="7">
        <f t="shared" si="55"/>
        <v>0.10850853448275877</v>
      </c>
      <c r="Z27" s="7">
        <f t="shared" si="55"/>
        <v>0.1771380958171207</v>
      </c>
      <c r="AC27" s="7"/>
      <c r="AD27" s="7">
        <f t="shared" ref="AD27:AE27" si="56">AD7/AC7-1</f>
        <v>0.45045312732134901</v>
      </c>
      <c r="AE27" s="7">
        <f t="shared" si="56"/>
        <v>0.68329406944586712</v>
      </c>
      <c r="AF27" s="7">
        <f>AF7/AE7-1</f>
        <v>0.43610806863818907</v>
      </c>
      <c r="AG27" s="7">
        <f t="shared" ref="AG27:AN27" si="57">AG7/AF7-1</f>
        <v>-3.9023770179229644E-2</v>
      </c>
      <c r="AH27" s="7">
        <f t="shared" si="57"/>
        <v>9.3246793430334929E-2</v>
      </c>
      <c r="AI27" s="7">
        <f t="shared" si="57"/>
        <v>0.14999999999999991</v>
      </c>
      <c r="AJ27" s="7">
        <f t="shared" si="57"/>
        <v>0.19999999999999996</v>
      </c>
      <c r="AK27" s="7">
        <f t="shared" si="57"/>
        <v>0.19999999999999996</v>
      </c>
      <c r="AL27" s="7">
        <f t="shared" si="57"/>
        <v>0.19999999999999996</v>
      </c>
      <c r="AM27" s="7">
        <f t="shared" si="57"/>
        <v>0.19999999999999996</v>
      </c>
      <c r="AN27" s="7">
        <f t="shared" si="57"/>
        <v>0.19999999999999996</v>
      </c>
    </row>
    <row r="28" spans="1:374" x14ac:dyDescent="0.2">
      <c r="B28" t="s">
        <v>51</v>
      </c>
      <c r="C28" s="7">
        <f>C9/C7</f>
        <v>0.40959119496855345</v>
      </c>
      <c r="D28" s="7">
        <f t="shared" ref="D28:Q28" si="58">D9/D7</f>
        <v>0.40561724363161333</v>
      </c>
      <c r="E28" s="7">
        <f t="shared" si="58"/>
        <v>0.43142698500832871</v>
      </c>
      <c r="F28" s="7">
        <f t="shared" si="58"/>
        <v>0.44616831217677477</v>
      </c>
      <c r="G28" s="7">
        <f t="shared" si="58"/>
        <v>0.45800671892497202</v>
      </c>
      <c r="H28" s="7">
        <f t="shared" si="58"/>
        <v>0.43892339544513459</v>
      </c>
      <c r="I28" s="7">
        <f t="shared" si="58"/>
        <v>0.43912888254194932</v>
      </c>
      <c r="J28" s="7">
        <f t="shared" si="58"/>
        <v>0.44728729963008629</v>
      </c>
      <c r="K28" s="7">
        <f t="shared" si="58"/>
        <v>0.46066763425253993</v>
      </c>
      <c r="L28" s="7">
        <f t="shared" si="58"/>
        <v>0.47532467532467532</v>
      </c>
      <c r="M28" s="7">
        <f t="shared" si="58"/>
        <v>0.48365406909343844</v>
      </c>
      <c r="N28" s="7">
        <f t="shared" si="58"/>
        <v>0.50269374222958974</v>
      </c>
      <c r="O28" s="7">
        <f t="shared" si="58"/>
        <v>0.51027688126380155</v>
      </c>
      <c r="P28" s="7">
        <f t="shared" si="58"/>
        <v>0.52442748091603053</v>
      </c>
      <c r="Q28" s="7">
        <f t="shared" si="58"/>
        <v>0.49703504043126684</v>
      </c>
      <c r="R28" s="7">
        <f t="shared" ref="R28:S28" si="59">R9/R7</f>
        <v>0.5083050544740132</v>
      </c>
      <c r="S28" s="7">
        <f t="shared" si="59"/>
        <v>0.49766486082570521</v>
      </c>
      <c r="T28" s="7">
        <f t="shared" ref="T28:U28" si="60">T9/T7</f>
        <v>0.49542825153946629</v>
      </c>
      <c r="U28" s="7">
        <f t="shared" si="60"/>
        <v>0.5098275862068965</v>
      </c>
      <c r="V28" s="7">
        <f t="shared" ref="V28:W28" si="61">V9/V7</f>
        <v>0.50680933852140075</v>
      </c>
      <c r="W28" s="7">
        <f t="shared" si="61"/>
        <v>0.51</v>
      </c>
      <c r="AC28" s="7">
        <f t="shared" ref="AC28:AF28" si="62">AC9/AC7</f>
        <v>0.42608824840291187</v>
      </c>
      <c r="AD28" s="7">
        <f t="shared" si="62"/>
        <v>0.44525248386766364</v>
      </c>
      <c r="AE28" s="7">
        <f t="shared" si="62"/>
        <v>0.48247535596933189</v>
      </c>
      <c r="AF28" s="7">
        <f t="shared" si="62"/>
        <v>0.51061395703571888</v>
      </c>
      <c r="AG28" s="7">
        <f t="shared" ref="AG28:AN28" si="63">AG9/AG7</f>
        <v>0.5027336860670194</v>
      </c>
      <c r="AH28" s="7">
        <f t="shared" si="63"/>
        <v>0.51</v>
      </c>
      <c r="AI28" s="7">
        <f t="shared" si="63"/>
        <v>0.5</v>
      </c>
      <c r="AJ28" s="7">
        <f t="shared" si="63"/>
        <v>0.5</v>
      </c>
      <c r="AK28" s="7">
        <f t="shared" si="63"/>
        <v>0.5</v>
      </c>
      <c r="AL28" s="7">
        <f t="shared" si="63"/>
        <v>0.5</v>
      </c>
      <c r="AM28" s="7">
        <f t="shared" si="63"/>
        <v>0.5</v>
      </c>
      <c r="AN28" s="7">
        <f t="shared" si="63"/>
        <v>0.5</v>
      </c>
    </row>
    <row r="29" spans="1:374" x14ac:dyDescent="0.2">
      <c r="B29" t="s">
        <v>52</v>
      </c>
      <c r="C29" s="7">
        <f>C19/C18</f>
        <v>-3.25</v>
      </c>
      <c r="D29" s="7">
        <f t="shared" ref="D29:Q29" si="64">D19/D18</f>
        <v>5.4054054054054057E-2</v>
      </c>
      <c r="E29" s="7">
        <f t="shared" si="64"/>
        <v>5.5555555555555552E-2</v>
      </c>
      <c r="F29" s="7">
        <f t="shared" si="64"/>
        <v>0.17073170731707318</v>
      </c>
      <c r="G29" s="7">
        <f t="shared" si="64"/>
        <v>3.5714285714285712E-2</v>
      </c>
      <c r="H29" s="7">
        <f t="shared" si="64"/>
        <v>2.5000000000000001E-2</v>
      </c>
      <c r="I29" s="7">
        <f t="shared" si="64"/>
        <v>2.9925187032418952E-2</v>
      </c>
      <c r="J29" s="7">
        <f t="shared" si="64"/>
        <v>-2.1960784313725492</v>
      </c>
      <c r="K29" s="7">
        <f t="shared" si="64"/>
        <v>0.13862928348909656</v>
      </c>
      <c r="L29" s="7">
        <f t="shared" si="64"/>
        <v>0.13763702801461633</v>
      </c>
      <c r="M29" s="7">
        <f t="shared" si="64"/>
        <v>8.175473579262213E-2</v>
      </c>
      <c r="N29" s="7">
        <f t="shared" si="64"/>
        <v>0.19035743973399832</v>
      </c>
      <c r="O29" s="7">
        <f t="shared" si="64"/>
        <v>0.1044362292051756</v>
      </c>
      <c r="P29" s="7">
        <f t="shared" si="64"/>
        <v>5.9734513274336286E-2</v>
      </c>
      <c r="Q29" s="7">
        <f t="shared" si="64"/>
        <v>-0.39823008849557523</v>
      </c>
      <c r="R29" s="7">
        <f t="shared" ref="R29:S29" si="65">R19/R18</f>
        <v>-0.56000000000000005</v>
      </c>
      <c r="S29" s="7">
        <f t="shared" si="65"/>
        <v>7.3033707865168537E-2</v>
      </c>
      <c r="T29" s="7">
        <f t="shared" ref="T29:U29" si="66">T19/T18</f>
        <v>-0.1111111111111111</v>
      </c>
      <c r="U29" s="7">
        <f t="shared" si="66"/>
        <v>-8.3511777301927201E-2</v>
      </c>
      <c r="V29" s="7">
        <f t="shared" ref="V29:W29" si="67">V19/V18</f>
        <v>-0.51030927835051543</v>
      </c>
      <c r="W29" s="7">
        <f t="shared" si="67"/>
        <v>-9.7494536649902611E-2</v>
      </c>
      <c r="AC29" s="7">
        <f t="shared" ref="AC29:AF29" si="68">AC19/AC18</f>
        <v>8.3333333333333329E-2</v>
      </c>
      <c r="AD29" s="7">
        <f t="shared" si="68"/>
        <v>-0.93798449612403101</v>
      </c>
      <c r="AE29" s="7">
        <f t="shared" si="68"/>
        <v>0.13982011447260834</v>
      </c>
      <c r="AF29" s="7">
        <f t="shared" si="68"/>
        <v>-4.6923076923076922E-2</v>
      </c>
      <c r="AG29" s="7">
        <f t="shared" ref="AG29:AN29" si="69">AG19/AG18</f>
        <v>-0.2412831241283124</v>
      </c>
      <c r="AH29" s="7">
        <f t="shared" si="69"/>
        <v>-3.2396966375565543E-2</v>
      </c>
      <c r="AI29" s="7">
        <f t="shared" si="69"/>
        <v>0.1</v>
      </c>
      <c r="AJ29" s="7">
        <f t="shared" si="69"/>
        <v>0.1</v>
      </c>
      <c r="AK29" s="7">
        <f t="shared" si="69"/>
        <v>0.1</v>
      </c>
      <c r="AL29" s="7">
        <f t="shared" si="69"/>
        <v>0.1</v>
      </c>
      <c r="AM29" s="7">
        <f t="shared" si="69"/>
        <v>0.1</v>
      </c>
      <c r="AN29" s="7">
        <f t="shared" si="69"/>
        <v>0.1</v>
      </c>
    </row>
    <row r="30" spans="1:374" x14ac:dyDescent="0.2">
      <c r="B30" t="s">
        <v>53</v>
      </c>
      <c r="C30" s="7">
        <f>C15/C7</f>
        <v>2.9874213836477988E-2</v>
      </c>
      <c r="D30" s="7">
        <f t="shared" ref="D30:U30" si="70">D15/D7</f>
        <v>3.8536903984323974E-2</v>
      </c>
      <c r="E30" s="7">
        <f t="shared" si="70"/>
        <v>0.10327595780122155</v>
      </c>
      <c r="F30" s="7">
        <f t="shared" si="70"/>
        <v>0.16361071932299012</v>
      </c>
      <c r="G30" s="7">
        <f t="shared" si="70"/>
        <v>9.9104143337066075E-2</v>
      </c>
      <c r="H30" s="7">
        <f t="shared" si="70"/>
        <v>8.9544513457556929E-2</v>
      </c>
      <c r="I30" s="7">
        <f t="shared" si="70"/>
        <v>0.16029989289539451</v>
      </c>
      <c r="J30" s="7">
        <f t="shared" si="70"/>
        <v>0.17570900123304561</v>
      </c>
      <c r="K30" s="7">
        <f t="shared" si="70"/>
        <v>0.19216255442670538</v>
      </c>
      <c r="L30" s="7">
        <f t="shared" si="70"/>
        <v>0.21584415584415584</v>
      </c>
      <c r="M30" s="7">
        <f t="shared" si="70"/>
        <v>0.21980060282865754</v>
      </c>
      <c r="N30" s="7">
        <f t="shared" si="70"/>
        <v>0.25010360547036886</v>
      </c>
      <c r="O30" s="7">
        <f t="shared" si="70"/>
        <v>0.19313742143706472</v>
      </c>
      <c r="P30" s="7">
        <f t="shared" si="70"/>
        <v>0.14244274809160307</v>
      </c>
      <c r="Q30" s="7">
        <f t="shared" si="70"/>
        <v>6.253369272237197E-2</v>
      </c>
      <c r="R30" s="7">
        <f t="shared" si="70"/>
        <v>5.2509376674406145E-2</v>
      </c>
      <c r="S30" s="7">
        <f t="shared" si="70"/>
        <v>2.9889781430973286E-2</v>
      </c>
      <c r="T30" s="7">
        <f t="shared" si="70"/>
        <v>3.5827579772345589E-2</v>
      </c>
      <c r="U30" s="7">
        <f t="shared" si="70"/>
        <v>7.4827586206896557E-2</v>
      </c>
      <c r="V30" s="7">
        <f t="shared" ref="V30:W30" si="71">V15/V7</f>
        <v>9.0304798962386509E-2</v>
      </c>
      <c r="W30" s="7">
        <f t="shared" si="71"/>
        <v>3.3418180603917609E-2</v>
      </c>
      <c r="X30" s="7"/>
      <c r="Y30" s="7"/>
      <c r="Z30" s="7"/>
      <c r="AA30" s="7"/>
      <c r="AB30" s="7"/>
      <c r="AC30" s="7">
        <f t="shared" ref="AC30:AN30" si="72">AC21/AC7</f>
        <v>5.0661120190164909E-2</v>
      </c>
      <c r="AD30" s="7">
        <f t="shared" si="72"/>
        <v>0.25586397623681245</v>
      </c>
      <c r="AE30" s="7">
        <f t="shared" si="72"/>
        <v>0.19149324571011317</v>
      </c>
      <c r="AF30" s="7">
        <f t="shared" si="72"/>
        <v>0.11465615863734588</v>
      </c>
      <c r="AG30" s="7">
        <f t="shared" si="72"/>
        <v>7.7777777777777779E-2</v>
      </c>
      <c r="AH30" s="7">
        <f t="shared" si="72"/>
        <v>0.10185051759933353</v>
      </c>
      <c r="AI30" s="7">
        <f t="shared" si="72"/>
        <v>9.1654714449894967E-2</v>
      </c>
      <c r="AJ30" s="7">
        <f t="shared" si="72"/>
        <v>0.13033457586331157</v>
      </c>
      <c r="AK30" s="7">
        <f t="shared" si="72"/>
        <v>0.16446970611695427</v>
      </c>
      <c r="AL30" s="7">
        <f t="shared" si="72"/>
        <v>0.19464054066101827</v>
      </c>
      <c r="AM30" s="7">
        <f t="shared" si="72"/>
        <v>0.22134784322955028</v>
      </c>
      <c r="AN30" s="7">
        <f t="shared" si="72"/>
        <v>0.24502427268097451</v>
      </c>
    </row>
    <row r="31" spans="1:374" x14ac:dyDescent="0.2">
      <c r="B31" t="s">
        <v>59</v>
      </c>
      <c r="C31" s="7">
        <f>C21/C7</f>
        <v>1.2578616352201259E-2</v>
      </c>
      <c r="D31" s="7">
        <f t="shared" ref="D31:U31" si="73">D21/D7</f>
        <v>2.2860875244937948E-2</v>
      </c>
      <c r="E31" s="7">
        <f t="shared" si="73"/>
        <v>6.6629650194336476E-2</v>
      </c>
      <c r="F31" s="7">
        <f t="shared" si="73"/>
        <v>7.992477668077104E-2</v>
      </c>
      <c r="G31" s="7">
        <f t="shared" si="73"/>
        <v>9.0705487122060474E-2</v>
      </c>
      <c r="H31" s="7">
        <f t="shared" si="73"/>
        <v>8.1262939958592129E-2</v>
      </c>
      <c r="I31" s="7">
        <f t="shared" si="73"/>
        <v>0.13923598714744734</v>
      </c>
      <c r="J31" s="7">
        <f t="shared" si="73"/>
        <v>0.55271270036991371</v>
      </c>
      <c r="K31" s="7">
        <f t="shared" si="73"/>
        <v>0.16110304789550073</v>
      </c>
      <c r="L31" s="7">
        <f t="shared" si="73"/>
        <v>0.18441558441558442</v>
      </c>
      <c r="M31" s="7">
        <f t="shared" si="73"/>
        <v>0.21400417342916764</v>
      </c>
      <c r="N31" s="7">
        <f t="shared" si="73"/>
        <v>0.20244508910070452</v>
      </c>
      <c r="O31" s="7">
        <f t="shared" si="73"/>
        <v>0.16510956344487854</v>
      </c>
      <c r="P31" s="7">
        <f t="shared" si="73"/>
        <v>0.13038167938931297</v>
      </c>
      <c r="Q31" s="7">
        <f t="shared" si="73"/>
        <v>8.5893980233602882E-2</v>
      </c>
      <c r="R31" s="7">
        <f t="shared" si="73"/>
        <v>7.7513841757456695E-2</v>
      </c>
      <c r="S31" s="7">
        <f t="shared" si="73"/>
        <v>3.1010648234634786E-2</v>
      </c>
      <c r="T31" s="7">
        <f t="shared" si="73"/>
        <v>4.4038066803508115E-2</v>
      </c>
      <c r="U31" s="7">
        <f t="shared" si="73"/>
        <v>8.7758620689655176E-2</v>
      </c>
      <c r="V31" s="7">
        <f t="shared" ref="V31:W31" si="74">V21/V7</f>
        <v>0.14348249027237353</v>
      </c>
      <c r="W31" s="7">
        <f t="shared" si="74"/>
        <v>4.2879322211235707E-2</v>
      </c>
      <c r="X31" s="7"/>
      <c r="Y31" s="7"/>
      <c r="Z31" s="7"/>
      <c r="AA31" s="7"/>
      <c r="AB31" s="7"/>
      <c r="AC31" s="7">
        <f t="shared" ref="AC31:AN31" si="75">AC15/AC7</f>
        <v>9.3745357302035356E-2</v>
      </c>
      <c r="AD31" s="7">
        <f t="shared" si="75"/>
        <v>0.14022329202089523</v>
      </c>
      <c r="AE31" s="7">
        <f t="shared" si="75"/>
        <v>0.22197882438846295</v>
      </c>
      <c r="AF31" s="7">
        <f t="shared" si="75"/>
        <v>0.11491038515317148</v>
      </c>
      <c r="AG31" s="7">
        <f t="shared" si="75"/>
        <v>5.9215167548500883E-2</v>
      </c>
      <c r="AH31" s="7">
        <f t="shared" si="75"/>
        <v>9.5558885261931945E-2</v>
      </c>
      <c r="AI31" s="7">
        <f t="shared" si="75"/>
        <v>0.10183857161099441</v>
      </c>
      <c r="AJ31" s="7">
        <f t="shared" si="75"/>
        <v>0.14481619540367952</v>
      </c>
      <c r="AK31" s="7">
        <f t="shared" si="75"/>
        <v>0.18274411790772696</v>
      </c>
      <c r="AL31" s="7">
        <f t="shared" si="75"/>
        <v>0.21626726740113139</v>
      </c>
      <c r="AM31" s="7">
        <f t="shared" si="75"/>
        <v>0.24594204803283365</v>
      </c>
      <c r="AN31" s="7">
        <f t="shared" si="75"/>
        <v>0.27224919186774948</v>
      </c>
    </row>
    <row r="33" spans="2:44" x14ac:dyDescent="0.2">
      <c r="B33" t="s">
        <v>5</v>
      </c>
      <c r="Q33" s="3">
        <f>3398+2193</f>
        <v>5591</v>
      </c>
      <c r="AF33" s="3">
        <f>3398+2193</f>
        <v>5591</v>
      </c>
      <c r="AG33" s="3">
        <f>AF33+AG21</f>
        <v>7355</v>
      </c>
      <c r="AH33" s="3">
        <f t="shared" ref="AH33:AN33" si="76">AG33+AH21</f>
        <v>9880.3670102499982</v>
      </c>
      <c r="AI33" s="3">
        <f t="shared" si="76"/>
        <v>12493.815300062495</v>
      </c>
      <c r="AJ33" s="3">
        <f t="shared" si="76"/>
        <v>16953.45724783749</v>
      </c>
      <c r="AK33" s="3">
        <f t="shared" si="76"/>
        <v>23706.624585167483</v>
      </c>
      <c r="AL33" s="3">
        <f t="shared" si="76"/>
        <v>33297.011819963474</v>
      </c>
      <c r="AM33" s="3">
        <f t="shared" si="76"/>
        <v>46384.59279121866</v>
      </c>
      <c r="AN33" s="3">
        <f t="shared" si="76"/>
        <v>63769.582652499885</v>
      </c>
    </row>
    <row r="34" spans="2:44" x14ac:dyDescent="0.2">
      <c r="AQ34" t="s">
        <v>55</v>
      </c>
      <c r="AR34" s="7">
        <v>0.09</v>
      </c>
    </row>
    <row r="35" spans="2:44" x14ac:dyDescent="0.2">
      <c r="AQ35" t="s">
        <v>54</v>
      </c>
      <c r="AR35" s="7">
        <v>-0.01</v>
      </c>
    </row>
    <row r="36" spans="2:44" x14ac:dyDescent="0.2">
      <c r="D36" t="s">
        <v>63</v>
      </c>
      <c r="AQ36" t="s">
        <v>56</v>
      </c>
      <c r="AR36" s="9">
        <f>NPV(AR34,AH21:NJ21)</f>
        <v>130442.11835823455</v>
      </c>
    </row>
    <row r="37" spans="2:44" x14ac:dyDescent="0.2">
      <c r="AQ37" t="s">
        <v>62</v>
      </c>
      <c r="AR37" s="9">
        <f>AR36/Main!K3</f>
        <v>80.919428261932111</v>
      </c>
    </row>
    <row r="38" spans="2:44" x14ac:dyDescent="0.2">
      <c r="AR38" s="2"/>
    </row>
    <row r="39" spans="2:44" x14ac:dyDescent="0.2">
      <c r="AR39" s="7"/>
    </row>
  </sheetData>
  <hyperlinks>
    <hyperlink ref="A1" location="Main!A1" display="Main" xr:uid="{9CFFDB33-B439-2E4B-ADBE-467462E7D5B9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Garza, Jacob S</dc:creator>
  <cp:keywords/>
  <dc:description/>
  <cp:lastModifiedBy>Garza, Jacob S</cp:lastModifiedBy>
  <cp:revision/>
  <dcterms:created xsi:type="dcterms:W3CDTF">2023-01-30T22:46:19Z</dcterms:created>
  <dcterms:modified xsi:type="dcterms:W3CDTF">2024-02-22T17:27:00Z</dcterms:modified>
  <cp:category/>
  <cp:contentStatus/>
</cp:coreProperties>
</file>