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jgarza25_illinois_edu/Documents/Stock Models/"/>
    </mc:Choice>
  </mc:AlternateContent>
  <xr:revisionPtr revIDLastSave="400" documentId="13_ncr:1_{55F96C2A-413B-674D-B4F6-7A526182DE84}" xr6:coauthVersionLast="47" xr6:coauthVersionMax="47" xr10:uidLastSave="{CDB73EFA-41AA-4497-9EE9-96211ECF10F7}"/>
  <bookViews>
    <workbookView xWindow="-105" yWindow="0" windowWidth="38610" windowHeight="20985" activeTab="1" xr2:uid="{AA25DAD4-58B6-7949-BD18-F6E7EA80AEDE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" i="2" l="1"/>
  <c r="AE7" i="2"/>
  <c r="AD7" i="2"/>
  <c r="AJ14" i="2" l="1"/>
  <c r="AI14" i="2"/>
  <c r="AH14" i="2"/>
  <c r="AG14" i="2"/>
  <c r="AF14" i="2"/>
  <c r="AE14" i="2"/>
  <c r="AD14" i="2"/>
  <c r="AD11" i="2"/>
  <c r="AE11" i="2" s="1"/>
  <c r="AF11" i="2" s="1"/>
  <c r="AG11" i="2" s="1"/>
  <c r="AH11" i="2" s="1"/>
  <c r="AI11" i="2" s="1"/>
  <c r="AJ11" i="2" s="1"/>
  <c r="AD10" i="2"/>
  <c r="AE10" i="2" s="1"/>
  <c r="AF10" i="2" s="1"/>
  <c r="AG10" i="2" s="1"/>
  <c r="AH10" i="2" s="1"/>
  <c r="AI10" i="2" s="1"/>
  <c r="AJ10" i="2" s="1"/>
  <c r="AC20" i="2"/>
  <c r="AC17" i="2"/>
  <c r="AC16" i="2"/>
  <c r="AC14" i="2"/>
  <c r="AC13" i="2"/>
  <c r="AC12" i="2"/>
  <c r="AC11" i="2"/>
  <c r="AC10" i="2"/>
  <c r="AC7" i="2"/>
  <c r="AG7" i="2" s="1"/>
  <c r="AH7" i="2" s="1"/>
  <c r="AI7" i="2" s="1"/>
  <c r="AJ7" i="2" s="1"/>
  <c r="V30" i="2"/>
  <c r="V28" i="2"/>
  <c r="V27" i="2"/>
  <c r="V14" i="2"/>
  <c r="V9" i="2"/>
  <c r="V15" i="2" s="1"/>
  <c r="V18" i="2" s="1"/>
  <c r="V8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U14" i="2"/>
  <c r="U9" i="2"/>
  <c r="U8" i="2" s="1"/>
  <c r="AC8" i="2" s="1"/>
  <c r="T14" i="2"/>
  <c r="T7" i="2"/>
  <c r="T9" i="2" s="1"/>
  <c r="S14" i="2"/>
  <c r="S7" i="2"/>
  <c r="M7" i="2"/>
  <c r="P7" i="2"/>
  <c r="N7" i="2"/>
  <c r="R7" i="2"/>
  <c r="L7" i="2"/>
  <c r="Q7" i="2"/>
  <c r="AC9" i="2" l="1"/>
  <c r="AE9" i="2"/>
  <c r="AE15" i="2" s="1"/>
  <c r="AE18" i="2" s="1"/>
  <c r="AE19" i="2" s="1"/>
  <c r="AE21" i="2" s="1"/>
  <c r="AC15" i="2"/>
  <c r="AD9" i="2"/>
  <c r="AD15" i="2" s="1"/>
  <c r="AD18" i="2"/>
  <c r="AD31" i="2"/>
  <c r="AD19" i="2"/>
  <c r="AD21" i="2" s="1"/>
  <c r="AE31" i="2"/>
  <c r="AC31" i="2"/>
  <c r="AC18" i="2"/>
  <c r="AF9" i="2"/>
  <c r="AF15" i="2" s="1"/>
  <c r="AF18" i="2" s="1"/>
  <c r="V19" i="2"/>
  <c r="U28" i="2"/>
  <c r="U15" i="2"/>
  <c r="S9" i="2"/>
  <c r="S15" i="2" s="1"/>
  <c r="T28" i="2"/>
  <c r="T15" i="2"/>
  <c r="AB7" i="2"/>
  <c r="R9" i="2"/>
  <c r="R28" i="2" s="1"/>
  <c r="AB33" i="2"/>
  <c r="AC1" i="2"/>
  <c r="AD1" i="2" s="1"/>
  <c r="AE1" i="2" s="1"/>
  <c r="AF1" i="2" s="1"/>
  <c r="AG1" i="2" s="1"/>
  <c r="AH1" i="2" s="1"/>
  <c r="AI1" i="2" s="1"/>
  <c r="AJ1" i="2" s="1"/>
  <c r="Y24" i="2"/>
  <c r="Y20" i="2"/>
  <c r="Y13" i="2"/>
  <c r="Y12" i="2"/>
  <c r="Z24" i="2"/>
  <c r="Z20" i="2"/>
  <c r="Z17" i="2"/>
  <c r="Z13" i="2"/>
  <c r="Z12" i="2"/>
  <c r="AA24" i="2"/>
  <c r="AA20" i="2"/>
  <c r="AA12" i="2"/>
  <c r="AB20" i="2"/>
  <c r="AB17" i="2"/>
  <c r="AB16" i="2"/>
  <c r="AB13" i="2"/>
  <c r="AB12" i="2"/>
  <c r="AB11" i="2"/>
  <c r="AB10" i="2"/>
  <c r="R14" i="2"/>
  <c r="R24" i="2"/>
  <c r="Q27" i="2"/>
  <c r="J19" i="2"/>
  <c r="Z19" i="2" s="1"/>
  <c r="J16" i="2"/>
  <c r="Z16" i="2" s="1"/>
  <c r="J11" i="2"/>
  <c r="Z11" i="2" s="1"/>
  <c r="J10" i="2"/>
  <c r="Z10" i="2" s="1"/>
  <c r="J8" i="2"/>
  <c r="Z8" i="2" s="1"/>
  <c r="J7" i="2"/>
  <c r="J9" i="2" s="1"/>
  <c r="F19" i="2"/>
  <c r="F17" i="2"/>
  <c r="Y17" i="2" s="1"/>
  <c r="F16" i="2"/>
  <c r="Y16" i="2" s="1"/>
  <c r="F11" i="2"/>
  <c r="Y11" i="2" s="1"/>
  <c r="F10" i="2"/>
  <c r="F14" i="2" s="1"/>
  <c r="F8" i="2"/>
  <c r="Y8" i="2" s="1"/>
  <c r="F7" i="2"/>
  <c r="C14" i="2"/>
  <c r="C9" i="2"/>
  <c r="C28" i="2" s="1"/>
  <c r="G14" i="2"/>
  <c r="G9" i="2"/>
  <c r="G28" i="2" s="1"/>
  <c r="D14" i="2"/>
  <c r="D9" i="2"/>
  <c r="D28" i="2" s="1"/>
  <c r="H14" i="2"/>
  <c r="H9" i="2"/>
  <c r="H15" i="2" s="1"/>
  <c r="E14" i="2"/>
  <c r="E9" i="2"/>
  <c r="I14" i="2"/>
  <c r="I9" i="2"/>
  <c r="I28" i="2" s="1"/>
  <c r="N19" i="2"/>
  <c r="AA19" i="2" s="1"/>
  <c r="N17" i="2"/>
  <c r="AA17" i="2" s="1"/>
  <c r="N16" i="2"/>
  <c r="AA16" i="2" s="1"/>
  <c r="N13" i="2"/>
  <c r="AA13" i="2" s="1"/>
  <c r="N11" i="2"/>
  <c r="AA11" i="2" s="1"/>
  <c r="N10" i="2"/>
  <c r="AA10" i="2" s="1"/>
  <c r="N8" i="2"/>
  <c r="AA8" i="2" s="1"/>
  <c r="AA7" i="2"/>
  <c r="K14" i="2"/>
  <c r="K9" i="2"/>
  <c r="K28" i="2" s="1"/>
  <c r="O14" i="2"/>
  <c r="O9" i="2"/>
  <c r="O28" i="2" s="1"/>
  <c r="L14" i="2"/>
  <c r="L9" i="2"/>
  <c r="P14" i="2"/>
  <c r="P9" i="2"/>
  <c r="P28" i="2" s="1"/>
  <c r="Q33" i="2"/>
  <c r="M14" i="2"/>
  <c r="M9" i="2"/>
  <c r="Q14" i="2"/>
  <c r="Q9" i="2"/>
  <c r="K6" i="1"/>
  <c r="K5" i="1"/>
  <c r="K4" i="1"/>
  <c r="K7" i="1" s="1"/>
  <c r="V21" i="2" l="1"/>
  <c r="V29" i="2"/>
  <c r="AF19" i="2"/>
  <c r="AF21" i="2" s="1"/>
  <c r="AF31" i="2"/>
  <c r="AG9" i="2"/>
  <c r="AG15" i="2" s="1"/>
  <c r="AG18" i="2" s="1"/>
  <c r="U18" i="2"/>
  <c r="U30" i="2"/>
  <c r="S18" i="2"/>
  <c r="S21" i="2" s="1"/>
  <c r="Q28" i="2"/>
  <c r="U27" i="2"/>
  <c r="S28" i="2"/>
  <c r="H18" i="2"/>
  <c r="H21" i="2" s="1"/>
  <c r="T18" i="2"/>
  <c r="T27" i="2"/>
  <c r="T29" i="2"/>
  <c r="T21" i="2"/>
  <c r="Y10" i="2"/>
  <c r="Y14" i="2" s="1"/>
  <c r="M27" i="2"/>
  <c r="O27" i="2"/>
  <c r="AA14" i="2"/>
  <c r="F9" i="2"/>
  <c r="F28" i="2" s="1"/>
  <c r="L27" i="2"/>
  <c r="AB24" i="2"/>
  <c r="AB27" i="2"/>
  <c r="I27" i="2"/>
  <c r="J27" i="2"/>
  <c r="Z14" i="2"/>
  <c r="S27" i="2"/>
  <c r="AB14" i="2"/>
  <c r="AA9" i="2"/>
  <c r="Y19" i="2"/>
  <c r="AB8" i="2"/>
  <c r="AB9" i="2" s="1"/>
  <c r="E28" i="2"/>
  <c r="R15" i="2"/>
  <c r="Z7" i="2"/>
  <c r="Y7" i="2"/>
  <c r="Y9" i="2" s="1"/>
  <c r="Y28" i="2" s="1"/>
  <c r="G27" i="2"/>
  <c r="H27" i="2"/>
  <c r="J28" i="2"/>
  <c r="P27" i="2"/>
  <c r="H29" i="2"/>
  <c r="L28" i="2"/>
  <c r="K27" i="2"/>
  <c r="M28" i="2"/>
  <c r="H28" i="2"/>
  <c r="Q15" i="2"/>
  <c r="J14" i="2"/>
  <c r="J15" i="2" s="1"/>
  <c r="N14" i="2"/>
  <c r="N9" i="2"/>
  <c r="N15" i="2" s="1"/>
  <c r="F15" i="2"/>
  <c r="C15" i="2"/>
  <c r="G15" i="2"/>
  <c r="D15" i="2"/>
  <c r="E15" i="2"/>
  <c r="I15" i="2"/>
  <c r="K15" i="2"/>
  <c r="O15" i="2"/>
  <c r="L15" i="2"/>
  <c r="P15" i="2"/>
  <c r="M15" i="2"/>
  <c r="V23" i="2" l="1"/>
  <c r="V31" i="2"/>
  <c r="AG19" i="2"/>
  <c r="AG21" i="2"/>
  <c r="AG31" i="2"/>
  <c r="AH9" i="2"/>
  <c r="AH15" i="2" s="1"/>
  <c r="AH18" i="2" s="1"/>
  <c r="U19" i="2"/>
  <c r="G18" i="2"/>
  <c r="G21" i="2" s="1"/>
  <c r="S29" i="2"/>
  <c r="M18" i="2"/>
  <c r="M21" i="2" s="1"/>
  <c r="D18" i="2"/>
  <c r="D21" i="2" s="1"/>
  <c r="S23" i="2"/>
  <c r="C18" i="2"/>
  <c r="C29" i="2" s="1"/>
  <c r="C30" i="2"/>
  <c r="F18" i="2"/>
  <c r="F21" i="2" s="1"/>
  <c r="N18" i="2"/>
  <c r="N21" i="2" s="1"/>
  <c r="J18" i="2"/>
  <c r="J21" i="2" s="1"/>
  <c r="Q18" i="2"/>
  <c r="Q21" i="2" s="1"/>
  <c r="T23" i="2"/>
  <c r="P18" i="2"/>
  <c r="P21" i="2" s="1"/>
  <c r="L18" i="2"/>
  <c r="L29" i="2" s="1"/>
  <c r="R18" i="2"/>
  <c r="R21" i="2" s="1"/>
  <c r="O18" i="2"/>
  <c r="O21" i="2" s="1"/>
  <c r="H23" i="2"/>
  <c r="K18" i="2"/>
  <c r="K21" i="2" s="1"/>
  <c r="I18" i="2"/>
  <c r="I21" i="2" s="1"/>
  <c r="E18" i="2"/>
  <c r="R27" i="2"/>
  <c r="AB15" i="2"/>
  <c r="AB31" i="2" s="1"/>
  <c r="AB28" i="2"/>
  <c r="Z9" i="2"/>
  <c r="Z27" i="2"/>
  <c r="AB19" i="2"/>
  <c r="O29" i="2"/>
  <c r="I29" i="2"/>
  <c r="AC27" i="2"/>
  <c r="E21" i="2"/>
  <c r="E29" i="2"/>
  <c r="N28" i="2"/>
  <c r="N27" i="2"/>
  <c r="AA27" i="2"/>
  <c r="AA15" i="2"/>
  <c r="AA31" i="2" s="1"/>
  <c r="AA28" i="2"/>
  <c r="Y15" i="2"/>
  <c r="Y31" i="2" s="1"/>
  <c r="M29" i="2"/>
  <c r="U29" i="2" l="1"/>
  <c r="AC19" i="2"/>
  <c r="AC21" i="2" s="1"/>
  <c r="AC30" i="2" s="1"/>
  <c r="AH19" i="2"/>
  <c r="AH21" i="2" s="1"/>
  <c r="AI9" i="2"/>
  <c r="AI15" i="2" s="1"/>
  <c r="AI18" i="2" s="1"/>
  <c r="AH31" i="2"/>
  <c r="U21" i="2"/>
  <c r="R29" i="2"/>
  <c r="Q29" i="2"/>
  <c r="C21" i="2"/>
  <c r="D29" i="2"/>
  <c r="G23" i="2"/>
  <c r="P23" i="2"/>
  <c r="I23" i="2"/>
  <c r="K23" i="2"/>
  <c r="N23" i="2"/>
  <c r="O23" i="2"/>
  <c r="M23" i="2"/>
  <c r="Q23" i="2"/>
  <c r="L21" i="2"/>
  <c r="P29" i="2"/>
  <c r="C23" i="2"/>
  <c r="G29" i="2"/>
  <c r="R23" i="2"/>
  <c r="J23" i="2"/>
  <c r="J29" i="2"/>
  <c r="D23" i="2"/>
  <c r="E23" i="2"/>
  <c r="F23" i="2"/>
  <c r="N29" i="2"/>
  <c r="K29" i="2"/>
  <c r="F29" i="2"/>
  <c r="Y18" i="2"/>
  <c r="AC28" i="2"/>
  <c r="Z15" i="2"/>
  <c r="Z31" i="2" s="1"/>
  <c r="Z28" i="2"/>
  <c r="AA18" i="2"/>
  <c r="AD27" i="2"/>
  <c r="AB18" i="2"/>
  <c r="AB21" i="2" s="1"/>
  <c r="U31" i="2" l="1"/>
  <c r="U23" i="2"/>
  <c r="AI19" i="2"/>
  <c r="AI21" i="2"/>
  <c r="AI31" i="2"/>
  <c r="AB23" i="2"/>
  <c r="AB30" i="2"/>
  <c r="L23" i="2"/>
  <c r="AE27" i="2"/>
  <c r="AD28" i="2"/>
  <c r="AA21" i="2"/>
  <c r="AA29" i="2"/>
  <c r="Z18" i="2"/>
  <c r="Y21" i="2"/>
  <c r="Y29" i="2"/>
  <c r="AB29" i="2"/>
  <c r="AJ9" i="2" l="1"/>
  <c r="AJ15" i="2" s="1"/>
  <c r="AJ18" i="2" s="1"/>
  <c r="Y23" i="2"/>
  <c r="Y30" i="2"/>
  <c r="AA23" i="2"/>
  <c r="AA30" i="2"/>
  <c r="AC29" i="2"/>
  <c r="Z21" i="2"/>
  <c r="Z29" i="2"/>
  <c r="AE28" i="2"/>
  <c r="AF27" i="2"/>
  <c r="AJ19" i="2" l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EG21" i="2" s="1"/>
  <c r="EH21" i="2" s="1"/>
  <c r="EI21" i="2" s="1"/>
  <c r="EJ21" i="2" s="1"/>
  <c r="EK21" i="2" s="1"/>
  <c r="EL21" i="2" s="1"/>
  <c r="EM21" i="2" s="1"/>
  <c r="EN21" i="2" s="1"/>
  <c r="EO21" i="2" s="1"/>
  <c r="EP21" i="2" s="1"/>
  <c r="EQ21" i="2" s="1"/>
  <c r="ER21" i="2" s="1"/>
  <c r="ES21" i="2" s="1"/>
  <c r="ET21" i="2" s="1"/>
  <c r="EU21" i="2" s="1"/>
  <c r="EV21" i="2" s="1"/>
  <c r="EW21" i="2" s="1"/>
  <c r="EX21" i="2" s="1"/>
  <c r="EY21" i="2" s="1"/>
  <c r="EZ21" i="2" s="1"/>
  <c r="FA21" i="2" s="1"/>
  <c r="FB21" i="2" s="1"/>
  <c r="FC21" i="2" s="1"/>
  <c r="FD21" i="2" s="1"/>
  <c r="FE21" i="2" s="1"/>
  <c r="FF21" i="2" s="1"/>
  <c r="FG21" i="2" s="1"/>
  <c r="FH21" i="2" s="1"/>
  <c r="FI21" i="2" s="1"/>
  <c r="FJ21" i="2" s="1"/>
  <c r="FK21" i="2" s="1"/>
  <c r="FL21" i="2" s="1"/>
  <c r="FM21" i="2" s="1"/>
  <c r="FN21" i="2" s="1"/>
  <c r="FO21" i="2" s="1"/>
  <c r="FP21" i="2" s="1"/>
  <c r="FQ21" i="2" s="1"/>
  <c r="FR21" i="2" s="1"/>
  <c r="FS21" i="2" s="1"/>
  <c r="FT21" i="2" s="1"/>
  <c r="FU21" i="2" s="1"/>
  <c r="FV21" i="2" s="1"/>
  <c r="FW21" i="2" s="1"/>
  <c r="FX21" i="2" s="1"/>
  <c r="FY21" i="2" s="1"/>
  <c r="FZ21" i="2" s="1"/>
  <c r="GA21" i="2" s="1"/>
  <c r="GB21" i="2" s="1"/>
  <c r="GC21" i="2" s="1"/>
  <c r="GD21" i="2" s="1"/>
  <c r="GE21" i="2" s="1"/>
  <c r="GF21" i="2" s="1"/>
  <c r="GG21" i="2" s="1"/>
  <c r="GH21" i="2" s="1"/>
  <c r="GI21" i="2" s="1"/>
  <c r="GJ21" i="2" s="1"/>
  <c r="GK21" i="2" s="1"/>
  <c r="GL21" i="2" s="1"/>
  <c r="GM21" i="2" s="1"/>
  <c r="GN21" i="2" s="1"/>
  <c r="GO21" i="2" s="1"/>
  <c r="GP21" i="2" s="1"/>
  <c r="GQ21" i="2" s="1"/>
  <c r="GR21" i="2" s="1"/>
  <c r="GS21" i="2" s="1"/>
  <c r="GT21" i="2" s="1"/>
  <c r="GU21" i="2" s="1"/>
  <c r="GV21" i="2" s="1"/>
  <c r="GW21" i="2" s="1"/>
  <c r="GX21" i="2" s="1"/>
  <c r="GY21" i="2" s="1"/>
  <c r="GZ21" i="2" s="1"/>
  <c r="HA21" i="2" s="1"/>
  <c r="HB21" i="2" s="1"/>
  <c r="HC21" i="2" s="1"/>
  <c r="HD21" i="2" s="1"/>
  <c r="HE21" i="2" s="1"/>
  <c r="HF21" i="2" s="1"/>
  <c r="HG21" i="2" s="1"/>
  <c r="HH21" i="2" s="1"/>
  <c r="HI21" i="2" s="1"/>
  <c r="HJ21" i="2" s="1"/>
  <c r="HK21" i="2" s="1"/>
  <c r="HL21" i="2" s="1"/>
  <c r="HM21" i="2" s="1"/>
  <c r="HN21" i="2" s="1"/>
  <c r="HO21" i="2" s="1"/>
  <c r="HP21" i="2" s="1"/>
  <c r="HQ21" i="2" s="1"/>
  <c r="HR21" i="2" s="1"/>
  <c r="HS21" i="2" s="1"/>
  <c r="HT21" i="2" s="1"/>
  <c r="HU21" i="2" s="1"/>
  <c r="HV21" i="2" s="1"/>
  <c r="HW21" i="2" s="1"/>
  <c r="HX21" i="2" s="1"/>
  <c r="HY21" i="2" s="1"/>
  <c r="HZ21" i="2" s="1"/>
  <c r="IA21" i="2" s="1"/>
  <c r="IB21" i="2" s="1"/>
  <c r="IC21" i="2" s="1"/>
  <c r="ID21" i="2" s="1"/>
  <c r="IE21" i="2" s="1"/>
  <c r="IF21" i="2" s="1"/>
  <c r="IG21" i="2" s="1"/>
  <c r="IH21" i="2" s="1"/>
  <c r="II21" i="2" s="1"/>
  <c r="IJ21" i="2" s="1"/>
  <c r="IK21" i="2" s="1"/>
  <c r="IL21" i="2" s="1"/>
  <c r="IM21" i="2" s="1"/>
  <c r="IN21" i="2" s="1"/>
  <c r="IO21" i="2" s="1"/>
  <c r="IP21" i="2" s="1"/>
  <c r="IQ21" i="2" s="1"/>
  <c r="IR21" i="2" s="1"/>
  <c r="IS21" i="2" s="1"/>
  <c r="IT21" i="2" s="1"/>
  <c r="IU21" i="2" s="1"/>
  <c r="IV21" i="2" s="1"/>
  <c r="IW21" i="2" s="1"/>
  <c r="IX21" i="2" s="1"/>
  <c r="IY21" i="2" s="1"/>
  <c r="IZ21" i="2" s="1"/>
  <c r="JA21" i="2" s="1"/>
  <c r="JB21" i="2" s="1"/>
  <c r="JC21" i="2" s="1"/>
  <c r="JD21" i="2" s="1"/>
  <c r="JE21" i="2" s="1"/>
  <c r="JF21" i="2" s="1"/>
  <c r="JG21" i="2" s="1"/>
  <c r="JH21" i="2" s="1"/>
  <c r="JI21" i="2" s="1"/>
  <c r="JJ21" i="2" s="1"/>
  <c r="JK21" i="2" s="1"/>
  <c r="JL21" i="2" s="1"/>
  <c r="JM21" i="2" s="1"/>
  <c r="JN21" i="2" s="1"/>
  <c r="JO21" i="2" s="1"/>
  <c r="JP21" i="2" s="1"/>
  <c r="JQ21" i="2" s="1"/>
  <c r="JR21" i="2" s="1"/>
  <c r="JS21" i="2" s="1"/>
  <c r="JT21" i="2" s="1"/>
  <c r="JU21" i="2" s="1"/>
  <c r="JV21" i="2" s="1"/>
  <c r="JW21" i="2" s="1"/>
  <c r="JX21" i="2" s="1"/>
  <c r="JY21" i="2" s="1"/>
  <c r="JZ21" i="2" s="1"/>
  <c r="KA21" i="2" s="1"/>
  <c r="KB21" i="2" s="1"/>
  <c r="KC21" i="2" s="1"/>
  <c r="KD21" i="2" s="1"/>
  <c r="KE21" i="2" s="1"/>
  <c r="KF21" i="2" s="1"/>
  <c r="KG21" i="2" s="1"/>
  <c r="KH21" i="2" s="1"/>
  <c r="KI21" i="2" s="1"/>
  <c r="KJ21" i="2" s="1"/>
  <c r="KK21" i="2" s="1"/>
  <c r="KL21" i="2" s="1"/>
  <c r="KM21" i="2" s="1"/>
  <c r="KN21" i="2" s="1"/>
  <c r="KO21" i="2" s="1"/>
  <c r="KP21" i="2" s="1"/>
  <c r="KQ21" i="2" s="1"/>
  <c r="KR21" i="2" s="1"/>
  <c r="KS21" i="2" s="1"/>
  <c r="KT21" i="2" s="1"/>
  <c r="KU21" i="2" s="1"/>
  <c r="KV21" i="2" s="1"/>
  <c r="KW21" i="2" s="1"/>
  <c r="KX21" i="2" s="1"/>
  <c r="KY21" i="2" s="1"/>
  <c r="KZ21" i="2" s="1"/>
  <c r="LA21" i="2" s="1"/>
  <c r="LB21" i="2" s="1"/>
  <c r="LC21" i="2" s="1"/>
  <c r="LD21" i="2" s="1"/>
  <c r="LE21" i="2" s="1"/>
  <c r="LF21" i="2" s="1"/>
  <c r="LG21" i="2" s="1"/>
  <c r="LH21" i="2" s="1"/>
  <c r="LI21" i="2" s="1"/>
  <c r="LJ21" i="2" s="1"/>
  <c r="LK21" i="2" s="1"/>
  <c r="LL21" i="2" s="1"/>
  <c r="LM21" i="2" s="1"/>
  <c r="LN21" i="2" s="1"/>
  <c r="LO21" i="2" s="1"/>
  <c r="LP21" i="2" s="1"/>
  <c r="LQ21" i="2" s="1"/>
  <c r="LR21" i="2" s="1"/>
  <c r="LS21" i="2" s="1"/>
  <c r="LT21" i="2" s="1"/>
  <c r="LU21" i="2" s="1"/>
  <c r="LV21" i="2" s="1"/>
  <c r="LW21" i="2" s="1"/>
  <c r="LX21" i="2" s="1"/>
  <c r="LY21" i="2" s="1"/>
  <c r="LZ21" i="2" s="1"/>
  <c r="MA21" i="2" s="1"/>
  <c r="MB21" i="2" s="1"/>
  <c r="MC21" i="2" s="1"/>
  <c r="MD21" i="2" s="1"/>
  <c r="ME21" i="2" s="1"/>
  <c r="MF21" i="2" s="1"/>
  <c r="MG21" i="2" s="1"/>
  <c r="MH21" i="2" s="1"/>
  <c r="MI21" i="2" s="1"/>
  <c r="MJ21" i="2" s="1"/>
  <c r="MK21" i="2" s="1"/>
  <c r="ML21" i="2" s="1"/>
  <c r="MM21" i="2" s="1"/>
  <c r="MN21" i="2" s="1"/>
  <c r="MO21" i="2" s="1"/>
  <c r="MP21" i="2" s="1"/>
  <c r="MQ21" i="2" s="1"/>
  <c r="MR21" i="2" s="1"/>
  <c r="MS21" i="2" s="1"/>
  <c r="MT21" i="2" s="1"/>
  <c r="MU21" i="2" s="1"/>
  <c r="MV21" i="2" s="1"/>
  <c r="MW21" i="2" s="1"/>
  <c r="MX21" i="2" s="1"/>
  <c r="MY21" i="2" s="1"/>
  <c r="MZ21" i="2" s="1"/>
  <c r="NA21" i="2" s="1"/>
  <c r="NB21" i="2" s="1"/>
  <c r="NC21" i="2" s="1"/>
  <c r="ND21" i="2" s="1"/>
  <c r="NE21" i="2" s="1"/>
  <c r="NF21" i="2" s="1"/>
  <c r="AN36" i="2" s="1"/>
  <c r="AN37" i="2" s="1"/>
  <c r="AJ31" i="2"/>
  <c r="Z23" i="2"/>
  <c r="Z30" i="2"/>
  <c r="AG27" i="2"/>
  <c r="AC33" i="2"/>
  <c r="AF28" i="2"/>
  <c r="AG28" i="2" l="1"/>
  <c r="AH27" i="2"/>
  <c r="AH28" i="2" l="1"/>
  <c r="AI27" i="2"/>
  <c r="AD29" i="2"/>
  <c r="AJ27" i="2" l="1"/>
  <c r="AI28" i="2"/>
  <c r="AD33" i="2" l="1"/>
  <c r="AD30" i="2"/>
  <c r="AJ28" i="2"/>
  <c r="AE29" i="2" l="1"/>
  <c r="AE33" i="2" l="1"/>
  <c r="AE30" i="2"/>
  <c r="AF29" i="2"/>
  <c r="AF33" i="2" l="1"/>
  <c r="AF30" i="2"/>
  <c r="AG29" i="2" l="1"/>
  <c r="AG33" i="2" l="1"/>
  <c r="AG30" i="2"/>
  <c r="AH29" i="2"/>
  <c r="AH33" i="2" l="1"/>
  <c r="AH30" i="2"/>
  <c r="AI29" i="2"/>
  <c r="AI33" i="2" l="1"/>
  <c r="AI30" i="2"/>
  <c r="AJ29" i="2"/>
  <c r="AJ30" i="2" l="1"/>
  <c r="AJ3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tc={E97CBF48-9851-4B7A-8692-52BDFEE882B7}</author>
    <author>tc={2BE63023-F699-47B6-9BFE-B6DFEAE81BD9}</author>
  </authors>
  <commentList>
    <comment ref="U7" authorId="0" shapeId="0" xr:uid="{E97CBF48-9851-4B7A-8692-52BDFEE882B7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Guide 5700+-400</t>
      </text>
    </comment>
    <comment ref="V7" authorId="1" shapeId="0" xr:uid="{2BE63023-F699-47B6-9BFE-B6DFEAE81BD9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Guide 5700+-400</t>
      </text>
    </comment>
  </commentList>
</comments>
</file>

<file path=xl/sharedStrings.xml><?xml version="1.0" encoding="utf-8"?>
<sst xmlns="http://schemas.openxmlformats.org/spreadsheetml/2006/main" count="69" uniqueCount="63">
  <si>
    <t>Model</t>
  </si>
  <si>
    <t>Price</t>
  </si>
  <si>
    <t>Shares</t>
  </si>
  <si>
    <t>Segment</t>
  </si>
  <si>
    <t>MC</t>
  </si>
  <si>
    <t>Cash</t>
  </si>
  <si>
    <t>Data Center</t>
  </si>
  <si>
    <t>Server CPUs GPUs, DPUs, Field Programmable Gate Arrays, Adaptive System on Chip for DC</t>
  </si>
  <si>
    <t>Debt</t>
  </si>
  <si>
    <t>Client</t>
  </si>
  <si>
    <t>CPUS, APUs</t>
  </si>
  <si>
    <t>EV</t>
  </si>
  <si>
    <t>Gaming</t>
  </si>
  <si>
    <t>GPUs, semi-custom SoC products</t>
  </si>
  <si>
    <t>Embedded</t>
  </si>
  <si>
    <t>Embedded CPUs and GPUs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</si>
  <si>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</si>
  <si>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</si>
  <si>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</si>
  <si>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</si>
  <si>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</si>
  <si>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</si>
  <si>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</si>
  <si>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</si>
  <si>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</si>
  <si>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</si>
  <si>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</si>
  <si>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</si>
  <si>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</si>
  <si>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</si>
  <si>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</si>
  <si>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</si>
  <si>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</si>
  <si>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</si>
  <si>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Revenue</t>
  </si>
  <si>
    <t>COGS</t>
  </si>
  <si>
    <t>Gross Profit</t>
  </si>
  <si>
    <t>R&amp;D</t>
  </si>
  <si>
    <t>MG&amp;A</t>
  </si>
  <si>
    <t>Goodwill</t>
  </si>
  <si>
    <t>Licensing</t>
  </si>
  <si>
    <t>Operating Expense</t>
  </si>
  <si>
    <t>Operating Income</t>
  </si>
  <si>
    <t>Interest</t>
  </si>
  <si>
    <t>Other Income</t>
  </si>
  <si>
    <t>Pre Tax Income</t>
  </si>
  <si>
    <t>Taxes</t>
  </si>
  <si>
    <t>Investments</t>
  </si>
  <si>
    <t>Net Income</t>
  </si>
  <si>
    <t>EPS</t>
  </si>
  <si>
    <t>Rev y/y</t>
  </si>
  <si>
    <t xml:space="preserve">Gross Margin </t>
  </si>
  <si>
    <t xml:space="preserve">Tax Rate </t>
  </si>
  <si>
    <t>Operating Margin</t>
  </si>
  <si>
    <t>Maturity</t>
  </si>
  <si>
    <t>Discount</t>
  </si>
  <si>
    <t>NPV</t>
  </si>
  <si>
    <t>Q223</t>
  </si>
  <si>
    <t>Q323</t>
  </si>
  <si>
    <t>Profit Margin</t>
  </si>
  <si>
    <t>Q423</t>
  </si>
  <si>
    <t xml:space="preserve"> </t>
  </si>
  <si>
    <t>Share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</si>
</sst>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4" fontId="0" fillId="0" borderId="0" xfId="0" applyNumberFormat="1"/>
    <xf numFmtId="9" fontId="0" fillId="0" borderId="0" xfId="0" applyNumberFormat="1"/>
    <xf numFmtId="2" fontId="0" fillId="0" borderId="0" xfId="0" applyNumberFormat="1"/>
    <xf numFmtId="3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831850</xdr:colOff>
      <xdr:row>0</xdr:row>
      <xdr:rowOff>0</xdr:rowOff>
    </xdr:from>
    <xdr:to>
      <xdr:col>27</xdr:col>
      <xdr:colOff>831850</xdr:colOff>
      <xdr:row>39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ACC8FA2-0728-8EF6-57FD-A4F23968B7A3}"/>
            </a:ext>
          </a:extLst>
        </xdr:cNvPr>
        <xdr:cNvCxnSpPr/>
      </xdr:nvCxnSpPr>
      <xdr:spPr>
        <a:xfrm>
          <a:off x="21786850" y="0"/>
          <a:ext cx="0" cy="77152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12700</xdr:colOff>
      <xdr:row>0</xdr:row>
      <xdr:rowOff>19050</xdr:rowOff>
    </xdr:from>
    <xdr:to>
      <xdr:col>20</xdr:col>
      <xdr:colOff>12700</xdr:colOff>
      <xdr:row>39</xdr:row>
      <xdr:rowOff>133350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96338826-BC70-4108-BC28-C022609ECB17}"/>
            </a:ext>
          </a:extLst>
        </xdr:cNvPr>
        <xdr:cNvCxnSpPr/>
      </xdr:nvCxnSpPr>
      <xdr:spPr>
        <a:xfrm>
          <a:off x="16776700" y="19050"/>
          <a:ext cx="0" cy="77152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za, Jacob S" id="{7F277101-EE19-4850-8C01-C0F5A3B009A2}" userId="S::jgarza25@illinois.edu::9792bea3-4872-461e-a1cc-52c9d9b6c15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7" dT="2023-08-05T01:11:39.51" personId="{7F277101-EE19-4850-8C01-C0F5A3B009A2}" id="{E97CBF48-9851-4B7A-8692-52BDFEE882B7}">
    <text>Guide 5700+-400</text>
  </threadedComment>
  <threadedComment ref="V7" dT="2023-08-05T01:11:39.51" personId="{7F277101-EE19-4850-8C01-C0F5A3B009A2}" id="{2BE63023-F699-47B6-9BFE-B6DFEAE81BD9}">
    <text>Guide 5700+-400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974A-74B6-1344-B9D6-82D7C031A22B}">
  <dimension ref="A1:K9"/>
  <sheetViews>
    <sheetView workbookViewId="0">
      <selection activeCell="C9" sqref="C9"/>
    </sheetView>
  </sheetViews>
  <sheetFormatPr defaultColWidth="11" defaultRowHeight="15.75" x14ac:dyDescent="0.25"/>
  <cols>
    <col min="1" max="1" width="6.375" bestFit="1" customWidth="1"/>
  </cols>
  <sheetData>
    <row r="1" spans="1:11" x14ac:dyDescent="0.25">
      <c r="A1" s="1" t="s">
        <v>0</v>
      </c>
    </row>
    <row r="2" spans="1:11" x14ac:dyDescent="0.25">
      <c r="J2" t="s">
        <v>1</v>
      </c>
      <c r="K2">
        <v>72</v>
      </c>
    </row>
    <row r="3" spans="1:11" x14ac:dyDescent="0.25">
      <c r="J3" t="s">
        <v>2</v>
      </c>
      <c r="K3" s="3">
        <v>1612</v>
      </c>
    </row>
    <row r="4" spans="1:11" x14ac:dyDescent="0.25">
      <c r="B4" s="4" t="s">
        <v>3</v>
      </c>
      <c r="J4" t="s">
        <v>4</v>
      </c>
      <c r="K4" s="3">
        <f>K2*K3</f>
        <v>116064</v>
      </c>
    </row>
    <row r="5" spans="1:11" x14ac:dyDescent="0.25">
      <c r="J5" t="s">
        <v>5</v>
      </c>
      <c r="K5" s="3">
        <f>3398+2193</f>
        <v>5591</v>
      </c>
    </row>
    <row r="6" spans="1:11" x14ac:dyDescent="0.25">
      <c r="B6" t="s">
        <v>6</v>
      </c>
      <c r="C6" t="s">
        <v>7</v>
      </c>
      <c r="J6" t="s">
        <v>8</v>
      </c>
      <c r="K6" s="3">
        <f>2466</f>
        <v>2466</v>
      </c>
    </row>
    <row r="7" spans="1:11" x14ac:dyDescent="0.25">
      <c r="B7" t="s">
        <v>9</v>
      </c>
      <c r="C7" t="s">
        <v>10</v>
      </c>
      <c r="J7" t="s">
        <v>11</v>
      </c>
      <c r="K7" s="3">
        <f>K4-K5+K6</f>
        <v>112939</v>
      </c>
    </row>
    <row r="8" spans="1:11" x14ac:dyDescent="0.25">
      <c r="B8" t="s">
        <v>12</v>
      </c>
      <c r="C8" t="s">
        <v>13</v>
      </c>
    </row>
    <row r="9" spans="1:11" x14ac:dyDescent="0.25">
      <c r="B9" t="s">
        <v>14</v>
      </c>
      <c r="C9" t="s">
        <v>15</v>
      </c>
    </row>
  </sheetData>
  <hyperlinks>
    <hyperlink ref="A1" location="Model!A1" display="Model" xr:uid="{3035BB33-7129-6548-BD93-BEA372D6DBE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8C6EA-50B3-0044-B739-48369242993C}">
  <dimension ref="A1:NF39"/>
  <sheetViews>
    <sheetView tabSelected="1"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AF8" sqref="AF8"/>
    </sheetView>
  </sheetViews>
  <sheetFormatPr defaultColWidth="11" defaultRowHeight="15.75" x14ac:dyDescent="0.25"/>
  <cols>
    <col min="1" max="1" width="5.375" bestFit="1" customWidth="1"/>
    <col min="2" max="2" width="16.625" bestFit="1" customWidth="1"/>
    <col min="40" max="40" width="11.5" bestFit="1" customWidth="1"/>
  </cols>
  <sheetData>
    <row r="1" spans="1:36" x14ac:dyDescent="0.25">
      <c r="A1" s="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57</v>
      </c>
      <c r="U1" t="s">
        <v>58</v>
      </c>
      <c r="V1" t="s">
        <v>60</v>
      </c>
      <c r="Y1">
        <v>2019</v>
      </c>
      <c r="Z1">
        <v>2020</v>
      </c>
      <c r="AA1">
        <v>2021</v>
      </c>
      <c r="AB1">
        <v>2022</v>
      </c>
      <c r="AC1">
        <f>AB1+1</f>
        <v>2023</v>
      </c>
      <c r="AD1">
        <f t="shared" ref="AD1:AJ1" si="0">AC1+1</f>
        <v>2024</v>
      </c>
      <c r="AE1">
        <f t="shared" si="0"/>
        <v>2025</v>
      </c>
      <c r="AF1">
        <f t="shared" si="0"/>
        <v>2026</v>
      </c>
      <c r="AG1">
        <f t="shared" si="0"/>
        <v>2027</v>
      </c>
      <c r="AH1">
        <f t="shared" si="0"/>
        <v>2028</v>
      </c>
      <c r="AI1">
        <f t="shared" si="0"/>
        <v>2029</v>
      </c>
      <c r="AJ1">
        <f t="shared" si="0"/>
        <v>2030</v>
      </c>
    </row>
    <row r="2" spans="1:36" x14ac:dyDescent="0.25">
      <c r="A2" s="1"/>
      <c r="B2" t="s">
        <v>6</v>
      </c>
      <c r="L2" s="3">
        <v>813</v>
      </c>
      <c r="M2" s="3">
        <v>1108</v>
      </c>
      <c r="N2" s="3">
        <v>1163</v>
      </c>
      <c r="O2" s="3">
        <v>1293</v>
      </c>
      <c r="P2" s="3">
        <v>1486</v>
      </c>
      <c r="Q2" s="3">
        <v>1609</v>
      </c>
      <c r="R2">
        <v>1655</v>
      </c>
      <c r="S2" s="3">
        <v>1295</v>
      </c>
      <c r="T2" s="3">
        <v>1321</v>
      </c>
    </row>
    <row r="3" spans="1:36" x14ac:dyDescent="0.25">
      <c r="A3" s="1"/>
      <c r="B3" t="s">
        <v>9</v>
      </c>
      <c r="L3" s="3">
        <v>1728</v>
      </c>
      <c r="M3" s="3">
        <v>1692</v>
      </c>
      <c r="N3" s="3">
        <v>1829</v>
      </c>
      <c r="P3" s="3">
        <v>2152</v>
      </c>
      <c r="Q3" s="3">
        <v>1022</v>
      </c>
      <c r="R3">
        <v>903</v>
      </c>
      <c r="S3" s="3">
        <v>739</v>
      </c>
      <c r="T3" s="3">
        <v>998</v>
      </c>
      <c r="V3" s="3"/>
      <c r="W3" s="3"/>
      <c r="X3" s="3"/>
    </row>
    <row r="4" spans="1:36" x14ac:dyDescent="0.25">
      <c r="A4" s="1"/>
      <c r="B4" t="s">
        <v>12</v>
      </c>
      <c r="L4" s="3">
        <v>1255</v>
      </c>
      <c r="M4" s="3">
        <v>1434</v>
      </c>
      <c r="N4" s="3">
        <v>1763</v>
      </c>
      <c r="P4" s="3">
        <v>1655</v>
      </c>
      <c r="Q4" s="3">
        <v>1631</v>
      </c>
      <c r="R4">
        <v>1644</v>
      </c>
      <c r="S4" s="3">
        <v>1757</v>
      </c>
      <c r="T4" s="3">
        <v>1581</v>
      </c>
    </row>
    <row r="5" spans="1:36" x14ac:dyDescent="0.25">
      <c r="A5" s="1"/>
      <c r="B5" t="s">
        <v>14</v>
      </c>
      <c r="L5" s="3">
        <v>54</v>
      </c>
      <c r="M5" s="3">
        <v>79</v>
      </c>
      <c r="N5" s="3">
        <v>71</v>
      </c>
      <c r="P5" s="3">
        <v>1257</v>
      </c>
      <c r="Q5" s="3">
        <v>1303</v>
      </c>
      <c r="R5">
        <v>1397</v>
      </c>
      <c r="S5" s="3">
        <v>1562</v>
      </c>
      <c r="T5" s="3">
        <v>1459</v>
      </c>
    </row>
    <row r="6" spans="1:36" x14ac:dyDescent="0.25">
      <c r="A6" s="1"/>
      <c r="L6" s="3"/>
      <c r="M6" s="3"/>
      <c r="N6" s="3"/>
      <c r="P6" s="3"/>
      <c r="Q6" s="3"/>
      <c r="S6" s="3"/>
      <c r="U6" t="s">
        <v>61</v>
      </c>
    </row>
    <row r="7" spans="1:36" x14ac:dyDescent="0.25">
      <c r="B7" t="s">
        <v>34</v>
      </c>
      <c r="C7" s="3">
        <v>1272</v>
      </c>
      <c r="D7" s="3">
        <v>1531</v>
      </c>
      <c r="E7" s="3">
        <v>1801</v>
      </c>
      <c r="F7" s="3">
        <f>6731-E7-D7-C7</f>
        <v>2127</v>
      </c>
      <c r="G7" s="3">
        <v>1786</v>
      </c>
      <c r="H7" s="3">
        <v>1932</v>
      </c>
      <c r="I7" s="3">
        <v>2801</v>
      </c>
      <c r="J7" s="3">
        <f>9763-I7-H7-G7</f>
        <v>3244</v>
      </c>
      <c r="K7" s="3">
        <v>3445</v>
      </c>
      <c r="L7" s="3">
        <f>SUM(L2:L5)</f>
        <v>3850</v>
      </c>
      <c r="M7" s="3">
        <f>SUM(M2:M5)</f>
        <v>4313</v>
      </c>
      <c r="N7" s="3">
        <f>SUM(N2:N5)</f>
        <v>4826</v>
      </c>
      <c r="O7" s="3">
        <v>5887</v>
      </c>
      <c r="P7" s="3">
        <f>SUM(P2:P5)</f>
        <v>6550</v>
      </c>
      <c r="Q7" s="3">
        <f>SUM(Q2:Q5)</f>
        <v>5565</v>
      </c>
      <c r="R7" s="3">
        <f>SUM(R2:R5)</f>
        <v>5599</v>
      </c>
      <c r="S7" s="3">
        <f>SUM(S2:S5)</f>
        <v>5353</v>
      </c>
      <c r="T7" s="3">
        <f>SUM(T2:T5)</f>
        <v>5359</v>
      </c>
      <c r="U7" s="3">
        <v>5700</v>
      </c>
      <c r="V7" s="3">
        <v>5500</v>
      </c>
      <c r="Y7" s="3">
        <f>SUM(C7:F7)</f>
        <v>6731</v>
      </c>
      <c r="Z7" s="3">
        <f>SUM(G7:J7)</f>
        <v>9763</v>
      </c>
      <c r="AA7" s="3">
        <f>SUM(K7:N7)</f>
        <v>16434</v>
      </c>
      <c r="AB7" s="3">
        <f>SUM(O7:R7)</f>
        <v>23601</v>
      </c>
      <c r="AC7" s="3">
        <f>SUM(S7:V7)</f>
        <v>21912</v>
      </c>
      <c r="AD7" s="3">
        <f>AC7*1.1</f>
        <v>24103.200000000001</v>
      </c>
      <c r="AE7" s="3">
        <f>AD7*1.15</f>
        <v>27718.68</v>
      </c>
      <c r="AF7" s="3">
        <f>AE7*1.2</f>
        <v>33262.415999999997</v>
      </c>
      <c r="AG7" s="3">
        <f t="shared" ref="AE7:AJ7" si="1">AF7*1.2</f>
        <v>39914.899199999993</v>
      </c>
      <c r="AH7" s="3">
        <f t="shared" si="1"/>
        <v>47897.879039999993</v>
      </c>
      <c r="AI7" s="3">
        <f t="shared" si="1"/>
        <v>57477.454847999987</v>
      </c>
      <c r="AJ7" s="3">
        <f t="shared" si="1"/>
        <v>68972.945817599975</v>
      </c>
    </row>
    <row r="8" spans="1:36" x14ac:dyDescent="0.25">
      <c r="B8" t="s">
        <v>35</v>
      </c>
      <c r="C8" s="3">
        <v>751</v>
      </c>
      <c r="D8" s="3">
        <v>910</v>
      </c>
      <c r="E8" s="3">
        <v>1024</v>
      </c>
      <c r="F8" s="3">
        <f>3863-E8-D8-C8</f>
        <v>1178</v>
      </c>
      <c r="G8" s="3">
        <v>968</v>
      </c>
      <c r="H8" s="3">
        <v>1084</v>
      </c>
      <c r="I8" s="3">
        <v>1571</v>
      </c>
      <c r="J8" s="3">
        <f>5416-I8-H8-G8</f>
        <v>1793</v>
      </c>
      <c r="K8" s="3">
        <v>1858</v>
      </c>
      <c r="L8" s="3">
        <v>2020</v>
      </c>
      <c r="M8" s="3">
        <v>2227</v>
      </c>
      <c r="N8" s="3">
        <f>8505-M8-L8-K8</f>
        <v>2400</v>
      </c>
      <c r="O8" s="3">
        <v>2883</v>
      </c>
      <c r="P8" s="3">
        <v>3115</v>
      </c>
      <c r="Q8" s="3">
        <v>2799</v>
      </c>
      <c r="R8" s="3">
        <v>2753</v>
      </c>
      <c r="S8" s="3">
        <v>2689</v>
      </c>
      <c r="T8" s="3">
        <v>2704</v>
      </c>
      <c r="U8" s="3">
        <f>U7-U9</f>
        <v>2793</v>
      </c>
      <c r="V8" s="3">
        <f>V7-V9</f>
        <v>2695</v>
      </c>
      <c r="Y8" s="3">
        <f>SUM(C8:F8)</f>
        <v>3863</v>
      </c>
      <c r="Z8" s="3">
        <f>SUM(G8:J8)</f>
        <v>5416</v>
      </c>
      <c r="AA8" s="3">
        <f>SUM(K8:N8)</f>
        <v>8505</v>
      </c>
      <c r="AB8" s="3">
        <f>SUM(O8:R8)</f>
        <v>11550</v>
      </c>
      <c r="AC8" s="3">
        <f>SUM(S8:V8)</f>
        <v>10881</v>
      </c>
      <c r="AD8" s="3"/>
      <c r="AE8" s="3"/>
      <c r="AF8" s="3"/>
      <c r="AG8" s="3"/>
      <c r="AH8" s="3"/>
      <c r="AI8" s="3"/>
      <c r="AJ8" s="3"/>
    </row>
    <row r="9" spans="1:36" s="4" customFormat="1" x14ac:dyDescent="0.25">
      <c r="B9" s="4" t="s">
        <v>36</v>
      </c>
      <c r="C9" s="5">
        <f t="shared" ref="C9:Q9" si="2">C7-C8</f>
        <v>521</v>
      </c>
      <c r="D9" s="5">
        <f t="shared" si="2"/>
        <v>621</v>
      </c>
      <c r="E9" s="5">
        <f t="shared" si="2"/>
        <v>777</v>
      </c>
      <c r="F9" s="5">
        <f t="shared" si="2"/>
        <v>949</v>
      </c>
      <c r="G9" s="5">
        <f t="shared" si="2"/>
        <v>818</v>
      </c>
      <c r="H9" s="5">
        <f t="shared" si="2"/>
        <v>848</v>
      </c>
      <c r="I9" s="5">
        <f t="shared" si="2"/>
        <v>1230</v>
      </c>
      <c r="J9" s="5">
        <f t="shared" si="2"/>
        <v>1451</v>
      </c>
      <c r="K9" s="5">
        <f t="shared" si="2"/>
        <v>1587</v>
      </c>
      <c r="L9" s="5">
        <f t="shared" si="2"/>
        <v>1830</v>
      </c>
      <c r="M9" s="5">
        <f t="shared" si="2"/>
        <v>2086</v>
      </c>
      <c r="N9" s="5">
        <f t="shared" si="2"/>
        <v>2426</v>
      </c>
      <c r="O9" s="5">
        <f t="shared" si="2"/>
        <v>3004</v>
      </c>
      <c r="P9" s="5">
        <f t="shared" si="2"/>
        <v>3435</v>
      </c>
      <c r="Q9" s="5">
        <f t="shared" si="2"/>
        <v>2766</v>
      </c>
      <c r="R9" s="5">
        <f>R7-R8</f>
        <v>2846</v>
      </c>
      <c r="S9" s="5">
        <f>S7-S8</f>
        <v>2664</v>
      </c>
      <c r="T9" s="5">
        <f>T7-T8</f>
        <v>2655</v>
      </c>
      <c r="U9" s="3">
        <f>U7*0.51</f>
        <v>2907</v>
      </c>
      <c r="V9" s="3">
        <f>V7*0.51</f>
        <v>2805</v>
      </c>
      <c r="Y9" s="5">
        <f>Y7-Y8</f>
        <v>2868</v>
      </c>
      <c r="Z9" s="5">
        <f>Z7-Z8</f>
        <v>4347</v>
      </c>
      <c r="AA9" s="5">
        <f>AA7-AA8</f>
        <v>7929</v>
      </c>
      <c r="AB9" s="5">
        <f>AB7-AB8</f>
        <v>12051</v>
      </c>
      <c r="AC9" s="5">
        <f>AC7-AC8</f>
        <v>11031</v>
      </c>
      <c r="AD9" s="5">
        <f>AD7*0.5</f>
        <v>12051.6</v>
      </c>
      <c r="AE9" s="5">
        <f t="shared" ref="AE9:AJ9" si="3">AE7*0.5</f>
        <v>13859.34</v>
      </c>
      <c r="AF9" s="5">
        <f t="shared" si="3"/>
        <v>16631.207999999999</v>
      </c>
      <c r="AG9" s="5">
        <f t="shared" si="3"/>
        <v>19957.449599999996</v>
      </c>
      <c r="AH9" s="5">
        <f t="shared" si="3"/>
        <v>23948.939519999996</v>
      </c>
      <c r="AI9" s="5">
        <f t="shared" si="3"/>
        <v>28738.727423999993</v>
      </c>
      <c r="AJ9" s="5">
        <f t="shared" si="3"/>
        <v>34486.472908799988</v>
      </c>
    </row>
    <row r="10" spans="1:36" x14ac:dyDescent="0.25">
      <c r="B10" t="s">
        <v>37</v>
      </c>
      <c r="C10" s="3">
        <v>373</v>
      </c>
      <c r="D10" s="3">
        <v>373</v>
      </c>
      <c r="E10" s="3">
        <v>406</v>
      </c>
      <c r="F10" s="3">
        <f>1547-E10-D10-C10</f>
        <v>395</v>
      </c>
      <c r="G10" s="3">
        <v>442</v>
      </c>
      <c r="H10" s="3">
        <v>460</v>
      </c>
      <c r="I10" s="3">
        <v>508</v>
      </c>
      <c r="J10" s="3">
        <f>1983-I10-H10-G10</f>
        <v>573</v>
      </c>
      <c r="K10" s="3">
        <v>610</v>
      </c>
      <c r="L10" s="3">
        <v>659</v>
      </c>
      <c r="M10" s="3">
        <v>765</v>
      </c>
      <c r="N10" s="3">
        <f>2845-M10-L10-K10</f>
        <v>811</v>
      </c>
      <c r="O10" s="3">
        <v>1060</v>
      </c>
      <c r="P10" s="3">
        <v>1300</v>
      </c>
      <c r="Q10" s="3">
        <v>1279</v>
      </c>
      <c r="R10" s="3">
        <v>1366</v>
      </c>
      <c r="S10" s="3">
        <v>1411</v>
      </c>
      <c r="T10" s="3">
        <v>1443</v>
      </c>
      <c r="U10" s="3">
        <v>1443</v>
      </c>
      <c r="V10" s="3">
        <v>1443</v>
      </c>
      <c r="Y10" s="3">
        <f>SUM(C10:F10)</f>
        <v>1547</v>
      </c>
      <c r="Z10" s="3">
        <f>SUM(G10:J10)</f>
        <v>1983</v>
      </c>
      <c r="AA10" s="3">
        <f>SUM(K10:N10)</f>
        <v>2845</v>
      </c>
      <c r="AB10" s="3">
        <f>SUM(O10:R10)</f>
        <v>5005</v>
      </c>
      <c r="AC10" s="3">
        <f t="shared" ref="AC10:AC13" si="4">SUM(S10:V10)</f>
        <v>5740</v>
      </c>
      <c r="AD10" s="3">
        <f>AC10*1.1</f>
        <v>6314.0000000000009</v>
      </c>
      <c r="AE10" s="3">
        <f t="shared" ref="AE10:AJ10" si="5">AD10*1.1</f>
        <v>6945.4000000000015</v>
      </c>
      <c r="AF10" s="3">
        <f t="shared" si="5"/>
        <v>7639.9400000000023</v>
      </c>
      <c r="AG10" s="3">
        <f t="shared" si="5"/>
        <v>8403.9340000000029</v>
      </c>
      <c r="AH10" s="3">
        <f t="shared" si="5"/>
        <v>9244.3274000000038</v>
      </c>
      <c r="AI10" s="3">
        <f t="shared" si="5"/>
        <v>10168.760140000006</v>
      </c>
      <c r="AJ10" s="3">
        <f t="shared" si="5"/>
        <v>11185.636154000007</v>
      </c>
    </row>
    <row r="11" spans="1:36" x14ac:dyDescent="0.25">
      <c r="B11" t="s">
        <v>38</v>
      </c>
      <c r="C11" s="3">
        <v>170</v>
      </c>
      <c r="D11" s="3">
        <v>189</v>
      </c>
      <c r="E11" s="3">
        <v>185</v>
      </c>
      <c r="F11" s="3">
        <f>750-E11-D11-C11</f>
        <v>206</v>
      </c>
      <c r="G11" s="3">
        <v>199</v>
      </c>
      <c r="H11" s="3">
        <v>215</v>
      </c>
      <c r="I11" s="3">
        <v>273</v>
      </c>
      <c r="J11" s="3">
        <f>995-I11-H11-G11</f>
        <v>308</v>
      </c>
      <c r="K11" s="3">
        <v>319</v>
      </c>
      <c r="L11" s="3">
        <v>341</v>
      </c>
      <c r="M11" s="3">
        <v>376</v>
      </c>
      <c r="N11" s="3">
        <f>1448-M11-L11-K11</f>
        <v>412</v>
      </c>
      <c r="O11" s="3">
        <v>597</v>
      </c>
      <c r="P11" s="3">
        <v>592</v>
      </c>
      <c r="Q11" s="3">
        <v>557</v>
      </c>
      <c r="R11" s="3">
        <v>590</v>
      </c>
      <c r="S11" s="3">
        <v>585</v>
      </c>
      <c r="T11" s="3">
        <v>547</v>
      </c>
      <c r="U11" s="3">
        <v>547</v>
      </c>
      <c r="V11" s="3">
        <v>547</v>
      </c>
      <c r="Y11" s="3">
        <f>SUM(C11:F11)</f>
        <v>750</v>
      </c>
      <c r="Z11" s="3">
        <f>SUM(G11:J11)</f>
        <v>995</v>
      </c>
      <c r="AA11" s="3">
        <f>SUM(K11:N11)</f>
        <v>1448</v>
      </c>
      <c r="AB11" s="3">
        <f>SUM(O11:R11)</f>
        <v>2336</v>
      </c>
      <c r="AC11" s="3">
        <f t="shared" si="4"/>
        <v>2226</v>
      </c>
      <c r="AD11" s="3">
        <f>AC11*1.05</f>
        <v>2337.3000000000002</v>
      </c>
      <c r="AE11" s="3">
        <f t="shared" ref="AE11:AJ11" si="6">AD11*1.05</f>
        <v>2454.1650000000004</v>
      </c>
      <c r="AF11" s="3">
        <f t="shared" si="6"/>
        <v>2576.8732500000006</v>
      </c>
      <c r="AG11" s="3">
        <f t="shared" si="6"/>
        <v>2705.7169125000005</v>
      </c>
      <c r="AH11" s="3">
        <f t="shared" si="6"/>
        <v>2841.0027581250006</v>
      </c>
      <c r="AI11" s="3">
        <f t="shared" si="6"/>
        <v>2983.0528960312508</v>
      </c>
      <c r="AJ11" s="3">
        <f t="shared" si="6"/>
        <v>3132.2055408328133</v>
      </c>
    </row>
    <row r="12" spans="1:36" x14ac:dyDescent="0.25">
      <c r="B12" t="s">
        <v>39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>
        <v>0</v>
      </c>
      <c r="K12" s="3">
        <v>0</v>
      </c>
      <c r="L12" s="3">
        <v>0</v>
      </c>
      <c r="M12" s="3">
        <v>0</v>
      </c>
      <c r="N12" s="3">
        <v>0</v>
      </c>
      <c r="O12" s="3">
        <v>293</v>
      </c>
      <c r="P12" s="3">
        <v>616</v>
      </c>
      <c r="Q12" s="3">
        <v>590</v>
      </c>
      <c r="R12" s="3">
        <v>601</v>
      </c>
      <c r="S12" s="3">
        <v>518</v>
      </c>
      <c r="T12" s="3">
        <v>481</v>
      </c>
      <c r="U12" s="3">
        <v>481</v>
      </c>
      <c r="V12" s="3">
        <v>481</v>
      </c>
      <c r="Y12" s="3">
        <f>SUM(C12:F12)</f>
        <v>0</v>
      </c>
      <c r="Z12" s="3">
        <f>SUM(G12:J12)</f>
        <v>0</v>
      </c>
      <c r="AA12" s="3">
        <f>SUM(K12:N12)</f>
        <v>0</v>
      </c>
      <c r="AB12" s="3">
        <f>SUM(O12:R12)</f>
        <v>2100</v>
      </c>
      <c r="AC12" s="3">
        <f t="shared" si="4"/>
        <v>1961</v>
      </c>
      <c r="AD12" s="3">
        <v>2000</v>
      </c>
      <c r="AE12" s="3">
        <v>2000</v>
      </c>
      <c r="AF12" s="3">
        <v>2000</v>
      </c>
      <c r="AG12" s="3">
        <v>2000</v>
      </c>
      <c r="AH12" s="3">
        <v>2000</v>
      </c>
      <c r="AI12" s="3">
        <v>2000</v>
      </c>
      <c r="AJ12" s="3">
        <v>2000</v>
      </c>
    </row>
    <row r="13" spans="1:36" x14ac:dyDescent="0.25">
      <c r="B13" t="s">
        <v>40</v>
      </c>
      <c r="C13" s="3">
        <v>-60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>
        <v>0</v>
      </c>
      <c r="K13" s="3">
        <v>-4</v>
      </c>
      <c r="L13" s="3">
        <v>-1</v>
      </c>
      <c r="M13" s="3">
        <v>-3</v>
      </c>
      <c r="N13" s="3">
        <f>-12-M13-L13-K13</f>
        <v>-4</v>
      </c>
      <c r="O13" s="3">
        <v>-83</v>
      </c>
      <c r="P13" s="3">
        <v>-6</v>
      </c>
      <c r="Q13" s="3">
        <v>-8</v>
      </c>
      <c r="R13" s="3">
        <v>-5</v>
      </c>
      <c r="S13" s="3">
        <v>-10</v>
      </c>
      <c r="T13" s="3">
        <v>-8</v>
      </c>
      <c r="U13" s="3">
        <v>-8</v>
      </c>
      <c r="V13" s="3">
        <v>-8</v>
      </c>
      <c r="Y13" s="3">
        <f>SUM(C13:F13)</f>
        <v>-60</v>
      </c>
      <c r="Z13" s="3">
        <f>SUM(G13:J13)</f>
        <v>0</v>
      </c>
      <c r="AA13" s="3">
        <f>SUM(K13:N13)</f>
        <v>-12</v>
      </c>
      <c r="AB13" s="3">
        <f>SUM(O13:R13)</f>
        <v>-102</v>
      </c>
      <c r="AC13" s="3">
        <f t="shared" si="4"/>
        <v>-34</v>
      </c>
    </row>
    <row r="14" spans="1:36" x14ac:dyDescent="0.25">
      <c r="B14" t="s">
        <v>41</v>
      </c>
      <c r="C14" s="3">
        <f t="shared" ref="C14:R14" si="7">C13+C12+C11+C10</f>
        <v>483</v>
      </c>
      <c r="D14" s="3">
        <f t="shared" si="7"/>
        <v>562</v>
      </c>
      <c r="E14" s="3">
        <f t="shared" si="7"/>
        <v>591</v>
      </c>
      <c r="F14" s="3">
        <f t="shared" si="7"/>
        <v>601</v>
      </c>
      <c r="G14" s="3">
        <f t="shared" si="7"/>
        <v>641</v>
      </c>
      <c r="H14" s="3">
        <f t="shared" si="7"/>
        <v>675</v>
      </c>
      <c r="I14" s="3">
        <f t="shared" si="7"/>
        <v>781</v>
      </c>
      <c r="J14" s="3">
        <f t="shared" si="7"/>
        <v>881</v>
      </c>
      <c r="K14" s="3">
        <f t="shared" si="7"/>
        <v>925</v>
      </c>
      <c r="L14" s="3">
        <f t="shared" si="7"/>
        <v>999</v>
      </c>
      <c r="M14" s="3">
        <f t="shared" si="7"/>
        <v>1138</v>
      </c>
      <c r="N14" s="3">
        <f t="shared" si="7"/>
        <v>1219</v>
      </c>
      <c r="O14" s="3">
        <f t="shared" si="7"/>
        <v>1867</v>
      </c>
      <c r="P14" s="3">
        <f t="shared" si="7"/>
        <v>2502</v>
      </c>
      <c r="Q14" s="3">
        <f t="shared" si="7"/>
        <v>2418</v>
      </c>
      <c r="R14" s="3">
        <f t="shared" si="7"/>
        <v>2552</v>
      </c>
      <c r="S14" s="3">
        <f t="shared" ref="S14:U14" si="8">S13+S12+S11+S10</f>
        <v>2504</v>
      </c>
      <c r="T14" s="3">
        <f t="shared" si="8"/>
        <v>2463</v>
      </c>
      <c r="U14" s="3">
        <f>U13+U12+U11+U10</f>
        <v>2463</v>
      </c>
      <c r="V14" s="3">
        <f>V13+V12+V11+V10</f>
        <v>2463</v>
      </c>
      <c r="Y14" s="3">
        <f>SUM(Y10:Y13)</f>
        <v>2237</v>
      </c>
      <c r="Z14" s="3">
        <f>SUM(Z10:Z13)</f>
        <v>2978</v>
      </c>
      <c r="AA14" s="3">
        <f>SUM(AA10:AA13)</f>
        <v>4281</v>
      </c>
      <c r="AB14" s="3">
        <f>SUM(AB10:AB13)</f>
        <v>9339</v>
      </c>
      <c r="AC14" s="3">
        <f>SUM(AC10:AC13)</f>
        <v>9893</v>
      </c>
      <c r="AD14" s="3">
        <f>SUM(AD10:AD13)</f>
        <v>10651.300000000001</v>
      </c>
      <c r="AE14" s="3">
        <f t="shared" ref="AE14:AJ14" si="9">SUM(AE10:AE13)</f>
        <v>11399.565000000002</v>
      </c>
      <c r="AF14" s="3">
        <f t="shared" si="9"/>
        <v>12216.813250000003</v>
      </c>
      <c r="AG14" s="3">
        <f t="shared" si="9"/>
        <v>13109.650912500003</v>
      </c>
      <c r="AH14" s="3">
        <f t="shared" si="9"/>
        <v>14085.330158125005</v>
      </c>
      <c r="AI14" s="3">
        <f t="shared" si="9"/>
        <v>15151.813036031257</v>
      </c>
      <c r="AJ14" s="3">
        <f t="shared" si="9"/>
        <v>16317.841694832819</v>
      </c>
    </row>
    <row r="15" spans="1:36" x14ac:dyDescent="0.25">
      <c r="B15" t="s">
        <v>42</v>
      </c>
      <c r="C15" s="3">
        <f t="shared" ref="C15:R15" si="10">C9-C14</f>
        <v>38</v>
      </c>
      <c r="D15" s="3">
        <f t="shared" si="10"/>
        <v>59</v>
      </c>
      <c r="E15" s="3">
        <f t="shared" si="10"/>
        <v>186</v>
      </c>
      <c r="F15" s="3">
        <f t="shared" si="10"/>
        <v>348</v>
      </c>
      <c r="G15" s="3">
        <f t="shared" si="10"/>
        <v>177</v>
      </c>
      <c r="H15" s="3">
        <f t="shared" si="10"/>
        <v>173</v>
      </c>
      <c r="I15" s="3">
        <f t="shared" si="10"/>
        <v>449</v>
      </c>
      <c r="J15" s="3">
        <f t="shared" si="10"/>
        <v>570</v>
      </c>
      <c r="K15" s="3">
        <f t="shared" si="10"/>
        <v>662</v>
      </c>
      <c r="L15" s="3">
        <f t="shared" si="10"/>
        <v>831</v>
      </c>
      <c r="M15" s="3">
        <f t="shared" si="10"/>
        <v>948</v>
      </c>
      <c r="N15" s="3">
        <f t="shared" si="10"/>
        <v>1207</v>
      </c>
      <c r="O15" s="3">
        <f t="shared" si="10"/>
        <v>1137</v>
      </c>
      <c r="P15" s="3">
        <f t="shared" si="10"/>
        <v>933</v>
      </c>
      <c r="Q15" s="3">
        <f t="shared" si="10"/>
        <v>348</v>
      </c>
      <c r="R15" s="3">
        <f t="shared" si="10"/>
        <v>294</v>
      </c>
      <c r="S15" s="3">
        <f t="shared" ref="S15:U15" si="11">S9-S14</f>
        <v>160</v>
      </c>
      <c r="T15" s="3">
        <f t="shared" si="11"/>
        <v>192</v>
      </c>
      <c r="U15" s="3">
        <f t="shared" si="11"/>
        <v>444</v>
      </c>
      <c r="V15" s="3">
        <f t="shared" ref="V15" si="12">V9-V14</f>
        <v>342</v>
      </c>
      <c r="Y15" s="3">
        <f>Y9-Y14</f>
        <v>631</v>
      </c>
      <c r="Z15" s="3">
        <f>Z9-Z14</f>
        <v>1369</v>
      </c>
      <c r="AA15" s="3">
        <f>AA9-AA14</f>
        <v>3648</v>
      </c>
      <c r="AB15" s="3">
        <f>AB9-AB14</f>
        <v>2712</v>
      </c>
      <c r="AC15" s="3">
        <f>AC9-AC14</f>
        <v>1138</v>
      </c>
      <c r="AD15" s="3">
        <f t="shared" ref="AD15:AJ15" si="13">AD9-AD14</f>
        <v>1400.2999999999993</v>
      </c>
      <c r="AE15" s="3">
        <f t="shared" si="13"/>
        <v>2459.7749999999978</v>
      </c>
      <c r="AF15" s="3">
        <f t="shared" si="13"/>
        <v>4414.3947499999958</v>
      </c>
      <c r="AG15" s="3">
        <f t="shared" si="13"/>
        <v>6847.7986874999933</v>
      </c>
      <c r="AH15" s="3">
        <f t="shared" si="13"/>
        <v>9863.609361874991</v>
      </c>
      <c r="AI15" s="3">
        <f t="shared" si="13"/>
        <v>13586.914387968736</v>
      </c>
      <c r="AJ15" s="3">
        <f t="shared" si="13"/>
        <v>18168.631213967168</v>
      </c>
    </row>
    <row r="16" spans="1:36" x14ac:dyDescent="0.25">
      <c r="B16" t="s">
        <v>43</v>
      </c>
      <c r="C16" s="3">
        <v>-27</v>
      </c>
      <c r="D16" s="3">
        <v>-25</v>
      </c>
      <c r="E16" s="3">
        <v>-24</v>
      </c>
      <c r="F16" s="3">
        <f>-94-E16-D16-C16</f>
        <v>-18</v>
      </c>
      <c r="G16" s="3">
        <v>-13</v>
      </c>
      <c r="H16" s="3">
        <v>-14</v>
      </c>
      <c r="I16" s="3">
        <v>-11</v>
      </c>
      <c r="J16" s="3">
        <f>-47-I16-H16-G16</f>
        <v>-9</v>
      </c>
      <c r="K16" s="3">
        <v>-9</v>
      </c>
      <c r="L16" s="3">
        <v>-10</v>
      </c>
      <c r="M16" s="3">
        <v>-7</v>
      </c>
      <c r="N16" s="3">
        <f>-34-M16-L16-K16</f>
        <v>-8</v>
      </c>
      <c r="O16" s="3">
        <v>-13</v>
      </c>
      <c r="P16" s="3">
        <v>-25</v>
      </c>
      <c r="Q16" s="3">
        <v>-31</v>
      </c>
      <c r="R16" s="3">
        <v>-19</v>
      </c>
      <c r="S16" s="3">
        <v>-25</v>
      </c>
      <c r="T16" s="3">
        <v>-28</v>
      </c>
      <c r="U16" s="3">
        <v>-28</v>
      </c>
      <c r="V16" s="3">
        <v>-28</v>
      </c>
      <c r="Y16" s="3">
        <f>SUM(C16:F16)</f>
        <v>-94</v>
      </c>
      <c r="Z16" s="3">
        <f>SUM(G16:J16)</f>
        <v>-47</v>
      </c>
      <c r="AA16" s="3">
        <f>SUM(K16:N16)</f>
        <v>-34</v>
      </c>
      <c r="AB16" s="3">
        <f>SUM(O16:R16)</f>
        <v>-88</v>
      </c>
      <c r="AC16" s="3">
        <f t="shared" ref="AC16:AC17" si="14">SUM(S16:V16)</f>
        <v>-109</v>
      </c>
      <c r="AD16" s="2"/>
      <c r="AE16" s="2"/>
      <c r="AF16" s="2"/>
      <c r="AG16" s="2"/>
      <c r="AH16" s="2"/>
      <c r="AI16" s="2"/>
      <c r="AJ16" s="2"/>
    </row>
    <row r="17" spans="1:370" x14ac:dyDescent="0.25">
      <c r="B17" t="s">
        <v>44</v>
      </c>
      <c r="C17" s="3">
        <v>-7</v>
      </c>
      <c r="D17" s="3">
        <v>3</v>
      </c>
      <c r="E17" s="3">
        <v>-36</v>
      </c>
      <c r="F17" s="3">
        <f>-165-D17-E17-C17</f>
        <v>-125</v>
      </c>
      <c r="G17" s="3">
        <v>4</v>
      </c>
      <c r="H17" s="3">
        <v>1</v>
      </c>
      <c r="I17" s="3">
        <v>-37</v>
      </c>
      <c r="J17" s="3">
        <v>0</v>
      </c>
      <c r="K17" s="3">
        <v>-11</v>
      </c>
      <c r="L17" s="3">
        <v>0</v>
      </c>
      <c r="M17" s="3">
        <v>62</v>
      </c>
      <c r="N17" s="3">
        <f>55-M17-L17-K17</f>
        <v>4</v>
      </c>
      <c r="O17" s="3">
        <v>-42</v>
      </c>
      <c r="P17" s="3">
        <v>-4</v>
      </c>
      <c r="Q17" s="3">
        <v>22</v>
      </c>
      <c r="R17" s="3">
        <v>0</v>
      </c>
      <c r="S17" s="3">
        <v>43</v>
      </c>
      <c r="T17" s="3">
        <v>43</v>
      </c>
      <c r="U17" s="3">
        <v>0</v>
      </c>
      <c r="V17" s="3">
        <v>0</v>
      </c>
      <c r="Y17" s="3">
        <f>SUM(C17:F17)</f>
        <v>-165</v>
      </c>
      <c r="Z17" s="3">
        <f>SUM(G17:J17)</f>
        <v>-32</v>
      </c>
      <c r="AA17" s="3">
        <f>SUM(K17:N17)</f>
        <v>55</v>
      </c>
      <c r="AB17" s="3">
        <f>SUM(O17:R17)</f>
        <v>-24</v>
      </c>
      <c r="AC17" s="3">
        <f t="shared" si="14"/>
        <v>86</v>
      </c>
    </row>
    <row r="18" spans="1:370" x14ac:dyDescent="0.25">
      <c r="B18" t="s">
        <v>45</v>
      </c>
      <c r="C18" s="3">
        <f t="shared" ref="C18:R18" si="15">C15+C16+C17</f>
        <v>4</v>
      </c>
      <c r="D18" s="3">
        <f t="shared" si="15"/>
        <v>37</v>
      </c>
      <c r="E18" s="3">
        <f t="shared" si="15"/>
        <v>126</v>
      </c>
      <c r="F18" s="3">
        <f t="shared" si="15"/>
        <v>205</v>
      </c>
      <c r="G18" s="3">
        <f t="shared" si="15"/>
        <v>168</v>
      </c>
      <c r="H18" s="3">
        <f t="shared" si="15"/>
        <v>160</v>
      </c>
      <c r="I18" s="3">
        <f t="shared" si="15"/>
        <v>401</v>
      </c>
      <c r="J18" s="3">
        <f t="shared" si="15"/>
        <v>561</v>
      </c>
      <c r="K18" s="3">
        <f t="shared" si="15"/>
        <v>642</v>
      </c>
      <c r="L18" s="3">
        <f t="shared" si="15"/>
        <v>821</v>
      </c>
      <c r="M18" s="3">
        <f t="shared" si="15"/>
        <v>1003</v>
      </c>
      <c r="N18" s="3">
        <f t="shared" si="15"/>
        <v>1203</v>
      </c>
      <c r="O18" s="3">
        <f t="shared" si="15"/>
        <v>1082</v>
      </c>
      <c r="P18" s="3">
        <f t="shared" si="15"/>
        <v>904</v>
      </c>
      <c r="Q18" s="3">
        <f t="shared" si="15"/>
        <v>339</v>
      </c>
      <c r="R18" s="3">
        <f t="shared" si="15"/>
        <v>275</v>
      </c>
      <c r="S18" s="3">
        <f t="shared" ref="S18:U18" si="16">S15+S16+S17</f>
        <v>178</v>
      </c>
      <c r="T18" s="3">
        <f t="shared" si="16"/>
        <v>207</v>
      </c>
      <c r="U18" s="3">
        <f t="shared" si="16"/>
        <v>416</v>
      </c>
      <c r="V18" s="3">
        <f t="shared" ref="V18" si="17">V15+V16+V17</f>
        <v>314</v>
      </c>
      <c r="Y18" s="3">
        <f>Y15+Y16+Y17</f>
        <v>372</v>
      </c>
      <c r="Z18" s="3">
        <f>Z15+Z16+Z17</f>
        <v>1290</v>
      </c>
      <c r="AA18" s="3">
        <f>AA15+AA16+AA17</f>
        <v>3669</v>
      </c>
      <c r="AB18" s="3">
        <f>AB15+AB16+AB17</f>
        <v>2600</v>
      </c>
      <c r="AC18" s="3">
        <f>AC15+AC16+AC17</f>
        <v>1115</v>
      </c>
      <c r="AD18" s="3">
        <f t="shared" ref="AD18:AJ18" si="18">AD15+AD16+AD17</f>
        <v>1400.2999999999993</v>
      </c>
      <c r="AE18" s="3">
        <f t="shared" si="18"/>
        <v>2459.7749999999978</v>
      </c>
      <c r="AF18" s="3">
        <f t="shared" si="18"/>
        <v>4414.3947499999958</v>
      </c>
      <c r="AG18" s="3">
        <f t="shared" si="18"/>
        <v>6847.7986874999933</v>
      </c>
      <c r="AH18" s="3">
        <f t="shared" si="18"/>
        <v>9863.609361874991</v>
      </c>
      <c r="AI18" s="3">
        <f t="shared" si="18"/>
        <v>13586.914387968736</v>
      </c>
      <c r="AJ18" s="3">
        <f t="shared" si="18"/>
        <v>18168.631213967168</v>
      </c>
    </row>
    <row r="19" spans="1:370" x14ac:dyDescent="0.25">
      <c r="B19" t="s">
        <v>46</v>
      </c>
      <c r="C19" s="3">
        <v>-13</v>
      </c>
      <c r="D19" s="3">
        <v>2</v>
      </c>
      <c r="E19" s="3">
        <v>7</v>
      </c>
      <c r="F19" s="3">
        <f>31-E19-D19-C19</f>
        <v>35</v>
      </c>
      <c r="G19" s="3">
        <v>6</v>
      </c>
      <c r="H19" s="3">
        <v>4</v>
      </c>
      <c r="I19" s="3">
        <v>12</v>
      </c>
      <c r="J19" s="3">
        <f>-1210-I19-H19-G19</f>
        <v>-1232</v>
      </c>
      <c r="K19" s="3">
        <v>89</v>
      </c>
      <c r="L19" s="3">
        <v>113</v>
      </c>
      <c r="M19" s="3">
        <v>82</v>
      </c>
      <c r="N19" s="3">
        <f>513-M19-L19-K19</f>
        <v>229</v>
      </c>
      <c r="O19" s="3">
        <v>113</v>
      </c>
      <c r="P19" s="3">
        <v>54</v>
      </c>
      <c r="Q19" s="3">
        <v>-135</v>
      </c>
      <c r="R19">
        <v>-154</v>
      </c>
      <c r="S19">
        <v>13</v>
      </c>
      <c r="T19">
        <v>-23</v>
      </c>
      <c r="U19">
        <f>U18*0.1</f>
        <v>41.6</v>
      </c>
      <c r="V19">
        <f>V18*0.1</f>
        <v>31.400000000000002</v>
      </c>
      <c r="Y19" s="3">
        <f>SUM(C19:F19)</f>
        <v>31</v>
      </c>
      <c r="Z19" s="3">
        <f>SUM(G19:J19)</f>
        <v>-1210</v>
      </c>
      <c r="AA19" s="3">
        <f>SUM(K19:N19)</f>
        <v>513</v>
      </c>
      <c r="AB19" s="3">
        <f>SUM(O19:R19)</f>
        <v>-122</v>
      </c>
      <c r="AC19" s="3">
        <f>SUM(S19:V19)</f>
        <v>63</v>
      </c>
      <c r="AD19" s="3">
        <f>AD18*0.1</f>
        <v>140.02999999999994</v>
      </c>
      <c r="AE19" s="3">
        <f t="shared" ref="AE19:AJ19" si="19">AE18*0.1</f>
        <v>245.97749999999979</v>
      </c>
      <c r="AF19" s="3">
        <f t="shared" si="19"/>
        <v>441.43947499999962</v>
      </c>
      <c r="AG19" s="3">
        <f t="shared" si="19"/>
        <v>684.77986874999942</v>
      </c>
      <c r="AH19" s="3">
        <f t="shared" si="19"/>
        <v>986.36093618749919</v>
      </c>
      <c r="AI19" s="3">
        <f t="shared" si="19"/>
        <v>1358.6914387968736</v>
      </c>
      <c r="AJ19" s="3">
        <f t="shared" si="19"/>
        <v>1816.8631213967169</v>
      </c>
    </row>
    <row r="20" spans="1:370" x14ac:dyDescent="0.25">
      <c r="B20" t="s">
        <v>47</v>
      </c>
      <c r="C20" s="3">
        <v>-1</v>
      </c>
      <c r="D20" s="3">
        <v>0</v>
      </c>
      <c r="E20" s="3">
        <v>1</v>
      </c>
      <c r="F20" s="3">
        <v>0</v>
      </c>
      <c r="G20" s="3">
        <v>0</v>
      </c>
      <c r="H20" s="3">
        <v>1</v>
      </c>
      <c r="I20" s="3">
        <v>1</v>
      </c>
      <c r="J20" s="3">
        <v>0</v>
      </c>
      <c r="K20" s="3">
        <v>2</v>
      </c>
      <c r="L20" s="3">
        <v>2</v>
      </c>
      <c r="M20" s="3">
        <v>2</v>
      </c>
      <c r="N20" s="3">
        <v>3</v>
      </c>
      <c r="O20" s="3">
        <v>3</v>
      </c>
      <c r="P20" s="3">
        <v>4</v>
      </c>
      <c r="Q20" s="3">
        <v>4</v>
      </c>
      <c r="R20" s="3">
        <v>5</v>
      </c>
      <c r="S20" s="3">
        <v>1</v>
      </c>
      <c r="T20" s="3">
        <v>6</v>
      </c>
      <c r="U20" s="3">
        <v>6</v>
      </c>
      <c r="V20" s="3">
        <v>6</v>
      </c>
      <c r="Y20" s="3">
        <f>SUM(C20:F20)</f>
        <v>0</v>
      </c>
      <c r="Z20" s="3">
        <f>SUM(G20:J20)</f>
        <v>2</v>
      </c>
      <c r="AA20" s="3">
        <f>SUM(K20:N20)</f>
        <v>9</v>
      </c>
      <c r="AB20" s="3">
        <f>SUM(O20:R20)</f>
        <v>16</v>
      </c>
      <c r="AC20" s="3">
        <f t="shared" ref="AC20" si="20">SUM(S20:V20)</f>
        <v>19</v>
      </c>
      <c r="AD20" s="3"/>
      <c r="AE20" s="3"/>
      <c r="AF20" s="3"/>
      <c r="AG20" s="3"/>
      <c r="AH20" s="3"/>
      <c r="AI20" s="3"/>
      <c r="AJ20" s="3"/>
    </row>
    <row r="21" spans="1:370" s="3" customFormat="1" x14ac:dyDescent="0.25">
      <c r="A21"/>
      <c r="B21" t="s">
        <v>48</v>
      </c>
      <c r="C21" s="3">
        <f t="shared" ref="C21:R21" si="21">C18-C19+C20</f>
        <v>16</v>
      </c>
      <c r="D21" s="3">
        <f t="shared" si="21"/>
        <v>35</v>
      </c>
      <c r="E21" s="3">
        <f t="shared" si="21"/>
        <v>120</v>
      </c>
      <c r="F21" s="3">
        <f t="shared" si="21"/>
        <v>170</v>
      </c>
      <c r="G21" s="3">
        <f t="shared" si="21"/>
        <v>162</v>
      </c>
      <c r="H21" s="3">
        <f t="shared" si="21"/>
        <v>157</v>
      </c>
      <c r="I21" s="3">
        <f t="shared" si="21"/>
        <v>390</v>
      </c>
      <c r="J21" s="3">
        <f t="shared" si="21"/>
        <v>1793</v>
      </c>
      <c r="K21" s="3">
        <f t="shared" si="21"/>
        <v>555</v>
      </c>
      <c r="L21" s="3">
        <f t="shared" si="21"/>
        <v>710</v>
      </c>
      <c r="M21" s="3">
        <f t="shared" si="21"/>
        <v>923</v>
      </c>
      <c r="N21" s="3">
        <f t="shared" si="21"/>
        <v>977</v>
      </c>
      <c r="O21" s="3">
        <f t="shared" si="21"/>
        <v>972</v>
      </c>
      <c r="P21" s="3">
        <f t="shared" si="21"/>
        <v>854</v>
      </c>
      <c r="Q21" s="3">
        <f t="shared" si="21"/>
        <v>478</v>
      </c>
      <c r="R21" s="3">
        <f t="shared" si="21"/>
        <v>434</v>
      </c>
      <c r="S21" s="3">
        <f t="shared" ref="S21:U21" si="22">S18-S19+S20</f>
        <v>166</v>
      </c>
      <c r="T21" s="3">
        <f t="shared" si="22"/>
        <v>236</v>
      </c>
      <c r="U21" s="3">
        <f t="shared" si="22"/>
        <v>380.4</v>
      </c>
      <c r="V21" s="3">
        <f t="shared" ref="V21" si="23">V18-V19+V20</f>
        <v>288.60000000000002</v>
      </c>
      <c r="W21"/>
      <c r="X21"/>
      <c r="Y21" s="3">
        <f>Y18-Y19-Y20</f>
        <v>341</v>
      </c>
      <c r="Z21" s="3">
        <f>Z18-Z19-Z20</f>
        <v>2498</v>
      </c>
      <c r="AA21" s="3">
        <f>AA18-AA19-AA20</f>
        <v>3147</v>
      </c>
      <c r="AB21" s="3">
        <f>AB18-AB19-AB20</f>
        <v>2706</v>
      </c>
      <c r="AC21" s="3">
        <f>AC18-AC19-AC20</f>
        <v>1033</v>
      </c>
      <c r="AD21" s="3">
        <f t="shared" ref="AD21:AJ21" si="24">AD18-AD19-AD20</f>
        <v>1260.2699999999993</v>
      </c>
      <c r="AE21" s="3">
        <f t="shared" si="24"/>
        <v>2213.7974999999979</v>
      </c>
      <c r="AF21" s="3">
        <f t="shared" si="24"/>
        <v>3972.9552749999962</v>
      </c>
      <c r="AG21" s="3">
        <f t="shared" si="24"/>
        <v>6163.0188187499934</v>
      </c>
      <c r="AH21" s="3">
        <f t="shared" si="24"/>
        <v>8877.2484256874923</v>
      </c>
      <c r="AI21" s="3">
        <f t="shared" si="24"/>
        <v>12228.222949171863</v>
      </c>
      <c r="AJ21" s="3">
        <f t="shared" si="24"/>
        <v>16351.768092570452</v>
      </c>
      <c r="AK21" s="3">
        <f>AJ21*(1+$AN$35)</f>
        <v>16188.250411644747</v>
      </c>
      <c r="AL21" s="3">
        <f t="shared" ref="AL21:CW21" si="25">AK21*(1+$AN$35)</f>
        <v>16026.3679075283</v>
      </c>
      <c r="AM21" s="3">
        <f t="shared" si="25"/>
        <v>15866.104228453016</v>
      </c>
      <c r="AN21" s="3">
        <f t="shared" si="25"/>
        <v>15707.443186168486</v>
      </c>
      <c r="AO21" s="3">
        <f t="shared" si="25"/>
        <v>15550.368754306801</v>
      </c>
      <c r="AP21" s="3">
        <f t="shared" si="25"/>
        <v>15394.865066763732</v>
      </c>
      <c r="AQ21" s="3">
        <f t="shared" si="25"/>
        <v>15240.916416096095</v>
      </c>
      <c r="AR21" s="3">
        <f t="shared" si="25"/>
        <v>15088.507251935134</v>
      </c>
      <c r="AS21" s="3">
        <f t="shared" si="25"/>
        <v>14937.622179415783</v>
      </c>
      <c r="AT21" s="3">
        <f t="shared" si="25"/>
        <v>14788.245957621624</v>
      </c>
      <c r="AU21" s="3">
        <f t="shared" si="25"/>
        <v>14640.363498045408</v>
      </c>
      <c r="AV21" s="3">
        <f t="shared" si="25"/>
        <v>14493.959863064954</v>
      </c>
      <c r="AW21" s="3">
        <f t="shared" si="25"/>
        <v>14349.020264434304</v>
      </c>
      <c r="AX21" s="3">
        <f t="shared" si="25"/>
        <v>14205.530061789961</v>
      </c>
      <c r="AY21" s="3">
        <f t="shared" si="25"/>
        <v>14063.474761172061</v>
      </c>
      <c r="AZ21" s="3">
        <f t="shared" si="25"/>
        <v>13922.840013560341</v>
      </c>
      <c r="BA21" s="3">
        <f t="shared" si="25"/>
        <v>13783.611613424737</v>
      </c>
      <c r="BB21" s="3">
        <f t="shared" si="25"/>
        <v>13645.77549729049</v>
      </c>
      <c r="BC21" s="3">
        <f t="shared" si="25"/>
        <v>13509.317742317584</v>
      </c>
      <c r="BD21" s="3">
        <f t="shared" si="25"/>
        <v>13374.224564894408</v>
      </c>
      <c r="BE21" s="3">
        <f t="shared" si="25"/>
        <v>13240.482319245464</v>
      </c>
      <c r="BF21" s="3">
        <f t="shared" si="25"/>
        <v>13108.077496053009</v>
      </c>
      <c r="BG21" s="3">
        <f t="shared" si="25"/>
        <v>12976.996721092479</v>
      </c>
      <c r="BH21" s="3">
        <f t="shared" si="25"/>
        <v>12847.226753881554</v>
      </c>
      <c r="BI21" s="3">
        <f t="shared" si="25"/>
        <v>12718.754486342739</v>
      </c>
      <c r="BJ21" s="3">
        <f t="shared" si="25"/>
        <v>12591.566941479312</v>
      </c>
      <c r="BK21" s="3">
        <f t="shared" si="25"/>
        <v>12465.651272064519</v>
      </c>
      <c r="BL21" s="3">
        <f t="shared" si="25"/>
        <v>12340.994759343874</v>
      </c>
      <c r="BM21" s="3">
        <f t="shared" si="25"/>
        <v>12217.584811750436</v>
      </c>
      <c r="BN21" s="3">
        <f t="shared" si="25"/>
        <v>12095.408963632932</v>
      </c>
      <c r="BO21" s="3">
        <f t="shared" si="25"/>
        <v>11974.454873996603</v>
      </c>
      <c r="BP21" s="3">
        <f t="shared" si="25"/>
        <v>11854.710325256638</v>
      </c>
      <c r="BQ21" s="3">
        <f t="shared" si="25"/>
        <v>11736.163222004072</v>
      </c>
      <c r="BR21" s="3">
        <f t="shared" si="25"/>
        <v>11618.801589784031</v>
      </c>
      <c r="BS21" s="3">
        <f t="shared" si="25"/>
        <v>11502.61357388619</v>
      </c>
      <c r="BT21" s="3">
        <f t="shared" si="25"/>
        <v>11387.587438147328</v>
      </c>
      <c r="BU21" s="3">
        <f t="shared" si="25"/>
        <v>11273.711563765853</v>
      </c>
      <c r="BV21" s="3">
        <f t="shared" si="25"/>
        <v>11160.974448128194</v>
      </c>
      <c r="BW21" s="3">
        <f t="shared" si="25"/>
        <v>11049.364703646912</v>
      </c>
      <c r="BX21" s="3">
        <f t="shared" si="25"/>
        <v>10938.871056610442</v>
      </c>
      <c r="BY21" s="3">
        <f t="shared" si="25"/>
        <v>10829.482346044337</v>
      </c>
      <c r="BZ21" s="3">
        <f t="shared" si="25"/>
        <v>10721.187522583894</v>
      </c>
      <c r="CA21" s="3">
        <f t="shared" si="25"/>
        <v>10613.975647358055</v>
      </c>
      <c r="CB21" s="3">
        <f t="shared" si="25"/>
        <v>10507.835890884475</v>
      </c>
      <c r="CC21" s="3">
        <f t="shared" si="25"/>
        <v>10402.757531975631</v>
      </c>
      <c r="CD21" s="3">
        <f t="shared" si="25"/>
        <v>10298.729956655874</v>
      </c>
      <c r="CE21" s="3">
        <f t="shared" si="25"/>
        <v>10195.742657089315</v>
      </c>
      <c r="CF21" s="3">
        <f t="shared" si="25"/>
        <v>10093.785230518422</v>
      </c>
      <c r="CG21" s="3">
        <f t="shared" si="25"/>
        <v>9992.8473782132387</v>
      </c>
      <c r="CH21" s="3">
        <f t="shared" si="25"/>
        <v>9892.9189044311061</v>
      </c>
      <c r="CI21" s="3">
        <f t="shared" si="25"/>
        <v>9793.9897153867951</v>
      </c>
      <c r="CJ21" s="3">
        <f t="shared" si="25"/>
        <v>9696.0498182329266</v>
      </c>
      <c r="CK21" s="3">
        <f t="shared" si="25"/>
        <v>9599.089320050598</v>
      </c>
      <c r="CL21" s="3">
        <f t="shared" si="25"/>
        <v>9503.0984268500924</v>
      </c>
      <c r="CM21" s="3">
        <f t="shared" si="25"/>
        <v>9408.0674425815923</v>
      </c>
      <c r="CN21" s="3">
        <f t="shared" si="25"/>
        <v>9313.9867681557771</v>
      </c>
      <c r="CO21" s="3">
        <f t="shared" si="25"/>
        <v>9220.8469004742201</v>
      </c>
      <c r="CP21" s="3">
        <f t="shared" si="25"/>
        <v>9128.6384314694769</v>
      </c>
      <c r="CQ21" s="3">
        <f t="shared" si="25"/>
        <v>9037.3520471547818</v>
      </c>
      <c r="CR21" s="3">
        <f t="shared" si="25"/>
        <v>8946.9785266832332</v>
      </c>
      <c r="CS21" s="3">
        <f t="shared" si="25"/>
        <v>8857.5087414164009</v>
      </c>
      <c r="CT21" s="3">
        <f t="shared" si="25"/>
        <v>8768.9336540022359</v>
      </c>
      <c r="CU21" s="3">
        <f t="shared" si="25"/>
        <v>8681.2443174622131</v>
      </c>
      <c r="CV21" s="3">
        <f t="shared" si="25"/>
        <v>8594.4318742875912</v>
      </c>
      <c r="CW21" s="3">
        <f t="shared" si="25"/>
        <v>8508.4875555447161</v>
      </c>
      <c r="CX21" s="3">
        <f t="shared" ref="CX21:FI21" si="26">CW21*(1+$AN$35)</f>
        <v>8423.402679989269</v>
      </c>
      <c r="CY21" s="3">
        <f t="shared" si="26"/>
        <v>8339.1686531893756</v>
      </c>
      <c r="CZ21" s="3">
        <f t="shared" si="26"/>
        <v>8255.7769666574823</v>
      </c>
      <c r="DA21" s="3">
        <f t="shared" si="26"/>
        <v>8173.2191969909072</v>
      </c>
      <c r="DB21" s="3">
        <f t="shared" si="26"/>
        <v>8091.4870050209984</v>
      </c>
      <c r="DC21" s="3">
        <f t="shared" si="26"/>
        <v>8010.5721349707883</v>
      </c>
      <c r="DD21" s="3">
        <f t="shared" si="26"/>
        <v>7930.4664136210804</v>
      </c>
      <c r="DE21" s="3">
        <f t="shared" si="26"/>
        <v>7851.1617494848697</v>
      </c>
      <c r="DF21" s="3">
        <f t="shared" si="26"/>
        <v>7772.6501319900208</v>
      </c>
      <c r="DG21" s="3">
        <f t="shared" si="26"/>
        <v>7694.9236306701205</v>
      </c>
      <c r="DH21" s="3">
        <f t="shared" si="26"/>
        <v>7617.9743943634194</v>
      </c>
      <c r="DI21" s="3">
        <f t="shared" si="26"/>
        <v>7541.7946504197853</v>
      </c>
      <c r="DJ21" s="3">
        <f t="shared" si="26"/>
        <v>7466.3767039155873</v>
      </c>
      <c r="DK21" s="3">
        <f t="shared" si="26"/>
        <v>7391.7129368764317</v>
      </c>
      <c r="DL21" s="3">
        <f t="shared" si="26"/>
        <v>7317.7958075076676</v>
      </c>
      <c r="DM21" s="3">
        <f t="shared" si="26"/>
        <v>7244.6178494325904</v>
      </c>
      <c r="DN21" s="3">
        <f t="shared" si="26"/>
        <v>7172.1716709382645</v>
      </c>
      <c r="DO21" s="3">
        <f t="shared" si="26"/>
        <v>7100.4499542288813</v>
      </c>
      <c r="DP21" s="3">
        <f t="shared" si="26"/>
        <v>7029.4454546865927</v>
      </c>
      <c r="DQ21" s="3">
        <f t="shared" si="26"/>
        <v>6959.1510001397264</v>
      </c>
      <c r="DR21" s="3">
        <f t="shared" si="26"/>
        <v>6889.5594901383292</v>
      </c>
      <c r="DS21" s="3">
        <f t="shared" si="26"/>
        <v>6820.6638952369458</v>
      </c>
      <c r="DT21" s="3">
        <f t="shared" si="26"/>
        <v>6752.457256284576</v>
      </c>
      <c r="DU21" s="3">
        <f t="shared" si="26"/>
        <v>6684.9326837217304</v>
      </c>
      <c r="DV21" s="3">
        <f t="shared" si="26"/>
        <v>6618.0833568845128</v>
      </c>
      <c r="DW21" s="3">
        <f t="shared" si="26"/>
        <v>6551.9025233156672</v>
      </c>
      <c r="DX21" s="3">
        <f t="shared" si="26"/>
        <v>6486.3834980825104</v>
      </c>
      <c r="DY21" s="3">
        <f t="shared" si="26"/>
        <v>6421.5196631016852</v>
      </c>
      <c r="DZ21" s="3">
        <f t="shared" si="26"/>
        <v>6357.3044664706686</v>
      </c>
      <c r="EA21" s="3">
        <f t="shared" si="26"/>
        <v>6293.7314218059619</v>
      </c>
      <c r="EB21" s="3">
        <f t="shared" si="26"/>
        <v>6230.7941075879025</v>
      </c>
      <c r="EC21" s="3">
        <f t="shared" si="26"/>
        <v>6168.4861665120234</v>
      </c>
      <c r="ED21" s="3">
        <f t="shared" si="26"/>
        <v>6106.8013048469029</v>
      </c>
      <c r="EE21" s="3">
        <f t="shared" si="26"/>
        <v>6045.733291798434</v>
      </c>
      <c r="EF21" s="3">
        <f t="shared" si="26"/>
        <v>5985.2759588804493</v>
      </c>
      <c r="EG21" s="3">
        <f t="shared" si="26"/>
        <v>5925.4231992916448</v>
      </c>
      <c r="EH21" s="3">
        <f t="shared" si="26"/>
        <v>5866.1689672987286</v>
      </c>
      <c r="EI21" s="3">
        <f t="shared" si="26"/>
        <v>5807.5072776257412</v>
      </c>
      <c r="EJ21" s="3">
        <f t="shared" si="26"/>
        <v>5749.4322048494832</v>
      </c>
      <c r="EK21" s="3">
        <f t="shared" si="26"/>
        <v>5691.9378828009885</v>
      </c>
      <c r="EL21" s="3">
        <f t="shared" si="26"/>
        <v>5635.0185039729786</v>
      </c>
      <c r="EM21" s="3">
        <f t="shared" si="26"/>
        <v>5578.6683189332489</v>
      </c>
      <c r="EN21" s="3">
        <f t="shared" si="26"/>
        <v>5522.8816357439164</v>
      </c>
      <c r="EO21" s="3">
        <f t="shared" si="26"/>
        <v>5467.6528193864769</v>
      </c>
      <c r="EP21" s="3">
        <f t="shared" si="26"/>
        <v>5412.9762911926118</v>
      </c>
      <c r="EQ21" s="3">
        <f t="shared" si="26"/>
        <v>5358.8465282806856</v>
      </c>
      <c r="ER21" s="3">
        <f t="shared" si="26"/>
        <v>5305.2580629978784</v>
      </c>
      <c r="ES21" s="3">
        <f t="shared" si="26"/>
        <v>5252.2054823678991</v>
      </c>
      <c r="ET21" s="3">
        <f t="shared" si="26"/>
        <v>5199.6834275442197</v>
      </c>
      <c r="EU21" s="3">
        <f t="shared" si="26"/>
        <v>5147.6865932687779</v>
      </c>
      <c r="EV21" s="3">
        <f t="shared" si="26"/>
        <v>5096.2097273360896</v>
      </c>
      <c r="EW21" s="3">
        <f t="shared" si="26"/>
        <v>5045.2476300627286</v>
      </c>
      <c r="EX21" s="3">
        <f t="shared" si="26"/>
        <v>4994.7951537621011</v>
      </c>
      <c r="EY21" s="3">
        <f t="shared" si="26"/>
        <v>4944.8472022244805</v>
      </c>
      <c r="EZ21" s="3">
        <f t="shared" si="26"/>
        <v>4895.398730202236</v>
      </c>
      <c r="FA21" s="3">
        <f t="shared" si="26"/>
        <v>4846.4447429002139</v>
      </c>
      <c r="FB21" s="3">
        <f t="shared" si="26"/>
        <v>4797.9802954712113</v>
      </c>
      <c r="FC21" s="3">
        <f t="shared" si="26"/>
        <v>4750.0004925164994</v>
      </c>
      <c r="FD21" s="3">
        <f t="shared" si="26"/>
        <v>4702.5004875913346</v>
      </c>
      <c r="FE21" s="3">
        <f t="shared" si="26"/>
        <v>4655.4754827154211</v>
      </c>
      <c r="FF21" s="3">
        <f t="shared" si="26"/>
        <v>4608.9207278882668</v>
      </c>
      <c r="FG21" s="3">
        <f t="shared" si="26"/>
        <v>4562.8315206093839</v>
      </c>
      <c r="FH21" s="3">
        <f t="shared" si="26"/>
        <v>4517.2032054032898</v>
      </c>
      <c r="FI21" s="3">
        <f t="shared" si="26"/>
        <v>4472.0311733492572</v>
      </c>
      <c r="FJ21" s="3">
        <f t="shared" ref="FJ21:HU21" si="27">FI21*(1+$AN$35)</f>
        <v>4427.3108616157642</v>
      </c>
      <c r="FK21" s="3">
        <f t="shared" si="27"/>
        <v>4383.0377529996067</v>
      </c>
      <c r="FL21" s="3">
        <f t="shared" si="27"/>
        <v>4339.2073754696103</v>
      </c>
      <c r="FM21" s="3">
        <f t="shared" si="27"/>
        <v>4295.8153017149143</v>
      </c>
      <c r="FN21" s="3">
        <f t="shared" si="27"/>
        <v>4252.8571486977653</v>
      </c>
      <c r="FO21" s="3">
        <f t="shared" si="27"/>
        <v>4210.3285772107874</v>
      </c>
      <c r="FP21" s="3">
        <f t="shared" si="27"/>
        <v>4168.22529143868</v>
      </c>
      <c r="FQ21" s="3">
        <f t="shared" si="27"/>
        <v>4126.5430385242935</v>
      </c>
      <c r="FR21" s="3">
        <f t="shared" si="27"/>
        <v>4085.2776081390507</v>
      </c>
      <c r="FS21" s="3">
        <f t="shared" si="27"/>
        <v>4044.4248320576603</v>
      </c>
      <c r="FT21" s="3">
        <f t="shared" si="27"/>
        <v>4003.9805837370836</v>
      </c>
      <c r="FU21" s="3">
        <f t="shared" si="27"/>
        <v>3963.9407778997129</v>
      </c>
      <c r="FV21" s="3">
        <f t="shared" si="27"/>
        <v>3924.3013701207155</v>
      </c>
      <c r="FW21" s="3">
        <f t="shared" si="27"/>
        <v>3885.0583564195085</v>
      </c>
      <c r="FX21" s="3">
        <f t="shared" si="27"/>
        <v>3846.2077728553136</v>
      </c>
      <c r="FY21" s="3">
        <f t="shared" si="27"/>
        <v>3807.7456951267604</v>
      </c>
      <c r="FZ21" s="3">
        <f t="shared" si="27"/>
        <v>3769.6682381754927</v>
      </c>
      <c r="GA21" s="3">
        <f t="shared" si="27"/>
        <v>3731.9715557937375</v>
      </c>
      <c r="GB21" s="3">
        <f t="shared" si="27"/>
        <v>3694.6518402358001</v>
      </c>
      <c r="GC21" s="3">
        <f t="shared" si="27"/>
        <v>3657.7053218334422</v>
      </c>
      <c r="GD21" s="3">
        <f t="shared" si="27"/>
        <v>3621.1282686151076</v>
      </c>
      <c r="GE21" s="3">
        <f t="shared" si="27"/>
        <v>3584.9169859289564</v>
      </c>
      <c r="GF21" s="3">
        <f t="shared" si="27"/>
        <v>3549.0678160696666</v>
      </c>
      <c r="GG21" s="3">
        <f t="shared" si="27"/>
        <v>3513.5771379089697</v>
      </c>
      <c r="GH21" s="3">
        <f t="shared" si="27"/>
        <v>3478.4413665298798</v>
      </c>
      <c r="GI21" s="3">
        <f t="shared" si="27"/>
        <v>3443.6569528645809</v>
      </c>
      <c r="GJ21" s="3">
        <f t="shared" si="27"/>
        <v>3409.2203833359349</v>
      </c>
      <c r="GK21" s="3">
        <f t="shared" si="27"/>
        <v>3375.1281795025757</v>
      </c>
      <c r="GL21" s="3">
        <f t="shared" si="27"/>
        <v>3341.3768977075497</v>
      </c>
      <c r="GM21" s="3">
        <f t="shared" si="27"/>
        <v>3307.9631287304742</v>
      </c>
      <c r="GN21" s="3">
        <f t="shared" si="27"/>
        <v>3274.8834974431693</v>
      </c>
      <c r="GO21" s="3">
        <f t="shared" si="27"/>
        <v>3242.1346624687376</v>
      </c>
      <c r="GP21" s="3">
        <f t="shared" si="27"/>
        <v>3209.7133158440502</v>
      </c>
      <c r="GQ21" s="3">
        <f t="shared" si="27"/>
        <v>3177.6161826856096</v>
      </c>
      <c r="GR21" s="3">
        <f t="shared" si="27"/>
        <v>3145.8400208587536</v>
      </c>
      <c r="GS21" s="3">
        <f t="shared" si="27"/>
        <v>3114.381620650166</v>
      </c>
      <c r="GT21" s="3">
        <f t="shared" si="27"/>
        <v>3083.2378044436646</v>
      </c>
      <c r="GU21" s="3">
        <f t="shared" si="27"/>
        <v>3052.405426399228</v>
      </c>
      <c r="GV21" s="3">
        <f t="shared" si="27"/>
        <v>3021.8813721352358</v>
      </c>
      <c r="GW21" s="3">
        <f t="shared" si="27"/>
        <v>2991.6625584138833</v>
      </c>
      <c r="GX21" s="3">
        <f t="shared" si="27"/>
        <v>2961.7459328297446</v>
      </c>
      <c r="GY21" s="3">
        <f t="shared" si="27"/>
        <v>2932.1284735014469</v>
      </c>
      <c r="GZ21" s="3">
        <f t="shared" si="27"/>
        <v>2902.8071887664323</v>
      </c>
      <c r="HA21" s="3">
        <f t="shared" si="27"/>
        <v>2873.779116878768</v>
      </c>
      <c r="HB21" s="3">
        <f t="shared" si="27"/>
        <v>2845.0413257099804</v>
      </c>
      <c r="HC21" s="3">
        <f t="shared" si="27"/>
        <v>2816.5909124528807</v>
      </c>
      <c r="HD21" s="3">
        <f t="shared" si="27"/>
        <v>2788.425003328352</v>
      </c>
      <c r="HE21" s="3">
        <f t="shared" si="27"/>
        <v>2760.5407532950685</v>
      </c>
      <c r="HF21" s="3">
        <f t="shared" si="27"/>
        <v>2732.9353457621178</v>
      </c>
      <c r="HG21" s="3">
        <f t="shared" si="27"/>
        <v>2705.6059923044968</v>
      </c>
      <c r="HH21" s="3">
        <f t="shared" si="27"/>
        <v>2678.549932381452</v>
      </c>
      <c r="HI21" s="3">
        <f t="shared" si="27"/>
        <v>2651.7644330576372</v>
      </c>
      <c r="HJ21" s="3">
        <f t="shared" si="27"/>
        <v>2625.2467887270609</v>
      </c>
      <c r="HK21" s="3">
        <f t="shared" si="27"/>
        <v>2598.9943208397904</v>
      </c>
      <c r="HL21" s="3">
        <f t="shared" si="27"/>
        <v>2573.0043776313923</v>
      </c>
      <c r="HM21" s="3">
        <f t="shared" si="27"/>
        <v>2547.2743338550786</v>
      </c>
      <c r="HN21" s="3">
        <f t="shared" si="27"/>
        <v>2521.8015905165275</v>
      </c>
      <c r="HO21" s="3">
        <f t="shared" si="27"/>
        <v>2496.5835746113621</v>
      </c>
      <c r="HP21" s="3">
        <f t="shared" si="27"/>
        <v>2471.6177388652486</v>
      </c>
      <c r="HQ21" s="3">
        <f t="shared" si="27"/>
        <v>2446.9015614765963</v>
      </c>
      <c r="HR21" s="3">
        <f t="shared" si="27"/>
        <v>2422.4325458618305</v>
      </c>
      <c r="HS21" s="3">
        <f t="shared" si="27"/>
        <v>2398.2082204032122</v>
      </c>
      <c r="HT21" s="3">
        <f t="shared" si="27"/>
        <v>2374.2261381991802</v>
      </c>
      <c r="HU21" s="3">
        <f t="shared" si="27"/>
        <v>2350.4838768171885</v>
      </c>
      <c r="HV21" s="3">
        <f t="shared" ref="HV21:KG21" si="28">HU21*(1+$AN$35)</f>
        <v>2326.9790380490167</v>
      </c>
      <c r="HW21" s="3">
        <f t="shared" si="28"/>
        <v>2303.7092476685266</v>
      </c>
      <c r="HX21" s="3">
        <f t="shared" si="28"/>
        <v>2280.6721551918413</v>
      </c>
      <c r="HY21" s="3">
        <f t="shared" si="28"/>
        <v>2257.8654336399227</v>
      </c>
      <c r="HZ21" s="3">
        <f t="shared" si="28"/>
        <v>2235.2867793035234</v>
      </c>
      <c r="IA21" s="3">
        <f t="shared" si="28"/>
        <v>2212.9339115104881</v>
      </c>
      <c r="IB21" s="3">
        <f t="shared" si="28"/>
        <v>2190.8045723953833</v>
      </c>
      <c r="IC21" s="3">
        <f t="shared" si="28"/>
        <v>2168.8965266714295</v>
      </c>
      <c r="ID21" s="3">
        <f t="shared" si="28"/>
        <v>2147.2075614047153</v>
      </c>
      <c r="IE21" s="3">
        <f t="shared" si="28"/>
        <v>2125.735485790668</v>
      </c>
      <c r="IF21" s="3">
        <f t="shared" si="28"/>
        <v>2104.4781309327614</v>
      </c>
      <c r="IG21" s="3">
        <f t="shared" si="28"/>
        <v>2083.4333496234335</v>
      </c>
      <c r="IH21" s="3">
        <f t="shared" si="28"/>
        <v>2062.5990161271993</v>
      </c>
      <c r="II21" s="3">
        <f t="shared" si="28"/>
        <v>2041.9730259659273</v>
      </c>
      <c r="IJ21" s="3">
        <f t="shared" si="28"/>
        <v>2021.553295706268</v>
      </c>
      <c r="IK21" s="3">
        <f t="shared" si="28"/>
        <v>2001.3377627492052</v>
      </c>
      <c r="IL21" s="3">
        <f t="shared" si="28"/>
        <v>1981.3243851217132</v>
      </c>
      <c r="IM21" s="3">
        <f t="shared" si="28"/>
        <v>1961.5111412704962</v>
      </c>
      <c r="IN21" s="3">
        <f t="shared" si="28"/>
        <v>1941.8960298577913</v>
      </c>
      <c r="IO21" s="3">
        <f t="shared" si="28"/>
        <v>1922.4770695592133</v>
      </c>
      <c r="IP21" s="3">
        <f t="shared" si="28"/>
        <v>1903.2522988636213</v>
      </c>
      <c r="IQ21" s="3">
        <f t="shared" si="28"/>
        <v>1884.2197758749851</v>
      </c>
      <c r="IR21" s="3">
        <f t="shared" si="28"/>
        <v>1865.3775781162353</v>
      </c>
      <c r="IS21" s="3">
        <f t="shared" si="28"/>
        <v>1846.7238023350731</v>
      </c>
      <c r="IT21" s="3">
        <f t="shared" si="28"/>
        <v>1828.2565643117223</v>
      </c>
      <c r="IU21" s="3">
        <f t="shared" si="28"/>
        <v>1809.973998668605</v>
      </c>
      <c r="IV21" s="3">
        <f t="shared" si="28"/>
        <v>1791.8742586819189</v>
      </c>
      <c r="IW21" s="3">
        <f t="shared" si="28"/>
        <v>1773.9555160950997</v>
      </c>
      <c r="IX21" s="3">
        <f t="shared" si="28"/>
        <v>1756.2159609341486</v>
      </c>
      <c r="IY21" s="3">
        <f t="shared" si="28"/>
        <v>1738.6538013248071</v>
      </c>
      <c r="IZ21" s="3">
        <f t="shared" si="28"/>
        <v>1721.267263311559</v>
      </c>
      <c r="JA21" s="3">
        <f t="shared" si="28"/>
        <v>1704.0545906784434</v>
      </c>
      <c r="JB21" s="3">
        <f t="shared" si="28"/>
        <v>1687.014044771659</v>
      </c>
      <c r="JC21" s="3">
        <f t="shared" si="28"/>
        <v>1670.1439043239425</v>
      </c>
      <c r="JD21" s="3">
        <f t="shared" si="28"/>
        <v>1653.4424652807031</v>
      </c>
      <c r="JE21" s="3">
        <f t="shared" si="28"/>
        <v>1636.9080406278961</v>
      </c>
      <c r="JF21" s="3">
        <f t="shared" si="28"/>
        <v>1620.5389602216171</v>
      </c>
      <c r="JG21" s="3">
        <f t="shared" si="28"/>
        <v>1604.3335706194009</v>
      </c>
      <c r="JH21" s="3">
        <f t="shared" si="28"/>
        <v>1588.2902349132069</v>
      </c>
      <c r="JI21" s="3">
        <f t="shared" si="28"/>
        <v>1572.4073325640747</v>
      </c>
      <c r="JJ21" s="3">
        <f t="shared" si="28"/>
        <v>1556.6832592384339</v>
      </c>
      <c r="JK21" s="3">
        <f t="shared" si="28"/>
        <v>1541.1164266460496</v>
      </c>
      <c r="JL21" s="3">
        <f t="shared" si="28"/>
        <v>1525.7052623795892</v>
      </c>
      <c r="JM21" s="3">
        <f t="shared" si="28"/>
        <v>1510.4482097557932</v>
      </c>
      <c r="JN21" s="3">
        <f t="shared" si="28"/>
        <v>1495.3437276582351</v>
      </c>
      <c r="JO21" s="3">
        <f t="shared" si="28"/>
        <v>1480.3902903816527</v>
      </c>
      <c r="JP21" s="3">
        <f t="shared" si="28"/>
        <v>1465.5863874778361</v>
      </c>
      <c r="JQ21" s="3">
        <f t="shared" si="28"/>
        <v>1450.9305236030577</v>
      </c>
      <c r="JR21" s="3">
        <f t="shared" si="28"/>
        <v>1436.4212183670272</v>
      </c>
      <c r="JS21" s="3">
        <f t="shared" si="28"/>
        <v>1422.0570061833569</v>
      </c>
      <c r="JT21" s="3">
        <f t="shared" si="28"/>
        <v>1407.8364361215233</v>
      </c>
      <c r="JU21" s="3">
        <f t="shared" si="28"/>
        <v>1393.758071760308</v>
      </c>
      <c r="JV21" s="3">
        <f t="shared" si="28"/>
        <v>1379.8204910427048</v>
      </c>
      <c r="JW21" s="3">
        <f t="shared" si="28"/>
        <v>1366.0222861322777</v>
      </c>
      <c r="JX21" s="3">
        <f t="shared" si="28"/>
        <v>1352.3620632709549</v>
      </c>
      <c r="JY21" s="3">
        <f t="shared" si="28"/>
        <v>1338.8384426382454</v>
      </c>
      <c r="JZ21" s="3">
        <f t="shared" si="28"/>
        <v>1325.4500582118628</v>
      </c>
      <c r="KA21" s="3">
        <f t="shared" si="28"/>
        <v>1312.1955576297441</v>
      </c>
      <c r="KB21" s="3">
        <f t="shared" si="28"/>
        <v>1299.0736020534466</v>
      </c>
      <c r="KC21" s="3">
        <f t="shared" si="28"/>
        <v>1286.0828660329121</v>
      </c>
      <c r="KD21" s="3">
        <f t="shared" si="28"/>
        <v>1273.2220373725829</v>
      </c>
      <c r="KE21" s="3">
        <f t="shared" si="28"/>
        <v>1260.4898169988571</v>
      </c>
      <c r="KF21" s="3">
        <f t="shared" si="28"/>
        <v>1247.8849188288686</v>
      </c>
      <c r="KG21" s="3">
        <f t="shared" si="28"/>
        <v>1235.40606964058</v>
      </c>
      <c r="KH21" s="3">
        <f t="shared" ref="KH21:MS21" si="29">KG21*(1+$AN$35)</f>
        <v>1223.0520089441741</v>
      </c>
      <c r="KI21" s="3">
        <f t="shared" si="29"/>
        <v>1210.8214888547323</v>
      </c>
      <c r="KJ21" s="3">
        <f t="shared" si="29"/>
        <v>1198.7132739661849</v>
      </c>
      <c r="KK21" s="3">
        <f t="shared" si="29"/>
        <v>1186.7261412265232</v>
      </c>
      <c r="KL21" s="3">
        <f t="shared" si="29"/>
        <v>1174.858879814258</v>
      </c>
      <c r="KM21" s="3">
        <f t="shared" si="29"/>
        <v>1163.1102910161153</v>
      </c>
      <c r="KN21" s="3">
        <f t="shared" si="29"/>
        <v>1151.4791881059541</v>
      </c>
      <c r="KO21" s="3">
        <f t="shared" si="29"/>
        <v>1139.9643962248945</v>
      </c>
      <c r="KP21" s="3">
        <f t="shared" si="29"/>
        <v>1128.5647522626455</v>
      </c>
      <c r="KQ21" s="3">
        <f t="shared" si="29"/>
        <v>1117.279104740019</v>
      </c>
      <c r="KR21" s="3">
        <f t="shared" si="29"/>
        <v>1106.1063136926189</v>
      </c>
      <c r="KS21" s="3">
        <f t="shared" si="29"/>
        <v>1095.0452505556927</v>
      </c>
      <c r="KT21" s="3">
        <f t="shared" si="29"/>
        <v>1084.0947980501358</v>
      </c>
      <c r="KU21" s="3">
        <f t="shared" si="29"/>
        <v>1073.2538500696344</v>
      </c>
      <c r="KV21" s="3">
        <f t="shared" si="29"/>
        <v>1062.521311568938</v>
      </c>
      <c r="KW21" s="3">
        <f t="shared" si="29"/>
        <v>1051.8960984532487</v>
      </c>
      <c r="KX21" s="3">
        <f t="shared" si="29"/>
        <v>1041.3771374687162</v>
      </c>
      <c r="KY21" s="3">
        <f t="shared" si="29"/>
        <v>1030.963366094029</v>
      </c>
      <c r="KZ21" s="3">
        <f t="shared" si="29"/>
        <v>1020.6537324330886</v>
      </c>
      <c r="LA21" s="3">
        <f t="shared" si="29"/>
        <v>1010.4471951087578</v>
      </c>
      <c r="LB21" s="3">
        <f t="shared" si="29"/>
        <v>1000.3427231576702</v>
      </c>
      <c r="LC21" s="3">
        <f t="shared" si="29"/>
        <v>990.33929592609354</v>
      </c>
      <c r="LD21" s="3">
        <f t="shared" si="29"/>
        <v>980.4359029668326</v>
      </c>
      <c r="LE21" s="3">
        <f t="shared" si="29"/>
        <v>970.63154393716422</v>
      </c>
      <c r="LF21" s="3">
        <f t="shared" si="29"/>
        <v>960.92522849779255</v>
      </c>
      <c r="LG21" s="3">
        <f t="shared" si="29"/>
        <v>951.31597621281458</v>
      </c>
      <c r="LH21" s="3">
        <f t="shared" si="29"/>
        <v>941.80281645068646</v>
      </c>
      <c r="LI21" s="3">
        <f t="shared" si="29"/>
        <v>932.38478828617963</v>
      </c>
      <c r="LJ21" s="3">
        <f t="shared" si="29"/>
        <v>923.06094040331777</v>
      </c>
      <c r="LK21" s="3">
        <f t="shared" si="29"/>
        <v>913.83033099928457</v>
      </c>
      <c r="LL21" s="3">
        <f t="shared" si="29"/>
        <v>904.69202768929176</v>
      </c>
      <c r="LM21" s="3">
        <f t="shared" si="29"/>
        <v>895.64510741239883</v>
      </c>
      <c r="LN21" s="3">
        <f t="shared" si="29"/>
        <v>886.68865633827488</v>
      </c>
      <c r="LO21" s="3">
        <f t="shared" si="29"/>
        <v>877.82176977489212</v>
      </c>
      <c r="LP21" s="3">
        <f t="shared" si="29"/>
        <v>869.0435520771432</v>
      </c>
      <c r="LQ21" s="3">
        <f t="shared" si="29"/>
        <v>860.35311655637179</v>
      </c>
      <c r="LR21" s="3">
        <f t="shared" si="29"/>
        <v>851.74958539080808</v>
      </c>
      <c r="LS21" s="3">
        <f t="shared" si="29"/>
        <v>843.23208953689993</v>
      </c>
      <c r="LT21" s="3">
        <f t="shared" si="29"/>
        <v>834.79976864153093</v>
      </c>
      <c r="LU21" s="3">
        <f t="shared" si="29"/>
        <v>826.45177095511565</v>
      </c>
      <c r="LV21" s="3">
        <f t="shared" si="29"/>
        <v>818.18725324556453</v>
      </c>
      <c r="LW21" s="3">
        <f t="shared" si="29"/>
        <v>810.00538071310893</v>
      </c>
      <c r="LX21" s="3">
        <f t="shared" si="29"/>
        <v>801.90532690597786</v>
      </c>
      <c r="LY21" s="3">
        <f t="shared" si="29"/>
        <v>793.88627363691808</v>
      </c>
      <c r="LZ21" s="3">
        <f t="shared" si="29"/>
        <v>785.9474109005489</v>
      </c>
      <c r="MA21" s="3">
        <f t="shared" si="29"/>
        <v>778.08793679154337</v>
      </c>
      <c r="MB21" s="3">
        <f t="shared" si="29"/>
        <v>770.30705742362795</v>
      </c>
      <c r="MC21" s="3">
        <f t="shared" si="29"/>
        <v>762.60398684939162</v>
      </c>
      <c r="MD21" s="3">
        <f t="shared" si="29"/>
        <v>754.97794698089774</v>
      </c>
      <c r="ME21" s="3">
        <f t="shared" si="29"/>
        <v>747.42816751108876</v>
      </c>
      <c r="MF21" s="3">
        <f t="shared" si="29"/>
        <v>739.95388583597787</v>
      </c>
      <c r="MG21" s="3">
        <f t="shared" si="29"/>
        <v>732.55434697761814</v>
      </c>
      <c r="MH21" s="3">
        <f t="shared" si="29"/>
        <v>725.22880350784192</v>
      </c>
      <c r="MI21" s="3">
        <f t="shared" si="29"/>
        <v>717.97651547276348</v>
      </c>
      <c r="MJ21" s="3">
        <f t="shared" si="29"/>
        <v>710.79675031803583</v>
      </c>
      <c r="MK21" s="3">
        <f t="shared" si="29"/>
        <v>703.68878281485547</v>
      </c>
      <c r="ML21" s="3">
        <f t="shared" si="29"/>
        <v>696.65189498670691</v>
      </c>
      <c r="MM21" s="3">
        <f t="shared" si="29"/>
        <v>689.68537603683978</v>
      </c>
      <c r="MN21" s="3">
        <f t="shared" si="29"/>
        <v>682.78852227647133</v>
      </c>
      <c r="MO21" s="3">
        <f t="shared" si="29"/>
        <v>675.96063705370659</v>
      </c>
      <c r="MP21" s="3">
        <f t="shared" si="29"/>
        <v>669.20103068316951</v>
      </c>
      <c r="MQ21" s="3">
        <f t="shared" si="29"/>
        <v>662.50902037633784</v>
      </c>
      <c r="MR21" s="3">
        <f t="shared" si="29"/>
        <v>655.88393017257442</v>
      </c>
      <c r="MS21" s="3">
        <f t="shared" si="29"/>
        <v>649.32509087084873</v>
      </c>
      <c r="MT21" s="3">
        <f t="shared" ref="MT21:NF21" si="30">MS21*(1+$AN$35)</f>
        <v>642.83183996214018</v>
      </c>
      <c r="MU21" s="3">
        <f t="shared" si="30"/>
        <v>636.40352156251879</v>
      </c>
      <c r="MV21" s="3">
        <f t="shared" si="30"/>
        <v>630.03948634689357</v>
      </c>
      <c r="MW21" s="3">
        <f t="shared" si="30"/>
        <v>623.73909148342466</v>
      </c>
      <c r="MX21" s="3">
        <f t="shared" si="30"/>
        <v>617.50170056859042</v>
      </c>
      <c r="MY21" s="3">
        <f t="shared" si="30"/>
        <v>611.32668356290446</v>
      </c>
      <c r="MZ21" s="3">
        <f t="shared" si="30"/>
        <v>605.21341672727544</v>
      </c>
      <c r="NA21" s="3">
        <f t="shared" si="30"/>
        <v>599.16128256000263</v>
      </c>
      <c r="NB21" s="3">
        <f t="shared" si="30"/>
        <v>593.16966973440265</v>
      </c>
      <c r="NC21" s="3">
        <f t="shared" si="30"/>
        <v>587.23797303705862</v>
      </c>
      <c r="ND21" s="3">
        <f t="shared" si="30"/>
        <v>581.36559330668808</v>
      </c>
      <c r="NE21" s="3">
        <f t="shared" si="30"/>
        <v>575.55193737362117</v>
      </c>
      <c r="NF21" s="3">
        <f t="shared" si="30"/>
        <v>569.79641799988497</v>
      </c>
    </row>
    <row r="22" spans="1:370" x14ac:dyDescent="0.25">
      <c r="C22" s="3"/>
      <c r="D22" s="3"/>
      <c r="E22" s="3"/>
      <c r="F22" s="3"/>
      <c r="G22" s="3"/>
      <c r="H22" s="3"/>
      <c r="I22" s="3"/>
      <c r="K22" s="3"/>
      <c r="L22" s="3"/>
      <c r="M22" s="3"/>
      <c r="N22" s="3"/>
      <c r="O22" s="3"/>
      <c r="P22" s="3"/>
      <c r="Q22" s="3"/>
    </row>
    <row r="23" spans="1:370" x14ac:dyDescent="0.25">
      <c r="B23" t="s">
        <v>49</v>
      </c>
      <c r="C23" s="6">
        <f t="shared" ref="C23:R23" si="31">C21/C24</f>
        <v>1.4625228519195612E-2</v>
      </c>
      <c r="D23" s="6">
        <f t="shared" si="31"/>
        <v>3.1559963931469794E-2</v>
      </c>
      <c r="E23" s="6">
        <f t="shared" si="31"/>
        <v>0.10743061772605192</v>
      </c>
      <c r="F23" s="6">
        <f t="shared" si="31"/>
        <v>0.1388888888888889</v>
      </c>
      <c r="G23" s="6">
        <f t="shared" si="31"/>
        <v>0.13235294117647059</v>
      </c>
      <c r="H23" s="6">
        <f t="shared" si="31"/>
        <v>0.12795436022819887</v>
      </c>
      <c r="I23" s="6">
        <f t="shared" si="31"/>
        <v>0.32098765432098764</v>
      </c>
      <c r="J23" s="6">
        <f t="shared" si="31"/>
        <v>1.4565393988627133</v>
      </c>
      <c r="K23" s="6">
        <f t="shared" si="31"/>
        <v>0.45085296506904954</v>
      </c>
      <c r="L23" s="6">
        <f t="shared" si="31"/>
        <v>0.57629870129870131</v>
      </c>
      <c r="M23" s="6">
        <f t="shared" si="31"/>
        <v>0.75040650406504061</v>
      </c>
      <c r="N23" s="6">
        <f t="shared" si="31"/>
        <v>0.69290780141843966</v>
      </c>
      <c r="O23" s="6">
        <f t="shared" si="31"/>
        <v>0.68936170212765957</v>
      </c>
      <c r="P23" s="6">
        <f t="shared" si="31"/>
        <v>0.52328431372549022</v>
      </c>
      <c r="Q23" s="6">
        <f t="shared" si="31"/>
        <v>0.38830219333874899</v>
      </c>
      <c r="R23" s="6">
        <f t="shared" si="31"/>
        <v>0.30547246172796061</v>
      </c>
      <c r="S23" s="6">
        <f t="shared" ref="S23:T23" si="32">S21/S24</f>
        <v>0.10304158907510863</v>
      </c>
      <c r="T23" s="6">
        <f t="shared" si="32"/>
        <v>0.14649286157666047</v>
      </c>
      <c r="U23" s="6">
        <f t="shared" ref="U23:V23" si="33">U21/U24</f>
        <v>0.23612662942271878</v>
      </c>
      <c r="V23" s="6">
        <f t="shared" si="33"/>
        <v>0.17914338919925513</v>
      </c>
      <c r="Y23" s="8">
        <f>Y21/Y24</f>
        <v>0.25823551684967816</v>
      </c>
      <c r="Z23" s="8">
        <f>Z21/Z24</f>
        <v>1.7585357268567405</v>
      </c>
      <c r="AA23" s="8">
        <f>AA21/AA24</f>
        <v>2.2150272743269399</v>
      </c>
      <c r="AB23" s="8">
        <f>AB21/AB24</f>
        <v>1.9010318331503842</v>
      </c>
    </row>
    <row r="24" spans="1:370" x14ac:dyDescent="0.25">
      <c r="B24" t="s">
        <v>2</v>
      </c>
      <c r="C24" s="3">
        <v>1094</v>
      </c>
      <c r="D24" s="3">
        <v>1109</v>
      </c>
      <c r="E24" s="3">
        <v>1117</v>
      </c>
      <c r="F24" s="3">
        <v>1224</v>
      </c>
      <c r="G24" s="3">
        <v>1224</v>
      </c>
      <c r="H24" s="3">
        <v>1227</v>
      </c>
      <c r="I24" s="3">
        <v>1215</v>
      </c>
      <c r="J24" s="3">
        <v>1231</v>
      </c>
      <c r="K24" s="3">
        <v>1231</v>
      </c>
      <c r="L24" s="3">
        <v>1232</v>
      </c>
      <c r="M24" s="3">
        <v>1230</v>
      </c>
      <c r="N24" s="3">
        <v>1410</v>
      </c>
      <c r="O24" s="3">
        <v>1410</v>
      </c>
      <c r="P24" s="3">
        <v>1632</v>
      </c>
      <c r="Q24" s="3">
        <v>1231</v>
      </c>
      <c r="R24" s="3">
        <f>AVERAGE(N24:Q24)</f>
        <v>1420.75</v>
      </c>
      <c r="S24" s="3">
        <v>1611</v>
      </c>
      <c r="T24" s="3">
        <v>1611</v>
      </c>
      <c r="U24" s="3">
        <v>1611</v>
      </c>
      <c r="V24" s="3">
        <v>1611</v>
      </c>
      <c r="Y24" s="3">
        <f>AVERAGE(L24:O24)</f>
        <v>1320.5</v>
      </c>
      <c r="Z24" s="3">
        <f>AVERAGE(M24:P24)</f>
        <v>1420.5</v>
      </c>
      <c r="AA24" s="3">
        <f>AVERAGE(N24:Q24)</f>
        <v>1420.75</v>
      </c>
      <c r="AB24" s="3">
        <f>AVERAGE(O24:R24)</f>
        <v>1423.4375</v>
      </c>
    </row>
    <row r="27" spans="1:370" x14ac:dyDescent="0.25">
      <c r="B27" t="s">
        <v>50</v>
      </c>
      <c r="G27" s="7">
        <f t="shared" ref="G27:P27" si="34">G9/C9-1</f>
        <v>0.57005758157389641</v>
      </c>
      <c r="H27" s="7">
        <f t="shared" si="34"/>
        <v>0.3655394524959743</v>
      </c>
      <c r="I27" s="7">
        <f t="shared" si="34"/>
        <v>0.58301158301158296</v>
      </c>
      <c r="J27" s="7">
        <f t="shared" si="34"/>
        <v>0.52897787144362485</v>
      </c>
      <c r="K27" s="7">
        <f t="shared" si="34"/>
        <v>0.94009779951100247</v>
      </c>
      <c r="L27" s="7">
        <f t="shared" si="34"/>
        <v>1.1580188679245285</v>
      </c>
      <c r="M27" s="7">
        <f t="shared" si="34"/>
        <v>0.6959349593495936</v>
      </c>
      <c r="N27" s="7">
        <f t="shared" si="34"/>
        <v>0.67195037904893185</v>
      </c>
      <c r="O27" s="7">
        <f t="shared" si="34"/>
        <v>0.8928796471329552</v>
      </c>
      <c r="P27" s="7">
        <f t="shared" si="34"/>
        <v>0.87704918032786883</v>
      </c>
      <c r="Q27" s="7">
        <f>Q9/M9-1</f>
        <v>0.32598274209012468</v>
      </c>
      <c r="R27" s="7">
        <f>R9/N9-1</f>
        <v>0.17312448474855735</v>
      </c>
      <c r="S27" s="7">
        <f>S9/O9-1</f>
        <v>-0.1131824234354194</v>
      </c>
      <c r="T27" s="7">
        <f>T9/P9-1</f>
        <v>-0.22707423580786024</v>
      </c>
      <c r="U27" s="7">
        <f>U9/Q9-1</f>
        <v>5.0976138828633388E-2</v>
      </c>
      <c r="V27" s="7">
        <f>V9/R9-1</f>
        <v>-1.4406184118060383E-2</v>
      </c>
      <c r="Y27" s="7"/>
      <c r="Z27" s="7">
        <f t="shared" ref="Z27:AA27" si="35">Z7/Y7-1</f>
        <v>0.45045312732134901</v>
      </c>
      <c r="AA27" s="7">
        <f t="shared" si="35"/>
        <v>0.68329406944586712</v>
      </c>
      <c r="AB27" s="7">
        <f>AB7/AA7-1</f>
        <v>0.43610806863818907</v>
      </c>
      <c r="AC27" s="7">
        <f t="shared" ref="AC27:AJ27" si="36">AC7/AB7-1</f>
        <v>-7.1564764204906539E-2</v>
      </c>
      <c r="AD27" s="7">
        <f t="shared" si="36"/>
        <v>0.10000000000000009</v>
      </c>
      <c r="AE27" s="7">
        <f t="shared" si="36"/>
        <v>0.14999999999999991</v>
      </c>
      <c r="AF27" s="7">
        <f t="shared" si="36"/>
        <v>0.19999999999999996</v>
      </c>
      <c r="AG27" s="7">
        <f t="shared" si="36"/>
        <v>0.19999999999999996</v>
      </c>
      <c r="AH27" s="7">
        <f t="shared" si="36"/>
        <v>0.19999999999999996</v>
      </c>
      <c r="AI27" s="7">
        <f t="shared" si="36"/>
        <v>0.19999999999999996</v>
      </c>
      <c r="AJ27" s="7">
        <f t="shared" si="36"/>
        <v>0.19999999999999996</v>
      </c>
    </row>
    <row r="28" spans="1:370" x14ac:dyDescent="0.25">
      <c r="B28" t="s">
        <v>51</v>
      </c>
      <c r="C28" s="7">
        <f>C9/C7</f>
        <v>0.40959119496855345</v>
      </c>
      <c r="D28" s="7">
        <f t="shared" ref="D28:Q28" si="37">D9/D7</f>
        <v>0.40561724363161333</v>
      </c>
      <c r="E28" s="7">
        <f t="shared" si="37"/>
        <v>0.43142698500832871</v>
      </c>
      <c r="F28" s="7">
        <f t="shared" si="37"/>
        <v>0.44616831217677477</v>
      </c>
      <c r="G28" s="7">
        <f t="shared" si="37"/>
        <v>0.45800671892497202</v>
      </c>
      <c r="H28" s="7">
        <f t="shared" si="37"/>
        <v>0.43892339544513459</v>
      </c>
      <c r="I28" s="7">
        <f t="shared" si="37"/>
        <v>0.43912888254194932</v>
      </c>
      <c r="J28" s="7">
        <f t="shared" si="37"/>
        <v>0.44728729963008629</v>
      </c>
      <c r="K28" s="7">
        <f t="shared" si="37"/>
        <v>0.46066763425253993</v>
      </c>
      <c r="L28" s="7">
        <f t="shared" si="37"/>
        <v>0.47532467532467532</v>
      </c>
      <c r="M28" s="7">
        <f t="shared" si="37"/>
        <v>0.48365406909343844</v>
      </c>
      <c r="N28" s="7">
        <f t="shared" si="37"/>
        <v>0.50269374222958974</v>
      </c>
      <c r="O28" s="7">
        <f t="shared" si="37"/>
        <v>0.51027688126380155</v>
      </c>
      <c r="P28" s="7">
        <f t="shared" si="37"/>
        <v>0.52442748091603053</v>
      </c>
      <c r="Q28" s="7">
        <f t="shared" si="37"/>
        <v>0.49703504043126684</v>
      </c>
      <c r="R28" s="7">
        <f t="shared" ref="R28:S28" si="38">R9/R7</f>
        <v>0.5083050544740132</v>
      </c>
      <c r="S28" s="7">
        <f t="shared" si="38"/>
        <v>0.49766486082570521</v>
      </c>
      <c r="T28" s="7">
        <f t="shared" ref="T28:U28" si="39">T9/T7</f>
        <v>0.49542825153946629</v>
      </c>
      <c r="U28" s="7">
        <f t="shared" si="39"/>
        <v>0.51</v>
      </c>
      <c r="V28" s="7">
        <f t="shared" ref="V28" si="40">V9/V7</f>
        <v>0.51</v>
      </c>
      <c r="Y28" s="7">
        <f t="shared" ref="Y28:AB28" si="41">Y9/Y7</f>
        <v>0.42608824840291187</v>
      </c>
      <c r="Z28" s="7">
        <f t="shared" si="41"/>
        <v>0.44525248386766364</v>
      </c>
      <c r="AA28" s="7">
        <f t="shared" si="41"/>
        <v>0.48247535596933189</v>
      </c>
      <c r="AB28" s="7">
        <f t="shared" si="41"/>
        <v>0.51061395703571888</v>
      </c>
      <c r="AC28" s="7">
        <f t="shared" ref="AC28:AJ28" si="42">AC9/AC7</f>
        <v>0.50342278203723989</v>
      </c>
      <c r="AD28" s="7">
        <f t="shared" si="42"/>
        <v>0.5</v>
      </c>
      <c r="AE28" s="7">
        <f t="shared" si="42"/>
        <v>0.5</v>
      </c>
      <c r="AF28" s="7">
        <f t="shared" si="42"/>
        <v>0.5</v>
      </c>
      <c r="AG28" s="7">
        <f t="shared" si="42"/>
        <v>0.5</v>
      </c>
      <c r="AH28" s="7">
        <f t="shared" si="42"/>
        <v>0.5</v>
      </c>
      <c r="AI28" s="7">
        <f t="shared" si="42"/>
        <v>0.5</v>
      </c>
      <c r="AJ28" s="7">
        <f t="shared" si="42"/>
        <v>0.5</v>
      </c>
    </row>
    <row r="29" spans="1:370" x14ac:dyDescent="0.25">
      <c r="B29" t="s">
        <v>52</v>
      </c>
      <c r="C29" s="7">
        <f>C19/C18</f>
        <v>-3.25</v>
      </c>
      <c r="D29" s="7">
        <f t="shared" ref="D29:Q29" si="43">D19/D18</f>
        <v>5.4054054054054057E-2</v>
      </c>
      <c r="E29" s="7">
        <f t="shared" si="43"/>
        <v>5.5555555555555552E-2</v>
      </c>
      <c r="F29" s="7">
        <f t="shared" si="43"/>
        <v>0.17073170731707318</v>
      </c>
      <c r="G29" s="7">
        <f t="shared" si="43"/>
        <v>3.5714285714285712E-2</v>
      </c>
      <c r="H29" s="7">
        <f t="shared" si="43"/>
        <v>2.5000000000000001E-2</v>
      </c>
      <c r="I29" s="7">
        <f t="shared" si="43"/>
        <v>2.9925187032418952E-2</v>
      </c>
      <c r="J29" s="7">
        <f t="shared" si="43"/>
        <v>-2.1960784313725492</v>
      </c>
      <c r="K29" s="7">
        <f t="shared" si="43"/>
        <v>0.13862928348909656</v>
      </c>
      <c r="L29" s="7">
        <f t="shared" si="43"/>
        <v>0.13763702801461633</v>
      </c>
      <c r="M29" s="7">
        <f t="shared" si="43"/>
        <v>8.175473579262213E-2</v>
      </c>
      <c r="N29" s="7">
        <f t="shared" si="43"/>
        <v>0.19035743973399832</v>
      </c>
      <c r="O29" s="7">
        <f t="shared" si="43"/>
        <v>0.1044362292051756</v>
      </c>
      <c r="P29" s="7">
        <f t="shared" si="43"/>
        <v>5.9734513274336286E-2</v>
      </c>
      <c r="Q29" s="7">
        <f t="shared" si="43"/>
        <v>-0.39823008849557523</v>
      </c>
      <c r="R29" s="7">
        <f t="shared" ref="R29:S29" si="44">R19/R18</f>
        <v>-0.56000000000000005</v>
      </c>
      <c r="S29" s="7">
        <f t="shared" si="44"/>
        <v>7.3033707865168537E-2</v>
      </c>
      <c r="T29" s="7">
        <f t="shared" ref="T29:U29" si="45">T19/T18</f>
        <v>-0.1111111111111111</v>
      </c>
      <c r="U29" s="7">
        <f t="shared" si="45"/>
        <v>0.1</v>
      </c>
      <c r="V29" s="7">
        <f t="shared" ref="V29" si="46">V19/V18</f>
        <v>0.1</v>
      </c>
      <c r="Y29" s="7">
        <f t="shared" ref="Y29:AB29" si="47">Y19/Y18</f>
        <v>8.3333333333333329E-2</v>
      </c>
      <c r="Z29" s="7">
        <f t="shared" si="47"/>
        <v>-0.93798449612403101</v>
      </c>
      <c r="AA29" s="7">
        <f t="shared" si="47"/>
        <v>0.13982011447260834</v>
      </c>
      <c r="AB29" s="7">
        <f t="shared" si="47"/>
        <v>-4.6923076923076922E-2</v>
      </c>
      <c r="AC29" s="7">
        <f t="shared" ref="AC29:AJ29" si="48">AC19/AC18</f>
        <v>5.6502242152466367E-2</v>
      </c>
      <c r="AD29" s="7">
        <f t="shared" si="48"/>
        <v>0.1</v>
      </c>
      <c r="AE29" s="7">
        <f t="shared" si="48"/>
        <v>0.1</v>
      </c>
      <c r="AF29" s="7">
        <f t="shared" si="48"/>
        <v>0.1</v>
      </c>
      <c r="AG29" s="7">
        <f t="shared" si="48"/>
        <v>0.10000000000000002</v>
      </c>
      <c r="AH29" s="7">
        <f t="shared" si="48"/>
        <v>0.1</v>
      </c>
      <c r="AI29" s="7">
        <f t="shared" si="48"/>
        <v>0.1</v>
      </c>
      <c r="AJ29" s="7">
        <f t="shared" si="48"/>
        <v>0.1</v>
      </c>
    </row>
    <row r="30" spans="1:370" x14ac:dyDescent="0.25">
      <c r="B30" t="s">
        <v>53</v>
      </c>
      <c r="C30" s="7">
        <f>C15/C7</f>
        <v>2.9874213836477988E-2</v>
      </c>
      <c r="D30" s="7">
        <f t="shared" ref="D30:U30" si="49">D15/D7</f>
        <v>3.8536903984323974E-2</v>
      </c>
      <c r="E30" s="7">
        <f t="shared" si="49"/>
        <v>0.10327595780122155</v>
      </c>
      <c r="F30" s="7">
        <f t="shared" si="49"/>
        <v>0.16361071932299012</v>
      </c>
      <c r="G30" s="7">
        <f t="shared" si="49"/>
        <v>9.9104143337066075E-2</v>
      </c>
      <c r="H30" s="7">
        <f t="shared" si="49"/>
        <v>8.9544513457556929E-2</v>
      </c>
      <c r="I30" s="7">
        <f t="shared" si="49"/>
        <v>0.16029989289539451</v>
      </c>
      <c r="J30" s="7">
        <f t="shared" si="49"/>
        <v>0.17570900123304561</v>
      </c>
      <c r="K30" s="7">
        <f t="shared" si="49"/>
        <v>0.19216255442670538</v>
      </c>
      <c r="L30" s="7">
        <f t="shared" si="49"/>
        <v>0.21584415584415584</v>
      </c>
      <c r="M30" s="7">
        <f t="shared" si="49"/>
        <v>0.21980060282865754</v>
      </c>
      <c r="N30" s="7">
        <f t="shared" si="49"/>
        <v>0.25010360547036886</v>
      </c>
      <c r="O30" s="7">
        <f t="shared" si="49"/>
        <v>0.19313742143706472</v>
      </c>
      <c r="P30" s="7">
        <f t="shared" si="49"/>
        <v>0.14244274809160307</v>
      </c>
      <c r="Q30" s="7">
        <f t="shared" si="49"/>
        <v>6.253369272237197E-2</v>
      </c>
      <c r="R30" s="7">
        <f t="shared" si="49"/>
        <v>5.2509376674406145E-2</v>
      </c>
      <c r="S30" s="7">
        <f t="shared" si="49"/>
        <v>2.9889781430973286E-2</v>
      </c>
      <c r="T30" s="7">
        <f t="shared" si="49"/>
        <v>3.5827579772345589E-2</v>
      </c>
      <c r="U30" s="7">
        <f t="shared" si="49"/>
        <v>7.7894736842105267E-2</v>
      </c>
      <c r="V30" s="7">
        <f t="shared" ref="V30" si="50">V15/V7</f>
        <v>6.2181818181818178E-2</v>
      </c>
      <c r="W30" s="7"/>
      <c r="X30" s="7"/>
      <c r="Y30" s="7">
        <f t="shared" ref="D30:AJ30" si="51">Y21/Y7</f>
        <v>5.0661120190164909E-2</v>
      </c>
      <c r="Z30" s="7">
        <f t="shared" si="51"/>
        <v>0.25586397623681245</v>
      </c>
      <c r="AA30" s="7">
        <f t="shared" si="51"/>
        <v>0.19149324571011317</v>
      </c>
      <c r="AB30" s="7">
        <f t="shared" si="51"/>
        <v>0.11465615863734588</v>
      </c>
      <c r="AC30" s="7">
        <f t="shared" si="51"/>
        <v>4.7143117926250457E-2</v>
      </c>
      <c r="AD30" s="7">
        <f t="shared" si="51"/>
        <v>5.2286418400876201E-2</v>
      </c>
      <c r="AE30" s="7">
        <f t="shared" si="51"/>
        <v>7.9866627848079269E-2</v>
      </c>
      <c r="AF30" s="7">
        <f t="shared" si="51"/>
        <v>0.11944277514297207</v>
      </c>
      <c r="AG30" s="7">
        <f t="shared" si="51"/>
        <v>0.15440396799874656</v>
      </c>
      <c r="AH30" s="7">
        <f t="shared" si="51"/>
        <v>0.18533698367466364</v>
      </c>
      <c r="AI30" s="7">
        <f t="shared" si="51"/>
        <v>0.2127481632843623</v>
      </c>
      <c r="AJ30" s="7">
        <f t="shared" si="51"/>
        <v>0.23707510095063877</v>
      </c>
    </row>
    <row r="31" spans="1:370" x14ac:dyDescent="0.25">
      <c r="B31" t="s">
        <v>59</v>
      </c>
      <c r="C31" s="7">
        <f>C21/C7</f>
        <v>1.2578616352201259E-2</v>
      </c>
      <c r="D31" s="7">
        <f t="shared" ref="D31:U31" si="52">D21/D7</f>
        <v>2.2860875244937948E-2</v>
      </c>
      <c r="E31" s="7">
        <f t="shared" si="52"/>
        <v>6.6629650194336476E-2</v>
      </c>
      <c r="F31" s="7">
        <f t="shared" si="52"/>
        <v>7.992477668077104E-2</v>
      </c>
      <c r="G31" s="7">
        <f t="shared" si="52"/>
        <v>9.0705487122060474E-2</v>
      </c>
      <c r="H31" s="7">
        <f t="shared" si="52"/>
        <v>8.1262939958592129E-2</v>
      </c>
      <c r="I31" s="7">
        <f t="shared" si="52"/>
        <v>0.13923598714744734</v>
      </c>
      <c r="J31" s="7">
        <f t="shared" si="52"/>
        <v>0.55271270036991371</v>
      </c>
      <c r="K31" s="7">
        <f t="shared" si="52"/>
        <v>0.16110304789550073</v>
      </c>
      <c r="L31" s="7">
        <f t="shared" si="52"/>
        <v>0.18441558441558442</v>
      </c>
      <c r="M31" s="7">
        <f t="shared" si="52"/>
        <v>0.21400417342916764</v>
      </c>
      <c r="N31" s="7">
        <f t="shared" si="52"/>
        <v>0.20244508910070452</v>
      </c>
      <c r="O31" s="7">
        <f t="shared" si="52"/>
        <v>0.16510956344487854</v>
      </c>
      <c r="P31" s="7">
        <f t="shared" si="52"/>
        <v>0.13038167938931297</v>
      </c>
      <c r="Q31" s="7">
        <f t="shared" si="52"/>
        <v>8.5893980233602882E-2</v>
      </c>
      <c r="R31" s="7">
        <f t="shared" si="52"/>
        <v>7.7513841757456695E-2</v>
      </c>
      <c r="S31" s="7">
        <f t="shared" si="52"/>
        <v>3.1010648234634786E-2</v>
      </c>
      <c r="T31" s="7">
        <f t="shared" si="52"/>
        <v>4.4038066803508115E-2</v>
      </c>
      <c r="U31" s="7">
        <f t="shared" si="52"/>
        <v>6.673684210526315E-2</v>
      </c>
      <c r="V31" s="7">
        <f t="shared" ref="V31" si="53">V21/V7</f>
        <v>5.2472727272727275E-2</v>
      </c>
      <c r="W31" s="7"/>
      <c r="X31" s="7"/>
      <c r="Y31" s="7">
        <f t="shared" ref="D31:AJ31" si="54">Y15/Y7</f>
        <v>9.3745357302035356E-2</v>
      </c>
      <c r="Z31" s="7">
        <f t="shared" si="54"/>
        <v>0.14022329202089523</v>
      </c>
      <c r="AA31" s="7">
        <f t="shared" si="54"/>
        <v>0.22197882438846295</v>
      </c>
      <c r="AB31" s="7">
        <f t="shared" si="54"/>
        <v>0.11491038515317148</v>
      </c>
      <c r="AC31" s="7">
        <f t="shared" si="54"/>
        <v>5.1935012778386275E-2</v>
      </c>
      <c r="AD31" s="7">
        <f t="shared" si="54"/>
        <v>5.8096020445418006E-2</v>
      </c>
      <c r="AE31" s="7">
        <f t="shared" si="54"/>
        <v>8.8740697608976973E-2</v>
      </c>
      <c r="AF31" s="7">
        <f t="shared" si="54"/>
        <v>0.1327141946033023</v>
      </c>
      <c r="AG31" s="7">
        <f t="shared" si="54"/>
        <v>0.17155996444305174</v>
      </c>
      <c r="AH31" s="7">
        <f t="shared" si="54"/>
        <v>0.20592998186073735</v>
      </c>
      <c r="AI31" s="7">
        <f t="shared" si="54"/>
        <v>0.23638684809373589</v>
      </c>
      <c r="AJ31" s="7">
        <f t="shared" si="54"/>
        <v>0.26341677883404307</v>
      </c>
    </row>
    <row r="33" spans="2:40" x14ac:dyDescent="0.25">
      <c r="B33" t="s">
        <v>5</v>
      </c>
      <c r="Q33" s="3">
        <f>3398+2193</f>
        <v>5591</v>
      </c>
      <c r="AB33" s="3">
        <f>3398+2193</f>
        <v>5591</v>
      </c>
      <c r="AC33" s="3">
        <f>AB33+AC21</f>
        <v>6624</v>
      </c>
      <c r="AD33" s="3">
        <f t="shared" ref="AD33:AJ33" si="55">AC33+AD21</f>
        <v>7884.2699999999995</v>
      </c>
      <c r="AE33" s="3">
        <f t="shared" si="55"/>
        <v>10098.067499999997</v>
      </c>
      <c r="AF33" s="3">
        <f t="shared" si="55"/>
        <v>14071.022774999994</v>
      </c>
      <c r="AG33" s="3">
        <f t="shared" si="55"/>
        <v>20234.041593749986</v>
      </c>
      <c r="AH33" s="3">
        <f t="shared" si="55"/>
        <v>29111.290019437478</v>
      </c>
      <c r="AI33" s="3">
        <f t="shared" si="55"/>
        <v>41339.512968609342</v>
      </c>
      <c r="AJ33" s="3">
        <f t="shared" si="55"/>
        <v>57691.28106117979</v>
      </c>
    </row>
    <row r="34" spans="2:40" x14ac:dyDescent="0.25">
      <c r="AM34" t="s">
        <v>55</v>
      </c>
      <c r="AN34" s="7">
        <v>0.09</v>
      </c>
    </row>
    <row r="35" spans="2:40" x14ac:dyDescent="0.25">
      <c r="AM35" t="s">
        <v>54</v>
      </c>
      <c r="AN35" s="7">
        <v>-0.01</v>
      </c>
    </row>
    <row r="36" spans="2:40" x14ac:dyDescent="0.25">
      <c r="AM36" t="s">
        <v>56</v>
      </c>
      <c r="AN36" s="9">
        <f>NPV(AN34,AD21:NF21)</f>
        <v>121014.55110118103</v>
      </c>
    </row>
    <row r="37" spans="2:40" x14ac:dyDescent="0.25">
      <c r="AM37" t="s">
        <v>62</v>
      </c>
      <c r="AN37" s="9">
        <f>AN36/Main!K3</f>
        <v>75.071061477159446</v>
      </c>
    </row>
    <row r="38" spans="2:40" x14ac:dyDescent="0.25">
      <c r="AN38" s="2"/>
    </row>
    <row r="39" spans="2:40" x14ac:dyDescent="0.25">
      <c r="AN39" s="7"/>
    </row>
  </sheetData>
  <hyperlinks>
    <hyperlink ref="A1" location="Main!A1" display="Main" xr:uid="{9CFFDB33-B439-2E4B-ADBE-467462E7D5B9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Garza, Jacob S</dc:creator>
  <cp:keywords/>
  <dc:description/>
  <cp:lastModifiedBy>Jacob Garza</cp:lastModifiedBy>
  <cp:revision/>
  <dcterms:created xsi:type="dcterms:W3CDTF">2023-01-30T22:46:19Z</dcterms:created>
  <dcterms:modified xsi:type="dcterms:W3CDTF">2023-08-05T01:32:46Z</dcterms:modified>
  <cp:category/>
  <cp:contentStatus/>
</cp:coreProperties>
</file>