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Desktop/Models/"/>
    </mc:Choice>
  </mc:AlternateContent>
  <xr:revisionPtr revIDLastSave="0" documentId="13_ncr:1_{14C317DC-6C4F-3C48-88F1-5BAA75A0CA15}" xr6:coauthVersionLast="47" xr6:coauthVersionMax="47" xr10:uidLastSave="{00000000-0000-0000-0000-000000000000}"/>
  <bookViews>
    <workbookView xWindow="2260" yWindow="500" windowWidth="20060" windowHeight="21900" activeTab="1" xr2:uid="{6BDE4CA7-DAC9-214C-A484-9656E30198F5}"/>
  </bookViews>
  <sheets>
    <sheet name="Main" sheetId="1" r:id="rId1"/>
    <sheet name="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2" l="1"/>
  <c r="X18" i="2" s="1"/>
  <c r="Y18" i="2" s="1"/>
  <c r="Z18" i="2" s="1"/>
  <c r="AA18" i="2" s="1"/>
  <c r="V18" i="2"/>
  <c r="W19" i="2"/>
  <c r="X19" i="2" s="1"/>
  <c r="Y19" i="2" s="1"/>
  <c r="Z19" i="2" s="1"/>
  <c r="AA19" i="2" s="1"/>
  <c r="V19" i="2"/>
  <c r="U27" i="2" l="1"/>
  <c r="T27" i="2"/>
  <c r="U25" i="2"/>
  <c r="T25" i="2"/>
  <c r="U18" i="2"/>
  <c r="T22" i="2"/>
  <c r="V21" i="2"/>
  <c r="V22" i="2" s="1"/>
  <c r="V25" i="2" s="1"/>
  <c r="V27" i="2" s="1"/>
  <c r="U21" i="2"/>
  <c r="U22" i="2" s="1"/>
  <c r="T21" i="2"/>
  <c r="U19" i="2"/>
  <c r="T19" i="2"/>
  <c r="T18" i="2"/>
  <c r="AA17" i="2"/>
  <c r="Z17" i="2"/>
  <c r="Y17" i="2"/>
  <c r="X17" i="2"/>
  <c r="W17" i="2"/>
  <c r="V17" i="2"/>
  <c r="U17" i="2"/>
  <c r="T17" i="2"/>
  <c r="S32" i="2"/>
  <c r="U13" i="2"/>
  <c r="V13" i="2" s="1"/>
  <c r="W13" i="2" s="1"/>
  <c r="X13" i="2" s="1"/>
  <c r="Y13" i="2" s="1"/>
  <c r="Z13" i="2" s="1"/>
  <c r="AA13" i="2" s="1"/>
  <c r="T13" i="2"/>
  <c r="S31" i="2"/>
  <c r="P25" i="2"/>
  <c r="P21" i="2"/>
  <c r="P16" i="2"/>
  <c r="P13" i="2"/>
  <c r="P17" i="2" s="1"/>
  <c r="P22" i="2" s="1"/>
  <c r="P27" i="2" s="1"/>
  <c r="P28" i="2" s="1"/>
  <c r="P31" i="2"/>
  <c r="R21" i="2"/>
  <c r="S26" i="2"/>
  <c r="S24" i="2"/>
  <c r="S23" i="2"/>
  <c r="S19" i="2"/>
  <c r="S18" i="2"/>
  <c r="R26" i="2"/>
  <c r="Q26" i="2"/>
  <c r="Q24" i="2"/>
  <c r="Q23" i="2"/>
  <c r="Q20" i="2"/>
  <c r="Q19" i="2"/>
  <c r="Q18" i="2"/>
  <c r="Q21" i="2" s="1"/>
  <c r="Q15" i="2"/>
  <c r="Q16" i="2" s="1"/>
  <c r="Q14" i="2"/>
  <c r="Q11" i="2"/>
  <c r="Q10" i="2"/>
  <c r="Q9" i="2"/>
  <c r="Q8" i="2"/>
  <c r="Q7" i="2"/>
  <c r="R24" i="2"/>
  <c r="R23" i="2"/>
  <c r="R20" i="2"/>
  <c r="R19" i="2"/>
  <c r="R18" i="2"/>
  <c r="S15" i="2"/>
  <c r="S14" i="2"/>
  <c r="S16" i="2"/>
  <c r="R15" i="2"/>
  <c r="R16" i="2" s="1"/>
  <c r="R14" i="2"/>
  <c r="R11" i="2"/>
  <c r="R10" i="2"/>
  <c r="R9" i="2"/>
  <c r="R8" i="2"/>
  <c r="R7" i="2"/>
  <c r="N19" i="2"/>
  <c r="N21" i="2" s="1"/>
  <c r="S8" i="2"/>
  <c r="S9" i="2"/>
  <c r="S10" i="2"/>
  <c r="S11" i="2"/>
  <c r="S7" i="2"/>
  <c r="N20" i="2"/>
  <c r="S20" i="2" s="1"/>
  <c r="M33" i="2"/>
  <c r="N14" i="2"/>
  <c r="N16" i="2" s="1"/>
  <c r="N12" i="2"/>
  <c r="N13" i="2" s="1"/>
  <c r="N17" i="2" s="1"/>
  <c r="N22" i="2" s="1"/>
  <c r="N25" i="2" s="1"/>
  <c r="N27" i="2" s="1"/>
  <c r="N28" i="2" s="1"/>
  <c r="M12" i="2"/>
  <c r="M13" i="2" s="1"/>
  <c r="L12" i="2"/>
  <c r="L13" i="2" s="1"/>
  <c r="C21" i="2"/>
  <c r="C16" i="2"/>
  <c r="C12" i="2"/>
  <c r="C13" i="2" s="1"/>
  <c r="D21" i="2"/>
  <c r="D16" i="2"/>
  <c r="D12" i="2"/>
  <c r="D13" i="2" s="1"/>
  <c r="Q13" i="2" s="1"/>
  <c r="E21" i="2"/>
  <c r="E16" i="2"/>
  <c r="E12" i="2"/>
  <c r="E13" i="2" s="1"/>
  <c r="E17" i="2" s="1"/>
  <c r="J33" i="2"/>
  <c r="F21" i="2"/>
  <c r="F16" i="2"/>
  <c r="J21" i="2"/>
  <c r="J16" i="2"/>
  <c r="J12" i="2"/>
  <c r="J13" i="2" s="1"/>
  <c r="I12" i="2"/>
  <c r="I13" i="2" s="1"/>
  <c r="F12" i="2"/>
  <c r="F13" i="2" s="1"/>
  <c r="G21" i="2"/>
  <c r="G16" i="2"/>
  <c r="G12" i="2"/>
  <c r="G13" i="2" s="1"/>
  <c r="K21" i="2"/>
  <c r="K16" i="2"/>
  <c r="K12" i="2"/>
  <c r="K13" i="2" s="1"/>
  <c r="K17" i="2" s="1"/>
  <c r="H21" i="2"/>
  <c r="H16" i="2"/>
  <c r="I21" i="2"/>
  <c r="I16" i="2"/>
  <c r="L21" i="2"/>
  <c r="L16" i="2"/>
  <c r="H12" i="2"/>
  <c r="H13" i="2" s="1"/>
  <c r="H17" i="2" s="1"/>
  <c r="M21" i="2"/>
  <c r="M16" i="2"/>
  <c r="W21" i="2" l="1"/>
  <c r="W22" i="2" s="1"/>
  <c r="W25" i="2" s="1"/>
  <c r="W27" i="2" s="1"/>
  <c r="S21" i="2"/>
  <c r="Q17" i="2"/>
  <c r="Q22" i="2" s="1"/>
  <c r="Q25" i="2" s="1"/>
  <c r="Q27" i="2" s="1"/>
  <c r="Q28" i="2" s="1"/>
  <c r="Q12" i="2"/>
  <c r="S12" i="2"/>
  <c r="S13" i="2" s="1"/>
  <c r="S17" i="2" s="1"/>
  <c r="S22" i="2" s="1"/>
  <c r="S25" i="2" s="1"/>
  <c r="S27" i="2" s="1"/>
  <c r="S28" i="2" s="1"/>
  <c r="M31" i="2"/>
  <c r="R12" i="2"/>
  <c r="R13" i="2" s="1"/>
  <c r="R17" i="2" s="1"/>
  <c r="R22" i="2" s="1"/>
  <c r="R25" i="2" s="1"/>
  <c r="R27" i="2" s="1"/>
  <c r="R28" i="2" s="1"/>
  <c r="Q31" i="2"/>
  <c r="C17" i="2"/>
  <c r="C22" i="2" s="1"/>
  <c r="C25" i="2" s="1"/>
  <c r="C27" i="2" s="1"/>
  <c r="C28" i="2" s="1"/>
  <c r="D17" i="2"/>
  <c r="D22" i="2" s="1"/>
  <c r="D25" i="2" s="1"/>
  <c r="D27" i="2" s="1"/>
  <c r="D28" i="2" s="1"/>
  <c r="E22" i="2"/>
  <c r="E25" i="2" s="1"/>
  <c r="E27" i="2" s="1"/>
  <c r="E28" i="2" s="1"/>
  <c r="F17" i="2"/>
  <c r="F22" i="2" s="1"/>
  <c r="F25" i="2" s="1"/>
  <c r="F27" i="2" s="1"/>
  <c r="F28" i="2" s="1"/>
  <c r="J17" i="2"/>
  <c r="J22" i="2" s="1"/>
  <c r="J25" i="2" s="1"/>
  <c r="J27" i="2" s="1"/>
  <c r="J28" i="2" s="1"/>
  <c r="L17" i="2"/>
  <c r="M17" i="2"/>
  <c r="M22" i="2" s="1"/>
  <c r="M25" i="2" s="1"/>
  <c r="G17" i="2"/>
  <c r="G22" i="2" s="1"/>
  <c r="G25" i="2" s="1"/>
  <c r="K22" i="2"/>
  <c r="K25" i="2" s="1"/>
  <c r="H22" i="2"/>
  <c r="H25" i="2" s="1"/>
  <c r="I17" i="2"/>
  <c r="I22" i="2" s="1"/>
  <c r="I25" i="2" s="1"/>
  <c r="I27" i="2" s="1"/>
  <c r="L22" i="2"/>
  <c r="L25" i="2" s="1"/>
  <c r="K5" i="1"/>
  <c r="K6" i="1"/>
  <c r="N33" i="2"/>
  <c r="L33" i="2"/>
  <c r="K33" i="2"/>
  <c r="I33" i="2"/>
  <c r="H33" i="2"/>
  <c r="G33" i="2"/>
  <c r="R33" i="2"/>
  <c r="J31" i="2"/>
  <c r="R2" i="2"/>
  <c r="S2" i="2" s="1"/>
  <c r="T2" i="2" s="1"/>
  <c r="U2" i="2" s="1"/>
  <c r="V2" i="2" s="1"/>
  <c r="W2" i="2" s="1"/>
  <c r="X2" i="2" s="1"/>
  <c r="Y2" i="2" s="1"/>
  <c r="Z2" i="2" s="1"/>
  <c r="AA2" i="2" s="1"/>
  <c r="K4" i="1"/>
  <c r="X21" i="2" l="1"/>
  <c r="X22" i="2" s="1"/>
  <c r="X25" i="2" s="1"/>
  <c r="X27" i="2" s="1"/>
  <c r="K27" i="2"/>
  <c r="K28" i="2" s="1"/>
  <c r="I28" i="2"/>
  <c r="H27" i="2"/>
  <c r="H28" i="2" s="1"/>
  <c r="M27" i="2"/>
  <c r="M28" i="2" s="1"/>
  <c r="G27" i="2"/>
  <c r="G28" i="2" s="1"/>
  <c r="K7" i="1"/>
  <c r="D32" i="2"/>
  <c r="U31" i="2"/>
  <c r="E32" i="2"/>
  <c r="H31" i="2"/>
  <c r="I31" i="2"/>
  <c r="L31" i="2"/>
  <c r="N31" i="2"/>
  <c r="C32" i="2"/>
  <c r="T33" i="2"/>
  <c r="F32" i="2"/>
  <c r="S33" i="2"/>
  <c r="Y21" i="2" l="1"/>
  <c r="Y22" i="2" s="1"/>
  <c r="Y25" i="2" s="1"/>
  <c r="Y27" i="2" s="1"/>
  <c r="L27" i="2"/>
  <c r="L28" i="2" s="1"/>
  <c r="H32" i="2"/>
  <c r="Q32" i="2"/>
  <c r="R31" i="2"/>
  <c r="K32" i="2"/>
  <c r="I32" i="2"/>
  <c r="U33" i="2"/>
  <c r="N32" i="2"/>
  <c r="G31" i="2"/>
  <c r="M32" i="2"/>
  <c r="L32" i="2"/>
  <c r="T31" i="2"/>
  <c r="J32" i="2"/>
  <c r="K31" i="2"/>
  <c r="AA21" i="2" l="1"/>
  <c r="AA22" i="2" s="1"/>
  <c r="AA25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Z21" i="2"/>
  <c r="Z22" i="2" s="1"/>
  <c r="Z25" i="2" s="1"/>
  <c r="Z27" i="2" s="1"/>
  <c r="V33" i="2"/>
  <c r="V31" i="2"/>
  <c r="R32" i="2"/>
  <c r="G32" i="2"/>
  <c r="EP27" i="2" l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AD36" i="2"/>
  <c r="T32" i="2"/>
  <c r="W31" i="2"/>
  <c r="W33" i="2"/>
  <c r="X33" i="2" l="1"/>
  <c r="X31" i="2"/>
  <c r="U32" i="2"/>
  <c r="V32" i="2" l="1"/>
  <c r="Y31" i="2"/>
  <c r="Y33" i="2"/>
  <c r="Z33" i="2" l="1"/>
  <c r="AA31" i="2"/>
  <c r="Z31" i="2"/>
  <c r="W32" i="2"/>
  <c r="X32" i="2" l="1"/>
  <c r="AA33" i="2"/>
  <c r="Y32" i="2" l="1"/>
  <c r="Z32" i="2" l="1"/>
  <c r="AA32" i="2"/>
  <c r="AD37" i="2" l="1"/>
</calcChain>
</file>

<file path=xl/sharedStrings.xml><?xml version="1.0" encoding="utf-8"?>
<sst xmlns="http://schemas.openxmlformats.org/spreadsheetml/2006/main" count="65" uniqueCount="56">
  <si>
    <t>Model</t>
  </si>
  <si>
    <t>Name</t>
  </si>
  <si>
    <t>Price</t>
  </si>
  <si>
    <t>Shares</t>
  </si>
  <si>
    <t>Q322</t>
  </si>
  <si>
    <t>MC</t>
  </si>
  <si>
    <t>Cash</t>
  </si>
  <si>
    <t>Debt</t>
  </si>
  <si>
    <t>EV</t>
  </si>
  <si>
    <t>Main</t>
  </si>
  <si>
    <t>ESTIMATES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</si>
  <si>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</si>
  <si>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</si>
  <si>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</si>
  <si>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</si>
  <si>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</si>
  <si>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</si>
  <si>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</si>
  <si>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</si>
  <si>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</si>
  <si>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</si>
  <si>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</si>
  <si>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Sales</t>
  </si>
  <si>
    <t>Revenue</t>
  </si>
  <si>
    <t>COGS</t>
  </si>
  <si>
    <t>Gross Profit</t>
  </si>
  <si>
    <t>Operating Expenses</t>
  </si>
  <si>
    <t>Operating Income</t>
  </si>
  <si>
    <t>Pretax Income</t>
  </si>
  <si>
    <t>Taxes</t>
  </si>
  <si>
    <t>Net Profit</t>
  </si>
  <si>
    <t>EPS</t>
  </si>
  <si>
    <t>Revenue y/y</t>
  </si>
  <si>
    <t xml:space="preserve">Gross margin </t>
  </si>
  <si>
    <t>Discount</t>
  </si>
  <si>
    <t>Maturity</t>
  </si>
  <si>
    <t>NPV</t>
  </si>
  <si>
    <t>Share</t>
  </si>
  <si>
    <t>Americas</t>
  </si>
  <si>
    <t>Europe</t>
  </si>
  <si>
    <t>Asia Pacific</t>
  </si>
  <si>
    <t>Service</t>
  </si>
  <si>
    <t>Platform and Other</t>
  </si>
  <si>
    <t>Marketing and Commerce</t>
  </si>
  <si>
    <t>Data</t>
  </si>
  <si>
    <t>Professional Services and other</t>
  </si>
  <si>
    <t>Professional services and other</t>
  </si>
  <si>
    <t>R&amp;D</t>
  </si>
  <si>
    <t>Marketing/Sales</t>
  </si>
  <si>
    <t>G&amp;A</t>
  </si>
  <si>
    <t>Subcription and Support cost</t>
  </si>
  <si>
    <t>Professional services and other cost</t>
  </si>
  <si>
    <t>Marketing/Sales y/y</t>
  </si>
  <si>
    <t>Strategic Investment</t>
  </si>
  <si>
    <t>Other expense</t>
  </si>
  <si>
    <t>Guides for 30.9 to 31 for FY22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</si>
</sst>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3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43" fontId="0" fillId="0" borderId="0" xfId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43" fontId="0" fillId="0" borderId="0" xfId="1" applyFont="1" applyBorder="1"/>
    <xf numFmtId="43" fontId="0" fillId="0" borderId="6" xfId="1" applyFont="1" applyBorder="1"/>
    <xf numFmtId="43" fontId="0" fillId="0" borderId="0" xfId="1" applyFont="1" applyFill="1" applyBorder="1"/>
    <xf numFmtId="43" fontId="2" fillId="0" borderId="0" xfId="1" applyFont="1"/>
    <xf numFmtId="43" fontId="2" fillId="0" borderId="0" xfId="1" applyFont="1" applyBorder="1"/>
    <xf numFmtId="43" fontId="2" fillId="0" borderId="6" xfId="1" applyFont="1" applyBorder="1"/>
    <xf numFmtId="10" fontId="0" fillId="0" borderId="0" xfId="2" applyNumberFormat="1" applyFont="1" applyBorder="1"/>
    <xf numFmtId="10" fontId="0" fillId="0" borderId="6" xfId="2" applyNumberFormat="1" applyFont="1" applyBorder="1"/>
    <xf numFmtId="9" fontId="0" fillId="0" borderId="6" xfId="2" applyFont="1" applyBorder="1"/>
    <xf numFmtId="9" fontId="0" fillId="0" borderId="0" xfId="2" applyFont="1"/>
    <xf numFmtId="9" fontId="0" fillId="0" borderId="0" xfId="2" applyFont="1" applyBorder="1"/>
    <xf numFmtId="9" fontId="0" fillId="0" borderId="0" xfId="0" applyNumberFormat="1"/>
    <xf numFmtId="43" fontId="0" fillId="0" borderId="6" xfId="1" applyFont="1" applyFill="1" applyBorder="1"/>
    <xf numFmtId="0" fontId="0" fillId="0" borderId="3" xfId="0" applyBorder="1"/>
    <xf numFmtId="43" fontId="1" fillId="0" borderId="6" xfId="1" applyFont="1" applyBorder="1"/>
    <xf numFmtId="43" fontId="1" fillId="0" borderId="0" xfId="1" applyFont="1"/>
    <xf numFmtId="43" fontId="1" fillId="0" borderId="0" xfId="1" applyFont="1" applyBorder="1"/>
    <xf numFmtId="0" fontId="0" fillId="0" borderId="0" xfId="0" applyBorder="1"/>
    <xf numFmtId="8" fontId="0" fillId="0" borderId="0" xfId="1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_X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4118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F072-35FF-3F48-9731-A790EBACF550}">
  <dimension ref="A1:L8"/>
  <sheetViews>
    <sheetView workbookViewId="0"/>
  </sheetViews>
  <sheetFormatPr baseColWidth="10" defaultColWidth="11.5" defaultRowHeight="21" customHeight="1" x14ac:dyDescent="0.2"/>
  <cols>
    <col min="2" max="2" width="27" customWidth="1"/>
  </cols>
  <sheetData>
    <row r="1" spans="1:12" ht="21" customHeight="1" x14ac:dyDescent="0.2">
      <c r="A1" s="1" t="s">
        <v>0</v>
      </c>
    </row>
    <row r="2" spans="1:12" ht="21" customHeight="1" x14ac:dyDescent="0.2">
      <c r="B2" s="2" t="s">
        <v>1</v>
      </c>
      <c r="C2" s="4"/>
      <c r="D2" s="4"/>
      <c r="E2" s="4"/>
      <c r="F2" s="4"/>
      <c r="G2" s="5"/>
      <c r="J2" t="s">
        <v>2</v>
      </c>
      <c r="K2" s="6">
        <v>140.1</v>
      </c>
    </row>
    <row r="3" spans="1:12" ht="21" customHeight="1" x14ac:dyDescent="0.2">
      <c r="B3" s="3" t="s">
        <v>22</v>
      </c>
      <c r="G3" s="7"/>
      <c r="J3" t="s">
        <v>3</v>
      </c>
      <c r="K3" s="6">
        <v>1000</v>
      </c>
      <c r="L3" t="s">
        <v>4</v>
      </c>
    </row>
    <row r="4" spans="1:12" ht="21" customHeight="1" x14ac:dyDescent="0.2">
      <c r="B4" s="3" t="s">
        <v>41</v>
      </c>
      <c r="G4" s="7"/>
      <c r="J4" t="s">
        <v>5</v>
      </c>
      <c r="K4" s="6">
        <f>K2*K3</f>
        <v>140100</v>
      </c>
    </row>
    <row r="5" spans="1:12" ht="21" customHeight="1" x14ac:dyDescent="0.2">
      <c r="B5" s="3" t="s">
        <v>42</v>
      </c>
      <c r="G5" s="7"/>
      <c r="J5" t="s">
        <v>6</v>
      </c>
      <c r="K5" s="6">
        <f>6076+5842+5124</f>
        <v>17042</v>
      </c>
      <c r="L5" t="s">
        <v>4</v>
      </c>
    </row>
    <row r="6" spans="1:12" ht="21" customHeight="1" x14ac:dyDescent="0.2">
      <c r="B6" s="3" t="s">
        <v>43</v>
      </c>
      <c r="G6" s="7"/>
      <c r="J6" t="s">
        <v>7</v>
      </c>
      <c r="K6" s="6">
        <f>1182+9418</f>
        <v>10600</v>
      </c>
      <c r="L6" t="s">
        <v>4</v>
      </c>
    </row>
    <row r="7" spans="1:12" ht="21" customHeight="1" x14ac:dyDescent="0.2">
      <c r="B7" s="3" t="s">
        <v>44</v>
      </c>
      <c r="G7" s="7"/>
      <c r="J7" t="s">
        <v>8</v>
      </c>
      <c r="K7" s="10">
        <f>K4-K5+K6</f>
        <v>133658</v>
      </c>
    </row>
    <row r="8" spans="1:12" ht="21" customHeight="1" x14ac:dyDescent="0.2">
      <c r="B8" s="24" t="s">
        <v>45</v>
      </c>
      <c r="C8" s="8"/>
      <c r="D8" s="8"/>
      <c r="E8" s="8"/>
      <c r="F8" s="8"/>
      <c r="G8" s="9"/>
    </row>
  </sheetData>
  <hyperlinks>
    <hyperlink ref="A1" location="Model!A1" display="Model" xr:uid="{119FC0F7-0866-2041-AEED-032EC85AE1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AD8D-108F-514D-A67B-541AB297687A}">
  <dimension ref="A1:FA37"/>
  <sheetViews>
    <sheetView tabSelected="1" zoomScale="81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A17" sqref="AA17"/>
    </sheetView>
  </sheetViews>
  <sheetFormatPr baseColWidth="10" defaultColWidth="13.33203125" defaultRowHeight="16" x14ac:dyDescent="0.2"/>
  <cols>
    <col min="1" max="1" width="5.6640625" customWidth="1"/>
    <col min="2" max="2" width="30.6640625" style="7" customWidth="1"/>
    <col min="6" max="6" width="13.33203125" customWidth="1"/>
    <col min="13" max="13" width="13.33203125" style="7"/>
    <col min="18" max="18" width="13.33203125" style="7"/>
    <col min="30" max="30" width="17.83203125" customWidth="1"/>
  </cols>
  <sheetData>
    <row r="1" spans="1:27" x14ac:dyDescent="0.2">
      <c r="A1" s="1" t="s">
        <v>9</v>
      </c>
      <c r="N1" t="s">
        <v>10</v>
      </c>
    </row>
    <row r="2" spans="1:27" s="8" customFormat="1" x14ac:dyDescent="0.2">
      <c r="B2" s="9"/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9" t="s">
        <v>4</v>
      </c>
      <c r="N2" s="8" t="s">
        <v>21</v>
      </c>
      <c r="P2" s="8">
        <v>2019</v>
      </c>
      <c r="Q2" s="8">
        <v>2020</v>
      </c>
      <c r="R2" s="9">
        <f t="shared" ref="R2:AA2" si="0">Q2+1</f>
        <v>2021</v>
      </c>
      <c r="S2" s="8">
        <f t="shared" si="0"/>
        <v>2022</v>
      </c>
      <c r="T2" s="8">
        <f t="shared" si="0"/>
        <v>2023</v>
      </c>
      <c r="U2" s="8">
        <f t="shared" si="0"/>
        <v>2024</v>
      </c>
      <c r="V2" s="8">
        <f t="shared" si="0"/>
        <v>2025</v>
      </c>
      <c r="W2" s="8">
        <f t="shared" si="0"/>
        <v>2026</v>
      </c>
      <c r="X2" s="8">
        <f t="shared" si="0"/>
        <v>2027</v>
      </c>
      <c r="Y2" s="8">
        <f t="shared" si="0"/>
        <v>2028</v>
      </c>
      <c r="Z2" s="8">
        <f t="shared" si="0"/>
        <v>2029</v>
      </c>
      <c r="AA2" s="8">
        <f t="shared" si="0"/>
        <v>2030</v>
      </c>
    </row>
    <row r="3" spans="1:27" s="11" customFormat="1" x14ac:dyDescent="0.2">
      <c r="B3" s="12" t="s">
        <v>38</v>
      </c>
      <c r="C3" s="11">
        <v>3370</v>
      </c>
      <c r="D3" s="11">
        <v>3596</v>
      </c>
      <c r="E3" s="11">
        <v>3758</v>
      </c>
      <c r="F3" s="11">
        <v>4012</v>
      </c>
      <c r="G3" s="11">
        <v>4094</v>
      </c>
      <c r="H3" s="27">
        <v>4312</v>
      </c>
      <c r="I3" s="11">
        <v>4638</v>
      </c>
      <c r="J3" s="11">
        <v>4939</v>
      </c>
      <c r="K3" s="11">
        <v>4971</v>
      </c>
      <c r="L3" s="11">
        <v>5261</v>
      </c>
      <c r="M3" s="12">
        <v>5361</v>
      </c>
      <c r="N3" s="11">
        <v>5360</v>
      </c>
      <c r="R3" s="12"/>
    </row>
    <row r="4" spans="1:27" s="11" customFormat="1" x14ac:dyDescent="0.2">
      <c r="B4" s="12" t="s">
        <v>39</v>
      </c>
      <c r="C4" s="11">
        <v>1034</v>
      </c>
      <c r="D4" s="11">
        <v>1070</v>
      </c>
      <c r="E4" s="11">
        <v>1149</v>
      </c>
      <c r="F4" s="11">
        <v>1248</v>
      </c>
      <c r="G4" s="11">
        <v>1302</v>
      </c>
      <c r="H4" s="11">
        <v>1416</v>
      </c>
      <c r="I4" s="11">
        <v>1581</v>
      </c>
      <c r="J4" s="11">
        <v>1717</v>
      </c>
      <c r="K4" s="11">
        <v>1738</v>
      </c>
      <c r="L4" s="11">
        <v>1745</v>
      </c>
      <c r="M4" s="12">
        <v>1745</v>
      </c>
      <c r="N4" s="11">
        <v>1735</v>
      </c>
      <c r="R4" s="12"/>
    </row>
    <row r="5" spans="1:27" s="11" customFormat="1" x14ac:dyDescent="0.2">
      <c r="B5" s="12" t="s">
        <v>40</v>
      </c>
      <c r="C5" s="11">
        <v>461</v>
      </c>
      <c r="D5" s="11">
        <v>485</v>
      </c>
      <c r="E5" s="11">
        <v>512</v>
      </c>
      <c r="F5" s="11">
        <v>557</v>
      </c>
      <c r="G5" s="11">
        <v>567</v>
      </c>
      <c r="H5" s="27">
        <v>612</v>
      </c>
      <c r="I5" s="11">
        <v>644</v>
      </c>
      <c r="J5" s="11">
        <v>670</v>
      </c>
      <c r="K5" s="11">
        <v>702</v>
      </c>
      <c r="L5" s="11">
        <v>714</v>
      </c>
      <c r="M5" s="12">
        <v>731</v>
      </c>
      <c r="N5" s="11">
        <v>725</v>
      </c>
      <c r="R5" s="12"/>
    </row>
    <row r="6" spans="1:27" s="11" customFormat="1" x14ac:dyDescent="0.2">
      <c r="B6" s="23"/>
      <c r="I6" s="13"/>
      <c r="M6" s="12"/>
      <c r="R6" s="12"/>
    </row>
    <row r="7" spans="1:27" s="11" customFormat="1" x14ac:dyDescent="0.2">
      <c r="B7" s="23" t="s">
        <v>22</v>
      </c>
      <c r="C7" s="11">
        <v>1245</v>
      </c>
      <c r="D7" s="11">
        <v>1279</v>
      </c>
      <c r="E7" s="11">
        <v>1311</v>
      </c>
      <c r="F7" s="11">
        <v>1356</v>
      </c>
      <c r="G7" s="11">
        <v>1388</v>
      </c>
      <c r="H7" s="11">
        <v>1477</v>
      </c>
      <c r="I7" s="13">
        <v>1538</v>
      </c>
      <c r="J7" s="11">
        <v>1586</v>
      </c>
      <c r="K7" s="11">
        <v>1632</v>
      </c>
      <c r="L7" s="11">
        <v>1695</v>
      </c>
      <c r="M7" s="12">
        <v>1717</v>
      </c>
      <c r="N7" s="11">
        <v>1748</v>
      </c>
      <c r="P7" s="11">
        <v>4598</v>
      </c>
      <c r="Q7" s="11">
        <f>SUM(C7:F7)</f>
        <v>5191</v>
      </c>
      <c r="R7" s="12">
        <f>SUM(G7:J7)</f>
        <v>5989</v>
      </c>
      <c r="S7" s="11">
        <f>SUM(K7:N7)</f>
        <v>6792</v>
      </c>
    </row>
    <row r="8" spans="1:27" s="11" customFormat="1" x14ac:dyDescent="0.2">
      <c r="B8" s="23" t="s">
        <v>41</v>
      </c>
      <c r="C8" s="11">
        <v>1252</v>
      </c>
      <c r="D8" s="11">
        <v>1303</v>
      </c>
      <c r="E8" s="11">
        <v>1376</v>
      </c>
      <c r="F8" s="11">
        <v>1446</v>
      </c>
      <c r="G8" s="11">
        <v>1506</v>
      </c>
      <c r="H8" s="11">
        <v>1600</v>
      </c>
      <c r="I8" s="13">
        <v>1658</v>
      </c>
      <c r="J8" s="11">
        <v>1710</v>
      </c>
      <c r="K8" s="11">
        <v>1761</v>
      </c>
      <c r="L8" s="11">
        <v>1828</v>
      </c>
      <c r="M8" s="12">
        <v>1856</v>
      </c>
      <c r="N8" s="11">
        <v>1875</v>
      </c>
      <c r="P8" s="11">
        <v>4466</v>
      </c>
      <c r="Q8" s="11">
        <f>SUM(C8:F8)</f>
        <v>5377</v>
      </c>
      <c r="R8" s="12">
        <f t="shared" ref="R8:R15" si="1">SUM(G8:J8)</f>
        <v>6474</v>
      </c>
      <c r="S8" s="11">
        <f t="shared" ref="S8:S15" si="2">SUM(K8:N8)</f>
        <v>7320</v>
      </c>
    </row>
    <row r="9" spans="1:27" s="11" customFormat="1" x14ac:dyDescent="0.2">
      <c r="B9" s="23" t="s">
        <v>42</v>
      </c>
      <c r="C9" s="11">
        <v>1364</v>
      </c>
      <c r="D9" s="11">
        <v>1512</v>
      </c>
      <c r="E9" s="11">
        <v>844</v>
      </c>
      <c r="F9" s="11">
        <v>885</v>
      </c>
      <c r="G9" s="11">
        <v>913</v>
      </c>
      <c r="H9" s="11">
        <v>969</v>
      </c>
      <c r="I9" s="13">
        <v>1277</v>
      </c>
      <c r="J9" s="11">
        <v>1350</v>
      </c>
      <c r="K9" s="27">
        <v>1419</v>
      </c>
      <c r="L9" s="11">
        <v>1478</v>
      </c>
      <c r="M9" s="12">
        <v>1513</v>
      </c>
      <c r="N9" s="11">
        <v>1525</v>
      </c>
      <c r="P9" s="11">
        <v>4473</v>
      </c>
      <c r="Q9" s="11">
        <f>SUM(C9:F9)</f>
        <v>4605</v>
      </c>
      <c r="R9" s="12">
        <f t="shared" si="1"/>
        <v>4509</v>
      </c>
      <c r="S9" s="11">
        <f t="shared" si="2"/>
        <v>5935</v>
      </c>
    </row>
    <row r="10" spans="1:27" s="11" customFormat="1" x14ac:dyDescent="0.2">
      <c r="B10" s="23" t="s">
        <v>43</v>
      </c>
      <c r="C10" s="11">
        <v>714</v>
      </c>
      <c r="D10" s="11">
        <v>746</v>
      </c>
      <c r="E10" s="11">
        <v>804</v>
      </c>
      <c r="F10" s="11">
        <v>869</v>
      </c>
      <c r="G10" s="11">
        <v>895</v>
      </c>
      <c r="H10" s="11">
        <v>955</v>
      </c>
      <c r="I10" s="13">
        <v>1006</v>
      </c>
      <c r="J10" s="11">
        <v>1046</v>
      </c>
      <c r="K10" s="11">
        <v>1089</v>
      </c>
      <c r="L10" s="11">
        <v>1121</v>
      </c>
      <c r="M10" s="12">
        <v>1129</v>
      </c>
      <c r="N10" s="11">
        <v>1080</v>
      </c>
      <c r="P10" s="11">
        <v>2506</v>
      </c>
      <c r="Q10" s="11">
        <f>SUM(C10:F10)</f>
        <v>3133</v>
      </c>
      <c r="R10" s="12">
        <f t="shared" si="1"/>
        <v>3902</v>
      </c>
      <c r="S10" s="11">
        <f t="shared" si="2"/>
        <v>4419</v>
      </c>
    </row>
    <row r="11" spans="1:27" s="11" customFormat="1" x14ac:dyDescent="0.2">
      <c r="B11" s="23" t="s">
        <v>44</v>
      </c>
      <c r="C11" s="11">
        <v>0</v>
      </c>
      <c r="D11" s="11">
        <v>0</v>
      </c>
      <c r="E11" s="11">
        <v>750</v>
      </c>
      <c r="F11" s="11">
        <v>920</v>
      </c>
      <c r="G11" s="11">
        <v>834</v>
      </c>
      <c r="H11" s="11">
        <v>913</v>
      </c>
      <c r="I11" s="13">
        <v>900</v>
      </c>
      <c r="J11" s="11">
        <v>1136</v>
      </c>
      <c r="K11" s="11">
        <v>955</v>
      </c>
      <c r="L11" s="11">
        <v>1021</v>
      </c>
      <c r="M11" s="12">
        <v>1018</v>
      </c>
      <c r="N11" s="11">
        <v>980</v>
      </c>
      <c r="P11" s="11">
        <v>0</v>
      </c>
      <c r="Q11" s="11">
        <f>SUM(C11:F11)</f>
        <v>1670</v>
      </c>
      <c r="R11" s="12">
        <f t="shared" si="1"/>
        <v>3783</v>
      </c>
      <c r="S11" s="11">
        <f t="shared" si="2"/>
        <v>3974</v>
      </c>
    </row>
    <row r="12" spans="1:27" s="11" customFormat="1" x14ac:dyDescent="0.2">
      <c r="B12" s="12" t="s">
        <v>46</v>
      </c>
      <c r="C12" s="11">
        <f>SUM(C3:C5)-SUM(C7:C11)</f>
        <v>290</v>
      </c>
      <c r="D12" s="11">
        <f>SUM(D3:D5)-SUM(D7:D11)</f>
        <v>311</v>
      </c>
      <c r="E12" s="11">
        <f>SUM(E3:E5)-SUM(E7:E11)</f>
        <v>334</v>
      </c>
      <c r="F12" s="11">
        <f>SUM(F3:F5)-SUM(F7:F11)</f>
        <v>341</v>
      </c>
      <c r="G12" s="11">
        <f>SUM(G3:G5)-SUM(G7:G11)</f>
        <v>427</v>
      </c>
      <c r="H12" s="11">
        <f>SUM(H3:H5)-SUM(H7:H11)</f>
        <v>426</v>
      </c>
      <c r="I12" s="11">
        <f>SUM(I3:I5)-SUM(I7:I11)</f>
        <v>484</v>
      </c>
      <c r="J12" s="11">
        <f>SUM(J3:J5)-SUM(J7:J11)</f>
        <v>498</v>
      </c>
      <c r="K12" s="11">
        <f>SUM(K3:K5)-SUM(K7:K11)</f>
        <v>555</v>
      </c>
      <c r="L12" s="11">
        <f>SUM(L3:L5)-SUM(L7:L11)</f>
        <v>577</v>
      </c>
      <c r="M12" s="12">
        <f>SUM(M3:M5)-SUM(M7:M11)</f>
        <v>604</v>
      </c>
      <c r="N12" s="11">
        <f>SUM(N3:N5)-SUM(N7:N11)</f>
        <v>612</v>
      </c>
      <c r="P12" s="11">
        <v>1055</v>
      </c>
      <c r="Q12" s="11">
        <f>SUM(C12:F12)</f>
        <v>1276</v>
      </c>
      <c r="R12" s="12">
        <f t="shared" si="1"/>
        <v>1835</v>
      </c>
      <c r="S12" s="11">
        <f t="shared" si="2"/>
        <v>2348</v>
      </c>
    </row>
    <row r="13" spans="1:27" s="6" customFormat="1" x14ac:dyDescent="0.2">
      <c r="B13" s="16" t="s">
        <v>23</v>
      </c>
      <c r="C13" s="15">
        <f>SUM(C7:C12)</f>
        <v>4865</v>
      </c>
      <c r="D13" s="15">
        <f>SUM(D7:D12)</f>
        <v>5151</v>
      </c>
      <c r="E13" s="15">
        <f>SUM(E7:E12)</f>
        <v>5419</v>
      </c>
      <c r="F13" s="15">
        <f>SUM(F7:F12)</f>
        <v>5817</v>
      </c>
      <c r="G13" s="15">
        <f>SUM(G7:G12)</f>
        <v>5963</v>
      </c>
      <c r="H13" s="15">
        <f>SUM(H7:H12)</f>
        <v>6340</v>
      </c>
      <c r="I13" s="15">
        <f>SUM(I7:I12)</f>
        <v>6863</v>
      </c>
      <c r="J13" s="15">
        <f>SUM(J7:J12)</f>
        <v>7326</v>
      </c>
      <c r="K13" s="15">
        <f>SUM(K7:K12)</f>
        <v>7411</v>
      </c>
      <c r="L13" s="15">
        <f>SUM(L7:L12)</f>
        <v>7720</v>
      </c>
      <c r="M13" s="16">
        <f>SUM(M7:M12)</f>
        <v>7837</v>
      </c>
      <c r="N13" s="15">
        <f>SUM(N7:N12)</f>
        <v>7820</v>
      </c>
      <c r="O13" s="15"/>
      <c r="P13" s="15">
        <f>SUM(P7:P12)</f>
        <v>17098</v>
      </c>
      <c r="Q13" s="15">
        <f>SUM(C13:F13)</f>
        <v>21252</v>
      </c>
      <c r="R13" s="15">
        <f>SUM(R7:R12)</f>
        <v>26492</v>
      </c>
      <c r="S13" s="15">
        <f>SUM(S7:S12)</f>
        <v>30788</v>
      </c>
      <c r="T13" s="14">
        <f>S13*1.2</f>
        <v>36945.599999999999</v>
      </c>
      <c r="U13" s="14">
        <f t="shared" ref="U13:AA13" si="3">T13*1.2</f>
        <v>44334.719999999994</v>
      </c>
      <c r="V13" s="14">
        <f t="shared" si="3"/>
        <v>53201.66399999999</v>
      </c>
      <c r="W13" s="14">
        <f t="shared" si="3"/>
        <v>63841.996799999986</v>
      </c>
      <c r="X13" s="14">
        <f t="shared" si="3"/>
        <v>76610.396159999975</v>
      </c>
      <c r="Y13" s="14">
        <f t="shared" si="3"/>
        <v>91932.475391999964</v>
      </c>
      <c r="Z13" s="14">
        <f t="shared" si="3"/>
        <v>110318.97047039996</v>
      </c>
      <c r="AA13" s="14">
        <f t="shared" si="3"/>
        <v>132382.76456447993</v>
      </c>
    </row>
    <row r="14" spans="1:27" s="26" customFormat="1" x14ac:dyDescent="0.2">
      <c r="B14" s="25" t="s">
        <v>50</v>
      </c>
      <c r="C14" s="27">
        <v>966</v>
      </c>
      <c r="D14" s="27">
        <v>1013</v>
      </c>
      <c r="E14" s="27">
        <v>1060</v>
      </c>
      <c r="F14" s="27">
        <v>1115</v>
      </c>
      <c r="G14" s="27">
        <v>1122</v>
      </c>
      <c r="H14" s="27">
        <v>1146</v>
      </c>
      <c r="I14" s="27">
        <v>1335</v>
      </c>
      <c r="J14" s="27">
        <v>1456</v>
      </c>
      <c r="K14" s="27">
        <v>1440</v>
      </c>
      <c r="L14" s="27">
        <v>1490</v>
      </c>
      <c r="M14" s="25">
        <v>1451</v>
      </c>
      <c r="N14" s="27">
        <f>AVERAGE(J14:M14)</f>
        <v>1459.25</v>
      </c>
      <c r="O14" s="27"/>
      <c r="P14" s="26">
        <v>3198</v>
      </c>
      <c r="Q14" s="11">
        <f>SUM(C14:F14)</f>
        <v>4154</v>
      </c>
      <c r="R14" s="12">
        <f t="shared" si="1"/>
        <v>5059</v>
      </c>
      <c r="S14" s="11">
        <f t="shared" si="2"/>
        <v>5840.25</v>
      </c>
    </row>
    <row r="15" spans="1:27" s="26" customFormat="1" x14ac:dyDescent="0.2">
      <c r="B15" s="25" t="s">
        <v>51</v>
      </c>
      <c r="C15" s="27">
        <v>288</v>
      </c>
      <c r="D15" s="27">
        <v>298</v>
      </c>
      <c r="E15" s="27">
        <v>334</v>
      </c>
      <c r="F15" s="27">
        <v>364</v>
      </c>
      <c r="G15" s="27">
        <v>433</v>
      </c>
      <c r="H15" s="27">
        <v>467</v>
      </c>
      <c r="I15" s="27">
        <v>509</v>
      </c>
      <c r="J15" s="27">
        <v>558</v>
      </c>
      <c r="K15" s="27">
        <v>605</v>
      </c>
      <c r="L15" s="27">
        <v>637</v>
      </c>
      <c r="M15" s="25">
        <v>637</v>
      </c>
      <c r="N15" s="27">
        <v>630</v>
      </c>
      <c r="O15" s="27"/>
      <c r="P15" s="26">
        <v>1037</v>
      </c>
      <c r="Q15" s="11">
        <f>SUM(C15:F15)</f>
        <v>1284</v>
      </c>
      <c r="R15" s="11">
        <f t="shared" si="1"/>
        <v>1967</v>
      </c>
      <c r="S15" s="11">
        <f t="shared" si="2"/>
        <v>2509</v>
      </c>
    </row>
    <row r="16" spans="1:27" s="6" customFormat="1" x14ac:dyDescent="0.2">
      <c r="B16" s="12" t="s">
        <v>24</v>
      </c>
      <c r="C16" s="11">
        <f>+C15+C14</f>
        <v>1254</v>
      </c>
      <c r="D16" s="11">
        <f>+D15+D14</f>
        <v>1311</v>
      </c>
      <c r="E16" s="11">
        <f>+E15+E14</f>
        <v>1394</v>
      </c>
      <c r="F16" s="11">
        <f>+F15+F14</f>
        <v>1479</v>
      </c>
      <c r="G16" s="11">
        <f>+G15+G14</f>
        <v>1555</v>
      </c>
      <c r="H16" s="11">
        <f>+H15+H14</f>
        <v>1613</v>
      </c>
      <c r="I16" s="11">
        <f>+I15+I14</f>
        <v>1844</v>
      </c>
      <c r="J16" s="11">
        <f>+J15+J14</f>
        <v>2014</v>
      </c>
      <c r="K16" s="11">
        <f>+K15+K14</f>
        <v>2045</v>
      </c>
      <c r="L16" s="11">
        <f>+L15+L14</f>
        <v>2127</v>
      </c>
      <c r="M16" s="12">
        <f>+M15+M14</f>
        <v>2088</v>
      </c>
      <c r="N16" s="11">
        <f>+N15+N14</f>
        <v>2089.25</v>
      </c>
      <c r="O16" s="11"/>
      <c r="P16" s="11">
        <f>P15+P14</f>
        <v>4235</v>
      </c>
      <c r="Q16" s="11">
        <f>Q15+Q14</f>
        <v>5438</v>
      </c>
      <c r="R16" s="11">
        <f>R15+R14</f>
        <v>7026</v>
      </c>
      <c r="S16" s="11">
        <f>S15+S14</f>
        <v>8349.25</v>
      </c>
    </row>
    <row r="17" spans="2:157" s="6" customFormat="1" x14ac:dyDescent="0.2">
      <c r="B17" s="12" t="s">
        <v>25</v>
      </c>
      <c r="C17" s="11">
        <f>C13-C16</f>
        <v>3611</v>
      </c>
      <c r="D17" s="11">
        <f>D13-D16</f>
        <v>3840</v>
      </c>
      <c r="E17" s="11">
        <f>E13-E16</f>
        <v>4025</v>
      </c>
      <c r="F17" s="11">
        <f>F13-F16</f>
        <v>4338</v>
      </c>
      <c r="G17" s="11">
        <f>G13-G16</f>
        <v>4408</v>
      </c>
      <c r="H17" s="11">
        <f>H13-H16</f>
        <v>4727</v>
      </c>
      <c r="I17" s="11">
        <f>I13-I16</f>
        <v>5019</v>
      </c>
      <c r="J17" s="11">
        <f>J13-J16</f>
        <v>5312</v>
      </c>
      <c r="K17" s="11">
        <f>K13-K16</f>
        <v>5366</v>
      </c>
      <c r="L17" s="11">
        <f>L13-L16</f>
        <v>5593</v>
      </c>
      <c r="M17" s="12">
        <f>M13-M16</f>
        <v>5749</v>
      </c>
      <c r="N17" s="11">
        <f>N13-N16</f>
        <v>5730.75</v>
      </c>
      <c r="O17" s="11"/>
      <c r="P17" s="11">
        <f>P13-P16</f>
        <v>12863</v>
      </c>
      <c r="Q17" s="11">
        <f>Q13-Q16</f>
        <v>15814</v>
      </c>
      <c r="R17" s="11">
        <f>R13-R16</f>
        <v>19466</v>
      </c>
      <c r="S17" s="11">
        <f>S13-S16</f>
        <v>22438.75</v>
      </c>
      <c r="T17" s="6">
        <f>0.73*T13</f>
        <v>26970.287999999997</v>
      </c>
      <c r="U17" s="6">
        <f t="shared" ref="U17:AA17" si="4">0.73*U13</f>
        <v>32364.345599999993</v>
      </c>
      <c r="V17" s="6">
        <f t="shared" si="4"/>
        <v>38837.214719999989</v>
      </c>
      <c r="W17" s="6">
        <f t="shared" si="4"/>
        <v>46604.657663999991</v>
      </c>
      <c r="X17" s="6">
        <f t="shared" si="4"/>
        <v>55925.589196799978</v>
      </c>
      <c r="Y17" s="6">
        <f t="shared" si="4"/>
        <v>67110.707036159976</v>
      </c>
      <c r="Z17" s="6">
        <f t="shared" si="4"/>
        <v>80532.848443391966</v>
      </c>
      <c r="AA17" s="6">
        <f t="shared" si="4"/>
        <v>96639.41813207035</v>
      </c>
    </row>
    <row r="18" spans="2:157" s="6" customFormat="1" x14ac:dyDescent="0.2">
      <c r="B18" s="12" t="s">
        <v>47</v>
      </c>
      <c r="C18" s="11">
        <v>859</v>
      </c>
      <c r="D18" s="11">
        <v>898</v>
      </c>
      <c r="E18" s="11">
        <v>902</v>
      </c>
      <c r="F18" s="11">
        <v>939</v>
      </c>
      <c r="G18" s="11">
        <v>951</v>
      </c>
      <c r="H18" s="11">
        <v>1020</v>
      </c>
      <c r="I18" s="11">
        <v>1203</v>
      </c>
      <c r="J18" s="11">
        <v>1291</v>
      </c>
      <c r="K18" s="11">
        <v>1318</v>
      </c>
      <c r="L18" s="11">
        <v>1329</v>
      </c>
      <c r="M18" s="12">
        <v>1280</v>
      </c>
      <c r="N18" s="11">
        <v>1000</v>
      </c>
      <c r="O18" s="11"/>
      <c r="P18" s="6">
        <v>2766</v>
      </c>
      <c r="Q18" s="11">
        <f>SUM(C18:F18)</f>
        <v>3598</v>
      </c>
      <c r="R18" s="11">
        <f t="shared" ref="R18:R20" si="5">SUM(G18:J18)</f>
        <v>4465</v>
      </c>
      <c r="S18" s="11">
        <f>SUM(K18:N18)</f>
        <v>4927</v>
      </c>
      <c r="T18" s="6">
        <f>S18+200</f>
        <v>5127</v>
      </c>
      <c r="U18" s="6">
        <f>T18*1.1</f>
        <v>5639.7000000000007</v>
      </c>
      <c r="V18" s="6">
        <f>U18*1.05</f>
        <v>5921.6850000000013</v>
      </c>
      <c r="W18" s="6">
        <f t="shared" ref="W18:AA18" si="6">V18*1.05</f>
        <v>6217.7692500000012</v>
      </c>
      <c r="X18" s="6">
        <f t="shared" si="6"/>
        <v>6528.6577125000013</v>
      </c>
      <c r="Y18" s="6">
        <f t="shared" si="6"/>
        <v>6855.0905981250016</v>
      </c>
      <c r="Z18" s="6">
        <f t="shared" si="6"/>
        <v>7197.845128031252</v>
      </c>
      <c r="AA18" s="6">
        <f t="shared" si="6"/>
        <v>7557.7373844328149</v>
      </c>
    </row>
    <row r="19" spans="2:157" s="6" customFormat="1" x14ac:dyDescent="0.2">
      <c r="B19" s="12" t="s">
        <v>48</v>
      </c>
      <c r="C19" s="11">
        <v>2390</v>
      </c>
      <c r="D19" s="11">
        <v>2275</v>
      </c>
      <c r="E19" s="11">
        <v>2377</v>
      </c>
      <c r="F19" s="11">
        <v>2632</v>
      </c>
      <c r="G19" s="11">
        <v>2544</v>
      </c>
      <c r="H19" s="11">
        <v>2736</v>
      </c>
      <c r="I19" s="11">
        <v>3111</v>
      </c>
      <c r="J19" s="11">
        <v>3464</v>
      </c>
      <c r="K19" s="11">
        <v>3372</v>
      </c>
      <c r="L19" s="11">
        <v>3424</v>
      </c>
      <c r="M19" s="12">
        <v>3345</v>
      </c>
      <c r="N19" s="11">
        <f>M19*1.06</f>
        <v>3545.7000000000003</v>
      </c>
      <c r="O19" s="11"/>
      <c r="P19" s="6">
        <v>7930</v>
      </c>
      <c r="Q19" s="11">
        <f>SUM(C19:F19)</f>
        <v>9674</v>
      </c>
      <c r="R19" s="11">
        <f t="shared" si="5"/>
        <v>11855</v>
      </c>
      <c r="S19" s="11">
        <f>SUM(K19:N19)</f>
        <v>13686.7</v>
      </c>
      <c r="T19" s="6">
        <f>1.15*S19</f>
        <v>15739.705</v>
      </c>
      <c r="U19" s="6">
        <f t="shared" ref="U19:AA19" si="7">1.15*T19</f>
        <v>18100.660749999999</v>
      </c>
      <c r="V19" s="6">
        <f>1.1*U19</f>
        <v>19910.726825000002</v>
      </c>
      <c r="W19" s="6">
        <f t="shared" ref="W19:AA19" si="8">1.1*V19</f>
        <v>21901.799507500004</v>
      </c>
      <c r="X19" s="6">
        <f t="shared" si="8"/>
        <v>24091.979458250007</v>
      </c>
      <c r="Y19" s="6">
        <f t="shared" si="8"/>
        <v>26501.17740407501</v>
      </c>
      <c r="Z19" s="6">
        <f t="shared" si="8"/>
        <v>29151.295144482512</v>
      </c>
      <c r="AA19" s="6">
        <f t="shared" si="8"/>
        <v>32066.424658930766</v>
      </c>
    </row>
    <row r="20" spans="2:157" s="6" customFormat="1" x14ac:dyDescent="0.2">
      <c r="B20" s="12" t="s">
        <v>49</v>
      </c>
      <c r="C20" s="11">
        <v>502</v>
      </c>
      <c r="D20" s="11">
        <v>489</v>
      </c>
      <c r="E20" s="11">
        <v>522</v>
      </c>
      <c r="F20" s="11">
        <v>574</v>
      </c>
      <c r="G20" s="11">
        <v>559</v>
      </c>
      <c r="H20" s="11">
        <v>639</v>
      </c>
      <c r="I20" s="11">
        <v>667</v>
      </c>
      <c r="J20" s="11">
        <v>733</v>
      </c>
      <c r="K20" s="11">
        <v>656</v>
      </c>
      <c r="L20" s="11">
        <v>647</v>
      </c>
      <c r="M20" s="12">
        <v>664</v>
      </c>
      <c r="N20" s="11">
        <f>AVERAGE(H20:M20)</f>
        <v>667.66666666666663</v>
      </c>
      <c r="O20" s="11"/>
      <c r="P20" s="6">
        <v>1704</v>
      </c>
      <c r="Q20" s="11">
        <f>SUM(C20:F20)</f>
        <v>2087</v>
      </c>
      <c r="R20" s="11">
        <f t="shared" si="5"/>
        <v>2598</v>
      </c>
      <c r="S20" s="11">
        <f>SUM(K20:N20)</f>
        <v>2634.6666666666665</v>
      </c>
      <c r="T20" s="6">
        <v>3000</v>
      </c>
      <c r="U20" s="6">
        <v>3000</v>
      </c>
      <c r="V20" s="6">
        <v>3000</v>
      </c>
      <c r="W20" s="6">
        <v>3000</v>
      </c>
      <c r="X20" s="6">
        <v>3000</v>
      </c>
      <c r="Y20" s="6">
        <v>3000</v>
      </c>
      <c r="Z20" s="6">
        <v>3000</v>
      </c>
      <c r="AA20" s="6">
        <v>3000</v>
      </c>
    </row>
    <row r="21" spans="2:157" s="6" customFormat="1" x14ac:dyDescent="0.2">
      <c r="B21" s="12" t="s">
        <v>26</v>
      </c>
      <c r="C21" s="11">
        <f>SUM(C18:C20)</f>
        <v>3751</v>
      </c>
      <c r="D21" s="11">
        <f>SUM(D18:D20)</f>
        <v>3662</v>
      </c>
      <c r="E21" s="11">
        <f>SUM(E18:E20)</f>
        <v>3801</v>
      </c>
      <c r="F21" s="11">
        <f>SUM(F18:F20)</f>
        <v>4145</v>
      </c>
      <c r="G21" s="11">
        <f>SUM(G18:G20)</f>
        <v>4054</v>
      </c>
      <c r="H21" s="11">
        <f>SUM(H18:H20)</f>
        <v>4395</v>
      </c>
      <c r="I21" s="11">
        <f>SUM(I18:I20)</f>
        <v>4981</v>
      </c>
      <c r="J21" s="11">
        <f>SUM(J18:J20)</f>
        <v>5488</v>
      </c>
      <c r="K21" s="11">
        <f>SUM(K18:K20)</f>
        <v>5346</v>
      </c>
      <c r="L21" s="11">
        <f>SUM(L18:L20)</f>
        <v>5400</v>
      </c>
      <c r="M21" s="12">
        <f>SUM(M18:M20)</f>
        <v>5289</v>
      </c>
      <c r="N21" s="11">
        <f>SUM(N18:N20)</f>
        <v>5213.3666666666677</v>
      </c>
      <c r="O21" s="11"/>
      <c r="P21" s="12">
        <f>SUM(P18:P20)</f>
        <v>12400</v>
      </c>
      <c r="Q21" s="12">
        <f>SUM(Q18:Q20)</f>
        <v>15359</v>
      </c>
      <c r="R21" s="11">
        <f>SUM(R18:R20)</f>
        <v>18918</v>
      </c>
      <c r="S21" s="11">
        <f>SUM(S18:S20)</f>
        <v>21248.366666666669</v>
      </c>
      <c r="T21" s="11">
        <f>SUM(T18:T20)</f>
        <v>23866.705000000002</v>
      </c>
      <c r="U21" s="11">
        <f t="shared" ref="U21:AA21" si="9">SUM(U18:U20)</f>
        <v>26740.36075</v>
      </c>
      <c r="V21" s="11">
        <f t="shared" si="9"/>
        <v>28832.411825000003</v>
      </c>
      <c r="W21" s="11">
        <f t="shared" si="9"/>
        <v>31119.568757500005</v>
      </c>
      <c r="X21" s="11">
        <f t="shared" si="9"/>
        <v>33620.637170750007</v>
      </c>
      <c r="Y21" s="11">
        <f t="shared" si="9"/>
        <v>36356.268002200013</v>
      </c>
      <c r="Z21" s="11">
        <f t="shared" si="9"/>
        <v>39349.140272513767</v>
      </c>
      <c r="AA21" s="11">
        <f t="shared" si="9"/>
        <v>42624.162043363584</v>
      </c>
    </row>
    <row r="22" spans="2:157" s="6" customFormat="1" x14ac:dyDescent="0.2">
      <c r="B22" s="12" t="s">
        <v>27</v>
      </c>
      <c r="C22" s="11">
        <f>C17-C21</f>
        <v>-140</v>
      </c>
      <c r="D22" s="11">
        <f>D17-D21</f>
        <v>178</v>
      </c>
      <c r="E22" s="11">
        <f>E17-E21</f>
        <v>224</v>
      </c>
      <c r="F22" s="11">
        <f>F17-F21</f>
        <v>193</v>
      </c>
      <c r="G22" s="11">
        <f>G17-G21</f>
        <v>354</v>
      </c>
      <c r="H22" s="11">
        <f>H17-H21</f>
        <v>332</v>
      </c>
      <c r="I22" s="11">
        <f>I17-I21</f>
        <v>38</v>
      </c>
      <c r="J22" s="11">
        <f>J17-J21</f>
        <v>-176</v>
      </c>
      <c r="K22" s="11">
        <f>K17-K21</f>
        <v>20</v>
      </c>
      <c r="L22" s="11">
        <f>L17-L21</f>
        <v>193</v>
      </c>
      <c r="M22" s="12">
        <f>M17-M21</f>
        <v>460</v>
      </c>
      <c r="N22" s="11">
        <f>N17-N21</f>
        <v>517.3833333333323</v>
      </c>
      <c r="O22" s="11"/>
      <c r="P22" s="11">
        <f>P17-P21</f>
        <v>463</v>
      </c>
      <c r="Q22" s="11">
        <f>Q17-Q21</f>
        <v>455</v>
      </c>
      <c r="R22" s="11">
        <f>R17-R21</f>
        <v>548</v>
      </c>
      <c r="S22" s="11">
        <f>S17-S21</f>
        <v>1190.3833333333314</v>
      </c>
      <c r="T22" s="11">
        <f>T17-T21</f>
        <v>3103.5829999999951</v>
      </c>
      <c r="U22" s="11">
        <f t="shared" ref="U22:AA22" si="10">U17-U21</f>
        <v>5623.9848499999935</v>
      </c>
      <c r="V22" s="11">
        <f t="shared" si="10"/>
        <v>10004.802894999986</v>
      </c>
      <c r="W22" s="11">
        <f t="shared" si="10"/>
        <v>15485.088906499986</v>
      </c>
      <c r="X22" s="11">
        <f t="shared" si="10"/>
        <v>22304.95202604997</v>
      </c>
      <c r="Y22" s="11">
        <f t="shared" si="10"/>
        <v>30754.439033959963</v>
      </c>
      <c r="Z22" s="11">
        <f t="shared" si="10"/>
        <v>41183.708170878199</v>
      </c>
      <c r="AA22" s="11">
        <f>AA17-AA21</f>
        <v>54015.256088706767</v>
      </c>
    </row>
    <row r="23" spans="2:157" s="6" customFormat="1" x14ac:dyDescent="0.2">
      <c r="B23" s="12" t="s">
        <v>53</v>
      </c>
      <c r="C23" s="11">
        <v>192</v>
      </c>
      <c r="D23" s="11">
        <v>682</v>
      </c>
      <c r="E23" s="11">
        <v>1036</v>
      </c>
      <c r="F23" s="11">
        <v>260</v>
      </c>
      <c r="G23" s="11">
        <v>288</v>
      </c>
      <c r="H23" s="11">
        <v>526</v>
      </c>
      <c r="I23" s="11">
        <v>363</v>
      </c>
      <c r="J23" s="11">
        <v>34</v>
      </c>
      <c r="K23" s="11">
        <v>7</v>
      </c>
      <c r="L23" s="11">
        <v>45</v>
      </c>
      <c r="M23" s="12">
        <v>23</v>
      </c>
      <c r="N23" s="27">
        <v>5</v>
      </c>
      <c r="O23" s="11"/>
      <c r="P23" s="6">
        <v>427</v>
      </c>
      <c r="Q23" s="11">
        <f>SUM(C23:F23)</f>
        <v>2170</v>
      </c>
      <c r="R23" s="11">
        <f>SUM(G23:J23)</f>
        <v>1211</v>
      </c>
      <c r="S23" s="11">
        <f>SUM(K23:N23)</f>
        <v>80</v>
      </c>
    </row>
    <row r="24" spans="2:157" s="6" customFormat="1" x14ac:dyDescent="0.2">
      <c r="B24" s="12" t="s">
        <v>54</v>
      </c>
      <c r="C24" s="11">
        <v>5</v>
      </c>
      <c r="D24" s="11">
        <v>21</v>
      </c>
      <c r="E24" s="11">
        <v>10</v>
      </c>
      <c r="F24" s="11">
        <v>28</v>
      </c>
      <c r="G24" s="11">
        <v>38</v>
      </c>
      <c r="H24" s="11">
        <v>32</v>
      </c>
      <c r="I24" s="11">
        <v>102</v>
      </c>
      <c r="J24" s="11">
        <v>55</v>
      </c>
      <c r="K24" s="11">
        <v>56</v>
      </c>
      <c r="L24" s="11">
        <v>57</v>
      </c>
      <c r="M24" s="12">
        <v>8</v>
      </c>
      <c r="N24" s="11">
        <v>10</v>
      </c>
      <c r="O24" s="11"/>
      <c r="P24" s="6">
        <v>-18</v>
      </c>
      <c r="Q24" s="11">
        <f>SUM(C24:F24)</f>
        <v>64</v>
      </c>
      <c r="R24" s="11">
        <f>SUM(G24:J24)</f>
        <v>227</v>
      </c>
      <c r="S24" s="11">
        <f>SUM(K24:N24)</f>
        <v>131</v>
      </c>
    </row>
    <row r="25" spans="2:157" s="6" customFormat="1" x14ac:dyDescent="0.2">
      <c r="B25" s="12" t="s">
        <v>28</v>
      </c>
      <c r="C25" s="11">
        <f>C23+C22-C24</f>
        <v>47</v>
      </c>
      <c r="D25" s="11">
        <f>D23+D22-D24</f>
        <v>839</v>
      </c>
      <c r="E25" s="11">
        <f>E23+E22-E24</f>
        <v>1250</v>
      </c>
      <c r="F25" s="11">
        <f>F23+F22-F24</f>
        <v>425</v>
      </c>
      <c r="G25" s="11">
        <f>G23+G22-G24</f>
        <v>604</v>
      </c>
      <c r="H25" s="11">
        <f t="shared" ref="H25:N25" si="11">H23+H22-H24</f>
        <v>826</v>
      </c>
      <c r="I25" s="11">
        <f t="shared" si="11"/>
        <v>299</v>
      </c>
      <c r="J25" s="11">
        <f t="shared" si="11"/>
        <v>-197</v>
      </c>
      <c r="K25" s="11">
        <f t="shared" si="11"/>
        <v>-29</v>
      </c>
      <c r="L25" s="11">
        <f t="shared" si="11"/>
        <v>181</v>
      </c>
      <c r="M25" s="12">
        <f t="shared" si="11"/>
        <v>475</v>
      </c>
      <c r="N25" s="11">
        <f t="shared" si="11"/>
        <v>512.3833333333323</v>
      </c>
      <c r="O25" s="11"/>
      <c r="P25" s="11">
        <f>P22+P23+P24</f>
        <v>872</v>
      </c>
      <c r="Q25" s="11">
        <f>Q22+Q23++Q24</f>
        <v>2689</v>
      </c>
      <c r="R25" s="11">
        <f>R22+R23++R24</f>
        <v>1986</v>
      </c>
      <c r="S25" s="11">
        <f>S22+S23++S24</f>
        <v>1401.3833333333314</v>
      </c>
      <c r="T25" s="11">
        <f>T22+T23++T24</f>
        <v>3103.5829999999951</v>
      </c>
      <c r="U25" s="11">
        <f t="shared" ref="U25:AA25" si="12">U22+U23++U24</f>
        <v>5623.9848499999935</v>
      </c>
      <c r="V25" s="11">
        <f t="shared" si="12"/>
        <v>10004.802894999986</v>
      </c>
      <c r="W25" s="11">
        <f t="shared" si="12"/>
        <v>15485.088906499986</v>
      </c>
      <c r="X25" s="11">
        <f t="shared" si="12"/>
        <v>22304.95202604997</v>
      </c>
      <c r="Y25" s="11">
        <f t="shared" si="12"/>
        <v>30754.439033959963</v>
      </c>
      <c r="Z25" s="11">
        <f t="shared" si="12"/>
        <v>41183.708170878199</v>
      </c>
      <c r="AA25" s="11">
        <f t="shared" si="12"/>
        <v>54015.256088706767</v>
      </c>
    </row>
    <row r="26" spans="2:157" s="6" customFormat="1" x14ac:dyDescent="0.2">
      <c r="B26" s="12" t="s">
        <v>29</v>
      </c>
      <c r="C26" s="11">
        <v>52</v>
      </c>
      <c r="D26" s="11">
        <v>1786</v>
      </c>
      <c r="E26" s="11">
        <v>-169</v>
      </c>
      <c r="F26" s="11">
        <v>-158</v>
      </c>
      <c r="G26" s="11">
        <v>-135</v>
      </c>
      <c r="H26" s="11">
        <v>-291</v>
      </c>
      <c r="I26" s="11">
        <v>169</v>
      </c>
      <c r="J26" s="11">
        <v>169</v>
      </c>
      <c r="K26" s="11">
        <v>57</v>
      </c>
      <c r="L26" s="11">
        <v>-113</v>
      </c>
      <c r="M26" s="12">
        <v>-265</v>
      </c>
      <c r="N26" s="11">
        <v>-265</v>
      </c>
      <c r="O26" s="11"/>
      <c r="P26" s="6">
        <v>-580</v>
      </c>
      <c r="Q26" s="11">
        <f>SUM(C26:F26)</f>
        <v>1511</v>
      </c>
      <c r="R26" s="11">
        <f>SUM(G26:J26)</f>
        <v>-88</v>
      </c>
      <c r="S26" s="11">
        <f>SUM(K26:N26)</f>
        <v>-586</v>
      </c>
    </row>
    <row r="27" spans="2:157" s="6" customFormat="1" x14ac:dyDescent="0.2">
      <c r="B27" s="12" t="s">
        <v>30</v>
      </c>
      <c r="C27" s="11">
        <f t="shared" ref="C27:J27" si="13">C25+C26</f>
        <v>99</v>
      </c>
      <c r="D27" s="11">
        <f t="shared" si="13"/>
        <v>2625</v>
      </c>
      <c r="E27" s="11">
        <f t="shared" si="13"/>
        <v>1081</v>
      </c>
      <c r="F27" s="11">
        <f t="shared" si="13"/>
        <v>267</v>
      </c>
      <c r="G27" s="11">
        <f t="shared" si="13"/>
        <v>469</v>
      </c>
      <c r="H27" s="11">
        <f t="shared" si="13"/>
        <v>535</v>
      </c>
      <c r="I27" s="11">
        <f t="shared" si="13"/>
        <v>468</v>
      </c>
      <c r="J27" s="11">
        <f t="shared" si="13"/>
        <v>-28</v>
      </c>
      <c r="K27" s="11">
        <f>K25+K26</f>
        <v>28</v>
      </c>
      <c r="L27" s="11">
        <f t="shared" ref="L27:N27" si="14">L25+L26</f>
        <v>68</v>
      </c>
      <c r="M27" s="12">
        <f t="shared" si="14"/>
        <v>210</v>
      </c>
      <c r="N27" s="11">
        <f t="shared" si="14"/>
        <v>247.3833333333323</v>
      </c>
      <c r="O27" s="11"/>
      <c r="P27" s="11">
        <f>P25+P26</f>
        <v>292</v>
      </c>
      <c r="Q27" s="11">
        <f>Q25+Q26</f>
        <v>4200</v>
      </c>
      <c r="R27" s="11">
        <f>R25+R26</f>
        <v>1898</v>
      </c>
      <c r="S27" s="11">
        <f>S25+S26</f>
        <v>815.38333333333139</v>
      </c>
      <c r="T27" s="11">
        <f>T25+T26</f>
        <v>3103.5829999999951</v>
      </c>
      <c r="U27" s="11">
        <f t="shared" ref="U27:AA27" si="15">U25+U26</f>
        <v>5623.9848499999935</v>
      </c>
      <c r="V27" s="11">
        <f t="shared" si="15"/>
        <v>10004.802894999986</v>
      </c>
      <c r="W27" s="11">
        <f t="shared" si="15"/>
        <v>15485.088906499986</v>
      </c>
      <c r="X27" s="11">
        <f t="shared" si="15"/>
        <v>22304.95202604997</v>
      </c>
      <c r="Y27" s="11">
        <f t="shared" si="15"/>
        <v>30754.439033959963</v>
      </c>
      <c r="Z27" s="11">
        <f t="shared" si="15"/>
        <v>41183.708170878199</v>
      </c>
      <c r="AA27" s="11">
        <f t="shared" si="15"/>
        <v>54015.256088706767</v>
      </c>
      <c r="AB27" s="6">
        <f>AA27*(1+$AD$35)</f>
        <v>53475.103527819701</v>
      </c>
      <c r="AC27" s="6">
        <f t="shared" ref="AC27:CN27" si="16">AB27*(1+$AD$35)</f>
        <v>52940.352492541504</v>
      </c>
      <c r="AD27" s="6">
        <f t="shared" si="16"/>
        <v>52410.948967616088</v>
      </c>
      <c r="AE27" s="6">
        <f t="shared" si="16"/>
        <v>51886.839477939924</v>
      </c>
      <c r="AF27" s="6">
        <f t="shared" si="16"/>
        <v>51367.971083160526</v>
      </c>
      <c r="AG27" s="6">
        <f t="shared" si="16"/>
        <v>50854.291372328924</v>
      </c>
      <c r="AH27" s="6">
        <f t="shared" si="16"/>
        <v>50345.748458605631</v>
      </c>
      <c r="AI27" s="6">
        <f t="shared" si="16"/>
        <v>49842.290974019576</v>
      </c>
      <c r="AJ27" s="6">
        <f t="shared" si="16"/>
        <v>49343.868064279377</v>
      </c>
      <c r="AK27" s="6">
        <f t="shared" si="16"/>
        <v>48850.429383636583</v>
      </c>
      <c r="AL27" s="6">
        <f t="shared" si="16"/>
        <v>48361.925089800214</v>
      </c>
      <c r="AM27" s="6">
        <f t="shared" si="16"/>
        <v>47878.305838902212</v>
      </c>
      <c r="AN27" s="6">
        <f t="shared" si="16"/>
        <v>47399.522780513187</v>
      </c>
      <c r="AO27" s="6">
        <f t="shared" si="16"/>
        <v>46925.527552708052</v>
      </c>
      <c r="AP27" s="6">
        <f t="shared" si="16"/>
        <v>46456.272277180971</v>
      </c>
      <c r="AQ27" s="6">
        <f t="shared" si="16"/>
        <v>45991.709554409164</v>
      </c>
      <c r="AR27" s="6">
        <f t="shared" si="16"/>
        <v>45531.792458865071</v>
      </c>
      <c r="AS27" s="6">
        <f t="shared" si="16"/>
        <v>45076.474534276422</v>
      </c>
      <c r="AT27" s="6">
        <f t="shared" si="16"/>
        <v>44625.709788933658</v>
      </c>
      <c r="AU27" s="6">
        <f t="shared" si="16"/>
        <v>44179.452691044324</v>
      </c>
      <c r="AV27" s="6">
        <f t="shared" si="16"/>
        <v>43737.658164133878</v>
      </c>
      <c r="AW27" s="6">
        <f t="shared" si="16"/>
        <v>43300.281582492542</v>
      </c>
      <c r="AX27" s="6">
        <f t="shared" si="16"/>
        <v>42867.278766667616</v>
      </c>
      <c r="AY27" s="6">
        <f t="shared" si="16"/>
        <v>42438.605979000939</v>
      </c>
      <c r="AZ27" s="6">
        <f t="shared" si="16"/>
        <v>42014.219919210926</v>
      </c>
      <c r="BA27" s="6">
        <f t="shared" si="16"/>
        <v>41594.077720018817</v>
      </c>
      <c r="BB27" s="6">
        <f t="shared" si="16"/>
        <v>41178.13694281863</v>
      </c>
      <c r="BC27" s="6">
        <f t="shared" si="16"/>
        <v>40766.355573390443</v>
      </c>
      <c r="BD27" s="6">
        <f t="shared" si="16"/>
        <v>40358.69201765654</v>
      </c>
      <c r="BE27" s="6">
        <f t="shared" si="16"/>
        <v>39955.105097479973</v>
      </c>
      <c r="BF27" s="6">
        <f t="shared" si="16"/>
        <v>39555.554046505174</v>
      </c>
      <c r="BG27" s="6">
        <f t="shared" si="16"/>
        <v>39159.998506040123</v>
      </c>
      <c r="BH27" s="6">
        <f t="shared" si="16"/>
        <v>38768.398520979725</v>
      </c>
      <c r="BI27" s="6">
        <f t="shared" si="16"/>
        <v>38380.714535769926</v>
      </c>
      <c r="BJ27" s="6">
        <f t="shared" si="16"/>
        <v>37996.907390412227</v>
      </c>
      <c r="BK27" s="6">
        <f t="shared" si="16"/>
        <v>37616.938316508102</v>
      </c>
      <c r="BL27" s="6">
        <f t="shared" si="16"/>
        <v>37240.768933343017</v>
      </c>
      <c r="BM27" s="6">
        <f t="shared" si="16"/>
        <v>36868.361244009589</v>
      </c>
      <c r="BN27" s="6">
        <f t="shared" si="16"/>
        <v>36499.677631569495</v>
      </c>
      <c r="BO27" s="6">
        <f t="shared" si="16"/>
        <v>36134.680855253799</v>
      </c>
      <c r="BP27" s="6">
        <f t="shared" si="16"/>
        <v>35773.33404670126</v>
      </c>
      <c r="BQ27" s="6">
        <f t="shared" si="16"/>
        <v>35415.600706234247</v>
      </c>
      <c r="BR27" s="6">
        <f t="shared" si="16"/>
        <v>35061.444699171901</v>
      </c>
      <c r="BS27" s="6">
        <f t="shared" si="16"/>
        <v>34710.830252180182</v>
      </c>
      <c r="BT27" s="6">
        <f t="shared" si="16"/>
        <v>34363.721949658378</v>
      </c>
      <c r="BU27" s="6">
        <f t="shared" si="16"/>
        <v>34020.084730161798</v>
      </c>
      <c r="BV27" s="6">
        <f t="shared" si="16"/>
        <v>33679.88388286018</v>
      </c>
      <c r="BW27" s="6">
        <f t="shared" si="16"/>
        <v>33343.085044031577</v>
      </c>
      <c r="BX27" s="6">
        <f t="shared" si="16"/>
        <v>33009.654193591261</v>
      </c>
      <c r="BY27" s="6">
        <f t="shared" si="16"/>
        <v>32679.557651655348</v>
      </c>
      <c r="BZ27" s="6">
        <f t="shared" si="16"/>
        <v>32352.762075138795</v>
      </c>
      <c r="CA27" s="6">
        <f t="shared" si="16"/>
        <v>32029.234454387406</v>
      </c>
      <c r="CB27" s="6">
        <f t="shared" si="16"/>
        <v>31708.94210984353</v>
      </c>
      <c r="CC27" s="6">
        <f t="shared" si="16"/>
        <v>31391.852688745093</v>
      </c>
      <c r="CD27" s="6">
        <f t="shared" si="16"/>
        <v>31077.934161857644</v>
      </c>
      <c r="CE27" s="6">
        <f t="shared" si="16"/>
        <v>30767.154820239066</v>
      </c>
      <c r="CF27" s="6">
        <f t="shared" si="16"/>
        <v>30459.483272036676</v>
      </c>
      <c r="CG27" s="6">
        <f t="shared" si="16"/>
        <v>30154.88843931631</v>
      </c>
      <c r="CH27" s="6">
        <f t="shared" si="16"/>
        <v>29853.339554923146</v>
      </c>
      <c r="CI27" s="6">
        <f t="shared" si="16"/>
        <v>29554.806159373915</v>
      </c>
      <c r="CJ27" s="6">
        <f t="shared" si="16"/>
        <v>29259.258097780177</v>
      </c>
      <c r="CK27" s="6">
        <f t="shared" si="16"/>
        <v>28966.665516802375</v>
      </c>
      <c r="CL27" s="6">
        <f t="shared" si="16"/>
        <v>28676.998861634351</v>
      </c>
      <c r="CM27" s="6">
        <f t="shared" si="16"/>
        <v>28390.228873018008</v>
      </c>
      <c r="CN27" s="6">
        <f t="shared" si="16"/>
        <v>28106.326584287828</v>
      </c>
      <c r="CO27" s="6">
        <f t="shared" ref="CO27:EZ27" si="17">CN27*(1+$AD$35)</f>
        <v>27825.263318444951</v>
      </c>
      <c r="CP27" s="6">
        <f t="shared" si="17"/>
        <v>27547.010685260502</v>
      </c>
      <c r="CQ27" s="6">
        <f t="shared" si="17"/>
        <v>27271.540578407898</v>
      </c>
      <c r="CR27" s="6">
        <f t="shared" si="17"/>
        <v>26998.82517262382</v>
      </c>
      <c r="CS27" s="6">
        <f t="shared" si="17"/>
        <v>26728.836920897582</v>
      </c>
      <c r="CT27" s="6">
        <f t="shared" si="17"/>
        <v>26461.548551688607</v>
      </c>
      <c r="CU27" s="6">
        <f t="shared" si="17"/>
        <v>26196.933066171721</v>
      </c>
      <c r="CV27" s="6">
        <f t="shared" si="17"/>
        <v>25934.963735510002</v>
      </c>
      <c r="CW27" s="6">
        <f t="shared" si="17"/>
        <v>25675.614098154903</v>
      </c>
      <c r="CX27" s="6">
        <f t="shared" si="17"/>
        <v>25418.857957173353</v>
      </c>
      <c r="CY27" s="6">
        <f t="shared" si="17"/>
        <v>25164.669377601618</v>
      </c>
      <c r="CZ27" s="6">
        <f t="shared" si="17"/>
        <v>24913.022683825602</v>
      </c>
      <c r="DA27" s="6">
        <f t="shared" si="17"/>
        <v>24663.892456987345</v>
      </c>
      <c r="DB27" s="6">
        <f t="shared" si="17"/>
        <v>24417.253532417471</v>
      </c>
      <c r="DC27" s="6">
        <f t="shared" si="17"/>
        <v>24173.080997093297</v>
      </c>
      <c r="DD27" s="6">
        <f t="shared" si="17"/>
        <v>23931.350187122363</v>
      </c>
      <c r="DE27" s="6">
        <f t="shared" si="17"/>
        <v>23692.03668525114</v>
      </c>
      <c r="DF27" s="6">
        <f t="shared" si="17"/>
        <v>23455.116318398628</v>
      </c>
      <c r="DG27" s="6">
        <f t="shared" si="17"/>
        <v>23220.565155214641</v>
      </c>
      <c r="DH27" s="6">
        <f t="shared" si="17"/>
        <v>22988.359503662494</v>
      </c>
      <c r="DI27" s="6">
        <f t="shared" si="17"/>
        <v>22758.475908625867</v>
      </c>
      <c r="DJ27" s="6">
        <f t="shared" si="17"/>
        <v>22530.89114953961</v>
      </c>
      <c r="DK27" s="6">
        <f t="shared" si="17"/>
        <v>22305.582238044215</v>
      </c>
      <c r="DL27" s="6">
        <f t="shared" si="17"/>
        <v>22082.526415663771</v>
      </c>
      <c r="DM27" s="6">
        <f t="shared" si="17"/>
        <v>21861.701151507132</v>
      </c>
      <c r="DN27" s="6">
        <f t="shared" si="17"/>
        <v>21643.084139992061</v>
      </c>
      <c r="DO27" s="6">
        <f t="shared" si="17"/>
        <v>21426.65329859214</v>
      </c>
      <c r="DP27" s="6">
        <f t="shared" si="17"/>
        <v>21212.386765606218</v>
      </c>
      <c r="DQ27" s="6">
        <f t="shared" si="17"/>
        <v>21000.262897950157</v>
      </c>
      <c r="DR27" s="6">
        <f t="shared" si="17"/>
        <v>20790.260268970655</v>
      </c>
      <c r="DS27" s="6">
        <f t="shared" si="17"/>
        <v>20582.357666280946</v>
      </c>
      <c r="DT27" s="6">
        <f t="shared" si="17"/>
        <v>20376.534089618137</v>
      </c>
      <c r="DU27" s="6">
        <f t="shared" si="17"/>
        <v>20172.768748721955</v>
      </c>
      <c r="DV27" s="6">
        <f t="shared" si="17"/>
        <v>19971.041061234737</v>
      </c>
      <c r="DW27" s="6">
        <f t="shared" si="17"/>
        <v>19771.330650622389</v>
      </c>
      <c r="DX27" s="6">
        <f t="shared" si="17"/>
        <v>19573.617344116166</v>
      </c>
      <c r="DY27" s="6">
        <f t="shared" si="17"/>
        <v>19377.881170675006</v>
      </c>
      <c r="DZ27" s="6">
        <f t="shared" si="17"/>
        <v>19184.102358968255</v>
      </c>
      <c r="EA27" s="6">
        <f t="shared" si="17"/>
        <v>18992.261335378571</v>
      </c>
      <c r="EB27" s="6">
        <f t="shared" si="17"/>
        <v>18802.338722024786</v>
      </c>
      <c r="EC27" s="6">
        <f t="shared" si="17"/>
        <v>18614.315334804538</v>
      </c>
      <c r="ED27" s="6">
        <f t="shared" si="17"/>
        <v>18428.172181456492</v>
      </c>
      <c r="EE27" s="6">
        <f t="shared" si="17"/>
        <v>18243.890459641927</v>
      </c>
      <c r="EF27" s="6">
        <f t="shared" si="17"/>
        <v>18061.451555045507</v>
      </c>
      <c r="EG27" s="6">
        <f t="shared" si="17"/>
        <v>17880.837039495051</v>
      </c>
      <c r="EH27" s="6">
        <f t="shared" si="17"/>
        <v>17702.028669100098</v>
      </c>
      <c r="EI27" s="6">
        <f t="shared" si="17"/>
        <v>17525.008382409098</v>
      </c>
      <c r="EJ27" s="6">
        <f t="shared" si="17"/>
        <v>17349.758298585006</v>
      </c>
      <c r="EK27" s="6">
        <f t="shared" si="17"/>
        <v>17176.260715599157</v>
      </c>
      <c r="EL27" s="6">
        <f t="shared" si="17"/>
        <v>17004.498108443164</v>
      </c>
      <c r="EM27" s="6">
        <f t="shared" si="17"/>
        <v>16834.453127358731</v>
      </c>
      <c r="EN27" s="6">
        <f t="shared" si="17"/>
        <v>16666.108596085145</v>
      </c>
      <c r="EO27" s="6">
        <f t="shared" si="17"/>
        <v>16499.447510124293</v>
      </c>
      <c r="EP27" s="6">
        <f t="shared" si="17"/>
        <v>16334.453035023051</v>
      </c>
      <c r="EQ27" s="6">
        <f t="shared" si="17"/>
        <v>16171.10850467282</v>
      </c>
      <c r="ER27" s="6">
        <f t="shared" si="17"/>
        <v>16009.397419626092</v>
      </c>
      <c r="ES27" s="6">
        <f t="shared" si="17"/>
        <v>15849.30344542983</v>
      </c>
      <c r="ET27" s="6">
        <f t="shared" si="17"/>
        <v>15690.810410975531</v>
      </c>
      <c r="EU27" s="6">
        <f t="shared" si="17"/>
        <v>15533.902306865775</v>
      </c>
      <c r="EV27" s="6">
        <f t="shared" si="17"/>
        <v>15378.563283797117</v>
      </c>
      <c r="EW27" s="6">
        <f t="shared" si="17"/>
        <v>15224.777650959146</v>
      </c>
      <c r="EX27" s="6">
        <f t="shared" si="17"/>
        <v>15072.529874449554</v>
      </c>
      <c r="EY27" s="6">
        <f t="shared" si="17"/>
        <v>14921.804575705059</v>
      </c>
      <c r="EZ27" s="6">
        <f t="shared" si="17"/>
        <v>14772.586529948008</v>
      </c>
      <c r="FA27" s="6">
        <f t="shared" ref="FA27" si="18">EZ27*(1+$AD$35)</f>
        <v>14624.860664648528</v>
      </c>
    </row>
    <row r="28" spans="2:157" s="6" customFormat="1" x14ac:dyDescent="0.2">
      <c r="B28" s="12" t="s">
        <v>31</v>
      </c>
      <c r="C28" s="11">
        <f>C27/C29</f>
        <v>0.11049107142857142</v>
      </c>
      <c r="D28" s="11">
        <f>D27/D29</f>
        <v>2.9037610619469025</v>
      </c>
      <c r="E28" s="11">
        <f>E27/E29</f>
        <v>1.1866081229418222</v>
      </c>
      <c r="F28" s="11">
        <f>F27/F29</f>
        <v>0.29148471615720523</v>
      </c>
      <c r="G28" s="11">
        <f>G27/G29</f>
        <v>0.46899999999999997</v>
      </c>
      <c r="H28" s="11">
        <f>H27/H29</f>
        <v>0.57341907824222937</v>
      </c>
      <c r="I28" s="11">
        <f>I27/I29</f>
        <v>0.47755102040816327</v>
      </c>
      <c r="J28" s="11">
        <f>J27/J29</f>
        <v>-2.8397565922920892E-2</v>
      </c>
      <c r="K28" s="11">
        <f>K27/K29</f>
        <v>2.8000000000000001E-2</v>
      </c>
      <c r="L28" s="11">
        <f>L27/L29</f>
        <v>6.7932067932067935E-2</v>
      </c>
      <c r="M28" s="12">
        <f>M27/M29</f>
        <v>0.21063189568706117</v>
      </c>
      <c r="N28" s="11">
        <f>N27/N29</f>
        <v>0.24812771648278065</v>
      </c>
      <c r="O28" s="11"/>
      <c r="P28" s="11">
        <f>P27/P29</f>
        <v>0.29199999999999998</v>
      </c>
      <c r="Q28" s="11">
        <f>Q27/Q29</f>
        <v>4.2</v>
      </c>
      <c r="R28" s="11">
        <f>R27/R29</f>
        <v>1.8979999999999999</v>
      </c>
      <c r="S28" s="11">
        <f>S27/S29</f>
        <v>0.81538333333333135</v>
      </c>
    </row>
    <row r="29" spans="2:157" s="6" customFormat="1" x14ac:dyDescent="0.2">
      <c r="B29" s="12" t="s">
        <v>3</v>
      </c>
      <c r="C29" s="11">
        <v>896</v>
      </c>
      <c r="D29" s="11">
        <v>904</v>
      </c>
      <c r="E29" s="11">
        <v>911</v>
      </c>
      <c r="F29" s="11">
        <v>916</v>
      </c>
      <c r="G29" s="11">
        <v>1000</v>
      </c>
      <c r="H29" s="11">
        <v>933</v>
      </c>
      <c r="I29" s="11">
        <v>980</v>
      </c>
      <c r="J29" s="11">
        <v>986</v>
      </c>
      <c r="K29" s="11">
        <v>1000</v>
      </c>
      <c r="L29" s="11">
        <v>1001</v>
      </c>
      <c r="M29" s="12">
        <v>997</v>
      </c>
      <c r="N29" s="11">
        <v>997</v>
      </c>
      <c r="O29" s="11"/>
      <c r="P29" s="11">
        <v>1000</v>
      </c>
      <c r="Q29" s="11">
        <v>1000</v>
      </c>
      <c r="R29" s="11">
        <v>1000</v>
      </c>
      <c r="S29" s="11">
        <v>1000</v>
      </c>
    </row>
    <row r="30" spans="2:157" x14ac:dyDescent="0.2">
      <c r="N30" s="28"/>
      <c r="Q30" s="28"/>
    </row>
    <row r="31" spans="2:157" x14ac:dyDescent="0.2">
      <c r="B31" s="7" t="s">
        <v>32</v>
      </c>
      <c r="C31" s="17"/>
      <c r="D31" s="17"/>
      <c r="E31" s="17"/>
      <c r="F31" s="17"/>
      <c r="G31" s="17">
        <f t="shared" ref="G31:N31" si="19">+G13/C13-1</f>
        <v>0.225693730729702</v>
      </c>
      <c r="H31" s="17">
        <f t="shared" si="19"/>
        <v>0.23082896524946617</v>
      </c>
      <c r="I31" s="17">
        <f t="shared" si="19"/>
        <v>0.26646982838162026</v>
      </c>
      <c r="J31" s="17">
        <f t="shared" si="19"/>
        <v>0.25941206807632811</v>
      </c>
      <c r="K31" s="17">
        <f t="shared" si="19"/>
        <v>0.24283078987087037</v>
      </c>
      <c r="L31" s="17">
        <f t="shared" si="19"/>
        <v>0.21766561514195581</v>
      </c>
      <c r="M31" s="18">
        <f>+M13/I13-1</f>
        <v>0.14192044295497586</v>
      </c>
      <c r="N31" s="17">
        <f t="shared" si="19"/>
        <v>6.7431067431067415E-2</v>
      </c>
      <c r="O31" s="17"/>
      <c r="P31" s="21" t="e">
        <f>P13/#REF!-1</f>
        <v>#REF!</v>
      </c>
      <c r="Q31" s="21">
        <f t="shared" ref="Q31" si="20">Q13/P13-1</f>
        <v>0.24295239209264241</v>
      </c>
      <c r="R31" s="19">
        <f>R13/Q13-1</f>
        <v>0.24656502917372491</v>
      </c>
      <c r="S31" s="20">
        <f>S13/R13-1</f>
        <v>0.16216216216216206</v>
      </c>
      <c r="T31" s="20">
        <f t="shared" ref="T31:AA31" si="21">T13/S13-1</f>
        <v>0.19999999999999996</v>
      </c>
      <c r="U31" s="20">
        <f t="shared" si="21"/>
        <v>0.19999999999999996</v>
      </c>
      <c r="V31" s="20">
        <f t="shared" si="21"/>
        <v>0.19999999999999996</v>
      </c>
      <c r="W31" s="20">
        <f t="shared" si="21"/>
        <v>0.19999999999999996</v>
      </c>
      <c r="X31" s="20">
        <f t="shared" si="21"/>
        <v>0.19999999999999996</v>
      </c>
      <c r="Y31" s="20">
        <f t="shared" si="21"/>
        <v>0.19999999999999996</v>
      </c>
      <c r="Z31" s="20">
        <f t="shared" si="21"/>
        <v>0.19999999999999996</v>
      </c>
      <c r="AA31" s="20">
        <f t="shared" si="21"/>
        <v>0.19999999999999973</v>
      </c>
    </row>
    <row r="32" spans="2:157" x14ac:dyDescent="0.2">
      <c r="B32" s="7" t="s">
        <v>33</v>
      </c>
      <c r="C32" s="21">
        <f t="shared" ref="C32:N32" si="22">C17/C13</f>
        <v>0.74224049331963005</v>
      </c>
      <c r="D32" s="21">
        <f t="shared" si="22"/>
        <v>0.74548631333721604</v>
      </c>
      <c r="E32" s="21">
        <f t="shared" si="22"/>
        <v>0.7427569662299317</v>
      </c>
      <c r="F32" s="21">
        <f t="shared" si="22"/>
        <v>0.74574522949974209</v>
      </c>
      <c r="G32" s="21">
        <f t="shared" si="22"/>
        <v>0.73922522220358877</v>
      </c>
      <c r="H32" s="21">
        <f t="shared" si="22"/>
        <v>0.74558359621451109</v>
      </c>
      <c r="I32" s="21">
        <f t="shared" si="22"/>
        <v>0.73131283695177041</v>
      </c>
      <c r="J32" s="21">
        <f t="shared" si="22"/>
        <v>0.72508872508872513</v>
      </c>
      <c r="K32" s="21">
        <f t="shared" si="22"/>
        <v>0.72405883146673866</v>
      </c>
      <c r="L32" s="21">
        <f t="shared" si="22"/>
        <v>0.72448186528497405</v>
      </c>
      <c r="M32" s="19">
        <f t="shared" si="22"/>
        <v>0.73357151971417633</v>
      </c>
      <c r="N32" s="21">
        <f t="shared" si="22"/>
        <v>0.73283248081841434</v>
      </c>
      <c r="O32" s="21"/>
      <c r="Q32" s="20">
        <f>Q17/Q13</f>
        <v>0.74411820063993972</v>
      </c>
      <c r="R32" s="19">
        <f>R17/R13</f>
        <v>0.7347878604861845</v>
      </c>
      <c r="S32" s="20">
        <f>S17/S13</f>
        <v>0.72881479797323634</v>
      </c>
      <c r="T32" s="20">
        <f t="shared" ref="T32:AA32" si="23">T17/T13</f>
        <v>0.73</v>
      </c>
      <c r="U32" s="20">
        <f t="shared" si="23"/>
        <v>0.73</v>
      </c>
      <c r="V32" s="20">
        <f t="shared" si="23"/>
        <v>0.73</v>
      </c>
      <c r="W32" s="20">
        <f t="shared" si="23"/>
        <v>0.73</v>
      </c>
      <c r="X32" s="20">
        <f t="shared" si="23"/>
        <v>0.73</v>
      </c>
      <c r="Y32" s="20">
        <f t="shared" si="23"/>
        <v>0.73</v>
      </c>
      <c r="Z32" s="20">
        <f t="shared" si="23"/>
        <v>0.73</v>
      </c>
      <c r="AA32" s="20">
        <f t="shared" si="23"/>
        <v>0.73</v>
      </c>
    </row>
    <row r="33" spans="2:30" x14ac:dyDescent="0.2">
      <c r="B33" s="7" t="s">
        <v>52</v>
      </c>
      <c r="C33" s="17"/>
      <c r="D33" s="17"/>
      <c r="E33" s="17"/>
      <c r="F33" s="17"/>
      <c r="G33" s="17">
        <f t="shared" ref="G33:L33" si="24">G19/C19-1</f>
        <v>6.4435146443514668E-2</v>
      </c>
      <c r="H33" s="17">
        <f t="shared" si="24"/>
        <v>0.20263736263736254</v>
      </c>
      <c r="I33" s="17">
        <f t="shared" si="24"/>
        <v>0.30879259570887663</v>
      </c>
      <c r="J33" s="17">
        <f>J19/F19-1</f>
        <v>0.31610942249240126</v>
      </c>
      <c r="K33" s="17">
        <f t="shared" si="24"/>
        <v>0.32547169811320753</v>
      </c>
      <c r="L33" s="17">
        <f t="shared" si="24"/>
        <v>0.25146198830409361</v>
      </c>
      <c r="M33" s="18">
        <f>M19/I19-1</f>
        <v>7.5216972034715557E-2</v>
      </c>
      <c r="N33" s="17">
        <f>N19/J19-1</f>
        <v>2.3585450346420345E-2</v>
      </c>
      <c r="O33" s="17"/>
      <c r="Q33" s="20"/>
      <c r="R33" s="19">
        <f>R19/Q19-1</f>
        <v>0.22544965887947077</v>
      </c>
      <c r="S33" s="20">
        <f>S19/R19-1</f>
        <v>0.1545086461408689</v>
      </c>
      <c r="T33" s="20">
        <f t="shared" ref="T33:AA33" si="25">T19/S19-1</f>
        <v>0.14999999999999991</v>
      </c>
      <c r="U33" s="20">
        <f t="shared" si="25"/>
        <v>0.14999999999999991</v>
      </c>
      <c r="V33" s="20">
        <f t="shared" si="25"/>
        <v>0.10000000000000009</v>
      </c>
      <c r="W33" s="20">
        <f t="shared" si="25"/>
        <v>0.10000000000000009</v>
      </c>
      <c r="X33" s="20">
        <f t="shared" si="25"/>
        <v>0.10000000000000009</v>
      </c>
      <c r="Y33" s="20">
        <f t="shared" si="25"/>
        <v>0.10000000000000009</v>
      </c>
      <c r="Z33" s="20">
        <f t="shared" si="25"/>
        <v>0.10000000000000009</v>
      </c>
      <c r="AA33" s="20">
        <f t="shared" si="25"/>
        <v>0.10000000000000009</v>
      </c>
    </row>
    <row r="34" spans="2:30" x14ac:dyDescent="0.2">
      <c r="AC34" t="s">
        <v>34</v>
      </c>
      <c r="AD34" s="22">
        <v>0.08</v>
      </c>
    </row>
    <row r="35" spans="2:30" x14ac:dyDescent="0.2">
      <c r="AC35" t="s">
        <v>35</v>
      </c>
      <c r="AD35" s="22">
        <v>-0.01</v>
      </c>
    </row>
    <row r="36" spans="2:30" x14ac:dyDescent="0.2">
      <c r="S36" t="s">
        <v>55</v>
      </c>
      <c r="AC36" t="s">
        <v>36</v>
      </c>
      <c r="AD36" s="29">
        <f>NPV($AD$34,T27:EO27)</f>
        <v>435792.66416688042</v>
      </c>
    </row>
    <row r="37" spans="2:30" x14ac:dyDescent="0.2">
      <c r="AC37" t="s">
        <v>37</v>
      </c>
      <c r="AD37" s="10">
        <f>AD36/[1]Main!K3</f>
        <v>105.82629047277329</v>
      </c>
    </row>
  </sheetData>
  <hyperlinks>
    <hyperlink ref="A1" location="Main!A1" display="Main" xr:uid="{73657680-90F9-2342-BA13-30CAD851D0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Garza, Jacob S</dc:creator>
  <cp:lastModifiedBy>Garza, Jacob S</cp:lastModifiedBy>
  <dcterms:created xsi:type="dcterms:W3CDTF">2023-01-07T23:49:39Z</dcterms:created>
  <dcterms:modified xsi:type="dcterms:W3CDTF">2023-01-11T01:27:28Z</dcterms:modified>
</cp:coreProperties>
</file>