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479" documentId="11_E60897F41BE170836B02CE998F75CCDC64E183C8" xr6:coauthVersionLast="47" xr6:coauthVersionMax="47" xr10:uidLastSave="{5DEA6403-D3CE-4BE8-A355-FE1C2C23B086}"/>
  <bookViews>
    <workbookView xWindow="-120" yWindow="-120" windowWidth="77040" windowHeight="2112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4" i="2" l="1"/>
  <c r="AJ19" i="2"/>
  <c r="AI19" i="2"/>
  <c r="AH19" i="2"/>
  <c r="AG19" i="2"/>
  <c r="AF19" i="2"/>
  <c r="AE19" i="2"/>
  <c r="AD19" i="2"/>
  <c r="AC19" i="2"/>
  <c r="AB19" i="2"/>
  <c r="AJ18" i="2"/>
  <c r="AI18" i="2"/>
  <c r="AH18" i="2"/>
  <c r="AG18" i="2"/>
  <c r="AF18" i="2"/>
  <c r="AE18" i="2"/>
  <c r="AD18" i="2"/>
  <c r="AC18" i="2"/>
  <c r="AB18" i="2"/>
  <c r="AJ17" i="2"/>
  <c r="AI17" i="2"/>
  <c r="AH17" i="2"/>
  <c r="AG17" i="2"/>
  <c r="AF17" i="2"/>
  <c r="AE17" i="2"/>
  <c r="AD17" i="2"/>
  <c r="AC17" i="2"/>
  <c r="AB17" i="2"/>
  <c r="AJ16" i="2"/>
  <c r="AI16" i="2"/>
  <c r="AH16" i="2"/>
  <c r="AG16" i="2"/>
  <c r="AF16" i="2"/>
  <c r="AE16" i="2"/>
  <c r="AD16" i="2"/>
  <c r="AC16" i="2"/>
  <c r="AB16" i="2"/>
  <c r="AA31" i="2"/>
  <c r="Z31" i="2"/>
  <c r="Y31" i="2"/>
  <c r="X31" i="2"/>
  <c r="AJ15" i="2"/>
  <c r="AI15" i="2"/>
  <c r="AH15" i="2"/>
  <c r="AG15" i="2"/>
  <c r="AF15" i="2"/>
  <c r="AE15" i="2"/>
  <c r="AD15" i="2"/>
  <c r="AC15" i="2"/>
  <c r="AB15" i="2"/>
  <c r="AJ14" i="2"/>
  <c r="AI14" i="2"/>
  <c r="AH14" i="2"/>
  <c r="AG14" i="2"/>
  <c r="AF14" i="2"/>
  <c r="AE14" i="2"/>
  <c r="AD14" i="2"/>
  <c r="AC14" i="2"/>
  <c r="AB14" i="2"/>
  <c r="AJ9" i="2"/>
  <c r="AI9" i="2"/>
  <c r="AH9" i="2"/>
  <c r="AG9" i="2"/>
  <c r="AF9" i="2"/>
  <c r="AE9" i="2"/>
  <c r="AD9" i="2"/>
  <c r="AC9" i="2"/>
  <c r="AB9" i="2"/>
  <c r="AC7" i="2"/>
  <c r="AB7" i="2"/>
  <c r="AD7" i="2"/>
  <c r="AE7" i="2" s="1"/>
  <c r="AF7" i="2" s="1"/>
  <c r="AG7" i="2" s="1"/>
  <c r="AH7" i="2" s="1"/>
  <c r="AI7" i="2" s="1"/>
  <c r="AJ7" i="2" s="1"/>
  <c r="AB29" i="2"/>
  <c r="AB26" i="2"/>
  <c r="AB25" i="2"/>
  <c r="AB27" i="2"/>
  <c r="AD1" i="2"/>
  <c r="AE1" i="2" s="1"/>
  <c r="AF1" i="2" s="1"/>
  <c r="AG1" i="2" s="1"/>
  <c r="AH1" i="2" s="1"/>
  <c r="AI1" i="2" s="1"/>
  <c r="AJ1" i="2" s="1"/>
  <c r="AC1" i="2"/>
  <c r="AA29" i="2"/>
  <c r="Z29" i="2"/>
  <c r="Y29" i="2"/>
  <c r="Z27" i="2"/>
  <c r="Y27" i="2"/>
  <c r="Z26" i="2"/>
  <c r="Y26" i="2"/>
  <c r="AA25" i="2"/>
  <c r="Z25" i="2"/>
  <c r="Y25" i="2"/>
  <c r="X27" i="2"/>
  <c r="X26" i="2"/>
  <c r="X25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S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7" i="2"/>
  <c r="C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F23" i="2"/>
  <c r="F18" i="2"/>
  <c r="F16" i="2"/>
  <c r="F13" i="2"/>
  <c r="F12" i="2"/>
  <c r="F11" i="2"/>
  <c r="F10" i="2"/>
  <c r="F8" i="2"/>
  <c r="F14" i="2"/>
  <c r="F9" i="2"/>
  <c r="F7" i="2"/>
  <c r="F5" i="2"/>
  <c r="F4" i="2"/>
  <c r="F3" i="2"/>
  <c r="F2" i="2"/>
  <c r="N23" i="2"/>
  <c r="J23" i="2"/>
  <c r="J18" i="2"/>
  <c r="J16" i="2"/>
  <c r="J13" i="2"/>
  <c r="J12" i="2"/>
  <c r="J11" i="2"/>
  <c r="J10" i="2"/>
  <c r="J8" i="2"/>
  <c r="J14" i="2"/>
  <c r="J9" i="2"/>
  <c r="J15" i="2" s="1"/>
  <c r="J17" i="2" s="1"/>
  <c r="J19" i="2" s="1"/>
  <c r="J7" i="2"/>
  <c r="J5" i="2"/>
  <c r="J4" i="2"/>
  <c r="J3" i="2"/>
  <c r="J2" i="2"/>
  <c r="N18" i="2"/>
  <c r="N16" i="2"/>
  <c r="N13" i="2"/>
  <c r="N12" i="2"/>
  <c r="N11" i="2"/>
  <c r="N10" i="2"/>
  <c r="N8" i="2"/>
  <c r="N14" i="2"/>
  <c r="N9" i="2"/>
  <c r="N15" i="2" s="1"/>
  <c r="N17" i="2" s="1"/>
  <c r="N19" i="2" s="1"/>
  <c r="N7" i="2"/>
  <c r="N5" i="2"/>
  <c r="N4" i="2"/>
  <c r="N3" i="2"/>
  <c r="N2" i="2"/>
  <c r="R18" i="2"/>
  <c r="R16" i="2"/>
  <c r="R13" i="2"/>
  <c r="R12" i="2"/>
  <c r="R11" i="2"/>
  <c r="R10" i="2"/>
  <c r="R9" i="2"/>
  <c r="R8" i="2"/>
  <c r="R7" i="2"/>
  <c r="R5" i="2"/>
  <c r="R4" i="2"/>
  <c r="R3" i="2"/>
  <c r="R2" i="2"/>
  <c r="C16" i="2"/>
  <c r="C14" i="2"/>
  <c r="C7" i="2"/>
  <c r="C9" i="2" s="1"/>
  <c r="C15" i="2" s="1"/>
  <c r="C17" i="2" s="1"/>
  <c r="C19" i="2" s="1"/>
  <c r="C23" i="2" s="1"/>
  <c r="G14" i="2"/>
  <c r="G16" i="2"/>
  <c r="G7" i="2"/>
  <c r="G9" i="2" s="1"/>
  <c r="G15" i="2" s="1"/>
  <c r="G17" i="2" s="1"/>
  <c r="G19" i="2" s="1"/>
  <c r="G23" i="2" s="1"/>
  <c r="D16" i="2"/>
  <c r="D14" i="2"/>
  <c r="D7" i="2"/>
  <c r="D9" i="2" s="1"/>
  <c r="H16" i="2"/>
  <c r="H14" i="2"/>
  <c r="H7" i="2"/>
  <c r="H9" i="2" s="1"/>
  <c r="H15" i="2" s="1"/>
  <c r="H17" i="2" s="1"/>
  <c r="H19" i="2" s="1"/>
  <c r="H23" i="2" s="1"/>
  <c r="E16" i="2"/>
  <c r="E14" i="2"/>
  <c r="E7" i="2"/>
  <c r="E9" i="2" s="1"/>
  <c r="I16" i="2"/>
  <c r="I14" i="2"/>
  <c r="I7" i="2"/>
  <c r="I9" i="2" s="1"/>
  <c r="I15" i="2" s="1"/>
  <c r="I17" i="2" s="1"/>
  <c r="I19" i="2" s="1"/>
  <c r="I23" i="2" s="1"/>
  <c r="X16" i="2"/>
  <c r="X14" i="2"/>
  <c r="X7" i="2"/>
  <c r="X9" i="2" s="1"/>
  <c r="X15" i="2" s="1"/>
  <c r="X17" i="2" s="1"/>
  <c r="X19" i="2" s="1"/>
  <c r="X23" i="2" s="1"/>
  <c r="K16" i="2"/>
  <c r="K14" i="2"/>
  <c r="K7" i="2"/>
  <c r="K9" i="2" s="1"/>
  <c r="L16" i="2"/>
  <c r="L14" i="2"/>
  <c r="L7" i="2"/>
  <c r="L9" i="2" s="1"/>
  <c r="L15" i="2" s="1"/>
  <c r="L17" i="2" s="1"/>
  <c r="L19" i="2" s="1"/>
  <c r="L23" i="2" s="1"/>
  <c r="P16" i="2"/>
  <c r="P14" i="2"/>
  <c r="P7" i="2"/>
  <c r="P9" i="2" s="1"/>
  <c r="P15" i="2" s="1"/>
  <c r="P17" i="2" s="1"/>
  <c r="P19" i="2" s="1"/>
  <c r="P23" i="2" s="1"/>
  <c r="M16" i="2"/>
  <c r="M14" i="2"/>
  <c r="M7" i="2"/>
  <c r="M9" i="2" s="1"/>
  <c r="M15" i="2" s="1"/>
  <c r="M17" i="2" s="1"/>
  <c r="M19" i="2" s="1"/>
  <c r="M23" i="2" s="1"/>
  <c r="Q16" i="2"/>
  <c r="Q14" i="2"/>
  <c r="Q7" i="2"/>
  <c r="Q9" i="2" s="1"/>
  <c r="AA16" i="2"/>
  <c r="AA14" i="2"/>
  <c r="AA7" i="2"/>
  <c r="AA9" i="2" s="1"/>
  <c r="Z16" i="2"/>
  <c r="Z14" i="2"/>
  <c r="Z7" i="2"/>
  <c r="Z9" i="2" s="1"/>
  <c r="Y23" i="2"/>
  <c r="Y19" i="2"/>
  <c r="Y17" i="2"/>
  <c r="Y16" i="2"/>
  <c r="Y15" i="2"/>
  <c r="Y14" i="2"/>
  <c r="Y9" i="2"/>
  <c r="Y7" i="2"/>
  <c r="O16" i="2"/>
  <c r="O14" i="2"/>
  <c r="O7" i="2"/>
  <c r="O9" i="2" s="1"/>
  <c r="S16" i="2"/>
  <c r="S14" i="2"/>
  <c r="S7" i="2"/>
  <c r="S9" i="2" s="1"/>
  <c r="S15" i="2" s="1"/>
  <c r="S17" i="2" s="1"/>
  <c r="S19" i="2" s="1"/>
  <c r="S23" i="2" s="1"/>
  <c r="K6" i="1"/>
  <c r="K5" i="1"/>
  <c r="K3" i="1"/>
  <c r="R14" i="2" l="1"/>
  <c r="AD27" i="2"/>
  <c r="AC26" i="2"/>
  <c r="AC27" i="2"/>
  <c r="AC29" i="2"/>
  <c r="AC25" i="2"/>
  <c r="AD29" i="2"/>
  <c r="AD25" i="2"/>
  <c r="F15" i="2"/>
  <c r="F17" i="2" s="1"/>
  <c r="F19" i="2" s="1"/>
  <c r="D15" i="2"/>
  <c r="D17" i="2" s="1"/>
  <c r="D19" i="2" s="1"/>
  <c r="D23" i="2" s="1"/>
  <c r="E15" i="2"/>
  <c r="E17" i="2" s="1"/>
  <c r="E19" i="2" s="1"/>
  <c r="E23" i="2" s="1"/>
  <c r="K15" i="2"/>
  <c r="K17" i="2" s="1"/>
  <c r="K19" i="2" s="1"/>
  <c r="K23" i="2" s="1"/>
  <c r="Q15" i="2"/>
  <c r="Q17" i="2" s="1"/>
  <c r="Q19" i="2" s="1"/>
  <c r="Q23" i="2" s="1"/>
  <c r="AA15" i="2"/>
  <c r="Z15" i="2"/>
  <c r="Z17" i="2" s="1"/>
  <c r="Z19" i="2" s="1"/>
  <c r="Z23" i="2" s="1"/>
  <c r="O15" i="2"/>
  <c r="O17" i="2" s="1"/>
  <c r="O19" i="2" s="1"/>
  <c r="O23" i="2" s="1"/>
  <c r="AA17" i="2" l="1"/>
  <c r="AA19" i="2" s="1"/>
  <c r="AA26" i="2"/>
  <c r="R15" i="2"/>
  <c r="AD26" i="2"/>
  <c r="R17" i="2" l="1"/>
  <c r="R19" i="2" s="1"/>
  <c r="R26" i="2"/>
  <c r="AA23" i="2"/>
  <c r="AA27" i="2"/>
  <c r="AE25" i="2"/>
  <c r="AE26" i="2"/>
  <c r="AE29" i="2"/>
  <c r="R27" i="2" l="1"/>
  <c r="R23" i="2"/>
  <c r="AE27" i="2"/>
  <c r="AF26" i="2"/>
  <c r="AF25" i="2"/>
  <c r="AF29" i="2"/>
  <c r="AF27" i="2"/>
  <c r="AG25" i="2" l="1"/>
  <c r="AG29" i="2"/>
  <c r="AG27" i="2"/>
  <c r="AG26" i="2"/>
  <c r="AH25" i="2" l="1"/>
  <c r="AH29" i="2"/>
  <c r="AH26" i="2"/>
  <c r="AH27" i="2"/>
  <c r="AI25" i="2" l="1"/>
  <c r="AI26" i="2"/>
  <c r="AI29" i="2"/>
  <c r="AI27" i="2"/>
  <c r="AJ26" i="2" l="1"/>
  <c r="AJ25" i="2"/>
  <c r="AJ29" i="2"/>
  <c r="AJ27" i="2" l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IG19" i="2" s="1"/>
  <c r="IH19" i="2" s="1"/>
  <c r="AO34" i="2" s="1"/>
  <c r="AO35" i="2" s="1"/>
</calcChain>
</file>

<file path=xl/sharedStrings.xml><?xml version="1.0" encoding="utf-8"?>
<sst xmlns="http://schemas.openxmlformats.org/spreadsheetml/2006/main" count="58" uniqueCount="56">
  <si>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</si>
  <si>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</si>
  <si>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</si>
  <si>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</si>
  <si>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</si>
  <si>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</si>
  <si>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</si>
  <si>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</si>
  <si>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</si>
  <si>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</si>
  <si>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</si>
  <si>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</si>
  <si>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</si>
  <si>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</si>
  <si>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</si>
  <si>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</si>
  <si>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</si>
  <si>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</si>
  <si>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</si>
  <si>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</si>
  <si>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</si>
  <si>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</si>
  <si>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</si>
  <si>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</si>
  <si>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</si>
  <si>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</si>
  <si>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</si>
  <si>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Q4223</t>
  </si>
  <si>
    <t>Tech Sales</t>
  </si>
  <si>
    <t>Services</t>
  </si>
  <si>
    <t>Rentals</t>
  </si>
  <si>
    <t>Finance</t>
  </si>
  <si>
    <t>Revenue</t>
  </si>
  <si>
    <t>COGS</t>
  </si>
  <si>
    <t>SG&amp;A</t>
  </si>
  <si>
    <t>R&amp;D</t>
  </si>
  <si>
    <t>Amoritization</t>
  </si>
  <si>
    <t>Credit Loss</t>
  </si>
  <si>
    <t>Operating Expense</t>
  </si>
  <si>
    <t>Operating Income</t>
  </si>
  <si>
    <t>Net Interest</t>
  </si>
  <si>
    <t>Pretax income</t>
  </si>
  <si>
    <t>Tax</t>
  </si>
  <si>
    <t>Net Income</t>
  </si>
  <si>
    <t>EPS</t>
  </si>
  <si>
    <t>Gross Profit</t>
  </si>
  <si>
    <t>Gross Margin</t>
  </si>
  <si>
    <t>Operating Margin</t>
  </si>
  <si>
    <t>Profit Margin</t>
  </si>
  <si>
    <t>Rev y/y</t>
  </si>
  <si>
    <t>Discount</t>
  </si>
  <si>
    <t>ROIC</t>
  </si>
  <si>
    <t>NPV</t>
  </si>
  <si>
    <t>Share</t>
  </si>
  <si>
    <t>Tax Rate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</si>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</sst>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0" applyNumberFormat="1"/>
    <xf numFmtId="38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47625</xdr:rowOff>
    </xdr:from>
    <xdr:to>
      <xdr:col>19</xdr:col>
      <xdr:colOff>9525</xdr:colOff>
      <xdr:row>48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D83641-077C-E242-C1C5-1B14167500F1}"/>
            </a:ext>
          </a:extLst>
        </xdr:cNvPr>
        <xdr:cNvCxnSpPr/>
      </xdr:nvCxnSpPr>
      <xdr:spPr>
        <a:xfrm flipH="1">
          <a:off x="11925300" y="47625"/>
          <a:ext cx="9525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28575</xdr:rowOff>
    </xdr:from>
    <xdr:to>
      <xdr:col>27</xdr:col>
      <xdr:colOff>9525</xdr:colOff>
      <xdr:row>43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7EE4710-EAEC-C31B-E66C-7CF72D7A771E}"/>
            </a:ext>
          </a:extLst>
        </xdr:cNvPr>
        <xdr:cNvCxnSpPr/>
      </xdr:nvCxnSpPr>
      <xdr:spPr>
        <a:xfrm>
          <a:off x="16802100" y="28575"/>
          <a:ext cx="9525" cy="833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/>
  </sheetViews>
  <sheetFormatPr defaultRowHeight="15" x14ac:dyDescent="0.25"/>
  <cols>
    <col min="1" max="1" width="6.7109375" bestFit="1" customWidth="1"/>
  </cols>
  <sheetData>
    <row r="1" spans="1:11" x14ac:dyDescent="0.25">
      <c r="A1" s="1" t="s">
        <v>0</v>
      </c>
      <c r="J1" t="s">
        <v>2</v>
      </c>
      <c r="K1">
        <v>16.89</v>
      </c>
    </row>
    <row r="2" spans="1:11" x14ac:dyDescent="0.25">
      <c r="J2" t="s">
        <v>3</v>
      </c>
      <c r="K2" s="2">
        <v>54.588999999999999</v>
      </c>
    </row>
    <row r="3" spans="1:11" x14ac:dyDescent="0.25">
      <c r="J3" t="s">
        <v>4</v>
      </c>
      <c r="K3" s="2">
        <f>K1*K2</f>
        <v>922.00820999999996</v>
      </c>
    </row>
    <row r="4" spans="1:11" x14ac:dyDescent="0.25">
      <c r="J4" t="s">
        <v>5</v>
      </c>
      <c r="K4" s="2">
        <v>99.24</v>
      </c>
    </row>
    <row r="5" spans="1:11" x14ac:dyDescent="0.25">
      <c r="J5" t="s">
        <v>6</v>
      </c>
      <c r="K5" s="2">
        <f>31+227.5</f>
        <v>258.5</v>
      </c>
    </row>
    <row r="6" spans="1:11" x14ac:dyDescent="0.25">
      <c r="J6" t="s">
        <v>7</v>
      </c>
      <c r="K6" s="2">
        <f>K3-K4+K5</f>
        <v>1081.26821</v>
      </c>
    </row>
  </sheetData>
  <hyperlinks>
    <hyperlink ref="A1" location="Model!A1" display="Model" xr:uid="{E444E45C-4702-41FB-AB4B-E9BFCB8C26F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253E-2C04-4D33-A03C-325BEE526C7A}">
  <dimension ref="A1:IH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J47" sqref="AJ47"/>
    </sheetView>
  </sheetViews>
  <sheetFormatPr defaultRowHeight="15" x14ac:dyDescent="0.25"/>
  <cols>
    <col min="1" max="1" width="5.42578125" bestFit="1" customWidth="1"/>
    <col min="2" max="2" width="18" bestFit="1" customWidth="1"/>
  </cols>
  <sheetData>
    <row r="1" spans="1:36" x14ac:dyDescent="0.25">
      <c r="A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f>AB1+1</f>
        <v>2024</v>
      </c>
      <c r="AD1">
        <f t="shared" ref="AD1:AJ1" si="0">AC1+1</f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</row>
    <row r="2" spans="1:36" x14ac:dyDescent="0.25">
      <c r="B2" t="s">
        <v>28</v>
      </c>
      <c r="C2">
        <v>15.2</v>
      </c>
      <c r="D2">
        <v>19.690000000000001</v>
      </c>
      <c r="E2">
        <v>21.73</v>
      </c>
      <c r="F2">
        <f>X2-E2-D2-C2</f>
        <v>61.61999999999999</v>
      </c>
      <c r="G2">
        <v>5.66</v>
      </c>
      <c r="H2">
        <v>2.6890000000000001</v>
      </c>
      <c r="I2">
        <v>15.75</v>
      </c>
      <c r="J2">
        <f>Y2-I2-H2-G2</f>
        <v>25.620999999999999</v>
      </c>
      <c r="K2">
        <v>6.17</v>
      </c>
      <c r="L2">
        <v>15.17</v>
      </c>
      <c r="M2">
        <v>13.16</v>
      </c>
      <c r="N2">
        <f>Z2-M2-L2-K2</f>
        <v>31.650000000000006</v>
      </c>
      <c r="O2">
        <v>8.9700000000000006</v>
      </c>
      <c r="P2">
        <v>8.2200000000000006</v>
      </c>
      <c r="Q2">
        <v>18.059999999999999</v>
      </c>
      <c r="R2">
        <f>AA2-Q2-P2-O2</f>
        <v>33.900000000000006</v>
      </c>
      <c r="S2">
        <v>17.8</v>
      </c>
      <c r="X2">
        <v>118.24</v>
      </c>
      <c r="Y2">
        <v>49.72</v>
      </c>
      <c r="Z2">
        <v>66.150000000000006</v>
      </c>
      <c r="AA2">
        <v>69.150000000000006</v>
      </c>
    </row>
    <row r="3" spans="1:36" x14ac:dyDescent="0.25">
      <c r="B3" t="s">
        <v>29</v>
      </c>
      <c r="C3">
        <v>44.1</v>
      </c>
      <c r="D3">
        <v>56.66</v>
      </c>
      <c r="E3">
        <v>44.16</v>
      </c>
      <c r="F3">
        <f t="shared" ref="F3:F5" si="1">X3-E3-D3-C3</f>
        <v>43.580000000000005</v>
      </c>
      <c r="G3">
        <v>20.72</v>
      </c>
      <c r="H3">
        <v>3.7989999999999999</v>
      </c>
      <c r="I3">
        <v>14.58</v>
      </c>
      <c r="J3">
        <f t="shared" ref="J3:J5" si="2">Y3-I3-H3-G3</f>
        <v>20.201000000000001</v>
      </c>
      <c r="K3">
        <v>21.61</v>
      </c>
      <c r="L3">
        <v>24.71</v>
      </c>
      <c r="M3">
        <v>30.58</v>
      </c>
      <c r="N3">
        <f t="shared" ref="N3:N5" si="3">Z3-M3-L3-K3</f>
        <v>54.239999999999995</v>
      </c>
      <c r="O3">
        <v>36.090000000000003</v>
      </c>
      <c r="P3">
        <v>44.95</v>
      </c>
      <c r="Q3">
        <v>36.229999999999997</v>
      </c>
      <c r="R3">
        <f t="shared" ref="R3:R5" si="4">AA3-Q3-P3-O3</f>
        <v>44.100000000000009</v>
      </c>
      <c r="S3">
        <v>47.1</v>
      </c>
      <c r="X3">
        <v>188.5</v>
      </c>
      <c r="Y3">
        <v>59.3</v>
      </c>
      <c r="Z3">
        <v>131.13999999999999</v>
      </c>
      <c r="AA3">
        <v>161.37</v>
      </c>
    </row>
    <row r="4" spans="1:36" x14ac:dyDescent="0.25">
      <c r="B4" t="s">
        <v>30</v>
      </c>
      <c r="C4">
        <v>18.170000000000002</v>
      </c>
      <c r="D4">
        <v>25.86</v>
      </c>
      <c r="E4">
        <v>17.600000000000001</v>
      </c>
      <c r="F4">
        <f t="shared" si="1"/>
        <v>16.329999999999991</v>
      </c>
      <c r="G4">
        <v>5.97</v>
      </c>
      <c r="H4">
        <v>0</v>
      </c>
      <c r="I4">
        <v>4.4000000000000004</v>
      </c>
      <c r="J4">
        <f t="shared" si="2"/>
        <v>7.4300000000000006</v>
      </c>
      <c r="K4">
        <v>8.35</v>
      </c>
      <c r="L4">
        <v>8.1</v>
      </c>
      <c r="M4">
        <v>10.210000000000001</v>
      </c>
      <c r="N4">
        <f t="shared" si="3"/>
        <v>20.129999999999995</v>
      </c>
      <c r="O4">
        <v>12.66</v>
      </c>
      <c r="P4">
        <v>18.52</v>
      </c>
      <c r="Q4">
        <v>12.54</v>
      </c>
      <c r="R4">
        <f t="shared" si="4"/>
        <v>18.060000000000002</v>
      </c>
      <c r="S4">
        <v>20</v>
      </c>
      <c r="X4">
        <v>77.959999999999994</v>
      </c>
      <c r="Y4">
        <v>17.8</v>
      </c>
      <c r="Z4">
        <v>46.79</v>
      </c>
      <c r="AA4">
        <v>61.78</v>
      </c>
    </row>
    <row r="5" spans="1:36" x14ac:dyDescent="0.25">
      <c r="B5" t="s">
        <v>31</v>
      </c>
      <c r="C5">
        <v>2.68</v>
      </c>
      <c r="D5">
        <v>2.57</v>
      </c>
      <c r="E5">
        <v>2.84</v>
      </c>
      <c r="F5">
        <f t="shared" si="1"/>
        <v>2.81</v>
      </c>
      <c r="G5">
        <v>2.54</v>
      </c>
      <c r="H5">
        <v>2.5</v>
      </c>
      <c r="I5">
        <v>2.44</v>
      </c>
      <c r="J5">
        <f t="shared" si="2"/>
        <v>2.62</v>
      </c>
      <c r="K5">
        <v>2.6</v>
      </c>
      <c r="L5">
        <v>2.94</v>
      </c>
      <c r="M5">
        <v>2.6</v>
      </c>
      <c r="N5">
        <f t="shared" si="3"/>
        <v>2.65</v>
      </c>
      <c r="O5">
        <v>2.2999999999999998</v>
      </c>
      <c r="P5">
        <v>2.25</v>
      </c>
      <c r="Q5">
        <v>1.9</v>
      </c>
      <c r="R5">
        <f t="shared" si="4"/>
        <v>1.9500000000000002</v>
      </c>
      <c r="S5">
        <v>1.9</v>
      </c>
      <c r="X5">
        <v>10.9</v>
      </c>
      <c r="Y5">
        <v>10.1</v>
      </c>
      <c r="Z5">
        <v>10.79</v>
      </c>
      <c r="AA5">
        <v>8.4</v>
      </c>
    </row>
    <row r="7" spans="1:36" s="3" customFormat="1" x14ac:dyDescent="0.25">
      <c r="B7" s="3" t="s">
        <v>32</v>
      </c>
      <c r="C7" s="3">
        <f t="shared" ref="C7:S7" si="5">SUM(C2:C5)</f>
        <v>80.150000000000006</v>
      </c>
      <c r="D7" s="3">
        <f t="shared" si="5"/>
        <v>104.77999999999999</v>
      </c>
      <c r="E7" s="3">
        <f t="shared" si="5"/>
        <v>86.330000000000013</v>
      </c>
      <c r="F7" s="3">
        <f t="shared" si="5"/>
        <v>124.33999999999997</v>
      </c>
      <c r="G7" s="3">
        <f t="shared" si="5"/>
        <v>34.89</v>
      </c>
      <c r="H7" s="3">
        <f t="shared" si="5"/>
        <v>8.9879999999999995</v>
      </c>
      <c r="I7" s="3">
        <f t="shared" si="5"/>
        <v>37.169999999999995</v>
      </c>
      <c r="J7" s="3">
        <f t="shared" si="5"/>
        <v>55.872</v>
      </c>
      <c r="K7" s="3">
        <f t="shared" si="5"/>
        <v>38.730000000000004</v>
      </c>
      <c r="L7" s="3">
        <f t="shared" si="5"/>
        <v>50.92</v>
      </c>
      <c r="M7" s="3">
        <f t="shared" si="5"/>
        <v>56.55</v>
      </c>
      <c r="N7" s="3">
        <f t="shared" si="5"/>
        <v>108.67</v>
      </c>
      <c r="O7" s="3">
        <f t="shared" si="5"/>
        <v>60.019999999999996</v>
      </c>
      <c r="P7" s="3">
        <f t="shared" si="5"/>
        <v>73.94</v>
      </c>
      <c r="Q7" s="3">
        <f t="shared" si="5"/>
        <v>68.72999999999999</v>
      </c>
      <c r="R7" s="3">
        <f t="shared" si="5"/>
        <v>98.010000000000019</v>
      </c>
      <c r="S7" s="3">
        <f t="shared" si="5"/>
        <v>86.800000000000011</v>
      </c>
      <c r="X7" s="4">
        <f>SUM(X2:X5)</f>
        <v>395.59999999999997</v>
      </c>
      <c r="Y7" s="4">
        <f>SUM(Y2:Y5)</f>
        <v>136.91999999999999</v>
      </c>
      <c r="Z7" s="4">
        <f>SUM(Z2:Z5)</f>
        <v>254.86999999999998</v>
      </c>
      <c r="AA7" s="4">
        <f>SUM(AA2:AA5)</f>
        <v>300.7</v>
      </c>
      <c r="AB7" s="4">
        <f>AA7*1.25</f>
        <v>375.875</v>
      </c>
      <c r="AC7" s="4">
        <f>AB7*1.05+100</f>
        <v>494.66874999999999</v>
      </c>
      <c r="AD7" s="4">
        <f t="shared" ref="AD7:AJ7" si="6">AC7*1.05</f>
        <v>519.40218749999997</v>
      </c>
      <c r="AE7" s="4">
        <f t="shared" si="6"/>
        <v>545.37229687499996</v>
      </c>
      <c r="AF7" s="4">
        <f t="shared" si="6"/>
        <v>572.64091171874998</v>
      </c>
      <c r="AG7" s="4">
        <f t="shared" si="6"/>
        <v>601.27295730468745</v>
      </c>
      <c r="AH7" s="4">
        <f t="shared" si="6"/>
        <v>631.33660516992188</v>
      </c>
      <c r="AI7" s="4">
        <f t="shared" si="6"/>
        <v>662.90343542841799</v>
      </c>
      <c r="AJ7" s="4">
        <f t="shared" si="6"/>
        <v>696.0486071998389</v>
      </c>
    </row>
    <row r="8" spans="1:36" x14ac:dyDescent="0.25">
      <c r="B8" t="s">
        <v>33</v>
      </c>
      <c r="C8">
        <v>35.049999999999997</v>
      </c>
      <c r="D8">
        <v>45.244</v>
      </c>
      <c r="E8">
        <v>39.270000000000003</v>
      </c>
      <c r="F8">
        <f t="shared" ref="F8:F13" si="7">X8-E8-D8-C8</f>
        <v>61.926000000000002</v>
      </c>
      <c r="G8">
        <v>29.81</v>
      </c>
      <c r="H8">
        <v>16.54</v>
      </c>
      <c r="I8">
        <v>33.42</v>
      </c>
      <c r="J8">
        <f t="shared" ref="J8:J13" si="8">Y8-I8-H8-G8</f>
        <v>35.680000000000007</v>
      </c>
      <c r="K8">
        <v>21.4</v>
      </c>
      <c r="L8">
        <v>25.35</v>
      </c>
      <c r="M8">
        <v>29.11</v>
      </c>
      <c r="N8">
        <f t="shared" ref="N8:N13" si="9">Z8-M8-L8-K8</f>
        <v>44.609999999999992</v>
      </c>
      <c r="O8">
        <v>28.2</v>
      </c>
      <c r="P8">
        <v>29.93</v>
      </c>
      <c r="Q8">
        <v>37.049999999999997</v>
      </c>
      <c r="R8" s="2">
        <f>AA8-Q8-P8-O8</f>
        <v>49.269999999999996</v>
      </c>
      <c r="S8">
        <v>36.799999999999997</v>
      </c>
      <c r="X8" s="2">
        <v>181.49</v>
      </c>
      <c r="Y8" s="2">
        <v>115.45</v>
      </c>
      <c r="Z8" s="2">
        <v>120.47</v>
      </c>
      <c r="AA8" s="2">
        <v>144.44999999999999</v>
      </c>
    </row>
    <row r="9" spans="1:36" x14ac:dyDescent="0.25">
      <c r="B9" t="s">
        <v>45</v>
      </c>
      <c r="C9">
        <f t="shared" ref="C9:S9" si="10">C7-C8</f>
        <v>45.100000000000009</v>
      </c>
      <c r="D9">
        <f t="shared" si="10"/>
        <v>59.535999999999987</v>
      </c>
      <c r="E9">
        <f t="shared" si="10"/>
        <v>47.060000000000009</v>
      </c>
      <c r="F9">
        <f t="shared" si="10"/>
        <v>62.413999999999973</v>
      </c>
      <c r="G9">
        <f t="shared" si="10"/>
        <v>5.0800000000000018</v>
      </c>
      <c r="H9">
        <f t="shared" si="10"/>
        <v>-7.5519999999999996</v>
      </c>
      <c r="I9">
        <f t="shared" si="10"/>
        <v>3.7499999999999929</v>
      </c>
      <c r="J9">
        <f t="shared" si="10"/>
        <v>20.191999999999993</v>
      </c>
      <c r="K9">
        <f t="shared" si="10"/>
        <v>17.330000000000005</v>
      </c>
      <c r="L9">
        <f t="shared" si="10"/>
        <v>25.57</v>
      </c>
      <c r="M9">
        <f t="shared" si="10"/>
        <v>27.439999999999998</v>
      </c>
      <c r="N9">
        <f t="shared" si="10"/>
        <v>64.06</v>
      </c>
      <c r="O9">
        <f t="shared" si="10"/>
        <v>31.819999999999997</v>
      </c>
      <c r="P9">
        <f t="shared" si="10"/>
        <v>44.01</v>
      </c>
      <c r="Q9">
        <f t="shared" si="10"/>
        <v>31.679999999999993</v>
      </c>
      <c r="R9">
        <f t="shared" si="10"/>
        <v>48.740000000000023</v>
      </c>
      <c r="S9">
        <f t="shared" si="10"/>
        <v>50.000000000000014</v>
      </c>
      <c r="X9" s="2">
        <f>X7-X8</f>
        <v>214.10999999999996</v>
      </c>
      <c r="Y9" s="2">
        <f>Y7-Y8</f>
        <v>21.469999999999985</v>
      </c>
      <c r="Z9" s="2">
        <f>Z7-Z8</f>
        <v>134.39999999999998</v>
      </c>
      <c r="AA9" s="2">
        <f>AA7-AA8</f>
        <v>156.25</v>
      </c>
      <c r="AB9" s="2">
        <f>AB7*0.53</f>
        <v>199.21375</v>
      </c>
      <c r="AC9" s="2">
        <f t="shared" ref="AC9:AJ9" si="11">AC7*0.53</f>
        <v>262.17443750000001</v>
      </c>
      <c r="AD9" s="2">
        <f t="shared" si="11"/>
        <v>275.28315937500003</v>
      </c>
      <c r="AE9" s="2">
        <f t="shared" si="11"/>
        <v>289.04731734374997</v>
      </c>
      <c r="AF9" s="2">
        <f t="shared" si="11"/>
        <v>303.49968321093752</v>
      </c>
      <c r="AG9" s="2">
        <f t="shared" si="11"/>
        <v>318.67466737148436</v>
      </c>
      <c r="AH9" s="2">
        <f t="shared" si="11"/>
        <v>334.60840074005864</v>
      </c>
      <c r="AI9" s="2">
        <f t="shared" si="11"/>
        <v>351.33882077706153</v>
      </c>
      <c r="AJ9" s="2">
        <f t="shared" si="11"/>
        <v>368.90576181591462</v>
      </c>
    </row>
    <row r="10" spans="1:36" x14ac:dyDescent="0.25">
      <c r="B10" t="s">
        <v>34</v>
      </c>
      <c r="C10">
        <v>27.64</v>
      </c>
      <c r="D10">
        <v>32.130000000000003</v>
      </c>
      <c r="E10">
        <v>29.48</v>
      </c>
      <c r="F10">
        <f t="shared" si="7"/>
        <v>34.199999999999996</v>
      </c>
      <c r="G10">
        <v>28.6</v>
      </c>
      <c r="H10">
        <v>29.79</v>
      </c>
      <c r="I10">
        <v>24.8</v>
      </c>
      <c r="J10">
        <f t="shared" si="8"/>
        <v>25.290000000000006</v>
      </c>
      <c r="K10">
        <v>25.2</v>
      </c>
      <c r="L10">
        <v>28.8</v>
      </c>
      <c r="M10">
        <v>28.37</v>
      </c>
      <c r="N10">
        <f t="shared" si="9"/>
        <v>34.949999999999989</v>
      </c>
      <c r="O10">
        <v>30.18</v>
      </c>
      <c r="P10">
        <v>37.090000000000003</v>
      </c>
      <c r="Q10">
        <v>32.9</v>
      </c>
      <c r="R10" s="2">
        <f t="shared" ref="R10:R18" si="12">AA10-Q10-P10-O10</f>
        <v>37.869999999999983</v>
      </c>
      <c r="S10">
        <v>34.1</v>
      </c>
      <c r="X10" s="2">
        <v>123.45</v>
      </c>
      <c r="Y10" s="2">
        <v>108.48</v>
      </c>
      <c r="Z10" s="2">
        <v>117.32</v>
      </c>
      <c r="AA10" s="2">
        <v>138.04</v>
      </c>
      <c r="AB10" s="2">
        <v>138.04</v>
      </c>
      <c r="AC10" s="2">
        <v>138.04</v>
      </c>
      <c r="AD10" s="2">
        <v>138.04</v>
      </c>
      <c r="AE10" s="2">
        <v>138.04</v>
      </c>
      <c r="AF10" s="2">
        <v>138.04</v>
      </c>
      <c r="AG10" s="2">
        <v>138.04</v>
      </c>
      <c r="AH10" s="2">
        <v>138.04</v>
      </c>
      <c r="AI10" s="2">
        <v>138.04</v>
      </c>
      <c r="AJ10" s="2">
        <v>138.04</v>
      </c>
    </row>
    <row r="11" spans="1:36" x14ac:dyDescent="0.25">
      <c r="B11" t="s">
        <v>35</v>
      </c>
      <c r="C11">
        <v>1.1299999999999999</v>
      </c>
      <c r="D11">
        <v>1.22</v>
      </c>
      <c r="E11">
        <v>1.35</v>
      </c>
      <c r="F11">
        <f t="shared" si="7"/>
        <v>1.5</v>
      </c>
      <c r="G11">
        <v>2.2000000000000002</v>
      </c>
      <c r="H11">
        <v>1.23</v>
      </c>
      <c r="I11">
        <v>1.1000000000000001</v>
      </c>
      <c r="J11">
        <f t="shared" si="8"/>
        <v>1.0799999999999996</v>
      </c>
      <c r="K11">
        <v>1.4</v>
      </c>
      <c r="L11">
        <v>2.2000000000000002</v>
      </c>
      <c r="M11">
        <v>2.02</v>
      </c>
      <c r="N11">
        <f t="shared" si="9"/>
        <v>1.3239999999999994</v>
      </c>
      <c r="O11">
        <v>1.19</v>
      </c>
      <c r="P11">
        <v>1.35</v>
      </c>
      <c r="Q11">
        <v>1.1100000000000001</v>
      </c>
      <c r="R11" s="2">
        <f t="shared" si="12"/>
        <v>1.6499999999999995</v>
      </c>
      <c r="S11">
        <v>1.8</v>
      </c>
      <c r="X11" s="2">
        <v>5.2</v>
      </c>
      <c r="Y11" s="2">
        <v>5.61</v>
      </c>
      <c r="Z11" s="2">
        <v>6.944</v>
      </c>
      <c r="AA11" s="2">
        <v>5.3</v>
      </c>
      <c r="AB11" s="2">
        <v>5.3</v>
      </c>
      <c r="AC11" s="2">
        <v>5.3</v>
      </c>
      <c r="AD11" s="2">
        <v>5.3</v>
      </c>
      <c r="AE11" s="2">
        <v>5.3</v>
      </c>
      <c r="AF11" s="2">
        <v>5.3</v>
      </c>
      <c r="AG11" s="2">
        <v>5.3</v>
      </c>
      <c r="AH11" s="2">
        <v>5.3</v>
      </c>
      <c r="AI11" s="2">
        <v>5.3</v>
      </c>
      <c r="AJ11" s="2">
        <v>5.3</v>
      </c>
    </row>
    <row r="12" spans="1:36" x14ac:dyDescent="0.25">
      <c r="B12" t="s">
        <v>36</v>
      </c>
      <c r="C12">
        <v>1.07</v>
      </c>
      <c r="D12">
        <v>1.21</v>
      </c>
      <c r="E12">
        <v>1.27</v>
      </c>
      <c r="F12">
        <f t="shared" si="7"/>
        <v>1.405</v>
      </c>
      <c r="G12">
        <v>1.3</v>
      </c>
      <c r="H12">
        <v>1.34</v>
      </c>
      <c r="I12">
        <v>1.34</v>
      </c>
      <c r="J12">
        <f t="shared" si="8"/>
        <v>1.41</v>
      </c>
      <c r="K12">
        <v>1.1000000000000001</v>
      </c>
      <c r="L12">
        <v>1.19</v>
      </c>
      <c r="M12">
        <v>1.2549999999999999</v>
      </c>
      <c r="N12">
        <f t="shared" si="9"/>
        <v>1.3319999999999999</v>
      </c>
      <c r="O12">
        <v>1.19</v>
      </c>
      <c r="P12">
        <v>1.1000000000000001</v>
      </c>
      <c r="Q12">
        <v>1.1100000000000001</v>
      </c>
      <c r="R12" s="2">
        <f t="shared" si="12"/>
        <v>1.42</v>
      </c>
      <c r="S12">
        <v>1</v>
      </c>
      <c r="X12" s="2">
        <v>4.9550000000000001</v>
      </c>
      <c r="Y12" s="2">
        <v>5.39</v>
      </c>
      <c r="Z12" s="2">
        <v>4.8769999999999998</v>
      </c>
      <c r="AA12" s="2">
        <v>4.82</v>
      </c>
      <c r="AB12" s="2">
        <v>4.82</v>
      </c>
      <c r="AC12" s="2">
        <v>4.82</v>
      </c>
      <c r="AD12" s="2">
        <v>4.82</v>
      </c>
      <c r="AE12" s="2">
        <v>4.82</v>
      </c>
      <c r="AF12" s="2">
        <v>4.82</v>
      </c>
      <c r="AG12" s="2">
        <v>4.82</v>
      </c>
      <c r="AH12" s="2">
        <v>4.82</v>
      </c>
      <c r="AI12" s="2">
        <v>4.82</v>
      </c>
      <c r="AJ12" s="2">
        <v>4.82</v>
      </c>
    </row>
    <row r="13" spans="1:36" x14ac:dyDescent="0.25">
      <c r="B13" t="s">
        <v>37</v>
      </c>
      <c r="C13">
        <v>0.4</v>
      </c>
      <c r="D13">
        <v>0.92</v>
      </c>
      <c r="E13">
        <v>0.59</v>
      </c>
      <c r="F13">
        <f t="shared" si="7"/>
        <v>0.52000000000000024</v>
      </c>
      <c r="G13">
        <v>10.199999999999999</v>
      </c>
      <c r="H13">
        <v>1.44</v>
      </c>
      <c r="I13">
        <v>3.9</v>
      </c>
      <c r="J13">
        <f t="shared" si="8"/>
        <v>3.0600000000000023</v>
      </c>
      <c r="K13">
        <v>0.3</v>
      </c>
      <c r="L13">
        <v>-1.87</v>
      </c>
      <c r="M13">
        <v>-3.3</v>
      </c>
      <c r="N13">
        <f t="shared" si="9"/>
        <v>0.91999999999999971</v>
      </c>
      <c r="O13">
        <v>7.2</v>
      </c>
      <c r="P13">
        <v>0.1</v>
      </c>
      <c r="Q13">
        <v>0.8</v>
      </c>
      <c r="R13" s="2">
        <f t="shared" si="12"/>
        <v>0.4399999999999995</v>
      </c>
      <c r="S13">
        <v>0.22</v>
      </c>
      <c r="X13" s="2">
        <v>2.4300000000000002</v>
      </c>
      <c r="Y13" s="2">
        <v>18.600000000000001</v>
      </c>
      <c r="Z13" s="2">
        <v>-3.95</v>
      </c>
      <c r="AA13" s="2">
        <v>8.5399999999999991</v>
      </c>
    </row>
    <row r="14" spans="1:36" x14ac:dyDescent="0.25">
      <c r="B14" t="s">
        <v>38</v>
      </c>
      <c r="C14">
        <f t="shared" ref="C14:S14" si="13">C10+C11+C12+C13</f>
        <v>30.24</v>
      </c>
      <c r="D14">
        <f t="shared" si="13"/>
        <v>35.480000000000004</v>
      </c>
      <c r="E14">
        <f t="shared" si="13"/>
        <v>32.690000000000005</v>
      </c>
      <c r="F14">
        <f t="shared" si="13"/>
        <v>37.625</v>
      </c>
      <c r="G14">
        <f t="shared" si="13"/>
        <v>42.3</v>
      </c>
      <c r="H14">
        <f t="shared" si="13"/>
        <v>33.799999999999997</v>
      </c>
      <c r="I14">
        <f t="shared" si="13"/>
        <v>31.14</v>
      </c>
      <c r="J14">
        <f t="shared" si="13"/>
        <v>30.840000000000007</v>
      </c>
      <c r="K14">
        <f t="shared" si="13"/>
        <v>28</v>
      </c>
      <c r="L14">
        <f t="shared" si="13"/>
        <v>30.319999999999997</v>
      </c>
      <c r="M14">
        <f t="shared" si="13"/>
        <v>28.344999999999999</v>
      </c>
      <c r="N14">
        <f t="shared" si="13"/>
        <v>38.525999999999989</v>
      </c>
      <c r="O14">
        <f t="shared" si="13"/>
        <v>39.760000000000005</v>
      </c>
      <c r="P14">
        <f t="shared" si="13"/>
        <v>39.640000000000008</v>
      </c>
      <c r="Q14">
        <f t="shared" si="13"/>
        <v>35.919999999999995</v>
      </c>
      <c r="R14">
        <f t="shared" si="13"/>
        <v>41.379999999999981</v>
      </c>
      <c r="S14">
        <f t="shared" si="13"/>
        <v>37.119999999999997</v>
      </c>
      <c r="X14" s="2">
        <f>X13+X12+X11+X10</f>
        <v>136.035</v>
      </c>
      <c r="Y14" s="2">
        <f>Y13+Y12+Y11+Y10</f>
        <v>138.08000000000001</v>
      </c>
      <c r="Z14" s="2">
        <f>Z13+Z12+Z11+Z10</f>
        <v>125.19099999999999</v>
      </c>
      <c r="AA14" s="2">
        <f>AA13+AA12+AA11+AA10</f>
        <v>156.69999999999999</v>
      </c>
      <c r="AB14" s="2">
        <f t="shared" ref="AB14:AJ14" si="14">AB13+AB12+AB11+AB10</f>
        <v>148.16</v>
      </c>
      <c r="AC14" s="2">
        <f t="shared" si="14"/>
        <v>148.16</v>
      </c>
      <c r="AD14" s="2">
        <f t="shared" si="14"/>
        <v>148.16</v>
      </c>
      <c r="AE14" s="2">
        <f t="shared" si="14"/>
        <v>148.16</v>
      </c>
      <c r="AF14" s="2">
        <f t="shared" si="14"/>
        <v>148.16</v>
      </c>
      <c r="AG14" s="2">
        <f t="shared" si="14"/>
        <v>148.16</v>
      </c>
      <c r="AH14" s="2">
        <f t="shared" si="14"/>
        <v>148.16</v>
      </c>
      <c r="AI14" s="2">
        <f t="shared" si="14"/>
        <v>148.16</v>
      </c>
      <c r="AJ14" s="2">
        <f t="shared" si="14"/>
        <v>148.16</v>
      </c>
    </row>
    <row r="15" spans="1:36" x14ac:dyDescent="0.25">
      <c r="B15" t="s">
        <v>39</v>
      </c>
      <c r="C15">
        <f t="shared" ref="C15:Q15" si="15">C9-C14</f>
        <v>14.86000000000001</v>
      </c>
      <c r="D15">
        <f t="shared" si="15"/>
        <v>24.055999999999983</v>
      </c>
      <c r="E15">
        <f t="shared" si="15"/>
        <v>14.370000000000005</v>
      </c>
      <c r="F15">
        <f t="shared" si="15"/>
        <v>24.788999999999973</v>
      </c>
      <c r="G15">
        <f t="shared" si="15"/>
        <v>-37.22</v>
      </c>
      <c r="H15">
        <f t="shared" si="15"/>
        <v>-41.351999999999997</v>
      </c>
      <c r="I15">
        <f t="shared" si="15"/>
        <v>-27.390000000000008</v>
      </c>
      <c r="J15">
        <f t="shared" si="15"/>
        <v>-10.648000000000014</v>
      </c>
      <c r="K15">
        <f t="shared" si="15"/>
        <v>-10.669999999999995</v>
      </c>
      <c r="L15">
        <f t="shared" si="15"/>
        <v>-4.7499999999999964</v>
      </c>
      <c r="M15">
        <f t="shared" si="15"/>
        <v>-0.90500000000000114</v>
      </c>
      <c r="N15">
        <f t="shared" si="15"/>
        <v>25.534000000000013</v>
      </c>
      <c r="O15">
        <f t="shared" si="15"/>
        <v>-7.9400000000000084</v>
      </c>
      <c r="P15">
        <f t="shared" si="15"/>
        <v>4.3699999999999903</v>
      </c>
      <c r="Q15">
        <f t="shared" si="15"/>
        <v>-4.240000000000002</v>
      </c>
      <c r="R15" s="2">
        <f t="shared" si="12"/>
        <v>7.3600000000000314</v>
      </c>
      <c r="S15">
        <f>S9-S14</f>
        <v>12.880000000000017</v>
      </c>
      <c r="X15" s="2">
        <f>X9-X14</f>
        <v>78.07499999999996</v>
      </c>
      <c r="Y15" s="2">
        <f>Y9-Y14</f>
        <v>-116.61000000000003</v>
      </c>
      <c r="Z15" s="2">
        <f>Z9-Z14</f>
        <v>9.208999999999989</v>
      </c>
      <c r="AA15" s="2">
        <f>AA9-AA14</f>
        <v>-0.44999999999998863</v>
      </c>
      <c r="AB15" s="2">
        <f>AB9-AB14</f>
        <v>51.053750000000008</v>
      </c>
      <c r="AC15" s="2">
        <f t="shared" ref="AC15:AJ15" si="16">AC9-AC14</f>
        <v>114.01443750000001</v>
      </c>
      <c r="AD15" s="2">
        <f t="shared" si="16"/>
        <v>127.12315937500003</v>
      </c>
      <c r="AE15" s="2">
        <f t="shared" si="16"/>
        <v>140.88731734374997</v>
      </c>
      <c r="AF15" s="2">
        <f t="shared" si="16"/>
        <v>155.33968321093752</v>
      </c>
      <c r="AG15" s="2">
        <f t="shared" si="16"/>
        <v>170.51466737148436</v>
      </c>
      <c r="AH15" s="2">
        <f t="shared" si="16"/>
        <v>186.44840074005864</v>
      </c>
      <c r="AI15" s="2">
        <f t="shared" si="16"/>
        <v>203.17882077706153</v>
      </c>
      <c r="AJ15" s="2">
        <f t="shared" si="16"/>
        <v>220.74576181591462</v>
      </c>
    </row>
    <row r="16" spans="1:36" x14ac:dyDescent="0.25">
      <c r="B16" t="s">
        <v>40</v>
      </c>
      <c r="C16">
        <f>0.57-0.681</f>
        <v>-0.1110000000000001</v>
      </c>
      <c r="D16">
        <f>0.57-0.63</f>
        <v>-6.0000000000000053E-2</v>
      </c>
      <c r="E16">
        <f>0.4-0.48</f>
        <v>-7.999999999999996E-2</v>
      </c>
      <c r="F16">
        <f t="shared" ref="F16:F18" si="17">X16-E16-D16-C16</f>
        <v>-0.43899999999999983</v>
      </c>
      <c r="G16">
        <f>0.3-0.64</f>
        <v>-0.34</v>
      </c>
      <c r="H16">
        <f>0.89-1.58</f>
        <v>-0.69000000000000006</v>
      </c>
      <c r="I16">
        <f>-0.5-2.39</f>
        <v>-2.89</v>
      </c>
      <c r="J16">
        <f t="shared" ref="J16:J18" si="18">Y16-I16-H16-G16</f>
        <v>-0.69199999999999995</v>
      </c>
      <c r="K16">
        <f>0.5-2.3</f>
        <v>-1.7999999999999998</v>
      </c>
      <c r="L16">
        <f>0.55-1.69</f>
        <v>-1.1399999999999999</v>
      </c>
      <c r="M16">
        <f>0.53-1.54</f>
        <v>-1.01</v>
      </c>
      <c r="N16">
        <f t="shared" ref="N16:N18" si="19">Z16-M16-L16-K16</f>
        <v>-0.85000000000000053</v>
      </c>
      <c r="O16">
        <f>0.5-1.7</f>
        <v>-1.2</v>
      </c>
      <c r="P16">
        <f>0.4-1.3</f>
        <v>-0.9</v>
      </c>
      <c r="Q16">
        <f>0.2-1.3</f>
        <v>-1.1000000000000001</v>
      </c>
      <c r="R16" s="2">
        <f t="shared" si="12"/>
        <v>-1.2569999999999999</v>
      </c>
      <c r="S16">
        <f>0.4-1.76</f>
        <v>-1.3599999999999999</v>
      </c>
      <c r="X16" s="2">
        <f>2.1-2.79</f>
        <v>-0.69</v>
      </c>
      <c r="Y16" s="2">
        <f>2.388-7</f>
        <v>-4.6120000000000001</v>
      </c>
      <c r="Z16" s="2">
        <f>2.2-7</f>
        <v>-4.8</v>
      </c>
      <c r="AA16" s="2">
        <f>1.42-5.877</f>
        <v>-4.4569999999999999</v>
      </c>
      <c r="AB16" s="2">
        <f t="shared" ref="AB16:AJ16" si="20">1.42-5.877</f>
        <v>-4.4569999999999999</v>
      </c>
      <c r="AC16" s="2">
        <f t="shared" si="20"/>
        <v>-4.4569999999999999</v>
      </c>
      <c r="AD16" s="2">
        <f t="shared" si="20"/>
        <v>-4.4569999999999999</v>
      </c>
      <c r="AE16" s="2">
        <f t="shared" si="20"/>
        <v>-4.4569999999999999</v>
      </c>
      <c r="AF16" s="2">
        <f t="shared" si="20"/>
        <v>-4.4569999999999999</v>
      </c>
      <c r="AG16" s="2">
        <f t="shared" si="20"/>
        <v>-4.4569999999999999</v>
      </c>
      <c r="AH16" s="2">
        <f t="shared" si="20"/>
        <v>-4.4569999999999999</v>
      </c>
      <c r="AI16" s="2">
        <f t="shared" si="20"/>
        <v>-4.4569999999999999</v>
      </c>
      <c r="AJ16" s="2">
        <f t="shared" si="20"/>
        <v>-4.4569999999999999</v>
      </c>
    </row>
    <row r="17" spans="2:242" x14ac:dyDescent="0.25">
      <c r="B17" t="s">
        <v>41</v>
      </c>
      <c r="C17">
        <f t="shared" ref="C17:S17" si="21">C15+C16</f>
        <v>14.749000000000009</v>
      </c>
      <c r="D17">
        <f t="shared" si="21"/>
        <v>23.995999999999984</v>
      </c>
      <c r="E17">
        <f t="shared" si="21"/>
        <v>14.290000000000004</v>
      </c>
      <c r="F17">
        <f t="shared" si="21"/>
        <v>24.349999999999973</v>
      </c>
      <c r="G17">
        <f t="shared" si="21"/>
        <v>-37.56</v>
      </c>
      <c r="H17">
        <f t="shared" si="21"/>
        <v>-42.041999999999994</v>
      </c>
      <c r="I17">
        <f t="shared" si="21"/>
        <v>-30.280000000000008</v>
      </c>
      <c r="J17">
        <f t="shared" si="21"/>
        <v>-11.340000000000014</v>
      </c>
      <c r="K17">
        <f t="shared" si="21"/>
        <v>-12.469999999999995</v>
      </c>
      <c r="L17">
        <f t="shared" si="21"/>
        <v>-5.8899999999999961</v>
      </c>
      <c r="M17">
        <f t="shared" si="21"/>
        <v>-1.9150000000000011</v>
      </c>
      <c r="N17">
        <f t="shared" si="21"/>
        <v>24.684000000000012</v>
      </c>
      <c r="O17">
        <f t="shared" si="21"/>
        <v>-9.1400000000000077</v>
      </c>
      <c r="P17">
        <f t="shared" si="21"/>
        <v>3.4699999999999904</v>
      </c>
      <c r="Q17">
        <f t="shared" si="21"/>
        <v>-5.3400000000000016</v>
      </c>
      <c r="R17">
        <f t="shared" si="21"/>
        <v>6.1030000000000317</v>
      </c>
      <c r="S17">
        <f t="shared" si="21"/>
        <v>11.520000000000017</v>
      </c>
      <c r="X17" s="2">
        <f>X15+X16</f>
        <v>77.384999999999962</v>
      </c>
      <c r="Y17" s="2">
        <f>Y15+Y16</f>
        <v>-121.22200000000002</v>
      </c>
      <c r="Z17" s="2">
        <f>Z15+Z16</f>
        <v>4.4089999999999892</v>
      </c>
      <c r="AA17" s="2">
        <f>AA15+AA16</f>
        <v>-4.9069999999999885</v>
      </c>
      <c r="AB17" s="2">
        <f>AB15+AB16</f>
        <v>46.596750000000007</v>
      </c>
      <c r="AC17" s="2">
        <f t="shared" ref="AC17:AJ17" si="22">AC15+AC16</f>
        <v>109.55743750000002</v>
      </c>
      <c r="AD17" s="2">
        <f t="shared" si="22"/>
        <v>122.66615937500003</v>
      </c>
      <c r="AE17" s="2">
        <f t="shared" si="22"/>
        <v>136.43031734374998</v>
      </c>
      <c r="AF17" s="2">
        <f t="shared" si="22"/>
        <v>150.88268321093753</v>
      </c>
      <c r="AG17" s="2">
        <f t="shared" si="22"/>
        <v>166.05766737148437</v>
      </c>
      <c r="AH17" s="2">
        <f t="shared" si="22"/>
        <v>181.99140074005865</v>
      </c>
      <c r="AI17" s="2">
        <f t="shared" si="22"/>
        <v>198.72182077706154</v>
      </c>
      <c r="AJ17" s="2">
        <f t="shared" si="22"/>
        <v>216.28876181591463</v>
      </c>
    </row>
    <row r="18" spans="2:242" x14ac:dyDescent="0.25">
      <c r="B18" t="s">
        <v>42</v>
      </c>
      <c r="C18">
        <v>3.64</v>
      </c>
      <c r="D18">
        <v>5.3</v>
      </c>
      <c r="E18">
        <v>3</v>
      </c>
      <c r="F18">
        <f t="shared" si="17"/>
        <v>4.82</v>
      </c>
      <c r="G18">
        <v>15.5</v>
      </c>
      <c r="H18">
        <v>-10.24</v>
      </c>
      <c r="I18">
        <v>19.3</v>
      </c>
      <c r="J18">
        <f t="shared" si="18"/>
        <v>1.9399999999999977</v>
      </c>
      <c r="K18">
        <v>4.34</v>
      </c>
      <c r="L18">
        <v>1.94</v>
      </c>
      <c r="M18">
        <v>4.4000000000000004</v>
      </c>
      <c r="N18">
        <f t="shared" si="19"/>
        <v>9.8200000000000021</v>
      </c>
      <c r="O18">
        <v>2.61</v>
      </c>
      <c r="P18">
        <v>3.1</v>
      </c>
      <c r="Q18">
        <v>2.34</v>
      </c>
      <c r="R18" s="2">
        <f t="shared" si="12"/>
        <v>2.0500000000000003</v>
      </c>
      <c r="S18">
        <v>4.88</v>
      </c>
      <c r="X18" s="2">
        <v>16.760000000000002</v>
      </c>
      <c r="Y18" s="2">
        <v>26.5</v>
      </c>
      <c r="Z18" s="2">
        <v>20.5</v>
      </c>
      <c r="AA18" s="2">
        <v>10.1</v>
      </c>
      <c r="AB18">
        <f>AB17*0.2</f>
        <v>9.3193500000000018</v>
      </c>
      <c r="AC18">
        <f t="shared" ref="AC18:AJ18" si="23">AC17*0.2</f>
        <v>21.911487500000007</v>
      </c>
      <c r="AD18">
        <f t="shared" si="23"/>
        <v>24.533231875000009</v>
      </c>
      <c r="AE18">
        <f t="shared" si="23"/>
        <v>27.286063468749997</v>
      </c>
      <c r="AF18">
        <f t="shared" si="23"/>
        <v>30.176536642187507</v>
      </c>
      <c r="AG18">
        <f t="shared" si="23"/>
        <v>33.211533474296878</v>
      </c>
      <c r="AH18">
        <f t="shared" si="23"/>
        <v>36.398280148011729</v>
      </c>
      <c r="AI18">
        <f t="shared" si="23"/>
        <v>39.744364155412313</v>
      </c>
      <c r="AJ18">
        <f t="shared" si="23"/>
        <v>43.257752363182931</v>
      </c>
    </row>
    <row r="19" spans="2:242" x14ac:dyDescent="0.25">
      <c r="B19" t="s">
        <v>43</v>
      </c>
      <c r="C19">
        <f t="shared" ref="C19:S19" si="24">C17-C18</f>
        <v>11.109000000000009</v>
      </c>
      <c r="D19">
        <f t="shared" si="24"/>
        <v>18.695999999999984</v>
      </c>
      <c r="E19">
        <f t="shared" si="24"/>
        <v>11.290000000000004</v>
      </c>
      <c r="F19">
        <f t="shared" si="24"/>
        <v>19.529999999999973</v>
      </c>
      <c r="G19">
        <f t="shared" si="24"/>
        <v>-53.06</v>
      </c>
      <c r="H19">
        <f t="shared" si="24"/>
        <v>-31.801999999999992</v>
      </c>
      <c r="I19">
        <f t="shared" si="24"/>
        <v>-49.580000000000013</v>
      </c>
      <c r="J19">
        <f t="shared" si="24"/>
        <v>-13.280000000000012</v>
      </c>
      <c r="K19">
        <f t="shared" si="24"/>
        <v>-16.809999999999995</v>
      </c>
      <c r="L19">
        <f t="shared" si="24"/>
        <v>-7.8299999999999965</v>
      </c>
      <c r="M19">
        <f t="shared" si="24"/>
        <v>-6.3150000000000013</v>
      </c>
      <c r="N19">
        <f t="shared" si="24"/>
        <v>14.86400000000001</v>
      </c>
      <c r="O19">
        <f t="shared" si="24"/>
        <v>-11.750000000000007</v>
      </c>
      <c r="P19">
        <f t="shared" si="24"/>
        <v>0.36999999999999034</v>
      </c>
      <c r="Q19">
        <f t="shared" si="24"/>
        <v>-7.6800000000000015</v>
      </c>
      <c r="R19">
        <f t="shared" si="24"/>
        <v>4.053000000000031</v>
      </c>
      <c r="S19">
        <f t="shared" si="24"/>
        <v>6.6400000000000174</v>
      </c>
      <c r="X19" s="2">
        <f>X17-X18</f>
        <v>60.624999999999957</v>
      </c>
      <c r="Y19" s="2">
        <f>Y17-Y18</f>
        <v>-147.72200000000004</v>
      </c>
      <c r="Z19" s="2">
        <f>Z17-Z18</f>
        <v>-16.091000000000012</v>
      </c>
      <c r="AA19" s="2">
        <f>AA17-AA18</f>
        <v>-15.006999999999987</v>
      </c>
      <c r="AB19" s="2">
        <f>AB17-AB18</f>
        <v>37.277400000000007</v>
      </c>
      <c r="AC19" s="2">
        <f t="shared" ref="AC19:AJ19" si="25">AC17-AC18</f>
        <v>87.645950000000013</v>
      </c>
      <c r="AD19" s="2">
        <f t="shared" si="25"/>
        <v>98.132927500000022</v>
      </c>
      <c r="AE19" s="2">
        <f t="shared" si="25"/>
        <v>109.14425387499998</v>
      </c>
      <c r="AF19" s="2">
        <f t="shared" si="25"/>
        <v>120.70614656875003</v>
      </c>
      <c r="AG19" s="2">
        <f t="shared" si="25"/>
        <v>132.84613389718749</v>
      </c>
      <c r="AH19" s="2">
        <f t="shared" si="25"/>
        <v>145.59312059204692</v>
      </c>
      <c r="AI19" s="2">
        <f t="shared" si="25"/>
        <v>158.97745662164922</v>
      </c>
      <c r="AJ19" s="2">
        <f t="shared" si="25"/>
        <v>173.03100945273169</v>
      </c>
      <c r="AK19" s="2">
        <f>AJ19*(1+$AO$33)</f>
        <v>171.30069935820438</v>
      </c>
      <c r="AL19" s="2">
        <f t="shared" ref="AL19:CW19" si="26">AK19*(1+$AO$33)</f>
        <v>169.58769236462234</v>
      </c>
      <c r="AM19" s="2">
        <f t="shared" si="26"/>
        <v>167.8918154409761</v>
      </c>
      <c r="AN19" s="2">
        <f t="shared" si="26"/>
        <v>166.21289728656635</v>
      </c>
      <c r="AO19" s="2">
        <f t="shared" si="26"/>
        <v>164.55076831370067</v>
      </c>
      <c r="AP19" s="2">
        <f t="shared" si="26"/>
        <v>162.90526063056367</v>
      </c>
      <c r="AQ19" s="2">
        <f t="shared" si="26"/>
        <v>161.27620802425804</v>
      </c>
      <c r="AR19" s="2">
        <f t="shared" si="26"/>
        <v>159.66344594401545</v>
      </c>
      <c r="AS19" s="2">
        <f t="shared" si="26"/>
        <v>158.06681148457528</v>
      </c>
      <c r="AT19" s="2">
        <f t="shared" si="26"/>
        <v>156.48614336972952</v>
      </c>
      <c r="AU19" s="2">
        <f t="shared" si="26"/>
        <v>154.92128193603222</v>
      </c>
      <c r="AV19" s="2">
        <f t="shared" si="26"/>
        <v>153.3720691166719</v>
      </c>
      <c r="AW19" s="2">
        <f t="shared" si="26"/>
        <v>151.83834842550519</v>
      </c>
      <c r="AX19" s="2">
        <f t="shared" si="26"/>
        <v>150.31996494125013</v>
      </c>
      <c r="AY19" s="2">
        <f t="shared" si="26"/>
        <v>148.81676529183764</v>
      </c>
      <c r="AZ19" s="2">
        <f t="shared" si="26"/>
        <v>147.32859763891926</v>
      </c>
      <c r="BA19" s="2">
        <f t="shared" si="26"/>
        <v>145.85531166253006</v>
      </c>
      <c r="BB19" s="2">
        <f t="shared" si="26"/>
        <v>144.39675854590476</v>
      </c>
      <c r="BC19" s="2">
        <f t="shared" si="26"/>
        <v>142.95279096044572</v>
      </c>
      <c r="BD19" s="2">
        <f t="shared" si="26"/>
        <v>141.52326305084128</v>
      </c>
      <c r="BE19" s="2">
        <f t="shared" si="26"/>
        <v>140.10803042033285</v>
      </c>
      <c r="BF19" s="2">
        <f t="shared" si="26"/>
        <v>138.70695011612952</v>
      </c>
      <c r="BG19" s="2">
        <f t="shared" si="26"/>
        <v>137.31988061496821</v>
      </c>
      <c r="BH19" s="2">
        <f t="shared" si="26"/>
        <v>135.94668180881854</v>
      </c>
      <c r="BI19" s="2">
        <f t="shared" si="26"/>
        <v>134.58721499073036</v>
      </c>
      <c r="BJ19" s="2">
        <f t="shared" si="26"/>
        <v>133.24134284082305</v>
      </c>
      <c r="BK19" s="2">
        <f t="shared" si="26"/>
        <v>131.90892941241481</v>
      </c>
      <c r="BL19" s="2">
        <f t="shared" si="26"/>
        <v>130.58984011829065</v>
      </c>
      <c r="BM19" s="2">
        <f t="shared" si="26"/>
        <v>129.28394171710775</v>
      </c>
      <c r="BN19" s="2">
        <f t="shared" si="26"/>
        <v>127.99110229993667</v>
      </c>
      <c r="BO19" s="2">
        <f t="shared" si="26"/>
        <v>126.7111912769373</v>
      </c>
      <c r="BP19" s="2">
        <f t="shared" si="26"/>
        <v>125.44407936416792</v>
      </c>
      <c r="BQ19" s="2">
        <f t="shared" si="26"/>
        <v>124.18963857052624</v>
      </c>
      <c r="BR19" s="2">
        <f t="shared" si="26"/>
        <v>122.94774218482098</v>
      </c>
      <c r="BS19" s="2">
        <f t="shared" si="26"/>
        <v>121.71826476297277</v>
      </c>
      <c r="BT19" s="2">
        <f t="shared" si="26"/>
        <v>120.50108211534304</v>
      </c>
      <c r="BU19" s="2">
        <f t="shared" si="26"/>
        <v>119.2960712941896</v>
      </c>
      <c r="BV19" s="2">
        <f t="shared" si="26"/>
        <v>118.10311058124771</v>
      </c>
      <c r="BW19" s="2">
        <f t="shared" si="26"/>
        <v>116.92207947543523</v>
      </c>
      <c r="BX19" s="2">
        <f t="shared" si="26"/>
        <v>115.75285868068087</v>
      </c>
      <c r="BY19" s="2">
        <f t="shared" si="26"/>
        <v>114.59533009387407</v>
      </c>
      <c r="BZ19" s="2">
        <f t="shared" si="26"/>
        <v>113.44937679293533</v>
      </c>
      <c r="CA19" s="2">
        <f t="shared" si="26"/>
        <v>112.31488302500597</v>
      </c>
      <c r="CB19" s="2">
        <f t="shared" si="26"/>
        <v>111.19173419475591</v>
      </c>
      <c r="CC19" s="2">
        <f t="shared" si="26"/>
        <v>110.07981685280835</v>
      </c>
      <c r="CD19" s="2">
        <f t="shared" si="26"/>
        <v>108.97901868428026</v>
      </c>
      <c r="CE19" s="2">
        <f t="shared" si="26"/>
        <v>107.88922849743746</v>
      </c>
      <c r="CF19" s="2">
        <f t="shared" si="26"/>
        <v>106.81033621246308</v>
      </c>
      <c r="CG19" s="2">
        <f t="shared" si="26"/>
        <v>105.74223285033845</v>
      </c>
      <c r="CH19" s="2">
        <f t="shared" si="26"/>
        <v>104.68481052183506</v>
      </c>
      <c r="CI19" s="2">
        <f t="shared" si="26"/>
        <v>103.63796241661672</v>
      </c>
      <c r="CJ19" s="2">
        <f t="shared" si="26"/>
        <v>102.60158279245054</v>
      </c>
      <c r="CK19" s="2">
        <f t="shared" si="26"/>
        <v>101.57556696452603</v>
      </c>
      <c r="CL19" s="2">
        <f t="shared" si="26"/>
        <v>100.55981129488077</v>
      </c>
      <c r="CM19" s="2">
        <f t="shared" si="26"/>
        <v>99.554213181931971</v>
      </c>
      <c r="CN19" s="2">
        <f t="shared" si="26"/>
        <v>98.55867105011265</v>
      </c>
      <c r="CO19" s="2">
        <f t="shared" si="26"/>
        <v>97.573084339611526</v>
      </c>
      <c r="CP19" s="2">
        <f t="shared" si="26"/>
        <v>96.597353496215405</v>
      </c>
      <c r="CQ19" s="2">
        <f t="shared" si="26"/>
        <v>95.631379961253245</v>
      </c>
      <c r="CR19" s="2">
        <f t="shared" si="26"/>
        <v>94.675066161640714</v>
      </c>
      <c r="CS19" s="2">
        <f t="shared" si="26"/>
        <v>93.728315500024308</v>
      </c>
      <c r="CT19" s="2">
        <f t="shared" si="26"/>
        <v>92.791032345024064</v>
      </c>
      <c r="CU19" s="2">
        <f t="shared" si="26"/>
        <v>91.86312202157383</v>
      </c>
      <c r="CV19" s="2">
        <f t="shared" si="26"/>
        <v>90.944490801358086</v>
      </c>
      <c r="CW19" s="2">
        <f t="shared" si="26"/>
        <v>90.035045893344503</v>
      </c>
      <c r="CX19" s="2">
        <f t="shared" ref="CX19:FI19" si="27">CW19*(1+$AO$33)</f>
        <v>89.134695434411057</v>
      </c>
      <c r="CY19" s="2">
        <f t="shared" si="27"/>
        <v>88.243348480066942</v>
      </c>
      <c r="CZ19" s="2">
        <f t="shared" si="27"/>
        <v>87.36091499526627</v>
      </c>
      <c r="DA19" s="2">
        <f t="shared" si="27"/>
        <v>86.487305845313614</v>
      </c>
      <c r="DB19" s="2">
        <f t="shared" si="27"/>
        <v>85.622432786860472</v>
      </c>
      <c r="DC19" s="2">
        <f t="shared" si="27"/>
        <v>84.766208458991869</v>
      </c>
      <c r="DD19" s="2">
        <f t="shared" si="27"/>
        <v>83.918546374401956</v>
      </c>
      <c r="DE19" s="2">
        <f t="shared" si="27"/>
        <v>83.07936091065794</v>
      </c>
      <c r="DF19" s="2">
        <f t="shared" si="27"/>
        <v>82.248567301551361</v>
      </c>
      <c r="DG19" s="2">
        <f t="shared" si="27"/>
        <v>81.42608162853584</v>
      </c>
      <c r="DH19" s="2">
        <f t="shared" si="27"/>
        <v>80.611820812250485</v>
      </c>
      <c r="DI19" s="2">
        <f t="shared" si="27"/>
        <v>79.805702604127973</v>
      </c>
      <c r="DJ19" s="2">
        <f t="shared" si="27"/>
        <v>79.007645578086695</v>
      </c>
      <c r="DK19" s="2">
        <f t="shared" si="27"/>
        <v>78.217569122305832</v>
      </c>
      <c r="DL19" s="2">
        <f t="shared" si="27"/>
        <v>77.435393431082773</v>
      </c>
      <c r="DM19" s="2">
        <f t="shared" si="27"/>
        <v>76.661039496771949</v>
      </c>
      <c r="DN19" s="2">
        <f t="shared" si="27"/>
        <v>75.894429101804235</v>
      </c>
      <c r="DO19" s="2">
        <f t="shared" si="27"/>
        <v>75.135484810786195</v>
      </c>
      <c r="DP19" s="2">
        <f t="shared" si="27"/>
        <v>74.38412996267833</v>
      </c>
      <c r="DQ19" s="2">
        <f t="shared" si="27"/>
        <v>73.64028866305155</v>
      </c>
      <c r="DR19" s="2">
        <f t="shared" si="27"/>
        <v>72.903885776421035</v>
      </c>
      <c r="DS19" s="2">
        <f t="shared" si="27"/>
        <v>72.174846918656826</v>
      </c>
      <c r="DT19" s="2">
        <f t="shared" si="27"/>
        <v>71.453098449470261</v>
      </c>
      <c r="DU19" s="2">
        <f t="shared" si="27"/>
        <v>70.73856746497556</v>
      </c>
      <c r="DV19" s="2">
        <f t="shared" si="27"/>
        <v>70.031181790325803</v>
      </c>
      <c r="DW19" s="2">
        <f t="shared" si="27"/>
        <v>69.330869972422548</v>
      </c>
      <c r="DX19" s="2">
        <f t="shared" si="27"/>
        <v>68.637561272698321</v>
      </c>
      <c r="DY19" s="2">
        <f t="shared" si="27"/>
        <v>67.95118565997133</v>
      </c>
      <c r="DZ19" s="2">
        <f t="shared" si="27"/>
        <v>67.271673803371613</v>
      </c>
      <c r="EA19" s="2">
        <f t="shared" si="27"/>
        <v>66.598957065337899</v>
      </c>
      <c r="EB19" s="2">
        <f t="shared" si="27"/>
        <v>65.932967494684519</v>
      </c>
      <c r="EC19" s="2">
        <f t="shared" si="27"/>
        <v>65.273637819737672</v>
      </c>
      <c r="ED19" s="2">
        <f t="shared" si="27"/>
        <v>64.620901441540298</v>
      </c>
      <c r="EE19" s="2">
        <f t="shared" si="27"/>
        <v>63.974692427124893</v>
      </c>
      <c r="EF19" s="2">
        <f t="shared" si="27"/>
        <v>63.334945502853643</v>
      </c>
      <c r="EG19" s="2">
        <f t="shared" si="27"/>
        <v>62.701596047825106</v>
      </c>
      <c r="EH19" s="2">
        <f t="shared" si="27"/>
        <v>62.074580087346853</v>
      </c>
      <c r="EI19" s="2">
        <f t="shared" si="27"/>
        <v>61.453834286473381</v>
      </c>
      <c r="EJ19" s="2">
        <f t="shared" si="27"/>
        <v>60.839295943608647</v>
      </c>
      <c r="EK19" s="2">
        <f t="shared" si="27"/>
        <v>60.230902984172559</v>
      </c>
      <c r="EL19" s="2">
        <f t="shared" si="27"/>
        <v>59.628593954330832</v>
      </c>
      <c r="EM19" s="2">
        <f t="shared" si="27"/>
        <v>59.032308014787525</v>
      </c>
      <c r="EN19" s="2">
        <f t="shared" si="27"/>
        <v>58.441984934639649</v>
      </c>
      <c r="EO19" s="2">
        <f t="shared" si="27"/>
        <v>57.857565085293253</v>
      </c>
      <c r="EP19" s="2">
        <f t="shared" si="27"/>
        <v>57.278989434440319</v>
      </c>
      <c r="EQ19" s="2">
        <f t="shared" si="27"/>
        <v>56.706199540095916</v>
      </c>
      <c r="ER19" s="2">
        <f t="shared" si="27"/>
        <v>56.139137544694954</v>
      </c>
      <c r="ES19" s="2">
        <f t="shared" si="27"/>
        <v>55.577746169248002</v>
      </c>
      <c r="ET19" s="2">
        <f t="shared" si="27"/>
        <v>55.021968707555523</v>
      </c>
      <c r="EU19" s="2">
        <f t="shared" si="27"/>
        <v>54.471749020479969</v>
      </c>
      <c r="EV19" s="2">
        <f t="shared" si="27"/>
        <v>53.927031530275165</v>
      </c>
      <c r="EW19" s="2">
        <f t="shared" si="27"/>
        <v>53.387761214972414</v>
      </c>
      <c r="EX19" s="2">
        <f t="shared" si="27"/>
        <v>52.853883602822691</v>
      </c>
      <c r="EY19" s="2">
        <f t="shared" si="27"/>
        <v>52.325344766794466</v>
      </c>
      <c r="EZ19" s="2">
        <f t="shared" si="27"/>
        <v>51.802091319126518</v>
      </c>
      <c r="FA19" s="2">
        <f t="shared" si="27"/>
        <v>51.284070405935253</v>
      </c>
      <c r="FB19" s="2">
        <f t="shared" si="27"/>
        <v>50.771229701875903</v>
      </c>
      <c r="FC19" s="2">
        <f t="shared" si="27"/>
        <v>50.263517404857147</v>
      </c>
      <c r="FD19" s="2">
        <f t="shared" si="27"/>
        <v>49.760882230808576</v>
      </c>
      <c r="FE19" s="2">
        <f t="shared" si="27"/>
        <v>49.263273408500488</v>
      </c>
      <c r="FF19" s="2">
        <f t="shared" si="27"/>
        <v>48.770640674415482</v>
      </c>
      <c r="FG19" s="2">
        <f t="shared" si="27"/>
        <v>48.28293426767133</v>
      </c>
      <c r="FH19" s="2">
        <f t="shared" si="27"/>
        <v>47.800104924994613</v>
      </c>
      <c r="FI19" s="2">
        <f t="shared" si="27"/>
        <v>47.322103875744666</v>
      </c>
      <c r="FJ19" s="2">
        <f t="shared" ref="FJ19:HU19" si="28">FI19*(1+$AO$33)</f>
        <v>46.848882836987222</v>
      </c>
      <c r="FK19" s="2">
        <f t="shared" si="28"/>
        <v>46.380394008617351</v>
      </c>
      <c r="FL19" s="2">
        <f t="shared" si="28"/>
        <v>45.916590068531178</v>
      </c>
      <c r="FM19" s="2">
        <f t="shared" si="28"/>
        <v>45.457424167845865</v>
      </c>
      <c r="FN19" s="2">
        <f t="shared" si="28"/>
        <v>45.002849926167407</v>
      </c>
      <c r="FO19" s="2">
        <f t="shared" si="28"/>
        <v>44.55282142690573</v>
      </c>
      <c r="FP19" s="2">
        <f t="shared" si="28"/>
        <v>44.107293212636669</v>
      </c>
      <c r="FQ19" s="2">
        <f t="shared" si="28"/>
        <v>43.666220280510302</v>
      </c>
      <c r="FR19" s="2">
        <f t="shared" si="28"/>
        <v>43.2295580777052</v>
      </c>
      <c r="FS19" s="2">
        <f t="shared" si="28"/>
        <v>42.797262496928148</v>
      </c>
      <c r="FT19" s="2">
        <f t="shared" si="28"/>
        <v>42.36928987195887</v>
      </c>
      <c r="FU19" s="2">
        <f t="shared" si="28"/>
        <v>41.945596973239283</v>
      </c>
      <c r="FV19" s="2">
        <f t="shared" si="28"/>
        <v>41.526141003506886</v>
      </c>
      <c r="FW19" s="2">
        <f t="shared" si="28"/>
        <v>41.110879593471815</v>
      </c>
      <c r="FX19" s="2">
        <f t="shared" si="28"/>
        <v>40.699770797537099</v>
      </c>
      <c r="FY19" s="2">
        <f t="shared" si="28"/>
        <v>40.292773089561727</v>
      </c>
      <c r="FZ19" s="2">
        <f t="shared" si="28"/>
        <v>39.889845358666108</v>
      </c>
      <c r="GA19" s="2">
        <f t="shared" si="28"/>
        <v>39.490946905079447</v>
      </c>
      <c r="GB19" s="2">
        <f t="shared" si="28"/>
        <v>39.096037436028652</v>
      </c>
      <c r="GC19" s="2">
        <f t="shared" si="28"/>
        <v>38.705077061668362</v>
      </c>
      <c r="GD19" s="2">
        <f t="shared" si="28"/>
        <v>38.31802629105168</v>
      </c>
      <c r="GE19" s="2">
        <f t="shared" si="28"/>
        <v>37.934846028141166</v>
      </c>
      <c r="GF19" s="2">
        <f t="shared" si="28"/>
        <v>37.555497567859753</v>
      </c>
      <c r="GG19" s="2">
        <f t="shared" si="28"/>
        <v>37.179942592181156</v>
      </c>
      <c r="GH19" s="2">
        <f t="shared" si="28"/>
        <v>36.808143166259342</v>
      </c>
      <c r="GI19" s="2">
        <f t="shared" si="28"/>
        <v>36.440061734596746</v>
      </c>
      <c r="GJ19" s="2">
        <f t="shared" si="28"/>
        <v>36.075661117250782</v>
      </c>
      <c r="GK19" s="2">
        <f t="shared" si="28"/>
        <v>35.714904506078277</v>
      </c>
      <c r="GL19" s="2">
        <f t="shared" si="28"/>
        <v>35.357755461017497</v>
      </c>
      <c r="GM19" s="2">
        <f t="shared" si="28"/>
        <v>35.004177906407321</v>
      </c>
      <c r="GN19" s="2">
        <f t="shared" si="28"/>
        <v>34.65413612734325</v>
      </c>
      <c r="GO19" s="2">
        <f t="shared" si="28"/>
        <v>34.307594766069819</v>
      </c>
      <c r="GP19" s="2">
        <f t="shared" si="28"/>
        <v>33.964518818409118</v>
      </c>
      <c r="GQ19" s="2">
        <f t="shared" si="28"/>
        <v>33.624873630225025</v>
      </c>
      <c r="GR19" s="2">
        <f t="shared" si="28"/>
        <v>33.288624893922773</v>
      </c>
      <c r="GS19" s="2">
        <f t="shared" si="28"/>
        <v>32.955738644983548</v>
      </c>
      <c r="GT19" s="2">
        <f t="shared" si="28"/>
        <v>32.626181258533713</v>
      </c>
      <c r="GU19" s="2">
        <f t="shared" si="28"/>
        <v>32.299919445948376</v>
      </c>
      <c r="GV19" s="2">
        <f t="shared" si="28"/>
        <v>31.976920251488892</v>
      </c>
      <c r="GW19" s="2">
        <f t="shared" si="28"/>
        <v>31.657151048974004</v>
      </c>
      <c r="GX19" s="2">
        <f t="shared" si="28"/>
        <v>31.340579538484263</v>
      </c>
      <c r="GY19" s="2">
        <f t="shared" si="28"/>
        <v>31.027173743099421</v>
      </c>
      <c r="GZ19" s="2">
        <f t="shared" si="28"/>
        <v>30.716902005668427</v>
      </c>
      <c r="HA19" s="2">
        <f t="shared" si="28"/>
        <v>30.409732985611743</v>
      </c>
      <c r="HB19" s="2">
        <f t="shared" si="28"/>
        <v>30.105635655755627</v>
      </c>
      <c r="HC19" s="2">
        <f t="shared" si="28"/>
        <v>29.804579299198071</v>
      </c>
      <c r="HD19" s="2">
        <f t="shared" si="28"/>
        <v>29.50653350620609</v>
      </c>
      <c r="HE19" s="2">
        <f t="shared" si="28"/>
        <v>29.211468171144027</v>
      </c>
      <c r="HF19" s="2">
        <f t="shared" si="28"/>
        <v>28.919353489432588</v>
      </c>
      <c r="HG19" s="2">
        <f t="shared" si="28"/>
        <v>28.630159954538261</v>
      </c>
      <c r="HH19" s="2">
        <f t="shared" si="28"/>
        <v>28.343858354992879</v>
      </c>
      <c r="HI19" s="2">
        <f t="shared" si="28"/>
        <v>28.060419771442948</v>
      </c>
      <c r="HJ19" s="2">
        <f t="shared" si="28"/>
        <v>27.77981557372852</v>
      </c>
      <c r="HK19" s="2">
        <f t="shared" si="28"/>
        <v>27.502017417991233</v>
      </c>
      <c r="HL19" s="2">
        <f t="shared" si="28"/>
        <v>27.226997243811322</v>
      </c>
      <c r="HM19" s="2">
        <f t="shared" si="28"/>
        <v>26.954727271373208</v>
      </c>
      <c r="HN19" s="2">
        <f t="shared" si="28"/>
        <v>26.685179998659475</v>
      </c>
      <c r="HO19" s="2">
        <f t="shared" si="28"/>
        <v>26.418328198672882</v>
      </c>
      <c r="HP19" s="2">
        <f t="shared" si="28"/>
        <v>26.154144916686153</v>
      </c>
      <c r="HQ19" s="2">
        <f t="shared" si="28"/>
        <v>25.89260346751929</v>
      </c>
      <c r="HR19" s="2">
        <f t="shared" si="28"/>
        <v>25.633677432844099</v>
      </c>
      <c r="HS19" s="2">
        <f t="shared" si="28"/>
        <v>25.377340658515656</v>
      </c>
      <c r="HT19" s="2">
        <f t="shared" si="28"/>
        <v>25.123567251930499</v>
      </c>
      <c r="HU19" s="2">
        <f t="shared" si="28"/>
        <v>24.872331579411195</v>
      </c>
      <c r="HV19" s="2">
        <f t="shared" ref="HV19:IH19" si="29">HU19*(1+$AO$33)</f>
        <v>24.623608263617083</v>
      </c>
      <c r="HW19" s="2">
        <f t="shared" si="29"/>
        <v>24.377372180980913</v>
      </c>
      <c r="HX19" s="2">
        <f t="shared" si="29"/>
        <v>24.133598459171104</v>
      </c>
      <c r="HY19" s="2">
        <f t="shared" si="29"/>
        <v>23.892262474579393</v>
      </c>
      <c r="HZ19" s="2">
        <f t="shared" si="29"/>
        <v>23.6533398498336</v>
      </c>
      <c r="IA19" s="2">
        <f t="shared" si="29"/>
        <v>23.416806451335265</v>
      </c>
      <c r="IB19" s="2">
        <f t="shared" si="29"/>
        <v>23.182638386821914</v>
      </c>
      <c r="IC19" s="2">
        <f t="shared" si="29"/>
        <v>22.950812002953693</v>
      </c>
      <c r="ID19" s="2">
        <f t="shared" si="29"/>
        <v>22.721303882924158</v>
      </c>
      <c r="IE19" s="2">
        <f t="shared" si="29"/>
        <v>22.494090844094917</v>
      </c>
      <c r="IF19" s="2">
        <f t="shared" si="29"/>
        <v>22.269149935653967</v>
      </c>
      <c r="IG19" s="2">
        <f t="shared" si="29"/>
        <v>22.046458436297428</v>
      </c>
      <c r="IH19" s="2">
        <f t="shared" si="29"/>
        <v>21.825993851934452</v>
      </c>
    </row>
    <row r="22" spans="2:242" x14ac:dyDescent="0.25">
      <c r="B22" t="s">
        <v>3</v>
      </c>
      <c r="C22">
        <v>58</v>
      </c>
      <c r="D22">
        <v>58</v>
      </c>
      <c r="E22">
        <v>58</v>
      </c>
      <c r="F22">
        <v>58</v>
      </c>
      <c r="G22">
        <v>58</v>
      </c>
      <c r="H22">
        <v>58</v>
      </c>
      <c r="I22">
        <v>58</v>
      </c>
      <c r="J22">
        <v>58</v>
      </c>
      <c r="K22">
        <v>58</v>
      </c>
      <c r="L22">
        <v>58</v>
      </c>
      <c r="M22">
        <v>58</v>
      </c>
      <c r="N22">
        <v>58</v>
      </c>
      <c r="O22">
        <v>58.57</v>
      </c>
      <c r="P22">
        <v>55</v>
      </c>
      <c r="Q22">
        <v>55</v>
      </c>
      <c r="R22">
        <v>55</v>
      </c>
      <c r="S22">
        <v>54.99</v>
      </c>
      <c r="X22">
        <v>59.23</v>
      </c>
      <c r="Y22">
        <v>59.23</v>
      </c>
      <c r="Z22">
        <v>59.12</v>
      </c>
      <c r="AA22">
        <v>56.6</v>
      </c>
    </row>
    <row r="23" spans="2:242" x14ac:dyDescent="0.25">
      <c r="B23" t="s">
        <v>44</v>
      </c>
      <c r="C23" s="2">
        <f t="shared" ref="C23:S23" si="30">C19/C22</f>
        <v>0.19153448275862084</v>
      </c>
      <c r="D23" s="2">
        <f t="shared" si="30"/>
        <v>0.32234482758620664</v>
      </c>
      <c r="E23" s="2">
        <f t="shared" si="30"/>
        <v>0.19465517241379318</v>
      </c>
      <c r="F23" s="2">
        <f t="shared" si="30"/>
        <v>0.33672413793103401</v>
      </c>
      <c r="G23" s="2">
        <f t="shared" si="30"/>
        <v>-0.91482758620689664</v>
      </c>
      <c r="H23" s="2">
        <f t="shared" si="30"/>
        <v>-0.54831034482758612</v>
      </c>
      <c r="I23" s="2">
        <f t="shared" si="30"/>
        <v>-0.85482758620689681</v>
      </c>
      <c r="J23" s="2">
        <f t="shared" si="30"/>
        <v>-0.22896551724137951</v>
      </c>
      <c r="K23" s="2">
        <f t="shared" si="30"/>
        <v>-0.28982758620689647</v>
      </c>
      <c r="L23" s="2">
        <f t="shared" si="30"/>
        <v>-0.13499999999999995</v>
      </c>
      <c r="M23" s="2">
        <f t="shared" si="30"/>
        <v>-0.1088793103448276</v>
      </c>
      <c r="N23" s="2">
        <f t="shared" si="30"/>
        <v>0.25627586206896569</v>
      </c>
      <c r="O23" s="2">
        <f t="shared" si="30"/>
        <v>-0.20061464913778396</v>
      </c>
      <c r="P23" s="2">
        <f t="shared" si="30"/>
        <v>6.7272727272725515E-3</v>
      </c>
      <c r="Q23" s="2">
        <f t="shared" si="30"/>
        <v>-0.13963636363636367</v>
      </c>
      <c r="R23" s="2">
        <f t="shared" si="30"/>
        <v>7.3690909090909654E-2</v>
      </c>
      <c r="S23" s="2">
        <f t="shared" si="30"/>
        <v>0.12074922713220616</v>
      </c>
      <c r="X23" s="2">
        <f>X19/X22</f>
        <v>1.023552253925375</v>
      </c>
      <c r="Y23" s="2">
        <f>Y19/Y22</f>
        <v>-2.4940401823400311</v>
      </c>
      <c r="Z23" s="2">
        <f>Z19/Z22</f>
        <v>-0.27217523680649547</v>
      </c>
      <c r="AA23" s="2">
        <f>AA19/AA22</f>
        <v>-0.26514134275618351</v>
      </c>
    </row>
    <row r="25" spans="2:242" x14ac:dyDescent="0.25">
      <c r="B25" t="s">
        <v>46</v>
      </c>
      <c r="C25" s="5">
        <f>C9/C7</f>
        <v>0.56269494697442302</v>
      </c>
      <c r="D25" s="5">
        <f t="shared" ref="D25:S25" si="31">D9/D7</f>
        <v>0.56820003817522424</v>
      </c>
      <c r="E25" s="5">
        <f t="shared" si="31"/>
        <v>0.54511757210703116</v>
      </c>
      <c r="F25" s="5">
        <f t="shared" si="31"/>
        <v>0.50196236126749227</v>
      </c>
      <c r="G25" s="5">
        <f t="shared" si="31"/>
        <v>0.14560045858412157</v>
      </c>
      <c r="H25" s="5">
        <f t="shared" si="31"/>
        <v>-0.84023141967067205</v>
      </c>
      <c r="I25" s="5">
        <f t="shared" si="31"/>
        <v>0.10088781275221935</v>
      </c>
      <c r="J25" s="5">
        <f t="shared" si="31"/>
        <v>0.36139747995418087</v>
      </c>
      <c r="K25" s="5">
        <f t="shared" si="31"/>
        <v>0.44745675187193401</v>
      </c>
      <c r="L25" s="5">
        <f t="shared" si="31"/>
        <v>0.50216025137470544</v>
      </c>
      <c r="M25" s="5">
        <f t="shared" si="31"/>
        <v>0.48523430592396111</v>
      </c>
      <c r="N25" s="5">
        <f t="shared" si="31"/>
        <v>0.58949111990429748</v>
      </c>
      <c r="O25" s="5">
        <f t="shared" si="31"/>
        <v>0.53015661446184603</v>
      </c>
      <c r="P25" s="5">
        <f t="shared" si="31"/>
        <v>0.59521233432512843</v>
      </c>
      <c r="Q25" s="5">
        <f t="shared" si="31"/>
        <v>0.46093408991706675</v>
      </c>
      <c r="R25" s="5">
        <f t="shared" si="31"/>
        <v>0.49729619426589139</v>
      </c>
      <c r="S25" s="5">
        <f t="shared" si="31"/>
        <v>0.57603686635944706</v>
      </c>
      <c r="X25" s="5">
        <f t="shared" ref="X25:AA25" si="32">X9/X7</f>
        <v>0.54122851365015157</v>
      </c>
      <c r="Y25" s="5">
        <f t="shared" si="32"/>
        <v>0.15680689453695579</v>
      </c>
      <c r="Z25" s="5">
        <f t="shared" si="32"/>
        <v>0.5273276572370228</v>
      </c>
      <c r="AA25" s="5">
        <f t="shared" si="32"/>
        <v>0.51962088460259392</v>
      </c>
      <c r="AB25" s="5">
        <f t="shared" ref="AB25:AJ25" si="33">AB9/AB7</f>
        <v>0.53</v>
      </c>
      <c r="AC25" s="5">
        <f t="shared" si="33"/>
        <v>0.53</v>
      </c>
      <c r="AD25" s="5">
        <f t="shared" si="33"/>
        <v>0.53</v>
      </c>
      <c r="AE25" s="5">
        <f t="shared" si="33"/>
        <v>0.53</v>
      </c>
      <c r="AF25" s="5">
        <f t="shared" si="33"/>
        <v>0.53</v>
      </c>
      <c r="AG25" s="5">
        <f t="shared" si="33"/>
        <v>0.53</v>
      </c>
      <c r="AH25" s="5">
        <f t="shared" si="33"/>
        <v>0.53</v>
      </c>
      <c r="AI25" s="5">
        <f t="shared" si="33"/>
        <v>0.53</v>
      </c>
      <c r="AJ25" s="5">
        <f t="shared" si="33"/>
        <v>0.53</v>
      </c>
    </row>
    <row r="26" spans="2:242" x14ac:dyDescent="0.25">
      <c r="B26" t="s">
        <v>47</v>
      </c>
      <c r="C26" s="5">
        <f>C15/C7</f>
        <v>0.18540237055520908</v>
      </c>
      <c r="D26" s="5">
        <f t="shared" ref="D26:S26" si="34">D15/D7</f>
        <v>0.2295857988165679</v>
      </c>
      <c r="E26" s="5">
        <f t="shared" si="34"/>
        <v>0.16645430325495195</v>
      </c>
      <c r="F26" s="5">
        <f t="shared" si="34"/>
        <v>0.19936464532732812</v>
      </c>
      <c r="G26" s="5">
        <f t="shared" si="34"/>
        <v>-1.0667813126970478</v>
      </c>
      <c r="H26" s="5">
        <f t="shared" si="34"/>
        <v>-4.6008010680907878</v>
      </c>
      <c r="I26" s="5">
        <f t="shared" si="34"/>
        <v>-0.73688458434221182</v>
      </c>
      <c r="J26" s="5">
        <f t="shared" si="34"/>
        <v>-0.19057846506300138</v>
      </c>
      <c r="K26" s="5">
        <f t="shared" si="34"/>
        <v>-0.27549703072553561</v>
      </c>
      <c r="L26" s="5">
        <f t="shared" si="34"/>
        <v>-9.3283582089552161E-2</v>
      </c>
      <c r="M26" s="5">
        <f t="shared" si="34"/>
        <v>-1.6003536693191888E-2</v>
      </c>
      <c r="N26" s="5">
        <f t="shared" si="34"/>
        <v>0.2349682525075919</v>
      </c>
      <c r="O26" s="5">
        <f t="shared" si="34"/>
        <v>-0.13228923692102648</v>
      </c>
      <c r="P26" s="5">
        <f t="shared" si="34"/>
        <v>5.9101974573978776E-2</v>
      </c>
      <c r="Q26" s="5">
        <f t="shared" si="34"/>
        <v>-6.1690673650516552E-2</v>
      </c>
      <c r="R26" s="5">
        <f t="shared" si="34"/>
        <v>7.5094378124681463E-2</v>
      </c>
      <c r="S26" s="5">
        <f t="shared" si="34"/>
        <v>0.14838709677419373</v>
      </c>
      <c r="X26" s="5">
        <f t="shared" ref="X26:AA26" si="35">X15/X7</f>
        <v>0.19735844287158738</v>
      </c>
      <c r="Y26" s="5">
        <f t="shared" si="35"/>
        <v>-0.85166520595968476</v>
      </c>
      <c r="Z26" s="5">
        <f t="shared" si="35"/>
        <v>3.6132145799819479E-2</v>
      </c>
      <c r="AA26" s="5">
        <f t="shared" si="35"/>
        <v>-1.4965081476554327E-3</v>
      </c>
      <c r="AB26" s="5">
        <f t="shared" ref="AB26:AJ26" si="36">AB15/AB7</f>
        <v>0.13582640505487198</v>
      </c>
      <c r="AC26" s="5">
        <f t="shared" si="36"/>
        <v>0.23048643663057353</v>
      </c>
      <c r="AD26" s="5">
        <f t="shared" si="36"/>
        <v>0.24474898726721292</v>
      </c>
      <c r="AE26" s="5">
        <f t="shared" si="36"/>
        <v>0.25833236882591698</v>
      </c>
      <c r="AF26" s="5">
        <f t="shared" si="36"/>
        <v>0.27126892269134956</v>
      </c>
      <c r="AG26" s="5">
        <f t="shared" si="36"/>
        <v>0.28358945018223763</v>
      </c>
      <c r="AH26" s="5">
        <f t="shared" si="36"/>
        <v>0.29532328588784545</v>
      </c>
      <c r="AI26" s="5">
        <f t="shared" si="36"/>
        <v>0.30649836751223369</v>
      </c>
      <c r="AJ26" s="5">
        <f t="shared" si="36"/>
        <v>0.31714130239260352</v>
      </c>
    </row>
    <row r="27" spans="2:242" x14ac:dyDescent="0.25">
      <c r="B27" t="s">
        <v>48</v>
      </c>
      <c r="C27" s="5">
        <f>C19/C7</f>
        <v>0.13860262008733634</v>
      </c>
      <c r="D27" s="5">
        <f t="shared" ref="D27:S27" si="37">D19/D7</f>
        <v>0.17843099828211478</v>
      </c>
      <c r="E27" s="5">
        <f t="shared" si="37"/>
        <v>0.13077725008687596</v>
      </c>
      <c r="F27" s="5">
        <f t="shared" si="37"/>
        <v>0.15706932604149892</v>
      </c>
      <c r="G27" s="5">
        <f t="shared" si="37"/>
        <v>-1.5207795930065922</v>
      </c>
      <c r="H27" s="5">
        <f t="shared" si="37"/>
        <v>-3.5382732532265235</v>
      </c>
      <c r="I27" s="5">
        <f t="shared" si="37"/>
        <v>-1.3338714016680124</v>
      </c>
      <c r="J27" s="5">
        <f t="shared" si="37"/>
        <v>-0.23768613974799563</v>
      </c>
      <c r="K27" s="5">
        <f t="shared" si="37"/>
        <v>-0.43403046733798073</v>
      </c>
      <c r="L27" s="5">
        <f t="shared" si="37"/>
        <v>-0.15377062058130395</v>
      </c>
      <c r="M27" s="5">
        <f t="shared" si="37"/>
        <v>-0.11167108753315652</v>
      </c>
      <c r="N27" s="5">
        <f t="shared" si="37"/>
        <v>0.13678108033495914</v>
      </c>
      <c r="O27" s="5">
        <f t="shared" si="37"/>
        <v>-0.19576807730756426</v>
      </c>
      <c r="P27" s="5">
        <f t="shared" si="37"/>
        <v>5.0040573437921338E-3</v>
      </c>
      <c r="Q27" s="5">
        <f t="shared" si="37"/>
        <v>-0.11174159755565259</v>
      </c>
      <c r="R27" s="5">
        <f t="shared" si="37"/>
        <v>4.1352923171105296E-2</v>
      </c>
      <c r="S27" s="5">
        <f t="shared" si="37"/>
        <v>7.6497695852534756E-2</v>
      </c>
      <c r="X27" s="5">
        <f t="shared" ref="X27:AA27" si="38">X19/X7</f>
        <v>0.15324823053589476</v>
      </c>
      <c r="Y27" s="5">
        <f t="shared" si="38"/>
        <v>-1.0788927841075084</v>
      </c>
      <c r="Z27" s="5">
        <f t="shared" si="38"/>
        <v>-6.3134146819947473E-2</v>
      </c>
      <c r="AA27" s="5">
        <f t="shared" si="38"/>
        <v>-4.9906883937479177E-2</v>
      </c>
      <c r="AB27" s="5">
        <f t="shared" ref="AB27:AJ27" si="39">AB19/AB7</f>
        <v>9.9174991686065861E-2</v>
      </c>
      <c r="AC27" s="5">
        <f t="shared" si="39"/>
        <v>0.17718109340846783</v>
      </c>
      <c r="AD27" s="5">
        <f t="shared" si="39"/>
        <v>0.18893437467473129</v>
      </c>
      <c r="AE27" s="5">
        <f t="shared" si="39"/>
        <v>0.20012797588069636</v>
      </c>
      <c r="AF27" s="5">
        <f t="shared" si="39"/>
        <v>0.21078854845780615</v>
      </c>
      <c r="AG27" s="5">
        <f t="shared" si="39"/>
        <v>0.2209414747217201</v>
      </c>
      <c r="AH27" s="5">
        <f t="shared" si="39"/>
        <v>0.23061092830640015</v>
      </c>
      <c r="AI27" s="5">
        <f t="shared" si="39"/>
        <v>0.23981993172038105</v>
      </c>
      <c r="AJ27" s="5">
        <f t="shared" si="39"/>
        <v>0.24859041116226765</v>
      </c>
    </row>
    <row r="29" spans="2:242" x14ac:dyDescent="0.25">
      <c r="B29" t="s">
        <v>49</v>
      </c>
      <c r="G29" s="5">
        <f>G7/C7-1</f>
        <v>-0.56469120399251405</v>
      </c>
      <c r="H29" s="5">
        <f t="shared" ref="H29:S29" si="40">H7/D7-1</f>
        <v>-0.91422027104409243</v>
      </c>
      <c r="I29" s="5">
        <f t="shared" si="40"/>
        <v>-0.56944283563071951</v>
      </c>
      <c r="J29" s="5">
        <f t="shared" si="40"/>
        <v>-0.55065143960109375</v>
      </c>
      <c r="K29" s="5">
        <f t="shared" si="40"/>
        <v>0.11006018916595028</v>
      </c>
      <c r="L29" s="5">
        <f t="shared" si="40"/>
        <v>4.6653315531820212</v>
      </c>
      <c r="M29" s="5">
        <f t="shared" si="40"/>
        <v>0.52138821630347065</v>
      </c>
      <c r="N29" s="5">
        <f t="shared" si="40"/>
        <v>0.94498138602520054</v>
      </c>
      <c r="O29" s="5">
        <f t="shared" si="40"/>
        <v>0.54970307255357587</v>
      </c>
      <c r="P29" s="5">
        <f t="shared" si="40"/>
        <v>0.45208169677926158</v>
      </c>
      <c r="Q29" s="5">
        <f t="shared" si="40"/>
        <v>0.21538461538461529</v>
      </c>
      <c r="R29" s="5">
        <f t="shared" si="40"/>
        <v>-9.8095150455507318E-2</v>
      </c>
      <c r="S29" s="5">
        <f t="shared" si="40"/>
        <v>0.44618460513162317</v>
      </c>
      <c r="Y29" s="5">
        <f>Y7/X7-1</f>
        <v>-0.65389282103134483</v>
      </c>
      <c r="Z29" s="5">
        <f t="shared" ref="Z29:AA29" si="41">Z7/Y7-1</f>
        <v>0.86145194274028625</v>
      </c>
      <c r="AA29" s="5">
        <f t="shared" si="41"/>
        <v>0.17981716169027351</v>
      </c>
      <c r="AB29" s="5">
        <f t="shared" ref="AB29:AJ29" si="42">AB7/AA7-1</f>
        <v>0.25</v>
      </c>
      <c r="AC29" s="5">
        <f t="shared" si="42"/>
        <v>0.31604589291652818</v>
      </c>
      <c r="AD29" s="5">
        <f t="shared" si="42"/>
        <v>5.0000000000000044E-2</v>
      </c>
      <c r="AE29" s="5">
        <f t="shared" si="42"/>
        <v>5.0000000000000044E-2</v>
      </c>
      <c r="AF29" s="5">
        <f t="shared" si="42"/>
        <v>5.0000000000000044E-2</v>
      </c>
      <c r="AG29" s="5">
        <f t="shared" si="42"/>
        <v>5.0000000000000044E-2</v>
      </c>
      <c r="AH29" s="5">
        <f t="shared" si="42"/>
        <v>5.0000000000000044E-2</v>
      </c>
      <c r="AI29" s="5">
        <f t="shared" si="42"/>
        <v>5.0000000000000044E-2</v>
      </c>
      <c r="AJ29" s="5">
        <f t="shared" si="42"/>
        <v>5.0000000000000044E-2</v>
      </c>
    </row>
    <row r="31" spans="2:242" x14ac:dyDescent="0.25">
      <c r="B31" t="s">
        <v>54</v>
      </c>
      <c r="X31" s="7">
        <f>X18/X17</f>
        <v>0.2165794404600376</v>
      </c>
      <c r="Y31" s="7">
        <f t="shared" ref="Y31:AA31" si="43">Y18/Y17</f>
        <v>-0.21860718351454353</v>
      </c>
      <c r="Z31" s="7">
        <f t="shared" si="43"/>
        <v>4.6495804037196757</v>
      </c>
      <c r="AA31" s="7">
        <f t="shared" si="43"/>
        <v>-2.0582840839616923</v>
      </c>
    </row>
    <row r="32" spans="2:242" x14ac:dyDescent="0.25">
      <c r="AN32" t="s">
        <v>50</v>
      </c>
      <c r="AO32" s="5">
        <v>0.08</v>
      </c>
    </row>
    <row r="33" spans="40:44" x14ac:dyDescent="0.25">
      <c r="AN33" t="s">
        <v>51</v>
      </c>
      <c r="AO33" s="5">
        <v>-0.01</v>
      </c>
      <c r="AQ33" t="s">
        <v>2</v>
      </c>
      <c r="AR33">
        <v>30.1</v>
      </c>
    </row>
    <row r="34" spans="40:44" x14ac:dyDescent="0.25">
      <c r="AN34" t="s">
        <v>52</v>
      </c>
      <c r="AO34" s="6">
        <f>NPV(AO32,AB19:IH19)</f>
        <v>1643.1956769832339</v>
      </c>
      <c r="AQ34" t="s">
        <v>55</v>
      </c>
      <c r="AR34">
        <f>(AR33*801)-(17.15*801)</f>
        <v>10372.950000000003</v>
      </c>
    </row>
    <row r="35" spans="40:44" x14ac:dyDescent="0.25">
      <c r="AN35" t="s">
        <v>53</v>
      </c>
      <c r="AO35" s="2">
        <f>AO34/Main!K2</f>
        <v>30.101223268116907</v>
      </c>
    </row>
  </sheetData>
  <hyperlinks>
    <hyperlink ref="A1" location="Main!A1" display="Main" xr:uid="{E45FA5DB-6F51-440D-B7C3-958B19131F6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2023-07-15T01:34:44Z</dcterms:created>
  <dcterms:modified xsi:type="dcterms:W3CDTF">2023-07-16T17:47:03Z</dcterms:modified>
  <cp:category/>
  <cp:contentStatus/>
</cp:coreProperties>
</file>