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Stock Models/"/>
    </mc:Choice>
  </mc:AlternateContent>
  <xr:revisionPtr revIDLastSave="1260" documentId="11_E60897F41BE170836B02CE998F75CCDC64E183C8" xr6:coauthVersionLast="47" xr6:coauthVersionMax="47" xr10:uidLastSave="{F1963021-46F3-4E7A-8502-5ED16630F467}"/>
  <bookViews>
    <workbookView xWindow="-105" yWindow="0" windowWidth="38610" windowHeight="20985" activeTab="1" xr2:uid="{00000000-000D-0000-FFFF-FFFF00000000}"/>
  </bookViews>
  <sheets>
    <sheet name="Main" sheetId="1" r:id="rId1"/>
    <sheet name="Model" sheetId="2" r:id="rId2"/>
    <sheet name="Comp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2" l="1"/>
  <c r="S29" i="2"/>
  <c r="S28" i="2"/>
  <c r="S27" i="2"/>
  <c r="S11" i="2"/>
  <c r="S8" i="2"/>
  <c r="S7" i="2"/>
  <c r="AL16" i="2"/>
  <c r="AK16" i="2"/>
  <c r="AJ16" i="2"/>
  <c r="AI16" i="2"/>
  <c r="AH16" i="2"/>
  <c r="AG16" i="2"/>
  <c r="AF16" i="2"/>
  <c r="AE16" i="2"/>
  <c r="AD16" i="2"/>
  <c r="AC16" i="2"/>
  <c r="AF7" i="2"/>
  <c r="AG7" i="2" s="1"/>
  <c r="AH7" i="2" s="1"/>
  <c r="AI7" i="2" s="1"/>
  <c r="AJ7" i="2" s="1"/>
  <c r="AK7" i="2" s="1"/>
  <c r="AL7" i="2" s="1"/>
  <c r="AE7" i="2"/>
  <c r="AD7" i="2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R21" i="3"/>
  <c r="R18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O19" i="3"/>
  <c r="N19" i="3"/>
  <c r="M19" i="3"/>
  <c r="L19" i="3"/>
  <c r="K19" i="3"/>
  <c r="J19" i="3"/>
  <c r="I19" i="3"/>
  <c r="H19" i="3"/>
  <c r="G19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I17" i="3"/>
  <c r="H17" i="3"/>
  <c r="G17" i="3"/>
  <c r="S20" i="3"/>
  <c r="S17" i="3"/>
  <c r="AL8" i="2"/>
  <c r="AK8" i="2"/>
  <c r="AJ8" i="2"/>
  <c r="AI8" i="2"/>
  <c r="AH8" i="2"/>
  <c r="AG8" i="2"/>
  <c r="AF8" i="2"/>
  <c r="AE8" i="2"/>
  <c r="AD8" i="2"/>
  <c r="AC8" i="2"/>
  <c r="AD31" i="2"/>
  <c r="AC31" i="2"/>
  <c r="AC7" i="2"/>
  <c r="AC9" i="2" s="1"/>
  <c r="AB8" i="2"/>
  <c r="AA8" i="2"/>
  <c r="Z8" i="2"/>
  <c r="Y8" i="2"/>
  <c r="X8" i="2"/>
  <c r="AD9" i="2"/>
  <c r="AA31" i="2"/>
  <c r="Z31" i="2"/>
  <c r="AB3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U106" i="2"/>
  <c r="U105" i="2"/>
  <c r="U104" i="2"/>
  <c r="U103" i="2"/>
  <c r="T103" i="2"/>
  <c r="V31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R8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6" i="2"/>
  <c r="E105" i="2"/>
  <c r="E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AK58" i="2"/>
  <c r="AK57" i="2"/>
  <c r="AH55" i="2"/>
  <c r="AH54" i="2"/>
  <c r="AH53" i="2"/>
  <c r="AD18" i="2"/>
  <c r="AC18" i="2"/>
  <c r="AC17" i="2"/>
  <c r="AE31" i="2" l="1"/>
  <c r="AC11" i="2"/>
  <c r="S31" i="2"/>
  <c r="AE18" i="2"/>
  <c r="AF18" i="2"/>
  <c r="AG18" i="2" s="1"/>
  <c r="AF31" i="2" l="1"/>
  <c r="AE9" i="2"/>
  <c r="AH18" i="2"/>
  <c r="AG31" i="2" l="1"/>
  <c r="AF9" i="2"/>
  <c r="AI18" i="2"/>
  <c r="AH31" i="2" l="1"/>
  <c r="AG9" i="2"/>
  <c r="AJ18" i="2"/>
  <c r="AK18" i="2" s="1"/>
  <c r="AI31" i="2" l="1"/>
  <c r="AH9" i="2"/>
  <c r="AL18" i="2"/>
  <c r="AJ31" i="2" l="1"/>
  <c r="AI9" i="2"/>
  <c r="AC26" i="2"/>
  <c r="AB26" i="2"/>
  <c r="R58" i="2"/>
  <c r="R62" i="2" s="1"/>
  <c r="N45" i="2"/>
  <c r="N47" i="2"/>
  <c r="N51" i="2" s="1"/>
  <c r="R45" i="2"/>
  <c r="R47" i="2" s="1"/>
  <c r="R51" i="2" s="1"/>
  <c r="AC38" i="2"/>
  <c r="AC10" i="2"/>
  <c r="AC35" i="2" s="1"/>
  <c r="AD2" i="2"/>
  <c r="AE2" i="2" s="1"/>
  <c r="AF2" i="2" s="1"/>
  <c r="AG2" i="2" s="1"/>
  <c r="AH2" i="2" s="1"/>
  <c r="AI2" i="2" s="1"/>
  <c r="AJ2" i="2" s="1"/>
  <c r="AK2" i="2" s="1"/>
  <c r="AL2" i="2" s="1"/>
  <c r="AA35" i="2"/>
  <c r="Z35" i="2"/>
  <c r="Y35" i="2"/>
  <c r="AB35" i="2"/>
  <c r="AA34" i="2"/>
  <c r="Z34" i="2"/>
  <c r="Y34" i="2"/>
  <c r="AB34" i="2"/>
  <c r="S15" i="2"/>
  <c r="S34" i="2"/>
  <c r="Q41" i="2"/>
  <c r="P41" i="2"/>
  <c r="O41" i="2"/>
  <c r="E41" i="2"/>
  <c r="B41" i="2"/>
  <c r="AB39" i="2"/>
  <c r="AA38" i="2"/>
  <c r="AA37" i="2"/>
  <c r="Z37" i="2"/>
  <c r="Y37" i="2"/>
  <c r="E38" i="2"/>
  <c r="B38" i="2"/>
  <c r="E37" i="2"/>
  <c r="D37" i="2"/>
  <c r="Q39" i="2"/>
  <c r="P39" i="2"/>
  <c r="Q38" i="2"/>
  <c r="P38" i="2"/>
  <c r="I38" i="2"/>
  <c r="Q37" i="2"/>
  <c r="P37" i="2"/>
  <c r="N37" i="2"/>
  <c r="M37" i="2"/>
  <c r="K37" i="2"/>
  <c r="J37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Q31" i="2"/>
  <c r="O31" i="2"/>
  <c r="N31" i="2"/>
  <c r="J31" i="2"/>
  <c r="I31" i="2"/>
  <c r="R30" i="2"/>
  <c r="Q30" i="2"/>
  <c r="P30" i="2"/>
  <c r="O30" i="2"/>
  <c r="N30" i="2"/>
  <c r="M30" i="2"/>
  <c r="L30" i="2"/>
  <c r="K30" i="2"/>
  <c r="J30" i="2"/>
  <c r="I30" i="2"/>
  <c r="H30" i="2"/>
  <c r="G30" i="2"/>
  <c r="R29" i="2"/>
  <c r="Q29" i="2"/>
  <c r="P29" i="2"/>
  <c r="O29" i="2"/>
  <c r="N29" i="2"/>
  <c r="M29" i="2"/>
  <c r="L29" i="2"/>
  <c r="K29" i="2"/>
  <c r="J29" i="2"/>
  <c r="I29" i="2"/>
  <c r="H29" i="2"/>
  <c r="G29" i="2"/>
  <c r="F31" i="2"/>
  <c r="F30" i="2"/>
  <c r="F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X15" i="2"/>
  <c r="X11" i="2"/>
  <c r="X37" i="2" s="1"/>
  <c r="Y15" i="2"/>
  <c r="Y11" i="2"/>
  <c r="E15" i="2"/>
  <c r="E11" i="2"/>
  <c r="E16" i="2" s="1"/>
  <c r="E19" i="2" s="1"/>
  <c r="E21" i="2" s="1"/>
  <c r="E23" i="2" s="1"/>
  <c r="B7" i="2"/>
  <c r="B15" i="2"/>
  <c r="B11" i="2"/>
  <c r="B16" i="2" s="1"/>
  <c r="B19" i="2" s="1"/>
  <c r="B21" i="2" s="1"/>
  <c r="B23" i="2" s="1"/>
  <c r="C7" i="2"/>
  <c r="G7" i="2"/>
  <c r="K31" i="2" s="1"/>
  <c r="C15" i="2"/>
  <c r="C11" i="2"/>
  <c r="C37" i="2" s="1"/>
  <c r="G15" i="2"/>
  <c r="G11" i="2"/>
  <c r="G16" i="2" s="1"/>
  <c r="G19" i="2" s="1"/>
  <c r="G21" i="2" s="1"/>
  <c r="G23" i="2" s="1"/>
  <c r="D7" i="2"/>
  <c r="H7" i="2"/>
  <c r="H31" i="2" s="1"/>
  <c r="D15" i="2"/>
  <c r="D11" i="2"/>
  <c r="H11" i="2"/>
  <c r="H37" i="2" s="1"/>
  <c r="H15" i="2"/>
  <c r="H16" i="2"/>
  <c r="H19" i="2" s="1"/>
  <c r="H21" i="2" s="1"/>
  <c r="H23" i="2" s="1"/>
  <c r="Z7" i="2"/>
  <c r="Y7" i="2"/>
  <c r="E7" i="2"/>
  <c r="I7" i="2"/>
  <c r="F7" i="2"/>
  <c r="J7" i="2"/>
  <c r="F15" i="2"/>
  <c r="F11" i="2"/>
  <c r="F37" i="2" s="1"/>
  <c r="J15" i="2"/>
  <c r="J11" i="2"/>
  <c r="I15" i="2"/>
  <c r="I11" i="2"/>
  <c r="I16" i="2" s="1"/>
  <c r="I19" i="2" s="1"/>
  <c r="I21" i="2" s="1"/>
  <c r="I23" i="2" s="1"/>
  <c r="M15" i="2"/>
  <c r="M11" i="2"/>
  <c r="K7" i="2"/>
  <c r="O7" i="2"/>
  <c r="K15" i="2"/>
  <c r="K11" i="2"/>
  <c r="O15" i="2"/>
  <c r="O11" i="2"/>
  <c r="O16" i="2" s="1"/>
  <c r="O19" i="2" s="1"/>
  <c r="O21" i="2" s="1"/>
  <c r="O23" i="2" s="1"/>
  <c r="L7" i="2"/>
  <c r="L31" i="2" s="1"/>
  <c r="P7" i="2"/>
  <c r="P31" i="2" s="1"/>
  <c r="L15" i="2"/>
  <c r="L11" i="2"/>
  <c r="L16" i="2" s="1"/>
  <c r="L19" i="2" s="1"/>
  <c r="L21" i="2" s="1"/>
  <c r="L23" i="2" s="1"/>
  <c r="P15" i="2"/>
  <c r="P11" i="2"/>
  <c r="P16" i="2" s="1"/>
  <c r="P19" i="2" s="1"/>
  <c r="P21" i="2" s="1"/>
  <c r="P23" i="2" s="1"/>
  <c r="Q15" i="2"/>
  <c r="Q11" i="2"/>
  <c r="Q16" i="2" s="1"/>
  <c r="Q19" i="2" s="1"/>
  <c r="Q21" i="2" s="1"/>
  <c r="Q23" i="2" s="1"/>
  <c r="Z15" i="2"/>
  <c r="Z11" i="2"/>
  <c r="AA15" i="2"/>
  <c r="AA11" i="2"/>
  <c r="AA16" i="2" s="1"/>
  <c r="AA19" i="2" s="1"/>
  <c r="AA21" i="2" s="1"/>
  <c r="AA23" i="2" s="1"/>
  <c r="AA7" i="2"/>
  <c r="AB7" i="2"/>
  <c r="AB15" i="2"/>
  <c r="AB11" i="2"/>
  <c r="AB16" i="2" s="1"/>
  <c r="AB19" i="2" s="1"/>
  <c r="AB21" i="2" s="1"/>
  <c r="AB23" i="2" s="1"/>
  <c r="R7" i="2"/>
  <c r="R31" i="2" s="1"/>
  <c r="N7" i="2"/>
  <c r="M7" i="2"/>
  <c r="M31" i="2" s="1"/>
  <c r="Q7" i="2"/>
  <c r="N15" i="2"/>
  <c r="N11" i="2"/>
  <c r="R15" i="2"/>
  <c r="R11" i="2"/>
  <c r="R37" i="2" s="1"/>
  <c r="J5" i="1"/>
  <c r="J4" i="1"/>
  <c r="J3" i="1"/>
  <c r="J6" i="1" s="1"/>
  <c r="S16" i="2" l="1"/>
  <c r="S19" i="2" s="1"/>
  <c r="S41" i="2" s="1"/>
  <c r="S37" i="2"/>
  <c r="AJ9" i="2"/>
  <c r="AK31" i="2"/>
  <c r="L37" i="2"/>
  <c r="L39" i="2"/>
  <c r="AB37" i="2"/>
  <c r="G31" i="2"/>
  <c r="O37" i="2"/>
  <c r="O39" i="2"/>
  <c r="AB38" i="2"/>
  <c r="AA41" i="2"/>
  <c r="AB41" i="2"/>
  <c r="G38" i="2"/>
  <c r="B37" i="2"/>
  <c r="AC34" i="2"/>
  <c r="H38" i="2"/>
  <c r="AA39" i="2"/>
  <c r="AC37" i="2"/>
  <c r="L38" i="2"/>
  <c r="S35" i="2"/>
  <c r="O38" i="2"/>
  <c r="B39" i="2"/>
  <c r="G41" i="2"/>
  <c r="H41" i="2"/>
  <c r="I41" i="2"/>
  <c r="E39" i="2"/>
  <c r="G37" i="2"/>
  <c r="G39" i="2"/>
  <c r="H39" i="2"/>
  <c r="L41" i="2"/>
  <c r="I37" i="2"/>
  <c r="I39" i="2"/>
  <c r="AF34" i="2"/>
  <c r="AD34" i="2"/>
  <c r="AE34" i="2"/>
  <c r="AD11" i="2"/>
  <c r="AE11" i="2"/>
  <c r="X16" i="2"/>
  <c r="Y16" i="2"/>
  <c r="C16" i="2"/>
  <c r="D16" i="2"/>
  <c r="F16" i="2"/>
  <c r="J16" i="2"/>
  <c r="M16" i="2"/>
  <c r="K16" i="2"/>
  <c r="Z16" i="2"/>
  <c r="R16" i="2"/>
  <c r="N16" i="2"/>
  <c r="S38" i="2" l="1"/>
  <c r="AK9" i="2"/>
  <c r="M19" i="2"/>
  <c r="M38" i="2"/>
  <c r="J19" i="2"/>
  <c r="J38" i="2"/>
  <c r="F19" i="2"/>
  <c r="F38" i="2"/>
  <c r="D19" i="2"/>
  <c r="D38" i="2"/>
  <c r="C19" i="2"/>
  <c r="C38" i="2"/>
  <c r="Y19" i="2"/>
  <c r="Y38" i="2"/>
  <c r="X19" i="2"/>
  <c r="X38" i="2"/>
  <c r="N19" i="2"/>
  <c r="N38" i="2"/>
  <c r="R19" i="2"/>
  <c r="R38" i="2"/>
  <c r="Z19" i="2"/>
  <c r="Z38" i="2"/>
  <c r="K19" i="2"/>
  <c r="K38" i="2"/>
  <c r="AF11" i="2"/>
  <c r="AF10" i="2" s="1"/>
  <c r="AE38" i="2"/>
  <c r="AD38" i="2"/>
  <c r="AE37" i="2"/>
  <c r="AE10" i="2"/>
  <c r="AD37" i="2"/>
  <c r="AD10" i="2"/>
  <c r="AD35" i="2" s="1"/>
  <c r="S21" i="2"/>
  <c r="AL9" i="2" l="1"/>
  <c r="AL31" i="2"/>
  <c r="K21" i="2"/>
  <c r="K41" i="2"/>
  <c r="Z21" i="2"/>
  <c r="Z41" i="2"/>
  <c r="R21" i="2"/>
  <c r="R41" i="2"/>
  <c r="N21" i="2"/>
  <c r="N41" i="2"/>
  <c r="X21" i="2"/>
  <c r="X41" i="2"/>
  <c r="Y21" i="2"/>
  <c r="Y41" i="2"/>
  <c r="C21" i="2"/>
  <c r="C41" i="2"/>
  <c r="D21" i="2"/>
  <c r="D41" i="2"/>
  <c r="F21" i="2"/>
  <c r="F41" i="2"/>
  <c r="J21" i="2"/>
  <c r="J41" i="2"/>
  <c r="M21" i="2"/>
  <c r="M41" i="2"/>
  <c r="AF37" i="2"/>
  <c r="AF38" i="2"/>
  <c r="AG34" i="2"/>
  <c r="AG11" i="2"/>
  <c r="AE35" i="2"/>
  <c r="AF35" i="2"/>
  <c r="S39" i="2"/>
  <c r="S23" i="2"/>
  <c r="M23" i="2" l="1"/>
  <c r="M39" i="2"/>
  <c r="J23" i="2"/>
  <c r="J39" i="2"/>
  <c r="F23" i="2"/>
  <c r="F39" i="2"/>
  <c r="D23" i="2"/>
  <c r="D39" i="2"/>
  <c r="C39" i="2"/>
  <c r="C23" i="2"/>
  <c r="Y23" i="2"/>
  <c r="Y39" i="2"/>
  <c r="X23" i="2"/>
  <c r="X39" i="2"/>
  <c r="N23" i="2"/>
  <c r="N39" i="2"/>
  <c r="R23" i="2"/>
  <c r="R39" i="2"/>
  <c r="Z23" i="2"/>
  <c r="Z39" i="2"/>
  <c r="K23" i="2"/>
  <c r="K39" i="2"/>
  <c r="AG10" i="2"/>
  <c r="AG35" i="2" s="1"/>
  <c r="AG37" i="2"/>
  <c r="AG38" i="2"/>
  <c r="AH34" i="2"/>
  <c r="AH11" i="2"/>
  <c r="AH37" i="2" s="1"/>
  <c r="AH10" i="2" l="1"/>
  <c r="AH35" i="2" s="1"/>
  <c r="AH38" i="2"/>
  <c r="AI11" i="2"/>
  <c r="AI37" i="2" s="1"/>
  <c r="AI34" i="2"/>
  <c r="AI10" i="2"/>
  <c r="AI35" i="2" s="1"/>
  <c r="AI38" i="2" l="1"/>
  <c r="AJ34" i="2"/>
  <c r="AJ11" i="2"/>
  <c r="AJ37" i="2" s="1"/>
  <c r="AJ10" i="2" l="1"/>
  <c r="AJ35" i="2" s="1"/>
  <c r="AJ38" i="2"/>
  <c r="AK11" i="2"/>
  <c r="AK37" i="2" s="1"/>
  <c r="AK34" i="2"/>
  <c r="AK10" i="2"/>
  <c r="AK35" i="2" s="1"/>
  <c r="AK38" i="2" l="1"/>
  <c r="AL34" i="2"/>
  <c r="AL11" i="2"/>
  <c r="AL37" i="2" s="1"/>
  <c r="AL10" i="2" l="1"/>
  <c r="AL35" i="2" s="1"/>
  <c r="AL38" i="2"/>
  <c r="AC19" i="2"/>
  <c r="AC20" i="2" s="1"/>
  <c r="AC21" i="2" l="1"/>
  <c r="AC41" i="2"/>
  <c r="AC39" i="2" l="1"/>
  <c r="AD26" i="2"/>
  <c r="AD17" i="2" s="1"/>
  <c r="AD19" i="2" l="1"/>
  <c r="AD20" i="2" l="1"/>
  <c r="AD41" i="2" s="1"/>
  <c r="AD21" i="2" l="1"/>
  <c r="AD39" i="2" s="1"/>
  <c r="AE26" i="2" l="1"/>
  <c r="AE17" i="2" s="1"/>
  <c r="AE19" i="2" s="1"/>
  <c r="AE20" i="2" l="1"/>
  <c r="AE41" i="2" s="1"/>
  <c r="AE21" i="2" l="1"/>
  <c r="AE39" i="2" s="1"/>
  <c r="AF26" i="2" l="1"/>
  <c r="AF17" i="2" s="1"/>
  <c r="AF19" i="2" s="1"/>
  <c r="AF20" i="2" l="1"/>
  <c r="AF41" i="2" s="1"/>
  <c r="AF21" i="2" l="1"/>
  <c r="AF39" i="2" s="1"/>
  <c r="AG26" i="2" l="1"/>
  <c r="AG17" i="2" s="1"/>
  <c r="AG19" i="2" s="1"/>
  <c r="AG20" i="2" l="1"/>
  <c r="AG41" i="2" s="1"/>
  <c r="AG21" i="2" l="1"/>
  <c r="AG39" i="2" s="1"/>
  <c r="AH26" i="2" l="1"/>
  <c r="AH17" i="2" s="1"/>
  <c r="AH19" i="2" s="1"/>
  <c r="AH20" i="2" l="1"/>
  <c r="AH41" i="2" s="1"/>
  <c r="AH21" i="2" l="1"/>
  <c r="AH39" i="2" s="1"/>
  <c r="AI26" i="2" l="1"/>
  <c r="AI17" i="2" s="1"/>
  <c r="AI19" i="2" s="1"/>
  <c r="AI20" i="2" l="1"/>
  <c r="AI41" i="2" s="1"/>
  <c r="AI21" i="2" l="1"/>
  <c r="AI39" i="2" s="1"/>
  <c r="AJ26" i="2" l="1"/>
  <c r="AJ17" i="2" s="1"/>
  <c r="AJ19" i="2" s="1"/>
  <c r="AJ20" i="2" l="1"/>
  <c r="AJ41" i="2" s="1"/>
  <c r="AJ21" i="2" l="1"/>
  <c r="AJ39" i="2" s="1"/>
  <c r="AK26" i="2" l="1"/>
  <c r="AK17" i="2" s="1"/>
  <c r="AK19" i="2" s="1"/>
  <c r="AK20" i="2" l="1"/>
  <c r="AK41" i="2" s="1"/>
  <c r="AK21" i="2" l="1"/>
  <c r="AK39" i="2" s="1"/>
  <c r="AL26" i="2" l="1"/>
  <c r="AL17" i="2" s="1"/>
  <c r="AL19" i="2" s="1"/>
  <c r="AL20" i="2" l="1"/>
  <c r="AL41" i="2" s="1"/>
  <c r="AL21" i="2" l="1"/>
  <c r="AL39" i="2" l="1"/>
  <c r="AM21" i="2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IA21" i="2" s="1"/>
  <c r="IB21" i="2" s="1"/>
  <c r="IC21" i="2" s="1"/>
  <c r="ID21" i="2" s="1"/>
  <c r="IE21" i="2" s="1"/>
  <c r="IF21" i="2" s="1"/>
  <c r="IG21" i="2" s="1"/>
  <c r="IH21" i="2" s="1"/>
  <c r="II21" i="2" s="1"/>
  <c r="IJ21" i="2" s="1"/>
  <c r="IK21" i="2" s="1"/>
  <c r="IL21" i="2" s="1"/>
  <c r="IM21" i="2" s="1"/>
  <c r="IN21" i="2" s="1"/>
  <c r="IO21" i="2" s="1"/>
  <c r="IP21" i="2" s="1"/>
  <c r="IQ21" i="2" s="1"/>
  <c r="IR21" i="2" s="1"/>
  <c r="IS21" i="2" s="1"/>
  <c r="IT21" i="2" s="1"/>
  <c r="IU21" i="2" s="1"/>
  <c r="IV21" i="2" s="1"/>
  <c r="IW21" i="2" s="1"/>
  <c r="IX21" i="2" s="1"/>
  <c r="IY21" i="2" s="1"/>
  <c r="IZ21" i="2" s="1"/>
  <c r="JA21" i="2" s="1"/>
  <c r="JB21" i="2" s="1"/>
  <c r="JC21" i="2" s="1"/>
  <c r="JD21" i="2" s="1"/>
  <c r="JE21" i="2" s="1"/>
  <c r="JF21" i="2" s="1"/>
  <c r="JG21" i="2" s="1"/>
  <c r="JH21" i="2" s="1"/>
  <c r="JI21" i="2" s="1"/>
  <c r="JJ21" i="2" s="1"/>
  <c r="JK21" i="2" s="1"/>
  <c r="JL21" i="2" s="1"/>
  <c r="JM21" i="2" s="1"/>
  <c r="JN21" i="2" s="1"/>
  <c r="JO21" i="2" s="1"/>
  <c r="JP21" i="2" s="1"/>
  <c r="JQ21" i="2" s="1"/>
  <c r="JR21" i="2" s="1"/>
  <c r="JS21" i="2" s="1"/>
  <c r="JT21" i="2" s="1"/>
  <c r="JU21" i="2" s="1"/>
  <c r="JV21" i="2" s="1"/>
  <c r="JW21" i="2" s="1"/>
  <c r="JX21" i="2" s="1"/>
  <c r="JY21" i="2" s="1"/>
  <c r="JZ21" i="2" s="1"/>
  <c r="KA21" i="2" s="1"/>
  <c r="KB21" i="2" s="1"/>
  <c r="KC21" i="2" s="1"/>
  <c r="KD21" i="2" s="1"/>
  <c r="KE21" i="2" s="1"/>
  <c r="KF21" i="2" s="1"/>
  <c r="KG21" i="2" s="1"/>
  <c r="KH21" i="2" s="1"/>
  <c r="KI21" i="2" s="1"/>
  <c r="KJ21" i="2" s="1"/>
  <c r="KK21" i="2" s="1"/>
  <c r="KL21" i="2" s="1"/>
  <c r="KM21" i="2" s="1"/>
  <c r="KN21" i="2" s="1"/>
  <c r="KO21" i="2" s="1"/>
  <c r="KP21" i="2" s="1"/>
  <c r="KQ21" i="2" s="1"/>
  <c r="KR21" i="2" s="1"/>
  <c r="KS21" i="2" s="1"/>
  <c r="KT21" i="2" s="1"/>
  <c r="KU21" i="2" s="1"/>
  <c r="KV21" i="2" s="1"/>
  <c r="KW21" i="2" s="1"/>
  <c r="KX21" i="2" s="1"/>
  <c r="KY21" i="2" s="1"/>
  <c r="KZ21" i="2" s="1"/>
  <c r="LA21" i="2" s="1"/>
  <c r="LB21" i="2" s="1"/>
  <c r="LC21" i="2" s="1"/>
  <c r="LD21" i="2" s="1"/>
  <c r="LE21" i="2" s="1"/>
  <c r="LF21" i="2" s="1"/>
  <c r="LG21" i="2" s="1"/>
  <c r="LH21" i="2" s="1"/>
  <c r="LI21" i="2" s="1"/>
  <c r="LJ21" i="2" s="1"/>
  <c r="LK21" i="2" s="1"/>
  <c r="LL21" i="2" s="1"/>
  <c r="LM21" i="2" s="1"/>
  <c r="LN21" i="2" s="1"/>
  <c r="LO21" i="2" s="1"/>
  <c r="LP21" i="2" s="1"/>
  <c r="LQ21" i="2" s="1"/>
  <c r="LR21" i="2" s="1"/>
  <c r="LS21" i="2" s="1"/>
  <c r="LT21" i="2" s="1"/>
  <c r="LU21" i="2" s="1"/>
  <c r="LV21" i="2" s="1"/>
  <c r="LW21" i="2" s="1"/>
  <c r="LX21" i="2" s="1"/>
  <c r="LY21" i="2" s="1"/>
  <c r="LZ21" i="2" s="1"/>
  <c r="MA21" i="2" s="1"/>
  <c r="MB21" i="2" s="1"/>
  <c r="MC21" i="2" s="1"/>
  <c r="MD21" i="2" s="1"/>
  <c r="ME21" i="2" s="1"/>
  <c r="MF21" i="2" s="1"/>
  <c r="MG21" i="2" s="1"/>
  <c r="MH21" i="2" s="1"/>
  <c r="MI21" i="2" s="1"/>
  <c r="MJ21" i="2" s="1"/>
  <c r="MK21" i="2" s="1"/>
  <c r="ML21" i="2" s="1"/>
  <c r="MM21" i="2" s="1"/>
  <c r="MN21" i="2" s="1"/>
  <c r="MO21" i="2" s="1"/>
  <c r="MP21" i="2" s="1"/>
  <c r="MQ21" i="2" s="1"/>
  <c r="MR21" i="2" s="1"/>
  <c r="MS21" i="2" s="1"/>
  <c r="MT21" i="2" s="1"/>
  <c r="MU21" i="2" s="1"/>
  <c r="MV21" i="2" s="1"/>
  <c r="MW21" i="2" s="1"/>
  <c r="AQ39" i="2" s="1"/>
  <c r="AQ40" i="2" s="1"/>
  <c r="AQ41" i="2" s="1"/>
</calcChain>
</file>

<file path=xl/sharedStrings.xml><?xml version="1.0" encoding="utf-8"?>
<sst xmlns="http://schemas.openxmlformats.org/spreadsheetml/2006/main" count="201" uniqueCount="95">
  <si>
    <t>Model</t>
  </si>
  <si>
    <t>Main</t>
  </si>
  <si>
    <t>Price</t>
  </si>
  <si>
    <t>Shares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</si>
  <si>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</si>
  <si>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</si>
  <si>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</si>
  <si>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</si>
  <si>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</si>
  <si>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</si>
  <si>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</si>
  <si>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</si>
  <si>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</si>
  <si>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</si>
  <si>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</si>
  <si>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</si>
  <si>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</si>
  <si>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Q222</t>
  </si>
  <si>
    <t>Q322</t>
  </si>
  <si>
    <t>Q422</t>
  </si>
  <si>
    <t>Q123</t>
  </si>
  <si>
    <t>Q221</t>
  </si>
  <si>
    <t>Q321</t>
  </si>
  <si>
    <t>Q421</t>
  </si>
  <si>
    <t>Q122</t>
  </si>
  <si>
    <t>Q223</t>
  </si>
  <si>
    <t>Revenue</t>
  </si>
  <si>
    <t>COGS</t>
  </si>
  <si>
    <t>Marketing</t>
  </si>
  <si>
    <t>Tech/Dev</t>
  </si>
  <si>
    <t>G&amp;A</t>
  </si>
  <si>
    <t>Operating Expense</t>
  </si>
  <si>
    <t>Operating Income</t>
  </si>
  <si>
    <t>Interest Expense</t>
  </si>
  <si>
    <t>Other</t>
  </si>
  <si>
    <t>Pretax Income</t>
  </si>
  <si>
    <t>Tax</t>
  </si>
  <si>
    <t>Income</t>
  </si>
  <si>
    <t>EPS</t>
  </si>
  <si>
    <t>Gross Profit</t>
  </si>
  <si>
    <t>UCAN Subs</t>
  </si>
  <si>
    <t>EMEA Subs</t>
  </si>
  <si>
    <t>LATAM Subs</t>
  </si>
  <si>
    <t>APAC Subs</t>
  </si>
  <si>
    <t>Total Subs</t>
  </si>
  <si>
    <t>EMEA y/y</t>
  </si>
  <si>
    <t>UCAN y/y</t>
  </si>
  <si>
    <t>LATAM y/y</t>
  </si>
  <si>
    <t>APAC y/y</t>
  </si>
  <si>
    <t>Subs y/y</t>
  </si>
  <si>
    <t>Rev y/y</t>
  </si>
  <si>
    <t>Cogs y/y</t>
  </si>
  <si>
    <t>Gross Magin</t>
  </si>
  <si>
    <t>Operating Margin</t>
  </si>
  <si>
    <t>Profit Margin</t>
  </si>
  <si>
    <t>Tax Rate</t>
  </si>
  <si>
    <t>Discount</t>
  </si>
  <si>
    <t>ROIC</t>
  </si>
  <si>
    <t>NPV</t>
  </si>
  <si>
    <t>FVE</t>
  </si>
  <si>
    <t>Value?</t>
  </si>
  <si>
    <t>Other Asset</t>
  </si>
  <si>
    <t>Total Asset</t>
  </si>
  <si>
    <t>Content Asset</t>
  </si>
  <si>
    <t>Total Current Asset</t>
  </si>
  <si>
    <t>PPE</t>
  </si>
  <si>
    <t>Current Conent Liability</t>
  </si>
  <si>
    <t>AP</t>
  </si>
  <si>
    <t>AE/OL</t>
  </si>
  <si>
    <t>DR</t>
  </si>
  <si>
    <t>Short Debt</t>
  </si>
  <si>
    <t>Total Current Liability</t>
  </si>
  <si>
    <t>Total Liabilities</t>
  </si>
  <si>
    <t>Other non-current Liability</t>
  </si>
  <si>
    <t>Long term Debt</t>
  </si>
  <si>
    <t>Non-Current Liability</t>
  </si>
  <si>
    <t>Net cash</t>
  </si>
  <si>
    <t>Maturity</t>
  </si>
  <si>
    <t>Rev Growth</t>
  </si>
  <si>
    <t>Share Price</t>
  </si>
  <si>
    <t>Matrix</t>
  </si>
  <si>
    <t>Lose</t>
  </si>
  <si>
    <t>Scalp</t>
  </si>
  <si>
    <t>Win</t>
  </si>
  <si>
    <t>$ Per Sub</t>
  </si>
  <si>
    <t>Q223*</t>
  </si>
  <si>
    <t>Subs</t>
  </si>
  <si>
    <t>Q323*</t>
  </si>
  <si>
    <t>Q423*</t>
  </si>
  <si>
    <t>Disney+</t>
  </si>
  <si>
    <t>Paramount+</t>
  </si>
  <si>
    <t>HBO Max</t>
  </si>
  <si>
    <t>Hulu</t>
  </si>
  <si>
    <t>Netflix</t>
  </si>
  <si>
    <t>Q323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</si>
</sst>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0" fontId="2" fillId="0" borderId="0" xfId="1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38" fontId="0" fillId="0" borderId="0" xfId="0" applyNumberFormat="1"/>
    <xf numFmtId="6" fontId="3" fillId="2" borderId="0" xfId="2" applyNumberFormat="1"/>
    <xf numFmtId="6" fontId="5" fillId="4" borderId="0" xfId="4" applyNumberFormat="1"/>
    <xf numFmtId="6" fontId="4" fillId="3" borderId="0" xfId="3" applyNumberFormat="1"/>
    <xf numFmtId="10" fontId="0" fillId="0" borderId="0" xfId="0" applyNumberFormat="1"/>
    <xf numFmtId="4" fontId="0" fillId="0" borderId="0" xfId="0" applyNumberForma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Netflix Subs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UCAN Subs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Model!$B$3:$S$3</c:f>
              <c:numCache>
                <c:formatCode>#,##0</c:formatCode>
                <c:ptCount val="18"/>
                <c:pt idx="0">
                  <c:v>66633</c:v>
                </c:pt>
                <c:pt idx="1">
                  <c:v>66501</c:v>
                </c:pt>
                <c:pt idx="2">
                  <c:v>67114</c:v>
                </c:pt>
                <c:pt idx="3">
                  <c:v>67662</c:v>
                </c:pt>
                <c:pt idx="4">
                  <c:v>69969</c:v>
                </c:pt>
                <c:pt idx="5">
                  <c:v>72904</c:v>
                </c:pt>
                <c:pt idx="6">
                  <c:v>73081</c:v>
                </c:pt>
                <c:pt idx="7">
                  <c:v>73936</c:v>
                </c:pt>
                <c:pt idx="8">
                  <c:v>74384</c:v>
                </c:pt>
                <c:pt idx="9">
                  <c:v>73951</c:v>
                </c:pt>
                <c:pt idx="10">
                  <c:v>74024</c:v>
                </c:pt>
                <c:pt idx="11">
                  <c:v>75215</c:v>
                </c:pt>
                <c:pt idx="12">
                  <c:v>74579</c:v>
                </c:pt>
                <c:pt idx="13">
                  <c:v>73283</c:v>
                </c:pt>
                <c:pt idx="14">
                  <c:v>73387</c:v>
                </c:pt>
                <c:pt idx="15">
                  <c:v>74296</c:v>
                </c:pt>
                <c:pt idx="16">
                  <c:v>74398</c:v>
                </c:pt>
                <c:pt idx="17">
                  <c:v>75570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C-420C-8B63-28D80A37FA19}"/>
            </c:ext>
          </c:extLst>
        </c:ser>
        <c:ser>
          <c:idx val="1"/>
          <c:order val="1"/>
          <c:tx>
            <c:strRef>
              <c:f>Model!$A$4</c:f>
              <c:strCache>
                <c:ptCount val="1"/>
                <c:pt idx="0">
                  <c:v>EMEA Subs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Model!$B$4:$S$4</c:f>
              <c:numCache>
                <c:formatCode>#,##0</c:formatCode>
                <c:ptCount val="18"/>
                <c:pt idx="0">
                  <c:v>42542</c:v>
                </c:pt>
                <c:pt idx="1">
                  <c:v>44229</c:v>
                </c:pt>
                <c:pt idx="2">
                  <c:v>47355</c:v>
                </c:pt>
                <c:pt idx="3">
                  <c:v>51778</c:v>
                </c:pt>
                <c:pt idx="4">
                  <c:v>58734</c:v>
                </c:pt>
                <c:pt idx="5">
                  <c:v>61483</c:v>
                </c:pt>
                <c:pt idx="6">
                  <c:v>62242</c:v>
                </c:pt>
                <c:pt idx="7">
                  <c:v>66698</c:v>
                </c:pt>
                <c:pt idx="8">
                  <c:v>68508</c:v>
                </c:pt>
                <c:pt idx="9">
                  <c:v>68696</c:v>
                </c:pt>
                <c:pt idx="10">
                  <c:v>70500</c:v>
                </c:pt>
                <c:pt idx="11">
                  <c:v>74036</c:v>
                </c:pt>
                <c:pt idx="12">
                  <c:v>73733</c:v>
                </c:pt>
                <c:pt idx="13">
                  <c:v>72966</c:v>
                </c:pt>
                <c:pt idx="14">
                  <c:v>73534</c:v>
                </c:pt>
                <c:pt idx="15">
                  <c:v>76729</c:v>
                </c:pt>
                <c:pt idx="16">
                  <c:v>77373</c:v>
                </c:pt>
                <c:pt idx="17">
                  <c:v>79810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C-420C-8B63-28D80A37FA19}"/>
            </c:ext>
          </c:extLst>
        </c:ser>
        <c:ser>
          <c:idx val="2"/>
          <c:order val="2"/>
          <c:tx>
            <c:strRef>
              <c:f>Model!$A$5</c:f>
              <c:strCache>
                <c:ptCount val="1"/>
                <c:pt idx="0">
                  <c:v>LATAM Subs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Model!$B$5:$S$5</c:f>
              <c:numCache>
                <c:formatCode>#,##0</c:formatCode>
                <c:ptCount val="18"/>
                <c:pt idx="0">
                  <c:v>27547</c:v>
                </c:pt>
                <c:pt idx="1">
                  <c:v>27890</c:v>
                </c:pt>
                <c:pt idx="2">
                  <c:v>29380</c:v>
                </c:pt>
                <c:pt idx="3">
                  <c:v>31417</c:v>
                </c:pt>
                <c:pt idx="4">
                  <c:v>34318</c:v>
                </c:pt>
                <c:pt idx="5">
                  <c:v>36068</c:v>
                </c:pt>
                <c:pt idx="6">
                  <c:v>36324</c:v>
                </c:pt>
                <c:pt idx="7">
                  <c:v>37537</c:v>
                </c:pt>
                <c:pt idx="8">
                  <c:v>37894</c:v>
                </c:pt>
                <c:pt idx="9">
                  <c:v>38658</c:v>
                </c:pt>
                <c:pt idx="10">
                  <c:v>38988</c:v>
                </c:pt>
                <c:pt idx="11">
                  <c:v>39961</c:v>
                </c:pt>
                <c:pt idx="12">
                  <c:v>39610</c:v>
                </c:pt>
                <c:pt idx="13">
                  <c:v>39624</c:v>
                </c:pt>
                <c:pt idx="14">
                  <c:v>39936</c:v>
                </c:pt>
                <c:pt idx="15">
                  <c:v>41699</c:v>
                </c:pt>
                <c:pt idx="16">
                  <c:v>41249</c:v>
                </c:pt>
                <c:pt idx="17">
                  <c:v>42470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C-420C-8B63-28D80A37FA19}"/>
            </c:ext>
          </c:extLst>
        </c:ser>
        <c:ser>
          <c:idx val="3"/>
          <c:order val="3"/>
          <c:tx>
            <c:strRef>
              <c:f>Model!$A$6</c:f>
              <c:strCache>
                <c:ptCount val="1"/>
                <c:pt idx="0">
                  <c:v>APAC Subs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Model!$B$6:$S$6</c:f>
              <c:numCache>
                <c:formatCode>#,##0</c:formatCode>
                <c:ptCount val="18"/>
                <c:pt idx="0">
                  <c:v>12141</c:v>
                </c:pt>
                <c:pt idx="1">
                  <c:v>12942</c:v>
                </c:pt>
                <c:pt idx="2">
                  <c:v>14485</c:v>
                </c:pt>
                <c:pt idx="3">
                  <c:v>16233</c:v>
                </c:pt>
                <c:pt idx="4">
                  <c:v>19835</c:v>
                </c:pt>
                <c:pt idx="5">
                  <c:v>22492</c:v>
                </c:pt>
                <c:pt idx="6">
                  <c:v>23504</c:v>
                </c:pt>
                <c:pt idx="7">
                  <c:v>25492</c:v>
                </c:pt>
                <c:pt idx="8">
                  <c:v>26853</c:v>
                </c:pt>
                <c:pt idx="9">
                  <c:v>27875</c:v>
                </c:pt>
                <c:pt idx="10">
                  <c:v>30051</c:v>
                </c:pt>
                <c:pt idx="11">
                  <c:v>32632</c:v>
                </c:pt>
                <c:pt idx="12">
                  <c:v>33719</c:v>
                </c:pt>
                <c:pt idx="13">
                  <c:v>34799</c:v>
                </c:pt>
                <c:pt idx="14">
                  <c:v>36228</c:v>
                </c:pt>
                <c:pt idx="15">
                  <c:v>38023</c:v>
                </c:pt>
                <c:pt idx="16">
                  <c:v>39478</c:v>
                </c:pt>
                <c:pt idx="17">
                  <c:v>40550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C-420C-8B63-28D80A37F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8557327"/>
        <c:axId val="168556367"/>
      </c:barChart>
      <c:catAx>
        <c:axId val="1685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367"/>
        <c:crosses val="autoZero"/>
        <c:auto val="1"/>
        <c:lblAlgn val="ctr"/>
        <c:lblOffset val="100"/>
        <c:noMultiLvlLbl val="0"/>
      </c:catAx>
      <c:valAx>
        <c:axId val="1685563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5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88347796237678E-2"/>
          <c:y val="7.9840728100113764E-2"/>
          <c:w val="0.9486504055811088"/>
          <c:h val="0.83853215447045226"/>
        </c:manualLayout>
      </c:layout>
      <c:lineChart>
        <c:grouping val="standard"/>
        <c:varyColors val="0"/>
        <c:ser>
          <c:idx val="0"/>
          <c:order val="0"/>
          <c:tx>
            <c:strRef>
              <c:f>Model!$C$103:$D$103</c:f>
              <c:strCache>
                <c:ptCount val="2"/>
                <c:pt idx="0">
                  <c:v>UCAN Subs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Model!$E$102:$U$102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Model!$E$103:$U$103</c:f>
              <c:numCache>
                <c:formatCode>0.00%</c:formatCode>
                <c:ptCount val="17"/>
                <c:pt idx="0">
                  <c:v>-1.9810004052046581E-3</c:v>
                </c:pt>
                <c:pt idx="1">
                  <c:v>9.2179064976467551E-3</c:v>
                </c:pt>
                <c:pt idx="2">
                  <c:v>8.1652114312960045E-3</c:v>
                </c:pt>
                <c:pt idx="3">
                  <c:v>3.4095947503768764E-2</c:v>
                </c:pt>
                <c:pt idx="4">
                  <c:v>4.1947148022695835E-2</c:v>
                </c:pt>
                <c:pt idx="5">
                  <c:v>2.4278503237133986E-3</c:v>
                </c:pt>
                <c:pt idx="6">
                  <c:v>1.1699347299571672E-2</c:v>
                </c:pt>
                <c:pt idx="7">
                  <c:v>6.0592945249946517E-3</c:v>
                </c:pt>
                <c:pt idx="8">
                  <c:v>-5.8211443321144474E-3</c:v>
                </c:pt>
                <c:pt idx="9">
                  <c:v>9.8714013333145445E-4</c:v>
                </c:pt>
                <c:pt idx="10">
                  <c:v>1.6089376418458867E-2</c:v>
                </c:pt>
                <c:pt idx="11">
                  <c:v>-8.4557601542245564E-3</c:v>
                </c:pt>
                <c:pt idx="12">
                  <c:v>-1.7377545957977469E-2</c:v>
                </c:pt>
                <c:pt idx="13">
                  <c:v>1.4191558751688316E-3</c:v>
                </c:pt>
                <c:pt idx="14">
                  <c:v>1.2386389960074684E-2</c:v>
                </c:pt>
                <c:pt idx="15">
                  <c:v>1.3728868310540765E-3</c:v>
                </c:pt>
                <c:pt idx="16">
                  <c:v>1.5753111642786033E-2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F-4BBF-ABC9-5BDE64175E57}"/>
            </c:ext>
          </c:extLst>
        </c:ser>
        <c:ser>
          <c:idx val="1"/>
          <c:order val="1"/>
          <c:tx>
            <c:strRef>
              <c:f>Model!$C$104:$D$104</c:f>
              <c:strCache>
                <c:ptCount val="2"/>
                <c:pt idx="0">
                  <c:v>EMEA Subs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Model!$E$102:$U$102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Model!$E$104:$U$104</c:f>
              <c:numCache>
                <c:formatCode>0.00%</c:formatCode>
                <c:ptCount val="17"/>
                <c:pt idx="0">
                  <c:v>3.965492924639169E-2</c:v>
                </c:pt>
                <c:pt idx="1">
                  <c:v>7.0677609713084122E-2</c:v>
                </c:pt>
                <c:pt idx="2">
                  <c:v>9.3400908035054409E-2</c:v>
                </c:pt>
                <c:pt idx="3">
                  <c:v>0.13434277106106851</c:v>
                </c:pt>
                <c:pt idx="4">
                  <c:v>4.6804236047264025E-2</c:v>
                </c:pt>
                <c:pt idx="5">
                  <c:v>1.234487581933208E-2</c:v>
                </c:pt>
                <c:pt idx="6">
                  <c:v>7.1591529835159484E-2</c:v>
                </c:pt>
                <c:pt idx="7">
                  <c:v>2.713724549461749E-2</c:v>
                </c:pt>
                <c:pt idx="8">
                  <c:v>2.7442050563437625E-3</c:v>
                </c:pt>
                <c:pt idx="9">
                  <c:v>2.6260626528473274E-2</c:v>
                </c:pt>
                <c:pt idx="10">
                  <c:v>5.0156028368794292E-2</c:v>
                </c:pt>
                <c:pt idx="11">
                  <c:v>-4.0926035982494779E-3</c:v>
                </c:pt>
                <c:pt idx="12">
                  <c:v>-1.040239784085828E-2</c:v>
                </c:pt>
                <c:pt idx="13">
                  <c:v>7.7844475509141198E-3</c:v>
                </c:pt>
                <c:pt idx="14">
                  <c:v>4.3449288764381144E-2</c:v>
                </c:pt>
                <c:pt idx="15">
                  <c:v>8.3931759830051522E-3</c:v>
                </c:pt>
                <c:pt idx="16">
                  <c:v>3.1496775360914109E-2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F-4BBF-ABC9-5BDE64175E57}"/>
            </c:ext>
          </c:extLst>
        </c:ser>
        <c:ser>
          <c:idx val="2"/>
          <c:order val="2"/>
          <c:tx>
            <c:strRef>
              <c:f>Model!$C$105:$D$105</c:f>
              <c:strCache>
                <c:ptCount val="2"/>
                <c:pt idx="0">
                  <c:v>LATAM Subs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Model!$E$102:$U$102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Model!$E$105:$U$105</c:f>
              <c:numCache>
                <c:formatCode>0.00%</c:formatCode>
                <c:ptCount val="17"/>
                <c:pt idx="0">
                  <c:v>1.2451446618506612E-2</c:v>
                </c:pt>
                <c:pt idx="1">
                  <c:v>5.3424166367873838E-2</c:v>
                </c:pt>
                <c:pt idx="2">
                  <c:v>6.933287950987066E-2</c:v>
                </c:pt>
                <c:pt idx="3">
                  <c:v>9.233854282713172E-2</c:v>
                </c:pt>
                <c:pt idx="4">
                  <c:v>5.0993647648464258E-2</c:v>
                </c:pt>
                <c:pt idx="5">
                  <c:v>7.097704336253674E-3</c:v>
                </c:pt>
                <c:pt idx="6">
                  <c:v>3.33938993502918E-2</c:v>
                </c:pt>
                <c:pt idx="7">
                  <c:v>9.5106161920239796E-3</c:v>
                </c:pt>
                <c:pt idx="8">
                  <c:v>2.0161503140338821E-2</c:v>
                </c:pt>
                <c:pt idx="9">
                  <c:v>8.5363960887785417E-3</c:v>
                </c:pt>
                <c:pt idx="10">
                  <c:v>2.4956396840053241E-2</c:v>
                </c:pt>
                <c:pt idx="11">
                  <c:v>-8.7835639748754524E-3</c:v>
                </c:pt>
                <c:pt idx="12">
                  <c:v>3.5344609946985628E-4</c:v>
                </c:pt>
                <c:pt idx="13">
                  <c:v>7.8740157480314821E-3</c:v>
                </c:pt>
                <c:pt idx="14">
                  <c:v>4.4145633012820484E-2</c:v>
                </c:pt>
                <c:pt idx="15">
                  <c:v>-1.0791625698458041E-2</c:v>
                </c:pt>
                <c:pt idx="16">
                  <c:v>2.9600717593153858E-2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F-4BBF-ABC9-5BDE64175E57}"/>
            </c:ext>
          </c:extLst>
        </c:ser>
        <c:ser>
          <c:idx val="3"/>
          <c:order val="3"/>
          <c:tx>
            <c:strRef>
              <c:f>Model!$C$106:$D$106</c:f>
              <c:strCache>
                <c:ptCount val="2"/>
                <c:pt idx="0">
                  <c:v>APAC Subs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Model!$E$102:$U$102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Model!$E$106:$U$106</c:f>
              <c:numCache>
                <c:formatCode>0.00%</c:formatCode>
                <c:ptCount val="17"/>
                <c:pt idx="0">
                  <c:v>6.597479614529278E-2</c:v>
                </c:pt>
                <c:pt idx="1">
                  <c:v>0.11922423118528824</c:v>
                </c:pt>
                <c:pt idx="2">
                  <c:v>0.12067656196064891</c:v>
                </c:pt>
                <c:pt idx="3">
                  <c:v>0.22189367338138366</c:v>
                </c:pt>
                <c:pt idx="4">
                  <c:v>0.13395512982102353</c:v>
                </c:pt>
                <c:pt idx="5">
                  <c:v>4.4993775564645233E-2</c:v>
                </c:pt>
                <c:pt idx="6">
                  <c:v>8.4581347855684053E-2</c:v>
                </c:pt>
                <c:pt idx="7">
                  <c:v>5.3389298603483404E-2</c:v>
                </c:pt>
                <c:pt idx="8">
                  <c:v>3.8059062302163715E-2</c:v>
                </c:pt>
                <c:pt idx="9">
                  <c:v>7.8062780269058329E-2</c:v>
                </c:pt>
                <c:pt idx="10">
                  <c:v>8.5887324881035676E-2</c:v>
                </c:pt>
                <c:pt idx="11">
                  <c:v>3.3310860505025852E-2</c:v>
                </c:pt>
                <c:pt idx="12">
                  <c:v>3.20294196150539E-2</c:v>
                </c:pt>
                <c:pt idx="13">
                  <c:v>4.1064398402252955E-2</c:v>
                </c:pt>
                <c:pt idx="14">
                  <c:v>4.9547311471789701E-2</c:v>
                </c:pt>
                <c:pt idx="15">
                  <c:v>3.8266312495068844E-2</c:v>
                </c:pt>
                <c:pt idx="16">
                  <c:v>2.7154364456152713E-2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F-4BBF-ABC9-5BDE64175E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5624239"/>
        <c:axId val="855622799"/>
      </c:lineChart>
      <c:catAx>
        <c:axId val="8556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2799"/>
        <c:crosses val="autoZero"/>
        <c:auto val="1"/>
        <c:lblAlgn val="ctr"/>
        <c:lblOffset val="100"/>
        <c:noMultiLvlLbl val="0"/>
      </c:catAx>
      <c:valAx>
        <c:axId val="85562279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42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2864068102491"/>
                  <c:y val="-0.15090670362838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Model!$B$8:$R$8</c:f>
              <c:numCache>
                <c:formatCode>#,##0.00</c:formatCode>
                <c:ptCount val="17"/>
                <c:pt idx="0">
                  <c:v>30.363488576745063</c:v>
                </c:pt>
                <c:pt idx="1">
                  <c:v>32.481756640846648</c:v>
                </c:pt>
                <c:pt idx="2">
                  <c:v>33.119860547955589</c:v>
                </c:pt>
                <c:pt idx="3">
                  <c:v>32.718894009216591</c:v>
                </c:pt>
                <c:pt idx="4">
                  <c:v>31.538478365489784</c:v>
                </c:pt>
                <c:pt idx="5">
                  <c:v>31.863672407448679</c:v>
                </c:pt>
                <c:pt idx="6">
                  <c:v>32.974465926385207</c:v>
                </c:pt>
                <c:pt idx="7">
                  <c:v>32.622518572347452</c:v>
                </c:pt>
                <c:pt idx="8">
                  <c:v>34.497372844215199</c:v>
                </c:pt>
                <c:pt idx="9">
                  <c:v>35.094177263600727</c:v>
                </c:pt>
                <c:pt idx="10">
                  <c:v>35.038840997738376</c:v>
                </c:pt>
                <c:pt idx="11">
                  <c:v>34.749643893907432</c:v>
                </c:pt>
                <c:pt idx="12">
                  <c:v>35.494335434328491</c:v>
                </c:pt>
                <c:pt idx="13">
                  <c:v>36.116951856148489</c:v>
                </c:pt>
                <c:pt idx="14">
                  <c:v>35.524575834323237</c:v>
                </c:pt>
                <c:pt idx="15">
                  <c:v>34.028611422900404</c:v>
                </c:pt>
                <c:pt idx="16">
                  <c:v>35.101377216148094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4634-A3A3-A485AF13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87360"/>
        <c:axId val="5336800"/>
      </c:lineChart>
      <c:catAx>
        <c:axId val="17704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800"/>
        <c:crosses val="autoZero"/>
        <c:auto val="1"/>
        <c:lblAlgn val="ctr"/>
        <c:lblOffset val="100"/>
        <c:noMultiLvlLbl val="0"/>
      </c:catAx>
      <c:valAx>
        <c:axId val="53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Model!$C$103:$D$103</c:f>
              <c:strCache>
                <c:ptCount val="2"/>
                <c:pt idx="0">
                  <c:v>UCAN Subs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Model!$E$102:$T$102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Model!$E$103:$T$103</c:f>
              <c:numCache>
                <c:formatCode>0.00%</c:formatCode>
                <c:ptCount val="16"/>
                <c:pt idx="0">
                  <c:v>-1.9810004052046581E-3</c:v>
                </c:pt>
                <c:pt idx="1">
                  <c:v>9.2179064976467551E-3</c:v>
                </c:pt>
                <c:pt idx="2">
                  <c:v>8.1652114312960045E-3</c:v>
                </c:pt>
                <c:pt idx="3">
                  <c:v>3.4095947503768764E-2</c:v>
                </c:pt>
                <c:pt idx="4">
                  <c:v>4.1947148022695835E-2</c:v>
                </c:pt>
                <c:pt idx="5">
                  <c:v>2.4278503237133986E-3</c:v>
                </c:pt>
                <c:pt idx="6">
                  <c:v>1.1699347299571672E-2</c:v>
                </c:pt>
                <c:pt idx="7">
                  <c:v>6.0592945249946517E-3</c:v>
                </c:pt>
                <c:pt idx="8">
                  <c:v>-5.8211443321144474E-3</c:v>
                </c:pt>
                <c:pt idx="9">
                  <c:v>9.8714013333145445E-4</c:v>
                </c:pt>
                <c:pt idx="10">
                  <c:v>1.6089376418458867E-2</c:v>
                </c:pt>
                <c:pt idx="11">
                  <c:v>-8.4557601542245564E-3</c:v>
                </c:pt>
                <c:pt idx="12">
                  <c:v>-1.7377545957977469E-2</c:v>
                </c:pt>
                <c:pt idx="13">
                  <c:v>1.4191558751688316E-3</c:v>
                </c:pt>
                <c:pt idx="14">
                  <c:v>1.2386389960074684E-2</c:v>
                </c:pt>
                <c:pt idx="15">
                  <c:v>1.3728868310540765E-3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92C-964C-8BE22D04BE78}"/>
            </c:ext>
          </c:extLst>
        </c:ser>
        <c:ser>
          <c:idx val="1"/>
          <c:order val="1"/>
          <c:tx>
            <c:strRef>
              <c:f>Model!$C$104:$D$104</c:f>
              <c:strCache>
                <c:ptCount val="2"/>
                <c:pt idx="0">
                  <c:v>EMEA Subs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Model!$E$102:$T$102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Model!$E$104:$T$104</c:f>
              <c:numCache>
                <c:formatCode>0.00%</c:formatCode>
                <c:ptCount val="16"/>
                <c:pt idx="0">
                  <c:v>3.965492924639169E-2</c:v>
                </c:pt>
                <c:pt idx="1">
                  <c:v>7.0677609713084122E-2</c:v>
                </c:pt>
                <c:pt idx="2">
                  <c:v>9.3400908035054409E-2</c:v>
                </c:pt>
                <c:pt idx="3">
                  <c:v>0.13434277106106851</c:v>
                </c:pt>
                <c:pt idx="4">
                  <c:v>4.6804236047264025E-2</c:v>
                </c:pt>
                <c:pt idx="5">
                  <c:v>1.234487581933208E-2</c:v>
                </c:pt>
                <c:pt idx="6">
                  <c:v>7.1591529835159484E-2</c:v>
                </c:pt>
                <c:pt idx="7">
                  <c:v>2.713724549461749E-2</c:v>
                </c:pt>
                <c:pt idx="8">
                  <c:v>2.7442050563437625E-3</c:v>
                </c:pt>
                <c:pt idx="9">
                  <c:v>2.6260626528473274E-2</c:v>
                </c:pt>
                <c:pt idx="10">
                  <c:v>5.0156028368794292E-2</c:v>
                </c:pt>
                <c:pt idx="11">
                  <c:v>-4.0926035982494779E-3</c:v>
                </c:pt>
                <c:pt idx="12">
                  <c:v>-1.040239784085828E-2</c:v>
                </c:pt>
                <c:pt idx="13">
                  <c:v>7.7844475509141198E-3</c:v>
                </c:pt>
                <c:pt idx="14">
                  <c:v>4.3449288764381144E-2</c:v>
                </c:pt>
                <c:pt idx="15">
                  <c:v>8.3931759830051522E-3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92C-964C-8BE22D04BE78}"/>
            </c:ext>
          </c:extLst>
        </c:ser>
        <c:ser>
          <c:idx val="2"/>
          <c:order val="2"/>
          <c:tx>
            <c:strRef>
              <c:f>Model!$C$105:$D$105</c:f>
              <c:strCache>
                <c:ptCount val="2"/>
                <c:pt idx="0">
                  <c:v>LATAM Subs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Model!$E$102:$T$102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Model!$E$105:$T$105</c:f>
              <c:numCache>
                <c:formatCode>0.00%</c:formatCode>
                <c:ptCount val="16"/>
                <c:pt idx="0">
                  <c:v>1.2451446618506612E-2</c:v>
                </c:pt>
                <c:pt idx="1">
                  <c:v>5.3424166367873838E-2</c:v>
                </c:pt>
                <c:pt idx="2">
                  <c:v>6.933287950987066E-2</c:v>
                </c:pt>
                <c:pt idx="3">
                  <c:v>9.233854282713172E-2</c:v>
                </c:pt>
                <c:pt idx="4">
                  <c:v>5.0993647648464258E-2</c:v>
                </c:pt>
                <c:pt idx="5">
                  <c:v>7.097704336253674E-3</c:v>
                </c:pt>
                <c:pt idx="6">
                  <c:v>3.33938993502918E-2</c:v>
                </c:pt>
                <c:pt idx="7">
                  <c:v>9.5106161920239796E-3</c:v>
                </c:pt>
                <c:pt idx="8">
                  <c:v>2.0161503140338821E-2</c:v>
                </c:pt>
                <c:pt idx="9">
                  <c:v>8.5363960887785417E-3</c:v>
                </c:pt>
                <c:pt idx="10">
                  <c:v>2.4956396840053241E-2</c:v>
                </c:pt>
                <c:pt idx="11">
                  <c:v>-8.7835639748754524E-3</c:v>
                </c:pt>
                <c:pt idx="12">
                  <c:v>3.5344609946985628E-4</c:v>
                </c:pt>
                <c:pt idx="13">
                  <c:v>7.8740157480314821E-3</c:v>
                </c:pt>
                <c:pt idx="14">
                  <c:v>4.4145633012820484E-2</c:v>
                </c:pt>
                <c:pt idx="15">
                  <c:v>-1.0791625698458041E-2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8-492C-964C-8BE22D04BE78}"/>
            </c:ext>
          </c:extLst>
        </c:ser>
        <c:ser>
          <c:idx val="3"/>
          <c:order val="3"/>
          <c:tx>
            <c:strRef>
              <c:f>Model!$C$106:$D$106</c:f>
              <c:strCache>
                <c:ptCount val="2"/>
                <c:pt idx="0">
                  <c:v>APAC Subs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Model!$E$102:$T$102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Model!$E$106:$T$106</c:f>
              <c:numCache>
                <c:formatCode>0.00%</c:formatCode>
                <c:ptCount val="16"/>
                <c:pt idx="0">
                  <c:v>6.597479614529278E-2</c:v>
                </c:pt>
                <c:pt idx="1">
                  <c:v>0.11922423118528824</c:v>
                </c:pt>
                <c:pt idx="2">
                  <c:v>0.12067656196064891</c:v>
                </c:pt>
                <c:pt idx="3">
                  <c:v>0.22189367338138366</c:v>
                </c:pt>
                <c:pt idx="4">
                  <c:v>0.13395512982102353</c:v>
                </c:pt>
                <c:pt idx="5">
                  <c:v>4.4993775564645233E-2</c:v>
                </c:pt>
                <c:pt idx="6">
                  <c:v>8.4581347855684053E-2</c:v>
                </c:pt>
                <c:pt idx="7">
                  <c:v>5.3389298603483404E-2</c:v>
                </c:pt>
                <c:pt idx="8">
                  <c:v>3.8059062302163715E-2</c:v>
                </c:pt>
                <c:pt idx="9">
                  <c:v>7.8062780269058329E-2</c:v>
                </c:pt>
                <c:pt idx="10">
                  <c:v>8.5887324881035676E-2</c:v>
                </c:pt>
                <c:pt idx="11">
                  <c:v>3.3310860505025852E-2</c:v>
                </c:pt>
                <c:pt idx="12">
                  <c:v>3.20294196150539E-2</c:v>
                </c:pt>
                <c:pt idx="13">
                  <c:v>4.1064398402252955E-2</c:v>
                </c:pt>
                <c:pt idx="14">
                  <c:v>4.9547311471789701E-2</c:v>
                </c:pt>
                <c:pt idx="15">
                  <c:v>3.8266312495068844E-2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8-492C-964C-8BE22D04BE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5624239"/>
        <c:axId val="855622799"/>
      </c:lineChart>
      <c:catAx>
        <c:axId val="8556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2799"/>
        <c:crosses val="autoZero"/>
        <c:auto val="1"/>
        <c:lblAlgn val="ctr"/>
        <c:lblOffset val="100"/>
        <c:noMultiLvlLbl val="0"/>
      </c:catAx>
      <c:valAx>
        <c:axId val="85562279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42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Model!$C$121</c:f>
              <c:strCache>
                <c:ptCount val="1"/>
                <c:pt idx="0">
                  <c:v>Subs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A-4BB6-8343-0DA61EEF7E8B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AA-4BB6-8343-0DA61EEF7E8B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AA-4BB6-8343-0DA61EEF7E8B}"/>
              </c:ext>
            </c:extLst>
          </c:dPt>
          <c:cat>
            <c:strRef>
              <c:f>Model!$D$120:$W$120</c:f>
              <c:strCache>
                <c:ptCount val="20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Q223*</c:v>
                </c:pt>
                <c:pt idx="18">
                  <c:v>Q323*</c:v>
                </c:pt>
                <c:pt idx="19">
                  <c:v>Q423*</c:v>
                </c:pt>
              </c:strCache>
            </c:strRef>
          </c:cat>
          <c:val>
            <c:numRef>
              <c:f>Model!$D$121:$W$121</c:f>
              <c:numCache>
                <c:formatCode>#,##0</c:formatCode>
                <c:ptCount val="20"/>
                <c:pt idx="0">
                  <c:v>148863</c:v>
                </c:pt>
                <c:pt idx="1">
                  <c:v>151562</c:v>
                </c:pt>
                <c:pt idx="2">
                  <c:v>158334</c:v>
                </c:pt>
                <c:pt idx="3">
                  <c:v>167090</c:v>
                </c:pt>
                <c:pt idx="4">
                  <c:v>182856</c:v>
                </c:pt>
                <c:pt idx="5">
                  <c:v>192947</c:v>
                </c:pt>
                <c:pt idx="6">
                  <c:v>195151</c:v>
                </c:pt>
                <c:pt idx="7">
                  <c:v>203663</c:v>
                </c:pt>
                <c:pt idx="8">
                  <c:v>207639</c:v>
                </c:pt>
                <c:pt idx="9">
                  <c:v>209180</c:v>
                </c:pt>
                <c:pt idx="10">
                  <c:v>213563</c:v>
                </c:pt>
                <c:pt idx="11">
                  <c:v>221844</c:v>
                </c:pt>
                <c:pt idx="12">
                  <c:v>221641</c:v>
                </c:pt>
                <c:pt idx="13">
                  <c:v>220672</c:v>
                </c:pt>
                <c:pt idx="14">
                  <c:v>223085</c:v>
                </c:pt>
                <c:pt idx="15">
                  <c:v>230747</c:v>
                </c:pt>
                <c:pt idx="16">
                  <c:v>232498</c:v>
                </c:pt>
                <c:pt idx="17">
                  <c:v>238400</c:v>
                </c:pt>
                <c:pt idx="18">
                  <c:v>225000</c:v>
                </c:pt>
                <c:pt idx="19">
                  <c:v>224500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A-4BB6-8343-0DA61EEF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973504"/>
        <c:axId val="1771974464"/>
      </c:lineChart>
      <c:catAx>
        <c:axId val="17719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4464"/>
        <c:crosses val="autoZero"/>
        <c:auto val="1"/>
        <c:lblAlgn val="ctr"/>
        <c:lblOffset val="100"/>
        <c:noMultiLvlLbl val="0"/>
      </c:catAx>
      <c:valAx>
        <c:axId val="1771974464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7690288713911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Model!$X$8:$AB$8</c:f>
              <c:numCache>
                <c:formatCode>0.00</c:formatCode>
                <c:ptCount val="5"/>
                <c:pt idx="0">
                  <c:v>113.41375843745513</c:v>
                </c:pt>
                <c:pt idx="1">
                  <c:v>120.62960081393261</c:v>
                </c:pt>
                <c:pt idx="2">
                  <c:v>122.73216048079425</c:v>
                </c:pt>
                <c:pt idx="3">
                  <c:v>133.86433710174717</c:v>
                </c:pt>
                <c:pt idx="4">
                  <c:v>137.01153211092668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0-4DE6-BBAE-D8FF70246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99536"/>
        <c:axId val="251518736"/>
      </c:lineChart>
      <c:catAx>
        <c:axId val="2514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8736"/>
        <c:crosses val="autoZero"/>
        <c:auto val="1"/>
        <c:lblAlgn val="ctr"/>
        <c:lblOffset val="100"/>
        <c:noMultiLvlLbl val="0"/>
      </c:catAx>
      <c:valAx>
        <c:axId val="25151873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Comps!$A$7</c:f>
              <c:strCache>
                <c:ptCount val="1"/>
                <c:pt idx="0">
                  <c:v>Netflix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Comps!$B$7:$S$7</c:f>
              <c:numCache>
                <c:formatCode>#,##0</c:formatCode>
                <c:ptCount val="18"/>
                <c:pt idx="0">
                  <c:v>148863</c:v>
                </c:pt>
                <c:pt idx="1">
                  <c:v>151562</c:v>
                </c:pt>
                <c:pt idx="2">
                  <c:v>158334</c:v>
                </c:pt>
                <c:pt idx="3">
                  <c:v>167090</c:v>
                </c:pt>
                <c:pt idx="4">
                  <c:v>182856</c:v>
                </c:pt>
                <c:pt idx="5">
                  <c:v>192947</c:v>
                </c:pt>
                <c:pt idx="6">
                  <c:v>195151</c:v>
                </c:pt>
                <c:pt idx="7">
                  <c:v>203663</c:v>
                </c:pt>
                <c:pt idx="8">
                  <c:v>207639</c:v>
                </c:pt>
                <c:pt idx="9">
                  <c:v>209180</c:v>
                </c:pt>
                <c:pt idx="10">
                  <c:v>213563</c:v>
                </c:pt>
                <c:pt idx="11">
                  <c:v>221844</c:v>
                </c:pt>
                <c:pt idx="12">
                  <c:v>221641</c:v>
                </c:pt>
                <c:pt idx="13">
                  <c:v>220672</c:v>
                </c:pt>
                <c:pt idx="14">
                  <c:v>223085</c:v>
                </c:pt>
                <c:pt idx="15">
                  <c:v>230747</c:v>
                </c:pt>
                <c:pt idx="16">
                  <c:v>232498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6-4442-BDD6-5FDCB0E9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51503"/>
        <c:axId val="2122551983"/>
      </c:lineChart>
      <c:lineChart>
        <c:grouping val="standard"/>
        <c:varyColors val="0"/>
        <c:ser>
          <c:idx val="0"/>
          <c:order val="0"/>
          <c:tx>
            <c:strRef>
              <c:f>Comps!$A$3</c:f>
              <c:strCache>
                <c:ptCount val="1"/>
                <c:pt idx="0">
                  <c:v>Disney+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Comps!$B$3:$S$3</c:f>
              <c:numCache>
                <c:formatCode>General</c:formatCode>
                <c:ptCount val="18"/>
                <c:pt idx="4">
                  <c:v>27</c:v>
                </c:pt>
                <c:pt idx="5">
                  <c:v>34</c:v>
                </c:pt>
                <c:pt idx="6">
                  <c:v>58</c:v>
                </c:pt>
                <c:pt idx="7">
                  <c:v>74</c:v>
                </c:pt>
                <c:pt idx="8">
                  <c:v>95</c:v>
                </c:pt>
                <c:pt idx="9">
                  <c:v>104</c:v>
                </c:pt>
                <c:pt idx="10">
                  <c:v>116</c:v>
                </c:pt>
                <c:pt idx="11">
                  <c:v>118</c:v>
                </c:pt>
                <c:pt idx="12">
                  <c:v>130</c:v>
                </c:pt>
                <c:pt idx="13">
                  <c:v>138</c:v>
                </c:pt>
                <c:pt idx="14">
                  <c:v>152</c:v>
                </c:pt>
                <c:pt idx="15">
                  <c:v>164</c:v>
                </c:pt>
                <c:pt idx="16">
                  <c:v>162</c:v>
                </c:pt>
                <c:pt idx="1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6-4442-BDD6-5FDCB0E9775D}"/>
            </c:ext>
          </c:extLst>
        </c:ser>
        <c:ser>
          <c:idx val="1"/>
          <c:order val="1"/>
          <c:tx>
            <c:strRef>
              <c:f>Comps!$A$4</c:f>
              <c:strCache>
                <c:ptCount val="1"/>
                <c:pt idx="0">
                  <c:v>Paramount+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Comps!$B$4:$S$4</c:f>
              <c:numCache>
                <c:formatCode>General</c:formatCode>
                <c:ptCount val="18"/>
                <c:pt idx="7">
                  <c:v>12</c:v>
                </c:pt>
                <c:pt idx="8">
                  <c:v>17</c:v>
                </c:pt>
                <c:pt idx="9">
                  <c:v>21</c:v>
                </c:pt>
                <c:pt idx="10">
                  <c:v>26</c:v>
                </c:pt>
                <c:pt idx="11">
                  <c:v>33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56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6-4442-BDD6-5FDCB0E9775D}"/>
            </c:ext>
          </c:extLst>
        </c:ser>
        <c:ser>
          <c:idx val="2"/>
          <c:order val="2"/>
          <c:tx>
            <c:strRef>
              <c:f>Comps!$A$5</c:f>
              <c:strCache>
                <c:ptCount val="1"/>
                <c:pt idx="0">
                  <c:v>HBO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Comps!$B$5:$S$5</c:f>
              <c:numCache>
                <c:formatCode>General</c:formatCode>
                <c:ptCount val="18"/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61</c:v>
                </c:pt>
                <c:pt idx="8">
                  <c:v>64</c:v>
                </c:pt>
                <c:pt idx="9">
                  <c:v>68</c:v>
                </c:pt>
                <c:pt idx="10">
                  <c:v>70</c:v>
                </c:pt>
                <c:pt idx="11">
                  <c:v>74</c:v>
                </c:pt>
                <c:pt idx="12">
                  <c:v>77</c:v>
                </c:pt>
                <c:pt idx="13">
                  <c:v>92</c:v>
                </c:pt>
                <c:pt idx="1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6-4442-BDD6-5FDCB0E9775D}"/>
            </c:ext>
          </c:extLst>
        </c:ser>
        <c:ser>
          <c:idx val="3"/>
          <c:order val="3"/>
          <c:tx>
            <c:strRef>
              <c:f>Comps!$A$6</c:f>
              <c:strCache>
                <c:ptCount val="1"/>
                <c:pt idx="0">
                  <c:v>Hulu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Comps!$B$6:$S$6</c:f>
              <c:numCache>
                <c:formatCode>General</c:formatCode>
                <c:ptCount val="18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36</c:v>
                </c:pt>
                <c:pt idx="7">
                  <c:v>37</c:v>
                </c:pt>
                <c:pt idx="8">
                  <c:v>39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6-4442-BDD6-5FDCB0E9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5279"/>
        <c:axId val="210360559"/>
      </c:lineChart>
      <c:catAx>
        <c:axId val="21225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51983"/>
        <c:crosses val="autoZero"/>
        <c:auto val="1"/>
        <c:lblAlgn val="ctr"/>
        <c:lblOffset val="100"/>
        <c:noMultiLvlLbl val="0"/>
      </c:catAx>
      <c:valAx>
        <c:axId val="2122551983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51503"/>
        <c:crosses val="autoZero"/>
        <c:crossBetween val="between"/>
      </c:valAx>
      <c:valAx>
        <c:axId val="210360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5279"/>
        <c:crosses val="max"/>
        <c:crossBetween val="between"/>
      </c:valAx>
      <c:catAx>
        <c:axId val="210355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60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85725</xdr:rowOff>
    </xdr:from>
    <xdr:to>
      <xdr:col>18</xdr:col>
      <xdr:colOff>0</xdr:colOff>
      <xdr:row>58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3762382-98A9-827B-4D50-2766C364CD9D}"/>
            </a:ext>
          </a:extLst>
        </xdr:cNvPr>
        <xdr:cNvCxnSpPr/>
      </xdr:nvCxnSpPr>
      <xdr:spPr>
        <a:xfrm>
          <a:off x="11563350" y="85725"/>
          <a:ext cx="0" cy="6924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0</xdr:rowOff>
    </xdr:from>
    <xdr:to>
      <xdr:col>28</xdr:col>
      <xdr:colOff>9525</xdr:colOff>
      <xdr:row>51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03A04D6-0043-387B-C9BA-41A53E4E6291}"/>
            </a:ext>
          </a:extLst>
        </xdr:cNvPr>
        <xdr:cNvCxnSpPr/>
      </xdr:nvCxnSpPr>
      <xdr:spPr>
        <a:xfrm>
          <a:off x="17659350" y="0"/>
          <a:ext cx="9525" cy="9667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385762</xdr:colOff>
      <xdr:row>61</xdr:row>
      <xdr:rowOff>180975</xdr:rowOff>
    </xdr:from>
    <xdr:to>
      <xdr:col>24</xdr:col>
      <xdr:colOff>400050</xdr:colOff>
      <xdr:row>91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C4DB1-9832-A112-B617-F83FB6EF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457200</xdr:colOff>
      <xdr:row>48</xdr:row>
      <xdr:rowOff>95250</xdr:rowOff>
    </xdr:from>
    <xdr:to>
      <xdr:col>67</xdr:col>
      <xdr:colOff>400049</xdr:colOff>
      <xdr:row>77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E83B29-4B14-1F8E-ADF6-25108A65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509586</xdr:colOff>
      <xdr:row>2</xdr:row>
      <xdr:rowOff>38100</xdr:rowOff>
    </xdr:from>
    <xdr:to>
      <xdr:col>65</xdr:col>
      <xdr:colOff>190499</xdr:colOff>
      <xdr:row>19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95D4BC-69E3-9757-C449-C7C2BCA6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28575</xdr:colOff>
      <xdr:row>78</xdr:row>
      <xdr:rowOff>9525</xdr:rowOff>
    </xdr:from>
    <xdr:to>
      <xdr:col>67</xdr:col>
      <xdr:colOff>581024</xdr:colOff>
      <xdr:row>107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26CB5-78B0-442F-B2DB-1E8E2B53F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390525</xdr:colOff>
      <xdr:row>109</xdr:row>
      <xdr:rowOff>90486</xdr:rowOff>
    </xdr:from>
    <xdr:to>
      <xdr:col>60</xdr:col>
      <xdr:colOff>595312</xdr:colOff>
      <xdr:row>141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CA2FC-8AFB-AA47-4F68-F9DC8FE9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438150</xdr:colOff>
      <xdr:row>2</xdr:row>
      <xdr:rowOff>176212</xdr:rowOff>
    </xdr:from>
    <xdr:to>
      <xdr:col>52</xdr:col>
      <xdr:colOff>133350</xdr:colOff>
      <xdr:row>17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9F8A76-D93E-7F48-7A62-B60B24C0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76201</xdr:colOff>
      <xdr:row>13</xdr:row>
      <xdr:rowOff>19050</xdr:rowOff>
    </xdr:from>
    <xdr:to>
      <xdr:col>55</xdr:col>
      <xdr:colOff>333375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2850C-E591-E790-4412-0D24DF92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opLeftCell="B1" workbookViewId="0">
      <selection activeCell="J2" sqref="J2"/>
    </sheetView>
  </sheetViews>
  <sheetFormatPr defaultRowHeight="15" x14ac:dyDescent="0.25"/>
  <sheetData>
    <row r="1" spans="1:10" x14ac:dyDescent="0.25">
      <c r="A1" s="1" t="s">
        <v>0</v>
      </c>
      <c r="I1" t="s">
        <v>2</v>
      </c>
      <c r="J1">
        <v>401</v>
      </c>
    </row>
    <row r="2" spans="1:10" x14ac:dyDescent="0.25">
      <c r="I2" t="s">
        <v>3</v>
      </c>
      <c r="J2">
        <v>444.536</v>
      </c>
    </row>
    <row r="3" spans="1:10" x14ac:dyDescent="0.25">
      <c r="I3" t="s">
        <v>4</v>
      </c>
      <c r="J3" s="2">
        <f>J1*J2</f>
        <v>178258.93599999999</v>
      </c>
    </row>
    <row r="4" spans="1:10" x14ac:dyDescent="0.25">
      <c r="I4" t="s">
        <v>5</v>
      </c>
      <c r="J4">
        <f>6714+1112</f>
        <v>7826</v>
      </c>
    </row>
    <row r="5" spans="1:10" x14ac:dyDescent="0.25">
      <c r="I5" t="s">
        <v>6</v>
      </c>
      <c r="J5">
        <f>399+14037</f>
        <v>14436</v>
      </c>
    </row>
    <row r="6" spans="1:10" x14ac:dyDescent="0.25">
      <c r="I6" t="s">
        <v>7</v>
      </c>
      <c r="J6" s="2">
        <f>J3-J4+J5</f>
        <v>184868.93599999999</v>
      </c>
    </row>
  </sheetData>
  <hyperlinks>
    <hyperlink ref="A1" location="Model!A1" display="Model" xr:uid="{186FC6C8-4864-42EB-919F-C88D5232E8A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987D-22E7-4019-B3A4-EE21D5F14553}">
  <dimension ref="A1:MW123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S9" sqref="S9"/>
    </sheetView>
  </sheetViews>
  <sheetFormatPr defaultRowHeight="15" x14ac:dyDescent="0.25"/>
  <cols>
    <col min="1" max="1" width="25" bestFit="1" customWidth="1"/>
    <col min="2" max="2" width="7.5703125" bestFit="1" customWidth="1"/>
    <col min="29" max="29" width="10.140625" bestFit="1" customWidth="1"/>
    <col min="43" max="43" width="10.85546875" bestFit="1" customWidth="1"/>
  </cols>
  <sheetData>
    <row r="1" spans="1:71" x14ac:dyDescent="0.25">
      <c r="A1" s="1" t="s">
        <v>1</v>
      </c>
    </row>
    <row r="2" spans="1:7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21</v>
      </c>
      <c r="L2" t="s">
        <v>22</v>
      </c>
      <c r="M2" t="s">
        <v>23</v>
      </c>
      <c r="N2" t="s">
        <v>24</v>
      </c>
      <c r="O2" t="s">
        <v>17</v>
      </c>
      <c r="P2" t="s">
        <v>18</v>
      </c>
      <c r="Q2" t="s">
        <v>19</v>
      </c>
      <c r="R2" t="s">
        <v>20</v>
      </c>
      <c r="S2" t="s">
        <v>25</v>
      </c>
      <c r="T2" t="s">
        <v>94</v>
      </c>
      <c r="X2">
        <v>2018</v>
      </c>
      <c r="Y2">
        <v>2019</v>
      </c>
      <c r="Z2">
        <v>2020</v>
      </c>
      <c r="AA2">
        <v>2021</v>
      </c>
      <c r="AB2">
        <v>2022</v>
      </c>
      <c r="AC2">
        <v>2023</v>
      </c>
      <c r="AD2">
        <f>AC2+1</f>
        <v>2024</v>
      </c>
      <c r="AE2">
        <f t="shared" ref="AE2:AL2" si="0">AD2+1</f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</row>
    <row r="3" spans="1:71" x14ac:dyDescent="0.25">
      <c r="A3" t="s">
        <v>40</v>
      </c>
      <c r="B3" s="2">
        <v>66633</v>
      </c>
      <c r="C3" s="2">
        <v>66501</v>
      </c>
      <c r="D3" s="2">
        <v>67114</v>
      </c>
      <c r="E3" s="2">
        <v>67662</v>
      </c>
      <c r="F3" s="2">
        <v>69969</v>
      </c>
      <c r="G3" s="2">
        <v>72904</v>
      </c>
      <c r="H3" s="2">
        <v>73081</v>
      </c>
      <c r="I3" s="2">
        <v>73936</v>
      </c>
      <c r="J3" s="2">
        <v>74384</v>
      </c>
      <c r="K3" s="2">
        <v>73951</v>
      </c>
      <c r="L3" s="2">
        <v>74024</v>
      </c>
      <c r="M3" s="2">
        <v>75215</v>
      </c>
      <c r="N3" s="2">
        <v>74579</v>
      </c>
      <c r="O3" s="2">
        <v>73283</v>
      </c>
      <c r="P3" s="2">
        <v>73387</v>
      </c>
      <c r="Q3" s="2">
        <v>74296</v>
      </c>
      <c r="R3" s="2">
        <v>74398</v>
      </c>
      <c r="S3" s="2">
        <v>75570</v>
      </c>
      <c r="Y3" s="2">
        <v>67662</v>
      </c>
      <c r="Z3" s="2">
        <v>73936</v>
      </c>
      <c r="AA3" s="2">
        <v>75215</v>
      </c>
      <c r="AB3" s="2">
        <v>74296</v>
      </c>
    </row>
    <row r="4" spans="1:71" x14ac:dyDescent="0.25">
      <c r="A4" t="s">
        <v>41</v>
      </c>
      <c r="B4" s="2">
        <v>42542</v>
      </c>
      <c r="C4" s="2">
        <v>44229</v>
      </c>
      <c r="D4" s="2">
        <v>47355</v>
      </c>
      <c r="E4" s="2">
        <v>51778</v>
      </c>
      <c r="F4" s="2">
        <v>58734</v>
      </c>
      <c r="G4" s="2">
        <v>61483</v>
      </c>
      <c r="H4" s="2">
        <v>62242</v>
      </c>
      <c r="I4" s="2">
        <v>66698</v>
      </c>
      <c r="J4" s="2">
        <v>68508</v>
      </c>
      <c r="K4" s="2">
        <v>68696</v>
      </c>
      <c r="L4" s="2">
        <v>70500</v>
      </c>
      <c r="M4" s="2">
        <v>74036</v>
      </c>
      <c r="N4" s="2">
        <v>73733</v>
      </c>
      <c r="O4" s="2">
        <v>72966</v>
      </c>
      <c r="P4" s="2">
        <v>73534</v>
      </c>
      <c r="Q4" s="2">
        <v>76729</v>
      </c>
      <c r="R4" s="2">
        <v>77373</v>
      </c>
      <c r="S4" s="2">
        <v>79810</v>
      </c>
      <c r="Y4" s="2">
        <v>51778</v>
      </c>
      <c r="Z4" s="2">
        <v>66698</v>
      </c>
      <c r="AA4" s="2">
        <v>74036</v>
      </c>
      <c r="AB4" s="2">
        <v>76729</v>
      </c>
    </row>
    <row r="5" spans="1:71" x14ac:dyDescent="0.25">
      <c r="A5" t="s">
        <v>42</v>
      </c>
      <c r="B5" s="2">
        <v>27547</v>
      </c>
      <c r="C5" s="2">
        <v>27890</v>
      </c>
      <c r="D5" s="2">
        <v>29380</v>
      </c>
      <c r="E5" s="2">
        <v>31417</v>
      </c>
      <c r="F5" s="2">
        <v>34318</v>
      </c>
      <c r="G5" s="2">
        <v>36068</v>
      </c>
      <c r="H5" s="2">
        <v>36324</v>
      </c>
      <c r="I5" s="2">
        <v>37537</v>
      </c>
      <c r="J5" s="2">
        <v>37894</v>
      </c>
      <c r="K5" s="2">
        <v>38658</v>
      </c>
      <c r="L5" s="2">
        <v>38988</v>
      </c>
      <c r="M5" s="2">
        <v>39961</v>
      </c>
      <c r="N5" s="2">
        <v>39610</v>
      </c>
      <c r="O5" s="2">
        <v>39624</v>
      </c>
      <c r="P5" s="2">
        <v>39936</v>
      </c>
      <c r="Q5" s="2">
        <v>41699</v>
      </c>
      <c r="R5" s="2">
        <v>41249</v>
      </c>
      <c r="S5" s="2">
        <v>42470</v>
      </c>
      <c r="Y5" s="2">
        <v>31417</v>
      </c>
      <c r="Z5" s="2">
        <v>37537</v>
      </c>
      <c r="AA5" s="2">
        <v>39961</v>
      </c>
      <c r="AB5" s="2">
        <v>41699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1:71" x14ac:dyDescent="0.25">
      <c r="A6" t="s">
        <v>43</v>
      </c>
      <c r="B6" s="2">
        <v>12141</v>
      </c>
      <c r="C6" s="2">
        <v>12942</v>
      </c>
      <c r="D6" s="2">
        <v>14485</v>
      </c>
      <c r="E6" s="2">
        <v>16233</v>
      </c>
      <c r="F6" s="2">
        <v>19835</v>
      </c>
      <c r="G6" s="2">
        <v>22492</v>
      </c>
      <c r="H6" s="2">
        <v>23504</v>
      </c>
      <c r="I6" s="2">
        <v>25492</v>
      </c>
      <c r="J6" s="2">
        <v>26853</v>
      </c>
      <c r="K6" s="2">
        <v>27875</v>
      </c>
      <c r="L6" s="2">
        <v>30051</v>
      </c>
      <c r="M6" s="2">
        <v>32632</v>
      </c>
      <c r="N6" s="2">
        <v>33719</v>
      </c>
      <c r="O6" s="2">
        <v>34799</v>
      </c>
      <c r="P6" s="2">
        <v>36228</v>
      </c>
      <c r="Q6" s="2">
        <v>38023</v>
      </c>
      <c r="R6" s="2">
        <v>39478</v>
      </c>
      <c r="S6" s="2">
        <v>40550</v>
      </c>
      <c r="Y6" s="2">
        <v>16233</v>
      </c>
      <c r="Z6" s="2">
        <v>25492</v>
      </c>
      <c r="AA6" s="2">
        <v>32632</v>
      </c>
      <c r="AB6" s="2">
        <v>38023</v>
      </c>
    </row>
    <row r="7" spans="1:71" s="3" customFormat="1" x14ac:dyDescent="0.25">
      <c r="A7" s="3" t="s">
        <v>44</v>
      </c>
      <c r="B7" s="5">
        <f t="shared" ref="B7:E7" si="1">SUM(B3:B6)</f>
        <v>148863</v>
      </c>
      <c r="C7" s="5">
        <f t="shared" si="1"/>
        <v>151562</v>
      </c>
      <c r="D7" s="5">
        <f t="shared" si="1"/>
        <v>158334</v>
      </c>
      <c r="E7" s="5">
        <f t="shared" si="1"/>
        <v>167090</v>
      </c>
      <c r="F7" s="5">
        <f t="shared" ref="F7" si="2">SUM(F3:F6)</f>
        <v>182856</v>
      </c>
      <c r="G7" s="5">
        <f t="shared" ref="G7:S7" si="3">SUM(G3:G6)</f>
        <v>192947</v>
      </c>
      <c r="H7" s="5">
        <f t="shared" si="3"/>
        <v>195151</v>
      </c>
      <c r="I7" s="5">
        <f t="shared" si="3"/>
        <v>203663</v>
      </c>
      <c r="J7" s="5">
        <f t="shared" si="3"/>
        <v>207639</v>
      </c>
      <c r="K7" s="5">
        <f t="shared" si="3"/>
        <v>209180</v>
      </c>
      <c r="L7" s="5">
        <f t="shared" si="3"/>
        <v>213563</v>
      </c>
      <c r="M7" s="5">
        <f t="shared" si="3"/>
        <v>221844</v>
      </c>
      <c r="N7" s="5">
        <f t="shared" si="3"/>
        <v>221641</v>
      </c>
      <c r="O7" s="5">
        <f t="shared" si="3"/>
        <v>220672</v>
      </c>
      <c r="P7" s="5">
        <f t="shared" si="3"/>
        <v>223085</v>
      </c>
      <c r="Q7" s="5">
        <f t="shared" si="3"/>
        <v>230747</v>
      </c>
      <c r="R7" s="5">
        <f t="shared" si="3"/>
        <v>232498</v>
      </c>
      <c r="S7" s="5">
        <f t="shared" si="3"/>
        <v>238400</v>
      </c>
      <c r="X7" s="5">
        <v>139260</v>
      </c>
      <c r="Y7" s="5">
        <f t="shared" ref="Y7:Z7" si="4">SUM(Y3:Y6)</f>
        <v>167090</v>
      </c>
      <c r="Z7" s="5">
        <f t="shared" si="4"/>
        <v>203663</v>
      </c>
      <c r="AA7" s="5">
        <f>SUM(AA3:AA6)</f>
        <v>221844</v>
      </c>
      <c r="AB7" s="5">
        <f>SUM(AB3:AB6)</f>
        <v>230747</v>
      </c>
      <c r="AC7" s="5">
        <f>AB7*0.975</f>
        <v>224978.32499999998</v>
      </c>
      <c r="AD7" s="5">
        <f>AC7*1.02</f>
        <v>229477.8915</v>
      </c>
      <c r="AE7" s="5">
        <f>AD7*1.03</f>
        <v>236362.22824500001</v>
      </c>
      <c r="AF7" s="5">
        <f t="shared" ref="AF7:AL7" si="5">AE7*1.03</f>
        <v>243453.09509235001</v>
      </c>
      <c r="AG7" s="5">
        <f t="shared" si="5"/>
        <v>250756.6879451205</v>
      </c>
      <c r="AH7" s="5">
        <f t="shared" si="5"/>
        <v>258279.38858347412</v>
      </c>
      <c r="AI7" s="5">
        <f t="shared" si="5"/>
        <v>266027.77024097834</v>
      </c>
      <c r="AJ7" s="5">
        <f t="shared" si="5"/>
        <v>274008.60334820772</v>
      </c>
      <c r="AK7" s="5">
        <f t="shared" si="5"/>
        <v>282228.86144865397</v>
      </c>
      <c r="AL7" s="5">
        <f t="shared" si="5"/>
        <v>290695.72729211359</v>
      </c>
    </row>
    <row r="8" spans="1:71" x14ac:dyDescent="0.25">
      <c r="A8" t="s">
        <v>84</v>
      </c>
      <c r="B8" s="13">
        <f t="shared" ref="B8:Q8" si="6">B9/(B7/1000)</f>
        <v>30.363488576745063</v>
      </c>
      <c r="C8" s="13">
        <f t="shared" si="6"/>
        <v>32.481756640846648</v>
      </c>
      <c r="D8" s="13">
        <f t="shared" si="6"/>
        <v>33.119860547955589</v>
      </c>
      <c r="E8" s="13">
        <f t="shared" si="6"/>
        <v>32.718894009216591</v>
      </c>
      <c r="F8" s="13">
        <f t="shared" si="6"/>
        <v>31.538478365489784</v>
      </c>
      <c r="G8" s="13">
        <f t="shared" si="6"/>
        <v>31.863672407448679</v>
      </c>
      <c r="H8" s="13">
        <f t="shared" si="6"/>
        <v>32.974465926385207</v>
      </c>
      <c r="I8" s="13">
        <f t="shared" si="6"/>
        <v>32.622518572347452</v>
      </c>
      <c r="J8" s="13">
        <f t="shared" si="6"/>
        <v>34.497372844215199</v>
      </c>
      <c r="K8" s="13">
        <f t="shared" si="6"/>
        <v>35.094177263600727</v>
      </c>
      <c r="L8" s="13">
        <f t="shared" si="6"/>
        <v>35.038840997738376</v>
      </c>
      <c r="M8" s="13">
        <f t="shared" si="6"/>
        <v>34.749643893907432</v>
      </c>
      <c r="N8" s="13">
        <f t="shared" si="6"/>
        <v>35.494335434328491</v>
      </c>
      <c r="O8" s="13">
        <f t="shared" si="6"/>
        <v>36.116951856148489</v>
      </c>
      <c r="P8" s="13">
        <f t="shared" si="6"/>
        <v>35.524575834323237</v>
      </c>
      <c r="Q8" s="13">
        <f t="shared" si="6"/>
        <v>34.028611422900404</v>
      </c>
      <c r="R8" s="13">
        <f>R9/(R7/1000)</f>
        <v>35.101377216148094</v>
      </c>
      <c r="S8" s="13">
        <f>S9/(S7/1000)</f>
        <v>34.341442953020135</v>
      </c>
      <c r="T8" s="13"/>
      <c r="U8" s="13"/>
      <c r="X8" s="4">
        <f>X9/(X7/1000)</f>
        <v>113.41375843745513</v>
      </c>
      <c r="Y8" s="4">
        <f t="shared" ref="Y8:AB8" si="7">Y9/(Y7/1000)</f>
        <v>120.62960081393261</v>
      </c>
      <c r="Z8" s="4">
        <f t="shared" si="7"/>
        <v>122.73216048079425</v>
      </c>
      <c r="AA8" s="4">
        <f t="shared" si="7"/>
        <v>133.86433710174717</v>
      </c>
      <c r="AB8" s="4">
        <f t="shared" si="7"/>
        <v>137.01153211092668</v>
      </c>
      <c r="AC8" s="13">
        <f>6.043*6 + 107.4+8</f>
        <v>151.65800000000002</v>
      </c>
      <c r="AD8" s="13">
        <f>6.043*7 + 107.4+8</f>
        <v>157.70100000000002</v>
      </c>
      <c r="AE8" s="13">
        <f>6.043*8+ 107.4+8</f>
        <v>163.744</v>
      </c>
      <c r="AF8" s="13">
        <f>6.043*9 + 107.4+8</f>
        <v>169.78700000000001</v>
      </c>
      <c r="AG8" s="13">
        <f>6.043*10 + 107.4+8</f>
        <v>175.83</v>
      </c>
      <c r="AH8" s="13">
        <f>6.043*11 + 107.4+8</f>
        <v>181.87299999999999</v>
      </c>
      <c r="AI8" s="13">
        <f>6.043*12 + 107.4+8</f>
        <v>187.916</v>
      </c>
      <c r="AJ8" s="13">
        <f>6.043*13 + 107.4+8</f>
        <v>193.959</v>
      </c>
      <c r="AK8" s="13">
        <f>6.043*14 + 107.4+8</f>
        <v>200.00200000000001</v>
      </c>
      <c r="AL8" s="13">
        <f>6.043*15 + 107.4+8</f>
        <v>206.04500000000002</v>
      </c>
    </row>
    <row r="9" spans="1:71" x14ac:dyDescent="0.25">
      <c r="A9" t="s">
        <v>26</v>
      </c>
      <c r="B9" s="2">
        <v>4520</v>
      </c>
      <c r="C9" s="2">
        <v>4923</v>
      </c>
      <c r="D9" s="2">
        <v>5244</v>
      </c>
      <c r="E9" s="2">
        <v>5467</v>
      </c>
      <c r="F9" s="2">
        <v>5767</v>
      </c>
      <c r="G9" s="2">
        <v>6148</v>
      </c>
      <c r="H9" s="2">
        <v>6435</v>
      </c>
      <c r="I9" s="2">
        <v>6644</v>
      </c>
      <c r="J9" s="2">
        <v>7163</v>
      </c>
      <c r="K9" s="2">
        <v>7341</v>
      </c>
      <c r="L9" s="2">
        <v>7483</v>
      </c>
      <c r="M9" s="2">
        <v>7709</v>
      </c>
      <c r="N9" s="2">
        <v>7867</v>
      </c>
      <c r="O9" s="2">
        <v>7970</v>
      </c>
      <c r="P9" s="2">
        <v>7925</v>
      </c>
      <c r="Q9" s="2">
        <v>7852</v>
      </c>
      <c r="R9" s="2">
        <v>8161</v>
      </c>
      <c r="S9" s="2">
        <v>8187</v>
      </c>
      <c r="T9" s="2">
        <v>8520</v>
      </c>
      <c r="X9" s="2">
        <v>15794</v>
      </c>
      <c r="Y9" s="2">
        <v>20156</v>
      </c>
      <c r="Z9" s="2">
        <v>24996</v>
      </c>
      <c r="AA9" s="2">
        <v>29697</v>
      </c>
      <c r="AB9" s="2">
        <v>31615</v>
      </c>
      <c r="AC9" s="2">
        <f>AC7*AC8/1000</f>
        <v>34119.76281285</v>
      </c>
      <c r="AD9" s="2">
        <f t="shared" ref="AD9:AL9" si="8">AD7*AD8/1000</f>
        <v>36188.892967441505</v>
      </c>
      <c r="AE9" s="2">
        <f t="shared" si="8"/>
        <v>38702.896701749283</v>
      </c>
      <c r="AF9" s="2">
        <f t="shared" si="8"/>
        <v>41335.170656444832</v>
      </c>
      <c r="AG9" s="2">
        <f t="shared" si="8"/>
        <v>44090.548441390543</v>
      </c>
      <c r="AH9" s="2">
        <f t="shared" si="8"/>
        <v>46974.047239842184</v>
      </c>
      <c r="AI9" s="2">
        <f t="shared" si="8"/>
        <v>49990.874472603689</v>
      </c>
      <c r="AJ9" s="2">
        <f t="shared" si="8"/>
        <v>53146.43469681502</v>
      </c>
      <c r="AK9" s="2">
        <f t="shared" si="8"/>
        <v>56446.336747453694</v>
      </c>
      <c r="AL9" s="2">
        <f t="shared" si="8"/>
        <v>59896.401129903548</v>
      </c>
    </row>
    <row r="10" spans="1:71" x14ac:dyDescent="0.25">
      <c r="A10" t="s">
        <v>27</v>
      </c>
      <c r="B10" s="2">
        <v>2870</v>
      </c>
      <c r="C10" s="2">
        <v>3005</v>
      </c>
      <c r="D10" s="2">
        <v>3097</v>
      </c>
      <c r="E10" s="2">
        <v>3466</v>
      </c>
      <c r="F10" s="2">
        <v>3599</v>
      </c>
      <c r="G10" s="2">
        <v>3643</v>
      </c>
      <c r="H10" s="2">
        <v>3867</v>
      </c>
      <c r="I10" s="2">
        <v>4165</v>
      </c>
      <c r="J10" s="2">
        <v>3868</v>
      </c>
      <c r="K10" s="2">
        <v>4018</v>
      </c>
      <c r="L10" s="2">
        <v>4206</v>
      </c>
      <c r="M10" s="2">
        <v>5239</v>
      </c>
      <c r="N10" s="2">
        <v>4284</v>
      </c>
      <c r="O10" s="2">
        <v>4690</v>
      </c>
      <c r="P10" s="2">
        <v>4788</v>
      </c>
      <c r="Q10" s="2">
        <v>5404</v>
      </c>
      <c r="R10" s="2">
        <v>4803</v>
      </c>
      <c r="S10" s="2">
        <v>4673</v>
      </c>
      <c r="X10" s="2">
        <v>9967</v>
      </c>
      <c r="Y10" s="2">
        <v>12440</v>
      </c>
      <c r="Z10" s="2">
        <v>15276</v>
      </c>
      <c r="AA10" s="2">
        <v>17332</v>
      </c>
      <c r="AB10" s="2">
        <v>19168</v>
      </c>
      <c r="AC10" s="2">
        <f>AC9-AC11</f>
        <v>20130.660059581503</v>
      </c>
      <c r="AD10" s="2">
        <f t="shared" ref="AD10:AL10" si="9">AD9-AD11</f>
        <v>21351.446850790489</v>
      </c>
      <c r="AE10" s="2">
        <f t="shared" si="9"/>
        <v>22834.709054032079</v>
      </c>
      <c r="AF10" s="2">
        <f t="shared" si="9"/>
        <v>24387.75068730245</v>
      </c>
      <c r="AG10" s="2">
        <f t="shared" si="9"/>
        <v>26013.423580420422</v>
      </c>
      <c r="AH10" s="2">
        <f t="shared" si="9"/>
        <v>27714.687871506889</v>
      </c>
      <c r="AI10" s="2">
        <f t="shared" si="9"/>
        <v>29494.615938836178</v>
      </c>
      <c r="AJ10" s="2">
        <f t="shared" si="9"/>
        <v>31356.396471120865</v>
      </c>
      <c r="AK10" s="2">
        <f t="shared" si="9"/>
        <v>33303.33868099768</v>
      </c>
      <c r="AL10" s="2">
        <f t="shared" si="9"/>
        <v>35338.876666643097</v>
      </c>
    </row>
    <row r="11" spans="1:71" x14ac:dyDescent="0.25">
      <c r="A11" s="3" t="s">
        <v>39</v>
      </c>
      <c r="B11" s="5">
        <f t="shared" ref="B11:D11" si="10">B9-B10</f>
        <v>1650</v>
      </c>
      <c r="C11" s="5">
        <f t="shared" si="10"/>
        <v>1918</v>
      </c>
      <c r="D11" s="5">
        <f t="shared" si="10"/>
        <v>2147</v>
      </c>
      <c r="E11" s="5">
        <f t="shared" ref="E11:F11" si="11">E9-E10</f>
        <v>2001</v>
      </c>
      <c r="F11" s="5">
        <f t="shared" si="11"/>
        <v>2168</v>
      </c>
      <c r="G11" s="5">
        <f t="shared" ref="G11:S11" si="12">G9-G10</f>
        <v>2505</v>
      </c>
      <c r="H11" s="5">
        <f t="shared" si="12"/>
        <v>2568</v>
      </c>
      <c r="I11" s="5">
        <f t="shared" si="12"/>
        <v>2479</v>
      </c>
      <c r="J11" s="5">
        <f t="shared" si="12"/>
        <v>3295</v>
      </c>
      <c r="K11" s="5">
        <f t="shared" si="12"/>
        <v>3323</v>
      </c>
      <c r="L11" s="5">
        <f t="shared" si="12"/>
        <v>3277</v>
      </c>
      <c r="M11" s="5">
        <f t="shared" si="12"/>
        <v>2470</v>
      </c>
      <c r="N11" s="5">
        <f t="shared" si="12"/>
        <v>3583</v>
      </c>
      <c r="O11" s="5">
        <f t="shared" si="12"/>
        <v>3280</v>
      </c>
      <c r="P11" s="5">
        <f t="shared" si="12"/>
        <v>3137</v>
      </c>
      <c r="Q11" s="5">
        <f t="shared" si="12"/>
        <v>2448</v>
      </c>
      <c r="R11" s="5">
        <f t="shared" si="12"/>
        <v>3358</v>
      </c>
      <c r="S11" s="5">
        <f t="shared" si="12"/>
        <v>3514</v>
      </c>
      <c r="X11" s="5">
        <f>X9-X10</f>
        <v>5827</v>
      </c>
      <c r="Y11" s="5">
        <f>Y9-Y10</f>
        <v>7716</v>
      </c>
      <c r="Z11" s="5">
        <f>Z9-Z10</f>
        <v>9720</v>
      </c>
      <c r="AA11" s="5">
        <f>AA9-AA10</f>
        <v>12365</v>
      </c>
      <c r="AB11" s="5">
        <f>AB9-AB10</f>
        <v>12447</v>
      </c>
      <c r="AC11" s="5">
        <f>AC9*0.41</f>
        <v>13989.102753268498</v>
      </c>
      <c r="AD11" s="5">
        <f t="shared" ref="AD11:AL11" si="13">AD9*0.41</f>
        <v>14837.446116651015</v>
      </c>
      <c r="AE11" s="5">
        <f t="shared" si="13"/>
        <v>15868.187647717205</v>
      </c>
      <c r="AF11" s="5">
        <f t="shared" si="13"/>
        <v>16947.419969142382</v>
      </c>
      <c r="AG11" s="5">
        <f t="shared" si="13"/>
        <v>18077.124860970122</v>
      </c>
      <c r="AH11" s="5">
        <f t="shared" si="13"/>
        <v>19259.359368335296</v>
      </c>
      <c r="AI11" s="5">
        <f t="shared" si="13"/>
        <v>20496.258533767512</v>
      </c>
      <c r="AJ11" s="5">
        <f t="shared" si="13"/>
        <v>21790.038225694156</v>
      </c>
      <c r="AK11" s="5">
        <f t="shared" si="13"/>
        <v>23142.998066456013</v>
      </c>
      <c r="AL11" s="5">
        <f t="shared" si="13"/>
        <v>24557.524463260452</v>
      </c>
    </row>
    <row r="12" spans="1:71" x14ac:dyDescent="0.25">
      <c r="A12" t="s">
        <v>28</v>
      </c>
      <c r="B12" s="2">
        <v>616</v>
      </c>
      <c r="C12" s="2">
        <v>603</v>
      </c>
      <c r="D12" s="2">
        <v>553</v>
      </c>
      <c r="E12" s="2">
        <v>878</v>
      </c>
      <c r="F12" s="2">
        <v>503</v>
      </c>
      <c r="G12" s="2">
        <v>434</v>
      </c>
      <c r="H12" s="2">
        <v>527</v>
      </c>
      <c r="I12" s="2">
        <v>762</v>
      </c>
      <c r="J12" s="2">
        <v>512</v>
      </c>
      <c r="K12" s="2">
        <v>603</v>
      </c>
      <c r="L12" s="2">
        <v>635</v>
      </c>
      <c r="M12" s="2">
        <v>792</v>
      </c>
      <c r="N12" s="2">
        <v>555</v>
      </c>
      <c r="O12" s="2">
        <v>574</v>
      </c>
      <c r="P12" s="2">
        <v>567</v>
      </c>
      <c r="Q12" s="2">
        <v>831</v>
      </c>
      <c r="R12" s="2">
        <v>555</v>
      </c>
      <c r="S12" s="2">
        <v>627</v>
      </c>
      <c r="X12" s="2">
        <v>2369</v>
      </c>
      <c r="Y12" s="2">
        <v>2652</v>
      </c>
      <c r="Z12" s="2">
        <v>2228</v>
      </c>
      <c r="AA12" s="2">
        <v>2545</v>
      </c>
      <c r="AB12" s="2">
        <v>2530</v>
      </c>
    </row>
    <row r="13" spans="1:71" x14ac:dyDescent="0.25">
      <c r="A13" t="s">
        <v>29</v>
      </c>
      <c r="B13" s="2">
        <v>372</v>
      </c>
      <c r="C13" s="2">
        <v>383</v>
      </c>
      <c r="D13" s="2">
        <v>379</v>
      </c>
      <c r="E13" s="2">
        <v>409</v>
      </c>
      <c r="F13" s="2">
        <v>453</v>
      </c>
      <c r="G13" s="2">
        <v>435</v>
      </c>
      <c r="H13" s="2">
        <v>453</v>
      </c>
      <c r="I13" s="2">
        <v>486</v>
      </c>
      <c r="J13" s="2">
        <v>525</v>
      </c>
      <c r="K13" s="2">
        <v>537</v>
      </c>
      <c r="L13" s="2">
        <v>563</v>
      </c>
      <c r="M13" s="2">
        <v>647</v>
      </c>
      <c r="N13" s="2">
        <v>657</v>
      </c>
      <c r="O13" s="2">
        <v>716</v>
      </c>
      <c r="P13" s="2">
        <v>662</v>
      </c>
      <c r="Q13" s="2">
        <v>673</v>
      </c>
      <c r="R13" s="2">
        <v>687</v>
      </c>
      <c r="S13" s="2">
        <v>658</v>
      </c>
      <c r="X13" s="2">
        <v>1221</v>
      </c>
      <c r="Y13" s="2">
        <v>1545</v>
      </c>
      <c r="Z13" s="2">
        <v>1829</v>
      </c>
      <c r="AA13" s="2">
        <v>2273</v>
      </c>
      <c r="AB13" s="2">
        <v>2711</v>
      </c>
    </row>
    <row r="14" spans="1:71" x14ac:dyDescent="0.25">
      <c r="A14" t="s">
        <v>30</v>
      </c>
      <c r="B14" s="2">
        <v>201</v>
      </c>
      <c r="C14" s="2">
        <v>224</v>
      </c>
      <c r="D14" s="2">
        <v>233</v>
      </c>
      <c r="E14" s="2">
        <v>254</v>
      </c>
      <c r="F14" s="2">
        <v>252</v>
      </c>
      <c r="G14" s="2">
        <v>277</v>
      </c>
      <c r="H14" s="2">
        <v>271</v>
      </c>
      <c r="I14" s="2">
        <v>275</v>
      </c>
      <c r="J14" s="2">
        <v>297</v>
      </c>
      <c r="K14" s="2">
        <v>334</v>
      </c>
      <c r="L14" s="2">
        <v>321</v>
      </c>
      <c r="M14" s="2">
        <v>397</v>
      </c>
      <c r="N14" s="2">
        <v>397</v>
      </c>
      <c r="O14" s="2">
        <v>409</v>
      </c>
      <c r="P14" s="2">
        <v>373</v>
      </c>
      <c r="Q14" s="2">
        <v>392</v>
      </c>
      <c r="R14" s="2">
        <v>400</v>
      </c>
      <c r="S14" s="2">
        <v>401</v>
      </c>
      <c r="X14" s="2">
        <v>630</v>
      </c>
      <c r="Y14" s="2">
        <v>915</v>
      </c>
      <c r="Z14" s="2">
        <v>1076</v>
      </c>
      <c r="AA14" s="2">
        <v>1351</v>
      </c>
      <c r="AB14" s="2">
        <v>1572</v>
      </c>
    </row>
    <row r="15" spans="1:71" x14ac:dyDescent="0.25">
      <c r="A15" t="s">
        <v>31</v>
      </c>
      <c r="B15" s="2">
        <f t="shared" ref="B15:D15" si="14">SUM(B12:B14)</f>
        <v>1189</v>
      </c>
      <c r="C15" s="2">
        <f t="shared" si="14"/>
        <v>1210</v>
      </c>
      <c r="D15" s="2">
        <f t="shared" si="14"/>
        <v>1165</v>
      </c>
      <c r="E15" s="2">
        <f t="shared" ref="E15:F15" si="15">SUM(E12:E14)</f>
        <v>1541</v>
      </c>
      <c r="F15" s="2">
        <f t="shared" si="15"/>
        <v>1208</v>
      </c>
      <c r="G15" s="2">
        <f t="shared" ref="G15:S15" si="16">SUM(G12:G14)</f>
        <v>1146</v>
      </c>
      <c r="H15" s="2">
        <f t="shared" si="16"/>
        <v>1251</v>
      </c>
      <c r="I15" s="2">
        <f t="shared" si="16"/>
        <v>1523</v>
      </c>
      <c r="J15" s="2">
        <f t="shared" si="16"/>
        <v>1334</v>
      </c>
      <c r="K15" s="2">
        <f t="shared" si="16"/>
        <v>1474</v>
      </c>
      <c r="L15" s="2">
        <f t="shared" si="16"/>
        <v>1519</v>
      </c>
      <c r="M15" s="2">
        <f t="shared" si="16"/>
        <v>1836</v>
      </c>
      <c r="N15" s="2">
        <f t="shared" si="16"/>
        <v>1609</v>
      </c>
      <c r="O15" s="2">
        <f t="shared" si="16"/>
        <v>1699</v>
      </c>
      <c r="P15" s="2">
        <f t="shared" si="16"/>
        <v>1602</v>
      </c>
      <c r="Q15" s="2">
        <f t="shared" si="16"/>
        <v>1896</v>
      </c>
      <c r="R15" s="2">
        <f t="shared" si="16"/>
        <v>1642</v>
      </c>
      <c r="S15" s="2">
        <f t="shared" si="16"/>
        <v>1686</v>
      </c>
      <c r="T15" s="2"/>
      <c r="X15" s="2">
        <f>SUM(X12:X14)</f>
        <v>4220</v>
      </c>
      <c r="Y15" s="2">
        <f>SUM(Y12:Y14)</f>
        <v>5112</v>
      </c>
      <c r="Z15" s="2">
        <f>SUM(Z12:Z14)</f>
        <v>5133</v>
      </c>
      <c r="AA15" s="2">
        <f>SUM(AA12:AA14)</f>
        <v>6169</v>
      </c>
      <c r="AB15" s="2">
        <f>SUM(AB12:AB14)</f>
        <v>6813</v>
      </c>
    </row>
    <row r="16" spans="1:71" x14ac:dyDescent="0.25">
      <c r="A16" t="s">
        <v>32</v>
      </c>
      <c r="B16" s="2">
        <f t="shared" ref="B16:D16" si="17">B11-B15</f>
        <v>461</v>
      </c>
      <c r="C16" s="2">
        <f t="shared" si="17"/>
        <v>708</v>
      </c>
      <c r="D16" s="2">
        <f t="shared" si="17"/>
        <v>982</v>
      </c>
      <c r="E16" s="2">
        <f t="shared" ref="E16:F16" si="18">E11-E15</f>
        <v>460</v>
      </c>
      <c r="F16" s="2">
        <f t="shared" si="18"/>
        <v>960</v>
      </c>
      <c r="G16" s="2">
        <f t="shared" ref="G16:R16" si="19">G11-G15</f>
        <v>1359</v>
      </c>
      <c r="H16" s="2">
        <f t="shared" si="19"/>
        <v>1317</v>
      </c>
      <c r="I16" s="2">
        <f t="shared" si="19"/>
        <v>956</v>
      </c>
      <c r="J16" s="2">
        <f t="shared" si="19"/>
        <v>1961</v>
      </c>
      <c r="K16" s="2">
        <f t="shared" si="19"/>
        <v>1849</v>
      </c>
      <c r="L16" s="2">
        <f t="shared" si="19"/>
        <v>1758</v>
      </c>
      <c r="M16" s="2">
        <f t="shared" si="19"/>
        <v>634</v>
      </c>
      <c r="N16" s="2">
        <f t="shared" si="19"/>
        <v>1974</v>
      </c>
      <c r="O16" s="2">
        <f t="shared" si="19"/>
        <v>1581</v>
      </c>
      <c r="P16" s="2">
        <f t="shared" si="19"/>
        <v>1535</v>
      </c>
      <c r="Q16" s="2">
        <f t="shared" si="19"/>
        <v>552</v>
      </c>
      <c r="R16" s="2">
        <f t="shared" si="19"/>
        <v>1716</v>
      </c>
      <c r="S16" s="2">
        <f>S11-S15</f>
        <v>1828</v>
      </c>
      <c r="X16" s="2">
        <f>X11-X15</f>
        <v>1607</v>
      </c>
      <c r="Y16" s="2">
        <f>Y11-Y15</f>
        <v>2604</v>
      </c>
      <c r="Z16" s="2">
        <f>Z11-Z15</f>
        <v>4587</v>
      </c>
      <c r="AA16" s="2">
        <f>AA11-AA15</f>
        <v>6196</v>
      </c>
      <c r="AB16" s="2">
        <f>AB11-AB15</f>
        <v>5634</v>
      </c>
      <c r="AC16" s="2">
        <f>AC9*0.19</f>
        <v>6482.7549344415002</v>
      </c>
      <c r="AD16" s="2">
        <f t="shared" ref="AD16:AL16" si="20">AD9*0.19</f>
        <v>6875.8896638138858</v>
      </c>
      <c r="AE16" s="2">
        <f t="shared" si="20"/>
        <v>7353.550373332364</v>
      </c>
      <c r="AF16" s="2">
        <f t="shared" si="20"/>
        <v>7853.6824247245186</v>
      </c>
      <c r="AG16" s="2">
        <f t="shared" si="20"/>
        <v>8377.204203864203</v>
      </c>
      <c r="AH16" s="2">
        <f t="shared" si="20"/>
        <v>8925.068975570015</v>
      </c>
      <c r="AI16" s="2">
        <f t="shared" si="20"/>
        <v>9498.2661497947011</v>
      </c>
      <c r="AJ16" s="2">
        <f t="shared" si="20"/>
        <v>10097.822592394854</v>
      </c>
      <c r="AK16" s="2">
        <f t="shared" si="20"/>
        <v>10724.803982016201</v>
      </c>
      <c r="AL16" s="2">
        <f t="shared" si="20"/>
        <v>11380.316214681674</v>
      </c>
    </row>
    <row r="17" spans="1:361" x14ac:dyDescent="0.25">
      <c r="A17" t="s">
        <v>33</v>
      </c>
      <c r="B17" s="2">
        <v>-135</v>
      </c>
      <c r="C17" s="2">
        <v>-152</v>
      </c>
      <c r="D17" s="2">
        <v>-160</v>
      </c>
      <c r="E17" s="2">
        <v>-177</v>
      </c>
      <c r="F17" s="2">
        <v>-184</v>
      </c>
      <c r="G17" s="2">
        <v>-189</v>
      </c>
      <c r="H17" s="2">
        <v>-197</v>
      </c>
      <c r="I17" s="2">
        <v>-197</v>
      </c>
      <c r="J17" s="2">
        <v>-194</v>
      </c>
      <c r="K17" s="2">
        <v>-191</v>
      </c>
      <c r="L17" s="2">
        <v>-190</v>
      </c>
      <c r="M17" s="2">
        <v>-189</v>
      </c>
      <c r="N17" s="2">
        <v>-187</v>
      </c>
      <c r="O17" s="2">
        <v>-175</v>
      </c>
      <c r="P17" s="2">
        <v>-172</v>
      </c>
      <c r="Q17" s="2">
        <v>-170</v>
      </c>
      <c r="R17" s="2">
        <v>-174</v>
      </c>
      <c r="S17" s="2">
        <v>-174</v>
      </c>
      <c r="X17" s="2">
        <v>-420</v>
      </c>
      <c r="Y17" s="2">
        <v>-626</v>
      </c>
      <c r="Z17" s="2">
        <v>-767</v>
      </c>
      <c r="AA17" s="2">
        <v>-765</v>
      </c>
      <c r="AB17" s="2">
        <v>-706</v>
      </c>
      <c r="AC17" s="2">
        <f>AC26*$AQ$36</f>
        <v>-63.51</v>
      </c>
      <c r="AD17" s="2">
        <f t="shared" ref="AD17:AL17" si="21">AD26*$AQ$36</f>
        <v>107.37046626925559</v>
      </c>
      <c r="AE17" s="2">
        <f t="shared" si="21"/>
        <v>292.93963370345051</v>
      </c>
      <c r="AF17" s="2">
        <f t="shared" si="21"/>
        <v>500.399644889196</v>
      </c>
      <c r="AG17" s="2">
        <f t="shared" si="21"/>
        <v>725.22565527699805</v>
      </c>
      <c r="AH17" s="2">
        <f t="shared" si="21"/>
        <v>968.65340824582574</v>
      </c>
      <c r="AI17" s="2">
        <f t="shared" si="21"/>
        <v>1233.3990850379391</v>
      </c>
      <c r="AJ17" s="2">
        <f t="shared" si="21"/>
        <v>1520.8515295617394</v>
      </c>
      <c r="AK17" s="2">
        <f t="shared" si="21"/>
        <v>1831.356960536667</v>
      </c>
      <c r="AL17" s="2">
        <f t="shared" si="21"/>
        <v>2166.4855911766545</v>
      </c>
    </row>
    <row r="18" spans="1:361" x14ac:dyDescent="0.25">
      <c r="A18" t="s">
        <v>34</v>
      </c>
      <c r="B18" s="2">
        <v>76</v>
      </c>
      <c r="C18" s="2">
        <v>-53</v>
      </c>
      <c r="D18" s="2">
        <v>192</v>
      </c>
      <c r="E18" s="2">
        <v>-131</v>
      </c>
      <c r="F18" s="2">
        <v>21</v>
      </c>
      <c r="G18" s="2">
        <v>-133</v>
      </c>
      <c r="H18" s="2">
        <v>-256</v>
      </c>
      <c r="I18" s="2">
        <v>-250</v>
      </c>
      <c r="J18" s="2">
        <v>269</v>
      </c>
      <c r="K18" s="2">
        <v>-62</v>
      </c>
      <c r="L18" s="2">
        <v>96</v>
      </c>
      <c r="M18" s="2">
        <v>108</v>
      </c>
      <c r="N18" s="2">
        <v>195</v>
      </c>
      <c r="O18" s="2">
        <v>220</v>
      </c>
      <c r="P18" s="2">
        <v>261</v>
      </c>
      <c r="Q18" s="2">
        <v>-339</v>
      </c>
      <c r="R18" s="2">
        <v>-71</v>
      </c>
      <c r="S18" s="2">
        <v>26.9</v>
      </c>
      <c r="X18" s="2">
        <v>41</v>
      </c>
      <c r="Y18" s="2">
        <v>84</v>
      </c>
      <c r="Z18" s="2">
        <v>-618</v>
      </c>
      <c r="AA18" s="2">
        <v>411</v>
      </c>
      <c r="AB18" s="2">
        <v>337</v>
      </c>
      <c r="AC18" s="2">
        <f>AVERAGE(Y18:AB18)</f>
        <v>53.5</v>
      </c>
      <c r="AD18" s="2">
        <f t="shared" ref="AD18:AL18" si="22">AVERAGE(Z18:AC18)</f>
        <v>45.875</v>
      </c>
      <c r="AE18" s="2">
        <f t="shared" si="22"/>
        <v>211.84375</v>
      </c>
      <c r="AF18" s="2">
        <f t="shared" si="22"/>
        <v>162.0546875</v>
      </c>
      <c r="AG18" s="2">
        <f t="shared" si="22"/>
        <v>118.318359375</v>
      </c>
      <c r="AH18" s="2">
        <f t="shared" si="22"/>
        <v>134.52294921875</v>
      </c>
      <c r="AI18" s="2">
        <f t="shared" si="22"/>
        <v>156.6849365234375</v>
      </c>
      <c r="AJ18" s="2">
        <f t="shared" si="22"/>
        <v>142.89523315429688</v>
      </c>
      <c r="AK18" s="2">
        <f t="shared" si="22"/>
        <v>138.10536956787109</v>
      </c>
      <c r="AL18" s="2">
        <f t="shared" si="22"/>
        <v>143.05212211608887</v>
      </c>
    </row>
    <row r="19" spans="1:361" x14ac:dyDescent="0.25">
      <c r="A19" t="s">
        <v>35</v>
      </c>
      <c r="B19" s="2">
        <f t="shared" ref="B19:D19" si="23">B16+B17+B18</f>
        <v>402</v>
      </c>
      <c r="C19" s="2">
        <f t="shared" si="23"/>
        <v>503</v>
      </c>
      <c r="D19" s="2">
        <f t="shared" si="23"/>
        <v>1014</v>
      </c>
      <c r="E19" s="2">
        <f t="shared" ref="E19:F19" si="24">E16+E17+E18</f>
        <v>152</v>
      </c>
      <c r="F19" s="2">
        <f t="shared" si="24"/>
        <v>797</v>
      </c>
      <c r="G19" s="2">
        <f t="shared" ref="G19:S19" si="25">G16+G17+G18</f>
        <v>1037</v>
      </c>
      <c r="H19" s="2">
        <f t="shared" si="25"/>
        <v>864</v>
      </c>
      <c r="I19" s="2">
        <f t="shared" si="25"/>
        <v>509</v>
      </c>
      <c r="J19" s="2">
        <f t="shared" si="25"/>
        <v>2036</v>
      </c>
      <c r="K19" s="2">
        <f t="shared" si="25"/>
        <v>1596</v>
      </c>
      <c r="L19" s="2">
        <f t="shared" si="25"/>
        <v>1664</v>
      </c>
      <c r="M19" s="2">
        <f t="shared" si="25"/>
        <v>553</v>
      </c>
      <c r="N19" s="2">
        <f t="shared" si="25"/>
        <v>1982</v>
      </c>
      <c r="O19" s="2">
        <f t="shared" si="25"/>
        <v>1626</v>
      </c>
      <c r="P19" s="2">
        <f t="shared" si="25"/>
        <v>1624</v>
      </c>
      <c r="Q19" s="2">
        <f t="shared" si="25"/>
        <v>43</v>
      </c>
      <c r="R19" s="2">
        <f t="shared" si="25"/>
        <v>1471</v>
      </c>
      <c r="S19" s="2">
        <f t="shared" si="25"/>
        <v>1680.9</v>
      </c>
      <c r="X19" s="2">
        <f t="shared" ref="X19:AC19" si="26">X16+X17+X18</f>
        <v>1228</v>
      </c>
      <c r="Y19" s="2">
        <f t="shared" si="26"/>
        <v>2062</v>
      </c>
      <c r="Z19" s="2">
        <f t="shared" si="26"/>
        <v>3202</v>
      </c>
      <c r="AA19" s="2">
        <f t="shared" si="26"/>
        <v>5842</v>
      </c>
      <c r="AB19" s="2">
        <f t="shared" si="26"/>
        <v>5265</v>
      </c>
      <c r="AC19" s="2">
        <f t="shared" si="26"/>
        <v>6472.7449344414999</v>
      </c>
      <c r="AD19" s="2">
        <f t="shared" ref="AD19:AL19" si="27">AD16+AD17+AD18</f>
        <v>7029.1351300831411</v>
      </c>
      <c r="AE19" s="2">
        <f t="shared" si="27"/>
        <v>7858.3337570358144</v>
      </c>
      <c r="AF19" s="2">
        <f t="shared" si="27"/>
        <v>8516.1367571137143</v>
      </c>
      <c r="AG19" s="2">
        <f t="shared" si="27"/>
        <v>9220.7482185162007</v>
      </c>
      <c r="AH19" s="2">
        <f t="shared" si="27"/>
        <v>10028.245333034591</v>
      </c>
      <c r="AI19" s="2">
        <f t="shared" si="27"/>
        <v>10888.350171356078</v>
      </c>
      <c r="AJ19" s="2">
        <f t="shared" si="27"/>
        <v>11761.569355110891</v>
      </c>
      <c r="AK19" s="2">
        <f t="shared" si="27"/>
        <v>12694.266312120739</v>
      </c>
      <c r="AL19" s="2">
        <f t="shared" si="27"/>
        <v>13689.853927974418</v>
      </c>
    </row>
    <row r="20" spans="1:361" x14ac:dyDescent="0.25">
      <c r="A20" t="s">
        <v>36</v>
      </c>
      <c r="B20" s="2">
        <v>55</v>
      </c>
      <c r="C20" s="2">
        <v>230</v>
      </c>
      <c r="D20" s="2">
        <v>347</v>
      </c>
      <c r="E20" s="2">
        <v>-437</v>
      </c>
      <c r="F20" s="2">
        <v>86</v>
      </c>
      <c r="G20" s="2">
        <v>315</v>
      </c>
      <c r="H20" s="2">
        <v>71</v>
      </c>
      <c r="I20" s="2">
        <v>-35</v>
      </c>
      <c r="J20" s="2">
        <v>327</v>
      </c>
      <c r="K20" s="2">
        <v>240</v>
      </c>
      <c r="L20" s="2">
        <v>221</v>
      </c>
      <c r="M20" s="2">
        <v>-56</v>
      </c>
      <c r="N20" s="2">
        <v>382</v>
      </c>
      <c r="O20" s="2">
        <v>182</v>
      </c>
      <c r="P20" s="2">
        <v>223</v>
      </c>
      <c r="Q20" s="2">
        <v>-15</v>
      </c>
      <c r="R20" s="2">
        <v>163</v>
      </c>
      <c r="S20" s="2">
        <v>192</v>
      </c>
      <c r="X20" s="2">
        <v>15</v>
      </c>
      <c r="Y20" s="2">
        <v>195</v>
      </c>
      <c r="Z20" s="2">
        <v>437</v>
      </c>
      <c r="AA20" s="2">
        <v>723</v>
      </c>
      <c r="AB20" s="2">
        <v>772</v>
      </c>
      <c r="AC20" s="2">
        <f>AC19*0.12</f>
        <v>776.72939213297991</v>
      </c>
      <c r="AD20" s="2">
        <f t="shared" ref="AD20:AL20" si="28">AD19*0.12</f>
        <v>843.49621560997696</v>
      </c>
      <c r="AE20" s="2">
        <f t="shared" si="28"/>
        <v>943.00005084429768</v>
      </c>
      <c r="AF20" s="2">
        <f t="shared" si="28"/>
        <v>1021.9364108536457</v>
      </c>
      <c r="AG20" s="2">
        <f t="shared" si="28"/>
        <v>1106.4897862219441</v>
      </c>
      <c r="AH20" s="2">
        <f t="shared" si="28"/>
        <v>1203.3894399641508</v>
      </c>
      <c r="AI20" s="2">
        <f t="shared" si="28"/>
        <v>1306.6020205627294</v>
      </c>
      <c r="AJ20" s="2">
        <f t="shared" si="28"/>
        <v>1411.3883226133069</v>
      </c>
      <c r="AK20" s="2">
        <f t="shared" si="28"/>
        <v>1523.3119574544885</v>
      </c>
      <c r="AL20" s="2">
        <f t="shared" si="28"/>
        <v>1642.78247135693</v>
      </c>
    </row>
    <row r="21" spans="1:361" x14ac:dyDescent="0.25">
      <c r="A21" t="s">
        <v>37</v>
      </c>
      <c r="B21" s="2">
        <f t="shared" ref="B21:D21" si="29">B19-B20</f>
        <v>347</v>
      </c>
      <c r="C21" s="2">
        <f t="shared" si="29"/>
        <v>273</v>
      </c>
      <c r="D21" s="2">
        <f t="shared" si="29"/>
        <v>667</v>
      </c>
      <c r="E21" s="2">
        <f t="shared" ref="E21:F21" si="30">E19-E20</f>
        <v>589</v>
      </c>
      <c r="F21" s="2">
        <f t="shared" si="30"/>
        <v>711</v>
      </c>
      <c r="G21" s="2">
        <f t="shared" ref="G21:S21" si="31">G19-G20</f>
        <v>722</v>
      </c>
      <c r="H21" s="2">
        <f t="shared" si="31"/>
        <v>793</v>
      </c>
      <c r="I21" s="2">
        <f t="shared" si="31"/>
        <v>544</v>
      </c>
      <c r="J21" s="2">
        <f t="shared" si="31"/>
        <v>1709</v>
      </c>
      <c r="K21" s="2">
        <f t="shared" si="31"/>
        <v>1356</v>
      </c>
      <c r="L21" s="2">
        <f t="shared" si="31"/>
        <v>1443</v>
      </c>
      <c r="M21" s="2">
        <f t="shared" si="31"/>
        <v>609</v>
      </c>
      <c r="N21" s="2">
        <f t="shared" si="31"/>
        <v>1600</v>
      </c>
      <c r="O21" s="2">
        <f t="shared" si="31"/>
        <v>1444</v>
      </c>
      <c r="P21" s="2">
        <f t="shared" si="31"/>
        <v>1401</v>
      </c>
      <c r="Q21" s="2">
        <f t="shared" si="31"/>
        <v>58</v>
      </c>
      <c r="R21" s="2">
        <f t="shared" si="31"/>
        <v>1308</v>
      </c>
      <c r="S21" s="2">
        <f t="shared" si="31"/>
        <v>1488.9</v>
      </c>
      <c r="X21" s="2">
        <f>X19-X20</f>
        <v>1213</v>
      </c>
      <c r="Y21" s="2">
        <f>Y19-Y20</f>
        <v>1867</v>
      </c>
      <c r="Z21" s="2">
        <f>Z19-Z20</f>
        <v>2765</v>
      </c>
      <c r="AA21" s="2">
        <f>AA19-AA20</f>
        <v>5119</v>
      </c>
      <c r="AB21" s="2">
        <f>AB19-AB20</f>
        <v>4493</v>
      </c>
      <c r="AC21" s="2">
        <f t="shared" ref="AC21:AL21" si="32">AC19-AC20</f>
        <v>5696.0155423085198</v>
      </c>
      <c r="AD21" s="2">
        <f t="shared" si="32"/>
        <v>6185.6389144731638</v>
      </c>
      <c r="AE21" s="2">
        <f t="shared" si="32"/>
        <v>6915.3337061915172</v>
      </c>
      <c r="AF21" s="2">
        <f t="shared" si="32"/>
        <v>7494.2003462600687</v>
      </c>
      <c r="AG21" s="2">
        <f t="shared" si="32"/>
        <v>8114.2584322942566</v>
      </c>
      <c r="AH21" s="2">
        <f t="shared" si="32"/>
        <v>8824.8558930704403</v>
      </c>
      <c r="AI21" s="2">
        <f t="shared" si="32"/>
        <v>9581.748150793348</v>
      </c>
      <c r="AJ21" s="2">
        <f t="shared" si="32"/>
        <v>10350.181032497583</v>
      </c>
      <c r="AK21" s="2">
        <f t="shared" si="32"/>
        <v>11170.95435466625</v>
      </c>
      <c r="AL21" s="2">
        <f t="shared" si="32"/>
        <v>12047.071456617488</v>
      </c>
      <c r="AM21" s="2">
        <f>AL21*(1+$AQ$38)</f>
        <v>11926.600742051314</v>
      </c>
      <c r="AN21" s="2">
        <f t="shared" ref="AN21:CY21" si="33">AM21*(1+$AQ$38)</f>
        <v>11807.3347346308</v>
      </c>
      <c r="AO21" s="2">
        <f t="shared" si="33"/>
        <v>11689.261387284492</v>
      </c>
      <c r="AP21" s="2">
        <f t="shared" si="33"/>
        <v>11572.368773411647</v>
      </c>
      <c r="AQ21" s="2">
        <f t="shared" si="33"/>
        <v>11456.64508567753</v>
      </c>
      <c r="AR21" s="2">
        <f t="shared" si="33"/>
        <v>11342.078634820755</v>
      </c>
      <c r="AS21" s="2">
        <f t="shared" si="33"/>
        <v>11228.657848472547</v>
      </c>
      <c r="AT21" s="2">
        <f t="shared" si="33"/>
        <v>11116.371269987822</v>
      </c>
      <c r="AU21" s="2">
        <f t="shared" si="33"/>
        <v>11005.207557287944</v>
      </c>
      <c r="AV21" s="2">
        <f t="shared" si="33"/>
        <v>10895.155481715065</v>
      </c>
      <c r="AW21" s="2">
        <f t="shared" si="33"/>
        <v>10786.203926897913</v>
      </c>
      <c r="AX21" s="2">
        <f t="shared" si="33"/>
        <v>10678.341887628934</v>
      </c>
      <c r="AY21" s="2">
        <f t="shared" si="33"/>
        <v>10571.558468752644</v>
      </c>
      <c r="AZ21" s="2">
        <f t="shared" si="33"/>
        <v>10465.842884065118</v>
      </c>
      <c r="BA21" s="2">
        <f t="shared" si="33"/>
        <v>10361.184455224466</v>
      </c>
      <c r="BB21" s="2">
        <f t="shared" si="33"/>
        <v>10257.572610672221</v>
      </c>
      <c r="BC21" s="2">
        <f t="shared" si="33"/>
        <v>10154.996884565498</v>
      </c>
      <c r="BD21" s="2">
        <f t="shared" si="33"/>
        <v>10053.446915719844</v>
      </c>
      <c r="BE21" s="2">
        <f t="shared" si="33"/>
        <v>9952.9124465626446</v>
      </c>
      <c r="BF21" s="2">
        <f t="shared" si="33"/>
        <v>9853.3833220970173</v>
      </c>
      <c r="BG21" s="2">
        <f t="shared" si="33"/>
        <v>9754.849488876047</v>
      </c>
      <c r="BH21" s="2">
        <f t="shared" si="33"/>
        <v>9657.3009939872863</v>
      </c>
      <c r="BI21" s="2">
        <f t="shared" si="33"/>
        <v>9560.727984047413</v>
      </c>
      <c r="BJ21" s="2">
        <f t="shared" si="33"/>
        <v>9465.1207042069382</v>
      </c>
      <c r="BK21" s="2">
        <f t="shared" si="33"/>
        <v>9370.4694971648696</v>
      </c>
      <c r="BL21" s="2">
        <f t="shared" si="33"/>
        <v>9276.76480219322</v>
      </c>
      <c r="BM21" s="2">
        <f t="shared" si="33"/>
        <v>9183.9971541712875</v>
      </c>
      <c r="BN21" s="2">
        <f t="shared" si="33"/>
        <v>9092.1571826295749</v>
      </c>
      <c r="BO21" s="2">
        <f t="shared" si="33"/>
        <v>9001.2356108032782</v>
      </c>
      <c r="BP21" s="2">
        <f t="shared" si="33"/>
        <v>8911.2232546952455</v>
      </c>
      <c r="BQ21" s="2">
        <f t="shared" si="33"/>
        <v>8822.1110221482922</v>
      </c>
      <c r="BR21" s="2">
        <f t="shared" si="33"/>
        <v>8733.8899119268099</v>
      </c>
      <c r="BS21" s="2">
        <f t="shared" si="33"/>
        <v>8646.5510128075421</v>
      </c>
      <c r="BT21" s="2">
        <f t="shared" si="33"/>
        <v>8560.085502679467</v>
      </c>
      <c r="BU21" s="2">
        <f t="shared" si="33"/>
        <v>8474.4846476526727</v>
      </c>
      <c r="BV21" s="2">
        <f t="shared" si="33"/>
        <v>8389.7398011761452</v>
      </c>
      <c r="BW21" s="2">
        <f t="shared" si="33"/>
        <v>8305.8424031643845</v>
      </c>
      <c r="BX21" s="2">
        <f t="shared" si="33"/>
        <v>8222.7839791327406</v>
      </c>
      <c r="BY21" s="2">
        <f t="shared" si="33"/>
        <v>8140.5561393414127</v>
      </c>
      <c r="BZ21" s="2">
        <f t="shared" si="33"/>
        <v>8059.1505779479985</v>
      </c>
      <c r="CA21" s="2">
        <f t="shared" si="33"/>
        <v>7978.5590721685185</v>
      </c>
      <c r="CB21" s="2">
        <f t="shared" si="33"/>
        <v>7898.7734814468331</v>
      </c>
      <c r="CC21" s="2">
        <f t="shared" si="33"/>
        <v>7819.7857466323649</v>
      </c>
      <c r="CD21" s="2">
        <f t="shared" si="33"/>
        <v>7741.5878891660414</v>
      </c>
      <c r="CE21" s="2">
        <f t="shared" si="33"/>
        <v>7664.1720102743811</v>
      </c>
      <c r="CF21" s="2">
        <f t="shared" si="33"/>
        <v>7587.5302901716368</v>
      </c>
      <c r="CG21" s="2">
        <f t="shared" si="33"/>
        <v>7511.6549872699206</v>
      </c>
      <c r="CH21" s="2">
        <f t="shared" si="33"/>
        <v>7436.5384373972211</v>
      </c>
      <c r="CI21" s="2">
        <f t="shared" si="33"/>
        <v>7362.1730530232489</v>
      </c>
      <c r="CJ21" s="2">
        <f t="shared" si="33"/>
        <v>7288.5513224930164</v>
      </c>
      <c r="CK21" s="2">
        <f t="shared" si="33"/>
        <v>7215.6658092680864</v>
      </c>
      <c r="CL21" s="2">
        <f t="shared" si="33"/>
        <v>7143.5091511754053</v>
      </c>
      <c r="CM21" s="2">
        <f t="shared" si="33"/>
        <v>7072.0740596636515</v>
      </c>
      <c r="CN21" s="2">
        <f t="shared" si="33"/>
        <v>7001.353319067015</v>
      </c>
      <c r="CO21" s="2">
        <f t="shared" si="33"/>
        <v>6931.3397858763446</v>
      </c>
      <c r="CP21" s="2">
        <f t="shared" si="33"/>
        <v>6862.0263880175808</v>
      </c>
      <c r="CQ21" s="2">
        <f t="shared" si="33"/>
        <v>6793.4061241374047</v>
      </c>
      <c r="CR21" s="2">
        <f t="shared" si="33"/>
        <v>6725.4720628960304</v>
      </c>
      <c r="CS21" s="2">
        <f t="shared" si="33"/>
        <v>6658.2173422670703</v>
      </c>
      <c r="CT21" s="2">
        <f t="shared" si="33"/>
        <v>6591.6351688443992</v>
      </c>
      <c r="CU21" s="2">
        <f t="shared" si="33"/>
        <v>6525.7188171559555</v>
      </c>
      <c r="CV21" s="2">
        <f t="shared" si="33"/>
        <v>6460.4616289843962</v>
      </c>
      <c r="CW21" s="2">
        <f t="shared" si="33"/>
        <v>6395.8570126945524</v>
      </c>
      <c r="CX21" s="2">
        <f t="shared" si="33"/>
        <v>6331.8984425676072</v>
      </c>
      <c r="CY21" s="2">
        <f t="shared" si="33"/>
        <v>6268.5794581419314</v>
      </c>
      <c r="CZ21" s="2">
        <f t="shared" ref="CZ21:FK21" si="34">CY21*(1+$AQ$38)</f>
        <v>6205.8936635605123</v>
      </c>
      <c r="DA21" s="2">
        <f t="shared" si="34"/>
        <v>6143.834726924907</v>
      </c>
      <c r="DB21" s="2">
        <f t="shared" si="34"/>
        <v>6082.3963796556582</v>
      </c>
      <c r="DC21" s="2">
        <f t="shared" si="34"/>
        <v>6021.572415859102</v>
      </c>
      <c r="DD21" s="2">
        <f t="shared" si="34"/>
        <v>5961.356691700511</v>
      </c>
      <c r="DE21" s="2">
        <f t="shared" si="34"/>
        <v>5901.7431247835057</v>
      </c>
      <c r="DF21" s="2">
        <f t="shared" si="34"/>
        <v>5842.7256935356709</v>
      </c>
      <c r="DG21" s="2">
        <f t="shared" si="34"/>
        <v>5784.2984366003138</v>
      </c>
      <c r="DH21" s="2">
        <f t="shared" si="34"/>
        <v>5726.4554522343105</v>
      </c>
      <c r="DI21" s="2">
        <f t="shared" si="34"/>
        <v>5669.1908977119674</v>
      </c>
      <c r="DJ21" s="2">
        <f t="shared" si="34"/>
        <v>5612.4989887348474</v>
      </c>
      <c r="DK21" s="2">
        <f t="shared" si="34"/>
        <v>5556.373998847499</v>
      </c>
      <c r="DL21" s="2">
        <f t="shared" si="34"/>
        <v>5500.8102588590236</v>
      </c>
      <c r="DM21" s="2">
        <f t="shared" si="34"/>
        <v>5445.8021562704334</v>
      </c>
      <c r="DN21" s="2">
        <f t="shared" si="34"/>
        <v>5391.3441347077287</v>
      </c>
      <c r="DO21" s="2">
        <f t="shared" si="34"/>
        <v>5337.4306933606513</v>
      </c>
      <c r="DP21" s="2">
        <f t="shared" si="34"/>
        <v>5284.0563864270443</v>
      </c>
      <c r="DQ21" s="2">
        <f t="shared" si="34"/>
        <v>5231.2158225627736</v>
      </c>
      <c r="DR21" s="2">
        <f t="shared" si="34"/>
        <v>5178.9036643371455</v>
      </c>
      <c r="DS21" s="2">
        <f t="shared" si="34"/>
        <v>5127.1146276937743</v>
      </c>
      <c r="DT21" s="2">
        <f t="shared" si="34"/>
        <v>5075.8434814168368</v>
      </c>
      <c r="DU21" s="2">
        <f t="shared" si="34"/>
        <v>5025.0850466026686</v>
      </c>
      <c r="DV21" s="2">
        <f t="shared" si="34"/>
        <v>4974.8341961366423</v>
      </c>
      <c r="DW21" s="2">
        <f t="shared" si="34"/>
        <v>4925.0858541752759</v>
      </c>
      <c r="DX21" s="2">
        <f t="shared" si="34"/>
        <v>4875.8349956335232</v>
      </c>
      <c r="DY21" s="2">
        <f t="shared" si="34"/>
        <v>4827.076645677188</v>
      </c>
      <c r="DZ21" s="2">
        <f t="shared" si="34"/>
        <v>4778.8058792204165</v>
      </c>
      <c r="EA21" s="2">
        <f t="shared" si="34"/>
        <v>4731.017820428212</v>
      </c>
      <c r="EB21" s="2">
        <f t="shared" si="34"/>
        <v>4683.7076422239297</v>
      </c>
      <c r="EC21" s="2">
        <f t="shared" si="34"/>
        <v>4636.8705658016906</v>
      </c>
      <c r="ED21" s="2">
        <f t="shared" si="34"/>
        <v>4590.5018601436741</v>
      </c>
      <c r="EE21" s="2">
        <f t="shared" si="34"/>
        <v>4544.5968415422376</v>
      </c>
      <c r="EF21" s="2">
        <f t="shared" si="34"/>
        <v>4499.150873126815</v>
      </c>
      <c r="EG21" s="2">
        <f t="shared" si="34"/>
        <v>4454.1593643955466</v>
      </c>
      <c r="EH21" s="2">
        <f t="shared" si="34"/>
        <v>4409.6177707515908</v>
      </c>
      <c r="EI21" s="2">
        <f t="shared" si="34"/>
        <v>4365.5215930440745</v>
      </c>
      <c r="EJ21" s="2">
        <f t="shared" si="34"/>
        <v>4321.8663771136335</v>
      </c>
      <c r="EK21" s="2">
        <f t="shared" si="34"/>
        <v>4278.6477133424969</v>
      </c>
      <c r="EL21" s="2">
        <f t="shared" si="34"/>
        <v>4235.8612362090716</v>
      </c>
      <c r="EM21" s="2">
        <f t="shared" si="34"/>
        <v>4193.5026238469809</v>
      </c>
      <c r="EN21" s="2">
        <f t="shared" si="34"/>
        <v>4151.5675976085113</v>
      </c>
      <c r="EO21" s="2">
        <f t="shared" si="34"/>
        <v>4110.0519216324265</v>
      </c>
      <c r="EP21" s="2">
        <f t="shared" si="34"/>
        <v>4068.9514024161022</v>
      </c>
      <c r="EQ21" s="2">
        <f t="shared" si="34"/>
        <v>4028.2618883919413</v>
      </c>
      <c r="ER21" s="2">
        <f t="shared" si="34"/>
        <v>3987.9792695080218</v>
      </c>
      <c r="ES21" s="2">
        <f t="shared" si="34"/>
        <v>3948.0994768129417</v>
      </c>
      <c r="ET21" s="2">
        <f t="shared" si="34"/>
        <v>3908.618482044812</v>
      </c>
      <c r="EU21" s="2">
        <f t="shared" si="34"/>
        <v>3869.5322972243639</v>
      </c>
      <c r="EV21" s="2">
        <f t="shared" si="34"/>
        <v>3830.8369742521204</v>
      </c>
      <c r="EW21" s="2">
        <f t="shared" si="34"/>
        <v>3792.5286045095991</v>
      </c>
      <c r="EX21" s="2">
        <f t="shared" si="34"/>
        <v>3754.603318464503</v>
      </c>
      <c r="EY21" s="2">
        <f t="shared" si="34"/>
        <v>3717.0572852798578</v>
      </c>
      <c r="EZ21" s="2">
        <f t="shared" si="34"/>
        <v>3679.8867124270591</v>
      </c>
      <c r="FA21" s="2">
        <f t="shared" si="34"/>
        <v>3643.0878453027885</v>
      </c>
      <c r="FB21" s="2">
        <f t="shared" si="34"/>
        <v>3606.6569668497605</v>
      </c>
      <c r="FC21" s="2">
        <f t="shared" si="34"/>
        <v>3570.5903971812627</v>
      </c>
      <c r="FD21" s="2">
        <f t="shared" si="34"/>
        <v>3534.8844932094498</v>
      </c>
      <c r="FE21" s="2">
        <f t="shared" si="34"/>
        <v>3499.5356482773554</v>
      </c>
      <c r="FF21" s="2">
        <f t="shared" si="34"/>
        <v>3464.5402917945817</v>
      </c>
      <c r="FG21" s="2">
        <f t="shared" si="34"/>
        <v>3429.8948888766358</v>
      </c>
      <c r="FH21" s="2">
        <f t="shared" si="34"/>
        <v>3395.5959399878693</v>
      </c>
      <c r="FI21" s="2">
        <f t="shared" si="34"/>
        <v>3361.6399805879905</v>
      </c>
      <c r="FJ21" s="2">
        <f t="shared" si="34"/>
        <v>3328.0235807821105</v>
      </c>
      <c r="FK21" s="2">
        <f t="shared" si="34"/>
        <v>3294.7433449742894</v>
      </c>
      <c r="FL21" s="2">
        <f t="shared" ref="FL21:HW21" si="35">FK21*(1+$AQ$38)</f>
        <v>3261.7959115245462</v>
      </c>
      <c r="FM21" s="2">
        <f t="shared" si="35"/>
        <v>3229.1779524093008</v>
      </c>
      <c r="FN21" s="2">
        <f t="shared" si="35"/>
        <v>3196.886172885208</v>
      </c>
      <c r="FO21" s="2">
        <f t="shared" si="35"/>
        <v>3164.9173111563559</v>
      </c>
      <c r="FP21" s="2">
        <f t="shared" si="35"/>
        <v>3133.2681380447925</v>
      </c>
      <c r="FQ21" s="2">
        <f t="shared" si="35"/>
        <v>3101.9354566643447</v>
      </c>
      <c r="FR21" s="2">
        <f t="shared" si="35"/>
        <v>3070.9161020977012</v>
      </c>
      <c r="FS21" s="2">
        <f t="shared" si="35"/>
        <v>3040.206941076724</v>
      </c>
      <c r="FT21" s="2">
        <f t="shared" si="35"/>
        <v>3009.8048716659569</v>
      </c>
      <c r="FU21" s="2">
        <f t="shared" si="35"/>
        <v>2979.7068229492975</v>
      </c>
      <c r="FV21" s="2">
        <f t="shared" si="35"/>
        <v>2949.9097547198044</v>
      </c>
      <c r="FW21" s="2">
        <f t="shared" si="35"/>
        <v>2920.4106571726061</v>
      </c>
      <c r="FX21" s="2">
        <f t="shared" si="35"/>
        <v>2891.2065506008798</v>
      </c>
      <c r="FY21" s="2">
        <f t="shared" si="35"/>
        <v>2862.2944850948711</v>
      </c>
      <c r="FZ21" s="2">
        <f t="shared" si="35"/>
        <v>2833.6715402439222</v>
      </c>
      <c r="GA21" s="2">
        <f t="shared" si="35"/>
        <v>2805.3348248414832</v>
      </c>
      <c r="GB21" s="2">
        <f t="shared" si="35"/>
        <v>2777.2814765930684</v>
      </c>
      <c r="GC21" s="2">
        <f t="shared" si="35"/>
        <v>2749.5086618271375</v>
      </c>
      <c r="GD21" s="2">
        <f t="shared" si="35"/>
        <v>2722.0135752088663</v>
      </c>
      <c r="GE21" s="2">
        <f t="shared" si="35"/>
        <v>2694.7934394567778</v>
      </c>
      <c r="GF21" s="2">
        <f t="shared" si="35"/>
        <v>2667.8455050622101</v>
      </c>
      <c r="GG21" s="2">
        <f t="shared" si="35"/>
        <v>2641.1670500115879</v>
      </c>
      <c r="GH21" s="2">
        <f t="shared" si="35"/>
        <v>2614.7553795114718</v>
      </c>
      <c r="GI21" s="2">
        <f t="shared" si="35"/>
        <v>2588.6078257163572</v>
      </c>
      <c r="GJ21" s="2">
        <f t="shared" si="35"/>
        <v>2562.7217474591935</v>
      </c>
      <c r="GK21" s="2">
        <f t="shared" si="35"/>
        <v>2537.0945299846016</v>
      </c>
      <c r="GL21" s="2">
        <f t="shared" si="35"/>
        <v>2511.7235846847557</v>
      </c>
      <c r="GM21" s="2">
        <f t="shared" si="35"/>
        <v>2486.6063488379082</v>
      </c>
      <c r="GN21" s="2">
        <f t="shared" si="35"/>
        <v>2461.7402853495291</v>
      </c>
      <c r="GO21" s="2">
        <f t="shared" si="35"/>
        <v>2437.122882496034</v>
      </c>
      <c r="GP21" s="2">
        <f t="shared" si="35"/>
        <v>2412.7516536710737</v>
      </c>
      <c r="GQ21" s="2">
        <f t="shared" si="35"/>
        <v>2388.6241371343631</v>
      </c>
      <c r="GR21" s="2">
        <f t="shared" si="35"/>
        <v>2364.7378957630194</v>
      </c>
      <c r="GS21" s="2">
        <f t="shared" si="35"/>
        <v>2341.0905168053891</v>
      </c>
      <c r="GT21" s="2">
        <f t="shared" si="35"/>
        <v>2317.6796116373353</v>
      </c>
      <c r="GU21" s="2">
        <f t="shared" si="35"/>
        <v>2294.502815520962</v>
      </c>
      <c r="GV21" s="2">
        <f t="shared" si="35"/>
        <v>2271.5577873657526</v>
      </c>
      <c r="GW21" s="2">
        <f t="shared" si="35"/>
        <v>2248.8422094920952</v>
      </c>
      <c r="GX21" s="2">
        <f t="shared" si="35"/>
        <v>2226.3537873971741</v>
      </c>
      <c r="GY21" s="2">
        <f t="shared" si="35"/>
        <v>2204.0902495232021</v>
      </c>
      <c r="GZ21" s="2">
        <f t="shared" si="35"/>
        <v>2182.0493470279703</v>
      </c>
      <c r="HA21" s="2">
        <f t="shared" si="35"/>
        <v>2160.2288535576904</v>
      </c>
      <c r="HB21" s="2">
        <f t="shared" si="35"/>
        <v>2138.6265650221135</v>
      </c>
      <c r="HC21" s="2">
        <f t="shared" si="35"/>
        <v>2117.2402993718924</v>
      </c>
      <c r="HD21" s="2">
        <f t="shared" si="35"/>
        <v>2096.0678963781734</v>
      </c>
      <c r="HE21" s="2">
        <f t="shared" si="35"/>
        <v>2075.1072174143915</v>
      </c>
      <c r="HF21" s="2">
        <f t="shared" si="35"/>
        <v>2054.3561452402473</v>
      </c>
      <c r="HG21" s="2">
        <f t="shared" si="35"/>
        <v>2033.8125837878449</v>
      </c>
      <c r="HH21" s="2">
        <f t="shared" si="35"/>
        <v>2013.4744579499663</v>
      </c>
      <c r="HI21" s="2">
        <f t="shared" si="35"/>
        <v>1993.3397133704666</v>
      </c>
      <c r="HJ21" s="2">
        <f t="shared" si="35"/>
        <v>1973.406316236762</v>
      </c>
      <c r="HK21" s="2">
        <f t="shared" si="35"/>
        <v>1953.6722530743943</v>
      </c>
      <c r="HL21" s="2">
        <f t="shared" si="35"/>
        <v>1934.1355305436505</v>
      </c>
      <c r="HM21" s="2">
        <f t="shared" si="35"/>
        <v>1914.7941752382139</v>
      </c>
      <c r="HN21" s="2">
        <f t="shared" si="35"/>
        <v>1895.6462334858318</v>
      </c>
      <c r="HO21" s="2">
        <f t="shared" si="35"/>
        <v>1876.6897711509735</v>
      </c>
      <c r="HP21" s="2">
        <f t="shared" si="35"/>
        <v>1857.9228734394637</v>
      </c>
      <c r="HQ21" s="2">
        <f t="shared" si="35"/>
        <v>1839.343644705069</v>
      </c>
      <c r="HR21" s="2">
        <f t="shared" si="35"/>
        <v>1820.9502082580182</v>
      </c>
      <c r="HS21" s="2">
        <f t="shared" si="35"/>
        <v>1802.7407061754379</v>
      </c>
      <c r="HT21" s="2">
        <f t="shared" si="35"/>
        <v>1784.7132991136834</v>
      </c>
      <c r="HU21" s="2">
        <f t="shared" si="35"/>
        <v>1766.8661661225465</v>
      </c>
      <c r="HV21" s="2">
        <f t="shared" si="35"/>
        <v>1749.1975044613209</v>
      </c>
      <c r="HW21" s="2">
        <f t="shared" si="35"/>
        <v>1731.7055294167078</v>
      </c>
      <c r="HX21" s="2">
        <f t="shared" ref="HX21:KI21" si="36">HW21*(1+$AQ$38)</f>
        <v>1714.3884741225406</v>
      </c>
      <c r="HY21" s="2">
        <f t="shared" si="36"/>
        <v>1697.2445893813151</v>
      </c>
      <c r="HZ21" s="2">
        <f t="shared" si="36"/>
        <v>1680.272143487502</v>
      </c>
      <c r="IA21" s="2">
        <f t="shared" si="36"/>
        <v>1663.4694220526269</v>
      </c>
      <c r="IB21" s="2">
        <f t="shared" si="36"/>
        <v>1646.8347278321007</v>
      </c>
      <c r="IC21" s="2">
        <f t="shared" si="36"/>
        <v>1630.3663805537797</v>
      </c>
      <c r="ID21" s="2">
        <f t="shared" si="36"/>
        <v>1614.0627167482419</v>
      </c>
      <c r="IE21" s="2">
        <f t="shared" si="36"/>
        <v>1597.9220895807593</v>
      </c>
      <c r="IF21" s="2">
        <f t="shared" si="36"/>
        <v>1581.9428686849517</v>
      </c>
      <c r="IG21" s="2">
        <f t="shared" si="36"/>
        <v>1566.1234399981022</v>
      </c>
      <c r="IH21" s="2">
        <f t="shared" si="36"/>
        <v>1550.462205598121</v>
      </c>
      <c r="II21" s="2">
        <f t="shared" si="36"/>
        <v>1534.9575835421399</v>
      </c>
      <c r="IJ21" s="2">
        <f t="shared" si="36"/>
        <v>1519.6080077067186</v>
      </c>
      <c r="IK21" s="2">
        <f t="shared" si="36"/>
        <v>1504.4119276296515</v>
      </c>
      <c r="IL21" s="2">
        <f t="shared" si="36"/>
        <v>1489.367808353355</v>
      </c>
      <c r="IM21" s="2">
        <f t="shared" si="36"/>
        <v>1474.4741302698214</v>
      </c>
      <c r="IN21" s="2">
        <f t="shared" si="36"/>
        <v>1459.7293889671232</v>
      </c>
      <c r="IO21" s="2">
        <f t="shared" si="36"/>
        <v>1445.132095077452</v>
      </c>
      <c r="IP21" s="2">
        <f t="shared" si="36"/>
        <v>1430.6807741266775</v>
      </c>
      <c r="IQ21" s="2">
        <f t="shared" si="36"/>
        <v>1416.3739663854108</v>
      </c>
      <c r="IR21" s="2">
        <f t="shared" si="36"/>
        <v>1402.2102267215566</v>
      </c>
      <c r="IS21" s="2">
        <f t="shared" si="36"/>
        <v>1388.1881244543411</v>
      </c>
      <c r="IT21" s="2">
        <f t="shared" si="36"/>
        <v>1374.3062432097977</v>
      </c>
      <c r="IU21" s="2">
        <f t="shared" si="36"/>
        <v>1360.5631807776997</v>
      </c>
      <c r="IV21" s="2">
        <f t="shared" si="36"/>
        <v>1346.9575489699228</v>
      </c>
      <c r="IW21" s="2">
        <f t="shared" si="36"/>
        <v>1333.4879734802234</v>
      </c>
      <c r="IX21" s="2">
        <f t="shared" si="36"/>
        <v>1320.1530937454213</v>
      </c>
      <c r="IY21" s="2">
        <f t="shared" si="36"/>
        <v>1306.9515628079671</v>
      </c>
      <c r="IZ21" s="2">
        <f t="shared" si="36"/>
        <v>1293.8820471798874</v>
      </c>
      <c r="JA21" s="2">
        <f t="shared" si="36"/>
        <v>1280.9432267080886</v>
      </c>
      <c r="JB21" s="2">
        <f t="shared" si="36"/>
        <v>1268.1337944410077</v>
      </c>
      <c r="JC21" s="2">
        <f t="shared" si="36"/>
        <v>1255.4524564965975</v>
      </c>
      <c r="JD21" s="2">
        <f t="shared" si="36"/>
        <v>1242.8979319316315</v>
      </c>
      <c r="JE21" s="2">
        <f t="shared" si="36"/>
        <v>1230.4689526123152</v>
      </c>
      <c r="JF21" s="2">
        <f t="shared" si="36"/>
        <v>1218.164263086192</v>
      </c>
      <c r="JG21" s="2">
        <f t="shared" si="36"/>
        <v>1205.9826204553301</v>
      </c>
      <c r="JH21" s="2">
        <f t="shared" si="36"/>
        <v>1193.9227942507769</v>
      </c>
      <c r="JI21" s="2">
        <f t="shared" si="36"/>
        <v>1181.983566308269</v>
      </c>
      <c r="JJ21" s="2">
        <f t="shared" si="36"/>
        <v>1170.1637306451862</v>
      </c>
      <c r="JK21" s="2">
        <f t="shared" si="36"/>
        <v>1158.4620933387343</v>
      </c>
      <c r="JL21" s="2">
        <f t="shared" si="36"/>
        <v>1146.8774724053469</v>
      </c>
      <c r="JM21" s="2">
        <f t="shared" si="36"/>
        <v>1135.4086976812935</v>
      </c>
      <c r="JN21" s="2">
        <f t="shared" si="36"/>
        <v>1124.0546107044804</v>
      </c>
      <c r="JO21" s="2">
        <f t="shared" si="36"/>
        <v>1112.8140645974356</v>
      </c>
      <c r="JP21" s="2">
        <f t="shared" si="36"/>
        <v>1101.6859239514613</v>
      </c>
      <c r="JQ21" s="2">
        <f t="shared" si="36"/>
        <v>1090.6690647119467</v>
      </c>
      <c r="JR21" s="2">
        <f t="shared" si="36"/>
        <v>1079.7623740648273</v>
      </c>
      <c r="JS21" s="2">
        <f t="shared" si="36"/>
        <v>1068.964750324179</v>
      </c>
      <c r="JT21" s="2">
        <f t="shared" si="36"/>
        <v>1058.2751028209373</v>
      </c>
      <c r="JU21" s="2">
        <f t="shared" si="36"/>
        <v>1047.6923517927278</v>
      </c>
      <c r="JV21" s="2">
        <f t="shared" si="36"/>
        <v>1037.2154282748004</v>
      </c>
      <c r="JW21" s="2">
        <f t="shared" si="36"/>
        <v>1026.8432739920524</v>
      </c>
      <c r="JX21" s="2">
        <f t="shared" si="36"/>
        <v>1016.5748412521319</v>
      </c>
      <c r="JY21" s="2">
        <f t="shared" si="36"/>
        <v>1006.4090928396106</v>
      </c>
      <c r="JZ21" s="2">
        <f t="shared" si="36"/>
        <v>996.34500191121447</v>
      </c>
      <c r="KA21" s="2">
        <f t="shared" si="36"/>
        <v>986.38155189210227</v>
      </c>
      <c r="KB21" s="2">
        <f t="shared" si="36"/>
        <v>976.51773637318126</v>
      </c>
      <c r="KC21" s="2">
        <f t="shared" si="36"/>
        <v>966.75255900944944</v>
      </c>
      <c r="KD21" s="2">
        <f t="shared" si="36"/>
        <v>957.08503341935489</v>
      </c>
      <c r="KE21" s="2">
        <f t="shared" si="36"/>
        <v>947.51418308516133</v>
      </c>
      <c r="KF21" s="2">
        <f t="shared" si="36"/>
        <v>938.03904125430972</v>
      </c>
      <c r="KG21" s="2">
        <f t="shared" si="36"/>
        <v>928.65865084176664</v>
      </c>
      <c r="KH21" s="2">
        <f t="shared" si="36"/>
        <v>919.37206433334893</v>
      </c>
      <c r="KI21" s="2">
        <f t="shared" si="36"/>
        <v>910.17834369001548</v>
      </c>
      <c r="KJ21" s="2">
        <f t="shared" ref="KJ21:MU21" si="37">KI21*(1+$AQ$38)</f>
        <v>901.0765602531153</v>
      </c>
      <c r="KK21" s="2">
        <f t="shared" si="37"/>
        <v>892.06579465058417</v>
      </c>
      <c r="KL21" s="2">
        <f t="shared" si="37"/>
        <v>883.14513670407837</v>
      </c>
      <c r="KM21" s="2">
        <f t="shared" si="37"/>
        <v>874.31368533703755</v>
      </c>
      <c r="KN21" s="2">
        <f t="shared" si="37"/>
        <v>865.57054848366715</v>
      </c>
      <c r="KO21" s="2">
        <f t="shared" si="37"/>
        <v>856.91484299883052</v>
      </c>
      <c r="KP21" s="2">
        <f t="shared" si="37"/>
        <v>848.34569456884219</v>
      </c>
      <c r="KQ21" s="2">
        <f t="shared" si="37"/>
        <v>839.86223762315376</v>
      </c>
      <c r="KR21" s="2">
        <f t="shared" si="37"/>
        <v>831.46361524692225</v>
      </c>
      <c r="KS21" s="2">
        <f t="shared" si="37"/>
        <v>823.14897909445301</v>
      </c>
      <c r="KT21" s="2">
        <f t="shared" si="37"/>
        <v>814.91748930350843</v>
      </c>
      <c r="KU21" s="2">
        <f t="shared" si="37"/>
        <v>806.76831441047329</v>
      </c>
      <c r="KV21" s="2">
        <f t="shared" si="37"/>
        <v>798.70063126636853</v>
      </c>
      <c r="KW21" s="2">
        <f t="shared" si="37"/>
        <v>790.71362495370488</v>
      </c>
      <c r="KX21" s="2">
        <f t="shared" si="37"/>
        <v>782.8064887041678</v>
      </c>
      <c r="KY21" s="2">
        <f t="shared" si="37"/>
        <v>774.9784238171261</v>
      </c>
      <c r="KZ21" s="2">
        <f t="shared" si="37"/>
        <v>767.22863957895481</v>
      </c>
      <c r="LA21" s="2">
        <f t="shared" si="37"/>
        <v>759.55635318316524</v>
      </c>
      <c r="LB21" s="2">
        <f t="shared" si="37"/>
        <v>751.96078965133358</v>
      </c>
      <c r="LC21" s="2">
        <f t="shared" si="37"/>
        <v>744.44118175482026</v>
      </c>
      <c r="LD21" s="2">
        <f t="shared" si="37"/>
        <v>736.99676993727201</v>
      </c>
      <c r="LE21" s="2">
        <f t="shared" si="37"/>
        <v>729.62680223789926</v>
      </c>
      <c r="LF21" s="2">
        <f t="shared" si="37"/>
        <v>722.33053421552029</v>
      </c>
      <c r="LG21" s="2">
        <f t="shared" si="37"/>
        <v>715.1072288733651</v>
      </c>
      <c r="LH21" s="2">
        <f t="shared" si="37"/>
        <v>707.95615658463146</v>
      </c>
      <c r="LI21" s="2">
        <f t="shared" si="37"/>
        <v>700.87659501878511</v>
      </c>
      <c r="LJ21" s="2">
        <f t="shared" si="37"/>
        <v>693.8678290685973</v>
      </c>
      <c r="LK21" s="2">
        <f t="shared" si="37"/>
        <v>686.92915077791133</v>
      </c>
      <c r="LL21" s="2">
        <f t="shared" si="37"/>
        <v>680.05985927013216</v>
      </c>
      <c r="LM21" s="2">
        <f t="shared" si="37"/>
        <v>673.2592606774308</v>
      </c>
      <c r="LN21" s="2">
        <f t="shared" si="37"/>
        <v>666.52666807065646</v>
      </c>
      <c r="LO21" s="2">
        <f t="shared" si="37"/>
        <v>659.86140138994983</v>
      </c>
      <c r="LP21" s="2">
        <f t="shared" si="37"/>
        <v>653.26278737605037</v>
      </c>
      <c r="LQ21" s="2">
        <f t="shared" si="37"/>
        <v>646.73015950228989</v>
      </c>
      <c r="LR21" s="2">
        <f t="shared" si="37"/>
        <v>640.26285790726695</v>
      </c>
      <c r="LS21" s="2">
        <f t="shared" si="37"/>
        <v>633.86022932819424</v>
      </c>
      <c r="LT21" s="2">
        <f t="shared" si="37"/>
        <v>627.52162703491229</v>
      </c>
      <c r="LU21" s="2">
        <f t="shared" si="37"/>
        <v>621.24641076456317</v>
      </c>
      <c r="LV21" s="2">
        <f t="shared" si="37"/>
        <v>615.03394665691758</v>
      </c>
      <c r="LW21" s="2">
        <f t="shared" si="37"/>
        <v>608.88360719034836</v>
      </c>
      <c r="LX21" s="2">
        <f t="shared" si="37"/>
        <v>602.79477111844483</v>
      </c>
      <c r="LY21" s="2">
        <f t="shared" si="37"/>
        <v>596.7668234072604</v>
      </c>
      <c r="LZ21" s="2">
        <f t="shared" si="37"/>
        <v>590.79915517318784</v>
      </c>
      <c r="MA21" s="2">
        <f t="shared" si="37"/>
        <v>584.89116362145592</v>
      </c>
      <c r="MB21" s="2">
        <f t="shared" si="37"/>
        <v>579.04225198524136</v>
      </c>
      <c r="MC21" s="2">
        <f t="shared" si="37"/>
        <v>573.25182946538894</v>
      </c>
      <c r="MD21" s="2">
        <f t="shared" si="37"/>
        <v>567.51931117073502</v>
      </c>
      <c r="ME21" s="2">
        <f t="shared" si="37"/>
        <v>561.84411805902766</v>
      </c>
      <c r="MF21" s="2">
        <f t="shared" si="37"/>
        <v>556.22567687843741</v>
      </c>
      <c r="MG21" s="2">
        <f t="shared" si="37"/>
        <v>550.66342010965309</v>
      </c>
      <c r="MH21" s="2">
        <f t="shared" si="37"/>
        <v>545.15678590855657</v>
      </c>
      <c r="MI21" s="2">
        <f t="shared" si="37"/>
        <v>539.705218049471</v>
      </c>
      <c r="MJ21" s="2">
        <f t="shared" si="37"/>
        <v>534.30816586897629</v>
      </c>
      <c r="MK21" s="2">
        <f t="shared" si="37"/>
        <v>528.96508421028648</v>
      </c>
      <c r="ML21" s="2">
        <f t="shared" si="37"/>
        <v>523.67543336818358</v>
      </c>
      <c r="MM21" s="2">
        <f t="shared" si="37"/>
        <v>518.43867903450177</v>
      </c>
      <c r="MN21" s="2">
        <f t="shared" si="37"/>
        <v>513.25429224415677</v>
      </c>
      <c r="MO21" s="2">
        <f t="shared" si="37"/>
        <v>508.12174932171519</v>
      </c>
      <c r="MP21" s="2">
        <f t="shared" si="37"/>
        <v>503.04053182849805</v>
      </c>
      <c r="MQ21" s="2">
        <f t="shared" si="37"/>
        <v>498.01012651021307</v>
      </c>
      <c r="MR21" s="2">
        <f t="shared" si="37"/>
        <v>493.03002524511095</v>
      </c>
      <c r="MS21" s="2">
        <f t="shared" si="37"/>
        <v>488.09972499265984</v>
      </c>
      <c r="MT21" s="2">
        <f t="shared" si="37"/>
        <v>483.21872774273322</v>
      </c>
      <c r="MU21" s="2">
        <f t="shared" si="37"/>
        <v>478.38654046530587</v>
      </c>
      <c r="MV21" s="2">
        <f t="shared" ref="MV21:MW21" si="38">MU21*(1+$AQ$38)</f>
        <v>473.60267506065281</v>
      </c>
      <c r="MW21" s="2">
        <f t="shared" si="38"/>
        <v>468.86664831004629</v>
      </c>
    </row>
    <row r="23" spans="1:361" x14ac:dyDescent="0.25">
      <c r="A23" t="s">
        <v>38</v>
      </c>
      <c r="B23" s="4">
        <f t="shared" ref="B23:D23" si="39">B21/B24</f>
        <v>0.76940133037694014</v>
      </c>
      <c r="C23" s="4">
        <f t="shared" si="39"/>
        <v>0.60398230088495575</v>
      </c>
      <c r="D23" s="4">
        <f t="shared" si="39"/>
        <v>1.4789356984478936</v>
      </c>
      <c r="E23" s="4">
        <f t="shared" ref="E23:F23" si="40">E21/E24</f>
        <v>1.3059866962305986</v>
      </c>
      <c r="F23" s="4">
        <f t="shared" si="40"/>
        <v>1.5730088495575221</v>
      </c>
      <c r="G23" s="4">
        <f t="shared" ref="G23:S23" si="41">G21/G24</f>
        <v>1.5938189845474613</v>
      </c>
      <c r="H23" s="4">
        <f t="shared" si="41"/>
        <v>1.7428571428571429</v>
      </c>
      <c r="I23" s="4">
        <f t="shared" si="41"/>
        <v>1.1956043956043956</v>
      </c>
      <c r="J23" s="4">
        <f t="shared" si="41"/>
        <v>3.756043956043956</v>
      </c>
      <c r="K23" s="4">
        <f t="shared" si="41"/>
        <v>2.9802197802197803</v>
      </c>
      <c r="L23" s="4">
        <f t="shared" si="41"/>
        <v>3.1784140969162995</v>
      </c>
      <c r="M23" s="4">
        <f t="shared" si="41"/>
        <v>1.3384615384615384</v>
      </c>
      <c r="N23" s="4">
        <f t="shared" si="41"/>
        <v>3.5398230088495577</v>
      </c>
      <c r="O23" s="4">
        <f t="shared" si="41"/>
        <v>3.2088888888888887</v>
      </c>
      <c r="P23" s="4">
        <f t="shared" si="41"/>
        <v>3.1133333333333333</v>
      </c>
      <c r="Q23" s="4">
        <f t="shared" si="41"/>
        <v>0.12860310421286031</v>
      </c>
      <c r="R23" s="4">
        <f t="shared" si="41"/>
        <v>2.8938053097345131</v>
      </c>
      <c r="S23" s="4">
        <f t="shared" si="41"/>
        <v>3.3013303769401334</v>
      </c>
      <c r="X23" s="4">
        <f>X21/X24</f>
        <v>2.6895787139689578</v>
      </c>
      <c r="Y23" s="4">
        <f>Y21/Y24</f>
        <v>4.1396895787139689</v>
      </c>
      <c r="Z23" s="4">
        <f>Z21/Z24</f>
        <v>6.0903083700440526</v>
      </c>
      <c r="AA23" s="4">
        <f>AA21/AA24</f>
        <v>11.250549450549451</v>
      </c>
      <c r="AB23" s="4">
        <f>AB21/AB24</f>
        <v>9.9623059866962311</v>
      </c>
    </row>
    <row r="24" spans="1:361" x14ac:dyDescent="0.25">
      <c r="A24" t="s">
        <v>3</v>
      </c>
      <c r="B24">
        <v>451</v>
      </c>
      <c r="C24">
        <v>452</v>
      </c>
      <c r="D24">
        <v>451</v>
      </c>
      <c r="E24">
        <v>451</v>
      </c>
      <c r="F24">
        <v>452</v>
      </c>
      <c r="G24">
        <v>453</v>
      </c>
      <c r="H24">
        <v>455</v>
      </c>
      <c r="I24">
        <v>455</v>
      </c>
      <c r="J24">
        <v>455</v>
      </c>
      <c r="K24">
        <v>455</v>
      </c>
      <c r="L24">
        <v>454</v>
      </c>
      <c r="M24">
        <v>455</v>
      </c>
      <c r="N24">
        <v>452</v>
      </c>
      <c r="O24">
        <v>450</v>
      </c>
      <c r="P24">
        <v>450</v>
      </c>
      <c r="Q24">
        <v>451</v>
      </c>
      <c r="R24">
        <v>452</v>
      </c>
      <c r="S24">
        <v>451</v>
      </c>
      <c r="X24">
        <v>451</v>
      </c>
      <c r="Y24">
        <v>451</v>
      </c>
      <c r="Z24">
        <v>454</v>
      </c>
      <c r="AA24">
        <v>455</v>
      </c>
      <c r="AB24">
        <v>451</v>
      </c>
    </row>
    <row r="26" spans="1:361" x14ac:dyDescent="0.25">
      <c r="AA26" t="s">
        <v>76</v>
      </c>
      <c r="AB26" s="2">
        <f>R45-R57-R60</f>
        <v>-6610</v>
      </c>
      <c r="AC26" s="2">
        <f>AB26+AB21</f>
        <v>-2117</v>
      </c>
      <c r="AD26" s="2">
        <f t="shared" ref="AD26:AL26" si="42">AC26+AC21</f>
        <v>3579.0155423085198</v>
      </c>
      <c r="AE26" s="2">
        <f t="shared" si="42"/>
        <v>9764.6544567816836</v>
      </c>
      <c r="AF26" s="2">
        <f t="shared" si="42"/>
        <v>16679.988162973201</v>
      </c>
      <c r="AG26" s="2">
        <f t="shared" si="42"/>
        <v>24174.18850923327</v>
      </c>
      <c r="AH26" s="2">
        <f t="shared" si="42"/>
        <v>32288.446941527527</v>
      </c>
      <c r="AI26" s="2">
        <f t="shared" si="42"/>
        <v>41113.302834597969</v>
      </c>
      <c r="AJ26" s="2">
        <f t="shared" si="42"/>
        <v>50695.050985391317</v>
      </c>
      <c r="AK26" s="2">
        <f t="shared" si="42"/>
        <v>61045.232017888899</v>
      </c>
      <c r="AL26" s="2">
        <f t="shared" si="42"/>
        <v>72216.186372555152</v>
      </c>
    </row>
    <row r="27" spans="1:361" s="3" customFormat="1" x14ac:dyDescent="0.25">
      <c r="A27" t="s">
        <v>46</v>
      </c>
      <c r="B27"/>
      <c r="C27"/>
      <c r="D27"/>
      <c r="E27"/>
      <c r="F27" s="6">
        <f>F3/B3-1</f>
        <v>5.0065282967898694E-2</v>
      </c>
      <c r="G27" s="6">
        <f t="shared" ref="G27:S27" si="43">G3/C3-1</f>
        <v>9.6284266402008933E-2</v>
      </c>
      <c r="H27" s="6">
        <f t="shared" si="43"/>
        <v>8.8908424471794367E-2</v>
      </c>
      <c r="I27" s="6">
        <f t="shared" si="43"/>
        <v>9.2725606692087181E-2</v>
      </c>
      <c r="J27" s="6">
        <f t="shared" si="43"/>
        <v>6.3099372579285218E-2</v>
      </c>
      <c r="K27" s="6">
        <f t="shared" si="43"/>
        <v>1.4361351914846887E-2</v>
      </c>
      <c r="L27" s="6">
        <f t="shared" si="43"/>
        <v>1.2903490647363958E-2</v>
      </c>
      <c r="M27" s="6">
        <f t="shared" si="43"/>
        <v>1.7298744860419824E-2</v>
      </c>
      <c r="N27" s="6">
        <f t="shared" si="43"/>
        <v>2.6215315121531635E-3</v>
      </c>
      <c r="O27" s="6">
        <f t="shared" si="43"/>
        <v>-9.0330083433625141E-3</v>
      </c>
      <c r="P27" s="6">
        <f t="shared" si="43"/>
        <v>-8.6053171944234785E-3</v>
      </c>
      <c r="Q27" s="6">
        <f t="shared" si="43"/>
        <v>-1.2218307518447102E-2</v>
      </c>
      <c r="R27" s="6">
        <f t="shared" si="43"/>
        <v>-2.42695664999526E-3</v>
      </c>
      <c r="S27" s="6">
        <f t="shared" si="43"/>
        <v>3.1207783524146215E-2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361" x14ac:dyDescent="0.25">
      <c r="A28" t="s">
        <v>45</v>
      </c>
      <c r="F28" s="6">
        <f>F4/B4-1</f>
        <v>0.38061210098255849</v>
      </c>
      <c r="G28" s="6">
        <f t="shared" ref="G28:S28" si="44">G4/C4-1</f>
        <v>0.39010603902416974</v>
      </c>
      <c r="H28" s="6">
        <f t="shared" si="44"/>
        <v>0.31437018266286554</v>
      </c>
      <c r="I28" s="6">
        <f t="shared" si="44"/>
        <v>0.28815326972845612</v>
      </c>
      <c r="J28" s="6">
        <f t="shared" si="44"/>
        <v>0.16641127796506283</v>
      </c>
      <c r="K28" s="6">
        <f t="shared" si="44"/>
        <v>0.11731698192996443</v>
      </c>
      <c r="L28" s="6">
        <f t="shared" si="44"/>
        <v>0.13267568522862372</v>
      </c>
      <c r="M28" s="6">
        <f t="shared" si="44"/>
        <v>0.11001829140304054</v>
      </c>
      <c r="N28" s="6">
        <f t="shared" si="44"/>
        <v>7.6268464996788632E-2</v>
      </c>
      <c r="O28" s="6">
        <f t="shared" si="44"/>
        <v>6.2157913124490483E-2</v>
      </c>
      <c r="P28" s="6">
        <f t="shared" si="44"/>
        <v>4.3035460992907781E-2</v>
      </c>
      <c r="Q28" s="6">
        <f t="shared" si="44"/>
        <v>3.6374196336917075E-2</v>
      </c>
      <c r="R28" s="6">
        <f t="shared" si="44"/>
        <v>4.9367311787123835E-2</v>
      </c>
      <c r="S28" s="6">
        <f t="shared" si="44"/>
        <v>9.3797110983197651E-2</v>
      </c>
    </row>
    <row r="29" spans="1:361" x14ac:dyDescent="0.25">
      <c r="A29" t="s">
        <v>47</v>
      </c>
      <c r="F29" s="6">
        <f>F5/B5-1</f>
        <v>0.24579809053617452</v>
      </c>
      <c r="G29" s="6">
        <f t="shared" ref="G29:S29" si="45">G5/C5-1</f>
        <v>0.29322337755467909</v>
      </c>
      <c r="H29" s="6">
        <f t="shared" si="45"/>
        <v>0.23635125936010892</v>
      </c>
      <c r="I29" s="6">
        <f t="shared" si="45"/>
        <v>0.19479899417512803</v>
      </c>
      <c r="J29" s="6">
        <f t="shared" si="45"/>
        <v>0.10420187656623336</v>
      </c>
      <c r="K29" s="6">
        <f t="shared" si="45"/>
        <v>7.1808805589442137E-2</v>
      </c>
      <c r="L29" s="6">
        <f t="shared" si="45"/>
        <v>7.3339940535183334E-2</v>
      </c>
      <c r="M29" s="6">
        <f t="shared" si="45"/>
        <v>6.4576284732397404E-2</v>
      </c>
      <c r="N29" s="6">
        <f t="shared" si="45"/>
        <v>4.528421385971404E-2</v>
      </c>
      <c r="O29" s="6">
        <f t="shared" si="45"/>
        <v>2.4988359459878984E-2</v>
      </c>
      <c r="P29" s="6">
        <f t="shared" si="45"/>
        <v>2.4315173899661424E-2</v>
      </c>
      <c r="Q29" s="6">
        <f t="shared" si="45"/>
        <v>4.3492405094967657E-2</v>
      </c>
      <c r="R29" s="6">
        <f t="shared" si="45"/>
        <v>4.1378439787932431E-2</v>
      </c>
      <c r="S29" s="6">
        <f t="shared" si="45"/>
        <v>7.1825156470825657E-2</v>
      </c>
    </row>
    <row r="30" spans="1:361" x14ac:dyDescent="0.25">
      <c r="A30" t="s">
        <v>48</v>
      </c>
      <c r="F30" s="6">
        <f>F6/B6-1</f>
        <v>0.63372045136314958</v>
      </c>
      <c r="G30" s="6">
        <f t="shared" ref="G30:S30" si="46">G6/C6-1</f>
        <v>0.7379075876989647</v>
      </c>
      <c r="H30" s="6">
        <f t="shared" si="46"/>
        <v>0.62264411460131175</v>
      </c>
      <c r="I30" s="6">
        <f t="shared" si="46"/>
        <v>0.57038132199839842</v>
      </c>
      <c r="J30" s="6">
        <f t="shared" si="46"/>
        <v>0.35381900680615064</v>
      </c>
      <c r="K30" s="6">
        <f t="shared" si="46"/>
        <v>0.23932953939178381</v>
      </c>
      <c r="L30" s="6">
        <f t="shared" si="46"/>
        <v>0.27854833219877473</v>
      </c>
      <c r="M30" s="6">
        <f t="shared" si="46"/>
        <v>0.28008787070453467</v>
      </c>
      <c r="N30" s="6">
        <f t="shared" si="46"/>
        <v>0.25568837746248096</v>
      </c>
      <c r="O30" s="6">
        <f t="shared" si="46"/>
        <v>0.24839461883408065</v>
      </c>
      <c r="P30" s="6">
        <f t="shared" si="46"/>
        <v>0.20555056404113015</v>
      </c>
      <c r="Q30" s="6">
        <f t="shared" si="46"/>
        <v>0.16520593282667329</v>
      </c>
      <c r="R30" s="6">
        <f t="shared" si="46"/>
        <v>0.17079391441027303</v>
      </c>
      <c r="S30" s="6">
        <f t="shared" si="46"/>
        <v>0.16526336963705845</v>
      </c>
    </row>
    <row r="31" spans="1:361" x14ac:dyDescent="0.25">
      <c r="A31" t="s">
        <v>49</v>
      </c>
      <c r="F31" s="6">
        <f>F7/B7-1</f>
        <v>0.2283508998206405</v>
      </c>
      <c r="G31" s="6">
        <f t="shared" ref="G31:S31" si="47">G7/C7-1</f>
        <v>0.27305657090827506</v>
      </c>
      <c r="H31" s="6">
        <f t="shared" si="47"/>
        <v>0.23252744198971786</v>
      </c>
      <c r="I31" s="6">
        <f t="shared" si="47"/>
        <v>0.2188820396193667</v>
      </c>
      <c r="J31" s="6">
        <f t="shared" si="47"/>
        <v>0.13553287833048966</v>
      </c>
      <c r="K31" s="6">
        <f t="shared" si="47"/>
        <v>8.4131911872172171E-2</v>
      </c>
      <c r="L31" s="6">
        <f t="shared" si="47"/>
        <v>9.434745402278244E-2</v>
      </c>
      <c r="M31" s="6">
        <f t="shared" si="47"/>
        <v>8.92700195911873E-2</v>
      </c>
      <c r="N31" s="6">
        <f t="shared" si="47"/>
        <v>6.7434345185634736E-2</v>
      </c>
      <c r="O31" s="6">
        <f t="shared" si="47"/>
        <v>5.4938330624342724E-2</v>
      </c>
      <c r="P31" s="6">
        <f t="shared" si="47"/>
        <v>4.4586374980684962E-2</v>
      </c>
      <c r="Q31" s="6">
        <f t="shared" si="47"/>
        <v>4.0131804330971299E-2</v>
      </c>
      <c r="R31" s="6">
        <f t="shared" si="47"/>
        <v>4.8984619271705165E-2</v>
      </c>
      <c r="S31" s="6">
        <f t="shared" si="47"/>
        <v>8.0336426914153103E-2</v>
      </c>
      <c r="V31">
        <f>0.015*70000</f>
        <v>1050</v>
      </c>
      <c r="Z31" s="6">
        <f t="shared" ref="Z31:AA31" si="48">Z7/Y7-1</f>
        <v>0.2188820396193667</v>
      </c>
      <c r="AA31" s="6">
        <f t="shared" si="48"/>
        <v>8.92700195911873E-2</v>
      </c>
      <c r="AB31" s="6">
        <f>AB7/AA7-1</f>
        <v>4.0131804330971299E-2</v>
      </c>
      <c r="AC31" s="6">
        <f t="shared" ref="AC31:AL31" si="49">AC7/AB7-1</f>
        <v>-2.5000000000000022E-2</v>
      </c>
      <c r="AD31" s="6">
        <f t="shared" si="49"/>
        <v>2.0000000000000018E-2</v>
      </c>
      <c r="AE31" s="6">
        <f t="shared" si="49"/>
        <v>3.0000000000000027E-2</v>
      </c>
      <c r="AF31" s="6">
        <f t="shared" si="49"/>
        <v>3.0000000000000027E-2</v>
      </c>
      <c r="AG31" s="6">
        <f t="shared" si="49"/>
        <v>3.0000000000000027E-2</v>
      </c>
      <c r="AH31" s="6">
        <f t="shared" si="49"/>
        <v>3.0000000000000027E-2</v>
      </c>
      <c r="AI31" s="6">
        <f t="shared" si="49"/>
        <v>3.0000000000000027E-2</v>
      </c>
      <c r="AJ31" s="6">
        <f t="shared" si="49"/>
        <v>3.0000000000000027E-2</v>
      </c>
      <c r="AK31" s="6">
        <f t="shared" si="49"/>
        <v>3.0000000000000027E-2</v>
      </c>
      <c r="AL31" s="6">
        <f t="shared" si="49"/>
        <v>3.0000000000000027E-2</v>
      </c>
    </row>
    <row r="32" spans="1:361" x14ac:dyDescent="0.25">
      <c r="F32" s="6"/>
      <c r="Y32" s="2"/>
      <c r="Z32" s="2"/>
    </row>
    <row r="34" spans="1:43" x14ac:dyDescent="0.25">
      <c r="A34" t="s">
        <v>50</v>
      </c>
      <c r="F34" s="6">
        <f>F9/B9-1</f>
        <v>0.27588495575221228</v>
      </c>
      <c r="G34" s="6">
        <f t="shared" ref="G34:S34" si="50">G9/C9-1</f>
        <v>0.24883201300020308</v>
      </c>
      <c r="H34" s="6">
        <f t="shared" si="50"/>
        <v>0.22711670480549206</v>
      </c>
      <c r="I34" s="6">
        <f t="shared" si="50"/>
        <v>0.21529175050301808</v>
      </c>
      <c r="J34" s="6">
        <f t="shared" si="50"/>
        <v>0.24206693254725153</v>
      </c>
      <c r="K34" s="6">
        <f t="shared" si="50"/>
        <v>0.19404684450227716</v>
      </c>
      <c r="L34" s="6">
        <f t="shared" si="50"/>
        <v>0.16285936285936287</v>
      </c>
      <c r="M34" s="6">
        <f t="shared" si="50"/>
        <v>0.1602950030102348</v>
      </c>
      <c r="N34" s="6">
        <f t="shared" si="50"/>
        <v>9.828284238447571E-2</v>
      </c>
      <c r="O34" s="6">
        <f t="shared" si="50"/>
        <v>8.5683149434681916E-2</v>
      </c>
      <c r="P34" s="6">
        <f t="shared" si="50"/>
        <v>5.9067219029800944E-2</v>
      </c>
      <c r="Q34" s="6">
        <f t="shared" si="50"/>
        <v>1.8549747048903775E-2</v>
      </c>
      <c r="R34" s="6">
        <f t="shared" si="50"/>
        <v>3.7371297826363392E-2</v>
      </c>
      <c r="S34" s="6">
        <f t="shared" si="50"/>
        <v>2.7227101631116746E-2</v>
      </c>
      <c r="Y34" s="6">
        <f t="shared" ref="Y34:AA34" si="51">Y9/X9-1</f>
        <v>0.27618082816259348</v>
      </c>
      <c r="Z34" s="6">
        <f t="shared" si="51"/>
        <v>0.2401270093272474</v>
      </c>
      <c r="AA34" s="6">
        <f t="shared" si="51"/>
        <v>0.18807009121459428</v>
      </c>
      <c r="AB34" s="6">
        <f>AB9/AA9-1</f>
        <v>6.4585648381991545E-2</v>
      </c>
      <c r="AC34" s="6">
        <f t="shared" ref="AC34:AL34" si="52">AC9/AB9-1</f>
        <v>7.9227038204966016E-2</v>
      </c>
      <c r="AD34" s="6">
        <f t="shared" si="52"/>
        <v>6.06431576309856E-2</v>
      </c>
      <c r="AE34" s="6">
        <f t="shared" si="52"/>
        <v>6.9468931712544535E-2</v>
      </c>
      <c r="AF34" s="6">
        <f t="shared" si="52"/>
        <v>6.8012324115692691E-2</v>
      </c>
      <c r="AG34" s="6">
        <f t="shared" si="52"/>
        <v>6.6659402663337142E-2</v>
      </c>
      <c r="AH34" s="6">
        <f t="shared" si="52"/>
        <v>6.5399476767331821E-2</v>
      </c>
      <c r="AI34" s="6">
        <f t="shared" si="52"/>
        <v>6.4223276682080499E-2</v>
      </c>
      <c r="AJ34" s="6">
        <f t="shared" si="52"/>
        <v>6.3122725047361605E-2</v>
      </c>
      <c r="AK34" s="6">
        <f t="shared" si="52"/>
        <v>6.2090751138127231E-2</v>
      </c>
      <c r="AL34" s="6">
        <f t="shared" si="52"/>
        <v>6.1121138788612139E-2</v>
      </c>
    </row>
    <row r="35" spans="1:43" x14ac:dyDescent="0.25">
      <c r="A35" t="s">
        <v>51</v>
      </c>
      <c r="F35" s="6">
        <f>F10/B10-1</f>
        <v>0.25400696864111505</v>
      </c>
      <c r="G35" s="6">
        <f t="shared" ref="G35:S35" si="53">G10/C10-1</f>
        <v>0.21231281198003327</v>
      </c>
      <c r="H35" s="6">
        <f t="shared" si="53"/>
        <v>0.24862770422989988</v>
      </c>
      <c r="I35" s="6">
        <f t="shared" si="53"/>
        <v>0.20167339873052503</v>
      </c>
      <c r="J35" s="6">
        <f t="shared" si="53"/>
        <v>7.4742984162267323E-2</v>
      </c>
      <c r="K35" s="6">
        <f t="shared" si="53"/>
        <v>0.10293713972001095</v>
      </c>
      <c r="L35" s="6">
        <f t="shared" si="53"/>
        <v>8.7664856477889908E-2</v>
      </c>
      <c r="M35" s="6">
        <f t="shared" si="53"/>
        <v>0.25786314525810328</v>
      </c>
      <c r="N35" s="6">
        <f t="shared" si="53"/>
        <v>0.10754912099276104</v>
      </c>
      <c r="O35" s="6">
        <f t="shared" si="53"/>
        <v>0.16724738675958184</v>
      </c>
      <c r="P35" s="6">
        <f t="shared" si="53"/>
        <v>0.13837375178316691</v>
      </c>
      <c r="Q35" s="6">
        <f t="shared" si="53"/>
        <v>3.1494560030540075E-2</v>
      </c>
      <c r="R35" s="6">
        <f t="shared" si="53"/>
        <v>0.12114845938375352</v>
      </c>
      <c r="S35" s="6">
        <f t="shared" si="53"/>
        <v>-3.6247334754797578E-3</v>
      </c>
      <c r="Y35" s="6">
        <f t="shared" ref="Y35:AA35" si="54">Y10/X10-1</f>
        <v>0.24811879201364495</v>
      </c>
      <c r="Z35" s="6">
        <f t="shared" si="54"/>
        <v>0.22797427652733115</v>
      </c>
      <c r="AA35" s="6">
        <f t="shared" si="54"/>
        <v>0.13459020686043477</v>
      </c>
      <c r="AB35" s="6">
        <f>AB10/AA10-1</f>
        <v>0.1059312254788829</v>
      </c>
      <c r="AC35" s="6">
        <f t="shared" ref="AC35:AL35" si="55">AC10/AB10-1</f>
        <v>5.0222248517398871E-2</v>
      </c>
      <c r="AD35" s="6">
        <f t="shared" si="55"/>
        <v>6.06431576309856E-2</v>
      </c>
      <c r="AE35" s="6">
        <f t="shared" si="55"/>
        <v>6.9468931712544535E-2</v>
      </c>
      <c r="AF35" s="6">
        <f t="shared" si="55"/>
        <v>6.8012324115692691E-2</v>
      </c>
      <c r="AG35" s="6">
        <f t="shared" si="55"/>
        <v>6.6659402663337142E-2</v>
      </c>
      <c r="AH35" s="6">
        <f t="shared" si="55"/>
        <v>6.5399476767331821E-2</v>
      </c>
      <c r="AI35" s="6">
        <f t="shared" si="55"/>
        <v>6.4223276682080499E-2</v>
      </c>
      <c r="AJ35" s="6">
        <f t="shared" si="55"/>
        <v>6.3122725047361605E-2</v>
      </c>
      <c r="AK35" s="6">
        <f t="shared" si="55"/>
        <v>6.2090751138127231E-2</v>
      </c>
      <c r="AL35" s="6">
        <f t="shared" si="55"/>
        <v>6.1121138788612139E-2</v>
      </c>
    </row>
    <row r="36" spans="1:43" x14ac:dyDescent="0.25">
      <c r="AP36" t="s">
        <v>57</v>
      </c>
      <c r="AQ36" s="6">
        <v>0.03</v>
      </c>
    </row>
    <row r="37" spans="1:43" x14ac:dyDescent="0.25">
      <c r="A37" t="s">
        <v>52</v>
      </c>
      <c r="B37" s="6">
        <f t="shared" ref="B37:E37" si="56">B11/B9</f>
        <v>0.36504424778761063</v>
      </c>
      <c r="C37" s="6">
        <f t="shared" si="56"/>
        <v>0.38959983749746091</v>
      </c>
      <c r="D37" s="6">
        <f t="shared" si="56"/>
        <v>0.40942028985507245</v>
      </c>
      <c r="E37" s="6">
        <f t="shared" si="56"/>
        <v>0.36601426742271814</v>
      </c>
      <c r="F37" s="6">
        <f>F11/F9</f>
        <v>0.37593202705045953</v>
      </c>
      <c r="G37" s="6">
        <f t="shared" ref="G37:R37" si="57">G11/G9</f>
        <v>0.40744957709824331</v>
      </c>
      <c r="H37" s="6">
        <f t="shared" si="57"/>
        <v>0.39906759906759909</v>
      </c>
      <c r="I37" s="6">
        <f t="shared" si="57"/>
        <v>0.37311860325105356</v>
      </c>
      <c r="J37" s="6">
        <f t="shared" si="57"/>
        <v>0.4600027921262041</v>
      </c>
      <c r="K37" s="6">
        <f t="shared" si="57"/>
        <v>0.45266312491486171</v>
      </c>
      <c r="L37" s="6">
        <f t="shared" si="57"/>
        <v>0.43792596552184954</v>
      </c>
      <c r="M37" s="6">
        <f t="shared" si="57"/>
        <v>0.32040472175379425</v>
      </c>
      <c r="N37" s="6">
        <f t="shared" si="57"/>
        <v>0.45544680310156349</v>
      </c>
      <c r="O37" s="6">
        <f t="shared" si="57"/>
        <v>0.41154328732747802</v>
      </c>
      <c r="P37" s="6">
        <f t="shared" si="57"/>
        <v>0.39583596214511041</v>
      </c>
      <c r="Q37" s="6">
        <f t="shared" si="57"/>
        <v>0.3117677024961793</v>
      </c>
      <c r="R37" s="6">
        <f t="shared" si="57"/>
        <v>0.41146918269819877</v>
      </c>
      <c r="S37" s="6">
        <f t="shared" ref="S37" si="58">S11/S9</f>
        <v>0.42921705142298766</v>
      </c>
      <c r="X37" s="6">
        <f t="shared" ref="X37:AB37" si="59">X11/X9</f>
        <v>0.36893757122958087</v>
      </c>
      <c r="Y37" s="6">
        <f t="shared" si="59"/>
        <v>0.38281405040682676</v>
      </c>
      <c r="Z37" s="6">
        <f t="shared" si="59"/>
        <v>0.3888622179548728</v>
      </c>
      <c r="AA37" s="6">
        <f t="shared" si="59"/>
        <v>0.41637202411017948</v>
      </c>
      <c r="AB37" s="6">
        <f t="shared" si="59"/>
        <v>0.39370551953186778</v>
      </c>
      <c r="AC37" s="6">
        <f t="shared" ref="AC37:AL37" si="60">AC11/AC9</f>
        <v>0.41</v>
      </c>
      <c r="AD37" s="6">
        <f t="shared" si="60"/>
        <v>0.41</v>
      </c>
      <c r="AE37" s="6">
        <f t="shared" si="60"/>
        <v>0.41</v>
      </c>
      <c r="AF37" s="6">
        <f t="shared" si="60"/>
        <v>0.41000000000000003</v>
      </c>
      <c r="AG37" s="6">
        <f t="shared" si="60"/>
        <v>0.41</v>
      </c>
      <c r="AH37" s="6">
        <f t="shared" si="60"/>
        <v>0.41</v>
      </c>
      <c r="AI37" s="6">
        <f t="shared" si="60"/>
        <v>0.41</v>
      </c>
      <c r="AJ37" s="6">
        <f t="shared" si="60"/>
        <v>0.41</v>
      </c>
      <c r="AK37" s="6">
        <f t="shared" si="60"/>
        <v>0.41</v>
      </c>
      <c r="AL37" s="6">
        <f t="shared" si="60"/>
        <v>0.41</v>
      </c>
      <c r="AP37" t="s">
        <v>56</v>
      </c>
      <c r="AQ37" s="6">
        <v>0.08</v>
      </c>
    </row>
    <row r="38" spans="1:43" x14ac:dyDescent="0.25">
      <c r="A38" t="s">
        <v>53</v>
      </c>
      <c r="B38" s="6">
        <f t="shared" ref="B38:E38" si="61">B16/B9</f>
        <v>0.10199115044247788</v>
      </c>
      <c r="C38" s="6">
        <f t="shared" si="61"/>
        <v>0.14381474710542352</v>
      </c>
      <c r="D38" s="6">
        <f t="shared" si="61"/>
        <v>0.18726163234172388</v>
      </c>
      <c r="E38" s="6">
        <f t="shared" si="61"/>
        <v>8.4141210901774288E-2</v>
      </c>
      <c r="F38" s="6">
        <f>F16/F9</f>
        <v>0.16646436622160568</v>
      </c>
      <c r="G38" s="6">
        <f t="shared" ref="G38:R38" si="62">G16/G9</f>
        <v>0.22104749512036434</v>
      </c>
      <c r="H38" s="6">
        <f t="shared" si="62"/>
        <v>0.20466200466200465</v>
      </c>
      <c r="I38" s="6">
        <f t="shared" si="62"/>
        <v>0.14388922335942203</v>
      </c>
      <c r="J38" s="6">
        <f t="shared" si="62"/>
        <v>0.27376797431243893</v>
      </c>
      <c r="K38" s="6">
        <f t="shared" si="62"/>
        <v>0.25187304181991554</v>
      </c>
      <c r="L38" s="6">
        <f t="shared" si="62"/>
        <v>0.23493251369771481</v>
      </c>
      <c r="M38" s="6">
        <f t="shared" si="62"/>
        <v>8.2241535867168244E-2</v>
      </c>
      <c r="N38" s="6">
        <f t="shared" si="62"/>
        <v>0.25092157111986779</v>
      </c>
      <c r="O38" s="6">
        <f t="shared" si="62"/>
        <v>0.19836888331242158</v>
      </c>
      <c r="P38" s="6">
        <f t="shared" si="62"/>
        <v>0.19369085173501577</v>
      </c>
      <c r="Q38" s="6">
        <f t="shared" si="62"/>
        <v>7.0300560366785531E-2</v>
      </c>
      <c r="R38" s="6">
        <f t="shared" si="62"/>
        <v>0.21026834946697709</v>
      </c>
      <c r="S38" s="6">
        <f t="shared" ref="S38" si="63">S16/S9</f>
        <v>0.22328081104189568</v>
      </c>
      <c r="X38" s="6">
        <f t="shared" ref="X38:AB38" si="64">X16/X9</f>
        <v>0.10174749905027225</v>
      </c>
      <c r="Y38" s="6">
        <f t="shared" si="64"/>
        <v>0.12919230005953561</v>
      </c>
      <c r="Z38" s="6">
        <f t="shared" si="64"/>
        <v>0.18350936149783967</v>
      </c>
      <c r="AA38" s="6">
        <f t="shared" si="64"/>
        <v>0.20864060342795568</v>
      </c>
      <c r="AB38" s="6">
        <f t="shared" si="64"/>
        <v>0.17820654752490905</v>
      </c>
      <c r="AC38" s="6">
        <f t="shared" ref="AC38:AL38" si="65">AC16/AC9</f>
        <v>0.19</v>
      </c>
      <c r="AD38" s="6">
        <f t="shared" si="65"/>
        <v>0.19</v>
      </c>
      <c r="AE38" s="6">
        <f t="shared" si="65"/>
        <v>0.19</v>
      </c>
      <c r="AF38" s="6">
        <f t="shared" si="65"/>
        <v>0.19</v>
      </c>
      <c r="AG38" s="6">
        <f t="shared" si="65"/>
        <v>0.19</v>
      </c>
      <c r="AH38" s="6">
        <f t="shared" si="65"/>
        <v>0.19</v>
      </c>
      <c r="AI38" s="6">
        <f t="shared" si="65"/>
        <v>0.19</v>
      </c>
      <c r="AJ38" s="6">
        <f t="shared" si="65"/>
        <v>0.19</v>
      </c>
      <c r="AK38" s="6">
        <f t="shared" si="65"/>
        <v>0.19</v>
      </c>
      <c r="AL38" s="6">
        <f t="shared" si="65"/>
        <v>0.19</v>
      </c>
      <c r="AP38" t="s">
        <v>77</v>
      </c>
      <c r="AQ38" s="6">
        <v>-0.01</v>
      </c>
    </row>
    <row r="39" spans="1:43" x14ac:dyDescent="0.25">
      <c r="A39" t="s">
        <v>54</v>
      </c>
      <c r="B39" s="6">
        <f t="shared" ref="B39:E39" si="66">B21/B9</f>
        <v>7.6769911504424776E-2</v>
      </c>
      <c r="C39" s="6">
        <f t="shared" si="66"/>
        <v>5.5453991468616695E-2</v>
      </c>
      <c r="D39" s="6">
        <f t="shared" si="66"/>
        <v>0.12719298245614036</v>
      </c>
      <c r="E39" s="6">
        <f t="shared" si="66"/>
        <v>0.10773733308944576</v>
      </c>
      <c r="F39" s="6">
        <f>F21/F9</f>
        <v>0.12328767123287671</v>
      </c>
      <c r="G39" s="6">
        <f t="shared" ref="G39:R39" si="67">G21/G9</f>
        <v>0.11743656473649967</v>
      </c>
      <c r="H39" s="6">
        <f t="shared" si="67"/>
        <v>0.12323232323232323</v>
      </c>
      <c r="I39" s="6">
        <f t="shared" si="67"/>
        <v>8.187838651414811E-2</v>
      </c>
      <c r="J39" s="6">
        <f t="shared" si="67"/>
        <v>0.23858718414072316</v>
      </c>
      <c r="K39" s="6">
        <f t="shared" si="67"/>
        <v>0.18471597874948917</v>
      </c>
      <c r="L39" s="6">
        <f t="shared" si="67"/>
        <v>0.19283709742082053</v>
      </c>
      <c r="M39" s="6">
        <f t="shared" si="67"/>
        <v>7.899857309638085E-2</v>
      </c>
      <c r="N39" s="6">
        <f t="shared" si="67"/>
        <v>0.20338121266048048</v>
      </c>
      <c r="O39" s="6">
        <f t="shared" si="67"/>
        <v>0.18117942283563362</v>
      </c>
      <c r="P39" s="6">
        <f t="shared" si="67"/>
        <v>0.17678233438485805</v>
      </c>
      <c r="Q39" s="6">
        <f t="shared" si="67"/>
        <v>7.3866530820173209E-3</v>
      </c>
      <c r="R39" s="6">
        <f t="shared" si="67"/>
        <v>0.16027447616713639</v>
      </c>
      <c r="S39" s="6">
        <f t="shared" ref="S39" si="68">S21/S9</f>
        <v>0.18186148772444119</v>
      </c>
      <c r="X39" s="6">
        <f t="shared" ref="X39:AB39" si="69">X21/X9</f>
        <v>7.6801316955805998E-2</v>
      </c>
      <c r="Y39" s="6">
        <f t="shared" si="69"/>
        <v>9.2627505457432036E-2</v>
      </c>
      <c r="Z39" s="6">
        <f t="shared" si="69"/>
        <v>0.11061769883181309</v>
      </c>
      <c r="AA39" s="6">
        <f t="shared" si="69"/>
        <v>0.17237431390376132</v>
      </c>
      <c r="AB39" s="6">
        <f t="shared" si="69"/>
        <v>0.14211608413727661</v>
      </c>
      <c r="AC39" s="6">
        <f t="shared" ref="AC39:AL39" si="70">AC21/AC9</f>
        <v>0.16694182704468619</v>
      </c>
      <c r="AD39" s="6">
        <f t="shared" si="70"/>
        <v>0.17092644751632141</v>
      </c>
      <c r="AE39" s="6">
        <f t="shared" si="70"/>
        <v>0.17867741940563739</v>
      </c>
      <c r="AF39" s="6">
        <f t="shared" si="70"/>
        <v>0.18130323952325572</v>
      </c>
      <c r="AG39" s="6">
        <f t="shared" si="70"/>
        <v>0.18403623268784058</v>
      </c>
      <c r="AH39" s="6">
        <f t="shared" si="70"/>
        <v>0.18786662873675963</v>
      </c>
      <c r="AI39" s="6">
        <f t="shared" si="70"/>
        <v>0.19166994480251384</v>
      </c>
      <c r="AJ39" s="6">
        <f t="shared" si="70"/>
        <v>0.19474836066694523</v>
      </c>
      <c r="AK39" s="6">
        <f t="shared" si="70"/>
        <v>0.19790397390438583</v>
      </c>
      <c r="AL39" s="6">
        <f t="shared" si="70"/>
        <v>0.20113180807791362</v>
      </c>
      <c r="AP39" t="s">
        <v>58</v>
      </c>
      <c r="AQ39" s="8">
        <f>NPV(AQ37,AC21:MW21)</f>
        <v>116391.43450115589</v>
      </c>
    </row>
    <row r="40" spans="1:43" x14ac:dyDescent="0.25">
      <c r="AP40" t="s">
        <v>59</v>
      </c>
      <c r="AQ40" s="7">
        <f>AQ39/Main!J2</f>
        <v>261.82679130859117</v>
      </c>
    </row>
    <row r="41" spans="1:43" x14ac:dyDescent="0.25">
      <c r="A41" t="s">
        <v>55</v>
      </c>
      <c r="B41" s="6">
        <f>B20/B19</f>
        <v>0.13681592039800994</v>
      </c>
      <c r="C41" s="6">
        <f t="shared" ref="C41:AB41" si="71">C20/C19</f>
        <v>0.45725646123260438</v>
      </c>
      <c r="D41" s="6">
        <f t="shared" si="71"/>
        <v>0.34220907297830377</v>
      </c>
      <c r="E41" s="6">
        <f t="shared" si="71"/>
        <v>-2.875</v>
      </c>
      <c r="F41" s="6">
        <f t="shared" si="71"/>
        <v>0.10790464240903387</v>
      </c>
      <c r="G41" s="6">
        <f t="shared" si="71"/>
        <v>0.3037608486017358</v>
      </c>
      <c r="H41" s="6">
        <f t="shared" si="71"/>
        <v>8.217592592592593E-2</v>
      </c>
      <c r="I41" s="6">
        <f t="shared" si="71"/>
        <v>-6.8762278978389005E-2</v>
      </c>
      <c r="J41" s="6">
        <f t="shared" si="71"/>
        <v>0.16060903732809431</v>
      </c>
      <c r="K41" s="6">
        <f t="shared" si="71"/>
        <v>0.15037593984962405</v>
      </c>
      <c r="L41" s="6">
        <f t="shared" si="71"/>
        <v>0.1328125</v>
      </c>
      <c r="M41" s="6">
        <f t="shared" si="71"/>
        <v>-0.10126582278481013</v>
      </c>
      <c r="N41" s="6">
        <f t="shared" si="71"/>
        <v>0.1927346115035318</v>
      </c>
      <c r="O41" s="6">
        <f t="shared" si="71"/>
        <v>0.11193111931119311</v>
      </c>
      <c r="P41" s="6">
        <f t="shared" si="71"/>
        <v>0.1373152709359606</v>
      </c>
      <c r="Q41" s="6">
        <f t="shared" si="71"/>
        <v>-0.34883720930232559</v>
      </c>
      <c r="R41" s="6">
        <f t="shared" si="71"/>
        <v>0.11080897348742352</v>
      </c>
      <c r="S41" s="6">
        <f t="shared" si="71"/>
        <v>0.11422452257719079</v>
      </c>
      <c r="T41" s="6"/>
      <c r="U41" s="6"/>
      <c r="V41" s="6"/>
      <c r="W41" s="6"/>
      <c r="X41" s="6">
        <f>X20/X19</f>
        <v>1.2214983713355049E-2</v>
      </c>
      <c r="Y41" s="6">
        <f t="shared" si="71"/>
        <v>9.4568380213385067E-2</v>
      </c>
      <c r="Z41" s="6">
        <f t="shared" si="71"/>
        <v>0.13647720174890693</v>
      </c>
      <c r="AA41" s="6">
        <f t="shared" si="71"/>
        <v>0.12375898664840808</v>
      </c>
      <c r="AB41" s="6">
        <f t="shared" si="71"/>
        <v>0.14662867996201329</v>
      </c>
      <c r="AC41" s="6">
        <f t="shared" ref="AC41:AL41" si="72">AC20/AC19</f>
        <v>0.11999999999999998</v>
      </c>
      <c r="AD41" s="6">
        <f t="shared" si="72"/>
        <v>0.12000000000000001</v>
      </c>
      <c r="AE41" s="6">
        <f t="shared" si="72"/>
        <v>0.12</v>
      </c>
      <c r="AF41" s="6">
        <f t="shared" si="72"/>
        <v>0.12</v>
      </c>
      <c r="AG41" s="6">
        <f t="shared" si="72"/>
        <v>0.12</v>
      </c>
      <c r="AH41" s="6">
        <f t="shared" si="72"/>
        <v>0.12</v>
      </c>
      <c r="AI41" s="6">
        <f t="shared" si="72"/>
        <v>0.12000000000000001</v>
      </c>
      <c r="AJ41" s="6">
        <f t="shared" si="72"/>
        <v>0.12</v>
      </c>
      <c r="AK41" s="6">
        <f t="shared" si="72"/>
        <v>0.11999999999999998</v>
      </c>
      <c r="AL41" s="6">
        <f t="shared" si="72"/>
        <v>0.12</v>
      </c>
      <c r="AP41" t="s">
        <v>60</v>
      </c>
      <c r="AQ41" s="6">
        <f>AQ40/Main!J1-1</f>
        <v>-0.34706535833269037</v>
      </c>
    </row>
    <row r="45" spans="1:43" x14ac:dyDescent="0.25">
      <c r="A45" t="s">
        <v>5</v>
      </c>
      <c r="N45" s="2">
        <f>5147+911</f>
        <v>6058</v>
      </c>
      <c r="Q45" s="2"/>
      <c r="R45" s="2">
        <f>6714+1112</f>
        <v>7826</v>
      </c>
    </row>
    <row r="46" spans="1:43" x14ac:dyDescent="0.25">
      <c r="A46" t="s">
        <v>61</v>
      </c>
      <c r="N46" s="2">
        <v>3208</v>
      </c>
      <c r="Q46" s="2"/>
      <c r="R46" s="2">
        <v>2655</v>
      </c>
    </row>
    <row r="47" spans="1:43" x14ac:dyDescent="0.25">
      <c r="A47" t="s">
        <v>64</v>
      </c>
      <c r="N47" s="2">
        <f>N45+N46</f>
        <v>9266</v>
      </c>
      <c r="Q47" s="2"/>
      <c r="R47" s="2">
        <f>R45+R46</f>
        <v>10481</v>
      </c>
    </row>
    <row r="48" spans="1:43" x14ac:dyDescent="0.25">
      <c r="A48" t="s">
        <v>63</v>
      </c>
      <c r="N48" s="2">
        <v>32736</v>
      </c>
      <c r="Q48" s="2"/>
      <c r="R48" s="2">
        <v>32349</v>
      </c>
      <c r="V48" s="2"/>
      <c r="AH48" s="6"/>
      <c r="AI48" s="6"/>
      <c r="AJ48" s="6"/>
      <c r="AK48" s="6"/>
      <c r="AL48" s="6"/>
      <c r="AM48" s="6"/>
    </row>
    <row r="49" spans="1:42" x14ac:dyDescent="0.25">
      <c r="A49" t="s">
        <v>65</v>
      </c>
      <c r="N49" s="2">
        <v>1398</v>
      </c>
      <c r="Q49" s="2"/>
      <c r="R49" s="2">
        <v>1413</v>
      </c>
      <c r="AE49" t="s">
        <v>80</v>
      </c>
      <c r="AF49" t="s">
        <v>53</v>
      </c>
      <c r="AH49" s="6">
        <v>0.21</v>
      </c>
      <c r="AI49" s="6">
        <v>0.21</v>
      </c>
      <c r="AJ49" s="6">
        <v>0.21</v>
      </c>
      <c r="AK49" s="6">
        <v>0.18</v>
      </c>
      <c r="AL49" s="6">
        <v>0.18</v>
      </c>
      <c r="AM49" s="6">
        <v>0.18</v>
      </c>
      <c r="AN49" s="6">
        <v>0.15</v>
      </c>
      <c r="AO49" s="6">
        <v>0.15</v>
      </c>
      <c r="AP49" s="6">
        <v>0.15</v>
      </c>
    </row>
    <row r="50" spans="1:42" x14ac:dyDescent="0.25">
      <c r="A50" t="s">
        <v>61</v>
      </c>
      <c r="N50" s="2">
        <v>5193</v>
      </c>
      <c r="Q50" s="2"/>
      <c r="R50" s="2">
        <v>5245</v>
      </c>
      <c r="AF50" t="s">
        <v>78</v>
      </c>
      <c r="AH50" s="6">
        <v>0.15</v>
      </c>
      <c r="AI50" s="6">
        <v>0.1</v>
      </c>
      <c r="AJ50" s="6">
        <v>0.08</v>
      </c>
      <c r="AK50" s="6">
        <v>0.15</v>
      </c>
      <c r="AL50" s="6">
        <v>0.1</v>
      </c>
      <c r="AM50" s="6">
        <v>0.08</v>
      </c>
      <c r="AN50" s="6">
        <v>0.15</v>
      </c>
      <c r="AO50" s="6">
        <v>0.1</v>
      </c>
      <c r="AP50" s="6">
        <v>0.08</v>
      </c>
    </row>
    <row r="51" spans="1:42" s="3" customFormat="1" x14ac:dyDescent="0.25">
      <c r="A51" s="3" t="s">
        <v>62</v>
      </c>
      <c r="N51" s="5">
        <f>SUM(N47:N50)</f>
        <v>48593</v>
      </c>
      <c r="Q51" s="5"/>
      <c r="R51" s="5">
        <f>SUM(R47:R50)</f>
        <v>49488</v>
      </c>
      <c r="AF51" s="3" t="s">
        <v>79</v>
      </c>
      <c r="AH51" s="9">
        <v>515</v>
      </c>
      <c r="AI51" s="10">
        <v>364</v>
      </c>
      <c r="AJ51" s="11">
        <v>317</v>
      </c>
      <c r="AK51" s="9">
        <v>442</v>
      </c>
      <c r="AL51" s="11">
        <v>312</v>
      </c>
      <c r="AM51" s="11">
        <v>272</v>
      </c>
      <c r="AN51" s="10">
        <v>368</v>
      </c>
      <c r="AO51" s="11">
        <v>260</v>
      </c>
      <c r="AP51" s="11">
        <v>227</v>
      </c>
    </row>
    <row r="53" spans="1:42" x14ac:dyDescent="0.25">
      <c r="A53" t="s">
        <v>66</v>
      </c>
      <c r="R53" s="2">
        <v>4344</v>
      </c>
      <c r="AG53" t="s">
        <v>81</v>
      </c>
      <c r="AH53" s="12">
        <f>2/9</f>
        <v>0.22222222222222221</v>
      </c>
    </row>
    <row r="54" spans="1:42" x14ac:dyDescent="0.25">
      <c r="A54" t="s">
        <v>67</v>
      </c>
      <c r="R54" s="2">
        <v>591</v>
      </c>
      <c r="AG54" t="s">
        <v>82</v>
      </c>
      <c r="AH54" s="12">
        <f>2/9</f>
        <v>0.22222222222222221</v>
      </c>
    </row>
    <row r="55" spans="1:42" x14ac:dyDescent="0.25">
      <c r="A55" t="s">
        <v>68</v>
      </c>
      <c r="R55" s="2">
        <v>1718</v>
      </c>
      <c r="AG55" t="s">
        <v>83</v>
      </c>
      <c r="AH55" s="12">
        <f>5/9</f>
        <v>0.55555555555555558</v>
      </c>
    </row>
    <row r="56" spans="1:42" x14ac:dyDescent="0.25">
      <c r="A56" t="s">
        <v>69</v>
      </c>
      <c r="R56" s="2">
        <v>1262</v>
      </c>
    </row>
    <row r="57" spans="1:42" x14ac:dyDescent="0.25">
      <c r="A57" t="s">
        <v>70</v>
      </c>
      <c r="R57" s="2">
        <v>399</v>
      </c>
      <c r="AK57">
        <f>364+312</f>
        <v>676</v>
      </c>
    </row>
    <row r="58" spans="1:42" x14ac:dyDescent="0.25">
      <c r="A58" t="s">
        <v>71</v>
      </c>
      <c r="R58" s="2">
        <f>SUM(R53:R57)</f>
        <v>8314</v>
      </c>
      <c r="AK58">
        <f>AK57/2</f>
        <v>338</v>
      </c>
    </row>
    <row r="59" spans="1:42" x14ac:dyDescent="0.25">
      <c r="A59" t="s">
        <v>75</v>
      </c>
      <c r="R59" s="2">
        <v>2908</v>
      </c>
    </row>
    <row r="60" spans="1:42" x14ac:dyDescent="0.25">
      <c r="A60" t="s">
        <v>74</v>
      </c>
      <c r="R60" s="2">
        <v>14037</v>
      </c>
    </row>
    <row r="61" spans="1:42" x14ac:dyDescent="0.25">
      <c r="A61" t="s">
        <v>73</v>
      </c>
      <c r="R61" s="2">
        <v>2400</v>
      </c>
    </row>
    <row r="62" spans="1:42" s="3" customFormat="1" x14ac:dyDescent="0.25">
      <c r="A62" s="3" t="s">
        <v>72</v>
      </c>
      <c r="R62" s="5">
        <f>SUM(R58:R61)</f>
        <v>27659</v>
      </c>
    </row>
    <row r="63" spans="1:42" x14ac:dyDescent="0.25">
      <c r="V63">
        <v>231</v>
      </c>
    </row>
    <row r="95" spans="3:21" x14ac:dyDescent="0.25">
      <c r="D95" t="s">
        <v>8</v>
      </c>
      <c r="E95" t="s">
        <v>9</v>
      </c>
      <c r="F95" t="s">
        <v>10</v>
      </c>
      <c r="G95" t="s">
        <v>11</v>
      </c>
      <c r="H95" t="s">
        <v>12</v>
      </c>
      <c r="I95" t="s">
        <v>13</v>
      </c>
      <c r="J95" t="s">
        <v>14</v>
      </c>
      <c r="K95" t="s">
        <v>15</v>
      </c>
      <c r="L95" t="s">
        <v>16</v>
      </c>
      <c r="M95" t="s">
        <v>21</v>
      </c>
      <c r="N95" t="s">
        <v>22</v>
      </c>
      <c r="O95" t="s">
        <v>23</v>
      </c>
      <c r="P95" t="s">
        <v>24</v>
      </c>
      <c r="Q95" t="s">
        <v>17</v>
      </c>
      <c r="R95" t="s">
        <v>18</v>
      </c>
      <c r="S95" t="s">
        <v>19</v>
      </c>
      <c r="T95" t="s">
        <v>20</v>
      </c>
      <c r="U95" t="s">
        <v>85</v>
      </c>
    </row>
    <row r="96" spans="3:21" x14ac:dyDescent="0.25">
      <c r="C96" t="s">
        <v>40</v>
      </c>
      <c r="D96" s="2">
        <v>66633</v>
      </c>
      <c r="E96" s="2">
        <v>66501</v>
      </c>
      <c r="F96" s="2">
        <v>67114</v>
      </c>
      <c r="G96" s="2">
        <v>67662</v>
      </c>
      <c r="H96" s="2">
        <v>69969</v>
      </c>
      <c r="I96" s="2">
        <v>72904</v>
      </c>
      <c r="J96" s="2">
        <v>73081</v>
      </c>
      <c r="K96" s="2">
        <v>73936</v>
      </c>
      <c r="L96" s="2">
        <v>74384</v>
      </c>
      <c r="M96" s="2">
        <v>73951</v>
      </c>
      <c r="N96" s="2">
        <v>74024</v>
      </c>
      <c r="O96" s="2">
        <v>75215</v>
      </c>
      <c r="P96" s="2">
        <v>74579</v>
      </c>
      <c r="Q96" s="2">
        <v>73283</v>
      </c>
      <c r="R96" s="2">
        <v>73387</v>
      </c>
      <c r="S96" s="2">
        <v>74296</v>
      </c>
      <c r="T96" s="2">
        <v>74398</v>
      </c>
      <c r="U96" s="2">
        <v>75570</v>
      </c>
    </row>
    <row r="97" spans="3:21" x14ac:dyDescent="0.25">
      <c r="C97" t="s">
        <v>41</v>
      </c>
      <c r="D97" s="2">
        <v>42542</v>
      </c>
      <c r="E97" s="2">
        <v>44229</v>
      </c>
      <c r="F97" s="2">
        <v>47355</v>
      </c>
      <c r="G97" s="2">
        <v>51778</v>
      </c>
      <c r="H97" s="2">
        <v>58734</v>
      </c>
      <c r="I97" s="2">
        <v>61483</v>
      </c>
      <c r="J97" s="2">
        <v>62242</v>
      </c>
      <c r="K97" s="2">
        <v>66698</v>
      </c>
      <c r="L97" s="2">
        <v>68508</v>
      </c>
      <c r="M97" s="2">
        <v>68696</v>
      </c>
      <c r="N97" s="2">
        <v>70500</v>
      </c>
      <c r="O97" s="2">
        <v>74036</v>
      </c>
      <c r="P97" s="2">
        <v>73733</v>
      </c>
      <c r="Q97" s="2">
        <v>72966</v>
      </c>
      <c r="R97" s="2">
        <v>73534</v>
      </c>
      <c r="S97" s="2">
        <v>76729</v>
      </c>
      <c r="T97" s="2">
        <v>77373</v>
      </c>
      <c r="U97" s="2">
        <v>79810</v>
      </c>
    </row>
    <row r="98" spans="3:21" x14ac:dyDescent="0.25">
      <c r="C98" t="s">
        <v>42</v>
      </c>
      <c r="D98" s="2">
        <v>27547</v>
      </c>
      <c r="E98" s="2">
        <v>27890</v>
      </c>
      <c r="F98" s="2">
        <v>29380</v>
      </c>
      <c r="G98" s="2">
        <v>31417</v>
      </c>
      <c r="H98" s="2">
        <v>34318</v>
      </c>
      <c r="I98" s="2">
        <v>36068</v>
      </c>
      <c r="J98" s="2">
        <v>36324</v>
      </c>
      <c r="K98" s="2">
        <v>37537</v>
      </c>
      <c r="L98" s="2">
        <v>37894</v>
      </c>
      <c r="M98" s="2">
        <v>38658</v>
      </c>
      <c r="N98" s="2">
        <v>38988</v>
      </c>
      <c r="O98" s="2">
        <v>39961</v>
      </c>
      <c r="P98" s="2">
        <v>39610</v>
      </c>
      <c r="Q98" s="2">
        <v>39624</v>
      </c>
      <c r="R98" s="2">
        <v>39936</v>
      </c>
      <c r="S98" s="2">
        <v>41699</v>
      </c>
      <c r="T98" s="2">
        <v>41249</v>
      </c>
      <c r="U98" s="2">
        <v>42470</v>
      </c>
    </row>
    <row r="99" spans="3:21" x14ac:dyDescent="0.25">
      <c r="C99" t="s">
        <v>43</v>
      </c>
      <c r="D99" s="2">
        <v>12141</v>
      </c>
      <c r="E99" s="2">
        <v>12942</v>
      </c>
      <c r="F99" s="2">
        <v>14485</v>
      </c>
      <c r="G99" s="2">
        <v>16233</v>
      </c>
      <c r="H99" s="2">
        <v>19835</v>
      </c>
      <c r="I99" s="2">
        <v>22492</v>
      </c>
      <c r="J99" s="2">
        <v>23504</v>
      </c>
      <c r="K99" s="2">
        <v>25492</v>
      </c>
      <c r="L99" s="2">
        <v>26853</v>
      </c>
      <c r="M99" s="2">
        <v>27875</v>
      </c>
      <c r="N99" s="2">
        <v>30051</v>
      </c>
      <c r="O99" s="2">
        <v>32632</v>
      </c>
      <c r="P99" s="2">
        <v>33719</v>
      </c>
      <c r="Q99" s="2">
        <v>34799</v>
      </c>
      <c r="R99" s="2">
        <v>36228</v>
      </c>
      <c r="S99" s="2">
        <v>38023</v>
      </c>
      <c r="T99" s="2">
        <v>39478</v>
      </c>
      <c r="U99" s="2">
        <v>40550</v>
      </c>
    </row>
    <row r="100" spans="3:21" x14ac:dyDescent="0.25">
      <c r="C100" t="s">
        <v>86</v>
      </c>
      <c r="D100" s="2">
        <f>SUM(D96:D99)</f>
        <v>148863</v>
      </c>
      <c r="E100" s="2">
        <f t="shared" ref="E100:U100" si="73">SUM(E96:E99)</f>
        <v>151562</v>
      </c>
      <c r="F100" s="2">
        <f t="shared" si="73"/>
        <v>158334</v>
      </c>
      <c r="G100" s="2">
        <f t="shared" si="73"/>
        <v>167090</v>
      </c>
      <c r="H100" s="2">
        <f t="shared" si="73"/>
        <v>182856</v>
      </c>
      <c r="I100" s="2">
        <f t="shared" si="73"/>
        <v>192947</v>
      </c>
      <c r="J100" s="2">
        <f t="shared" si="73"/>
        <v>195151</v>
      </c>
      <c r="K100" s="2">
        <f t="shared" si="73"/>
        <v>203663</v>
      </c>
      <c r="L100" s="2">
        <f t="shared" si="73"/>
        <v>207639</v>
      </c>
      <c r="M100" s="2">
        <f t="shared" si="73"/>
        <v>209180</v>
      </c>
      <c r="N100" s="2">
        <f t="shared" si="73"/>
        <v>213563</v>
      </c>
      <c r="O100" s="2">
        <f t="shared" si="73"/>
        <v>221844</v>
      </c>
      <c r="P100" s="2">
        <f t="shared" si="73"/>
        <v>221641</v>
      </c>
      <c r="Q100" s="2">
        <f t="shared" si="73"/>
        <v>220672</v>
      </c>
      <c r="R100" s="2">
        <f t="shared" si="73"/>
        <v>223085</v>
      </c>
      <c r="S100" s="2">
        <f t="shared" si="73"/>
        <v>230747</v>
      </c>
      <c r="T100" s="2">
        <f t="shared" si="73"/>
        <v>232498</v>
      </c>
      <c r="U100" s="2">
        <f t="shared" si="73"/>
        <v>238400</v>
      </c>
    </row>
    <row r="102" spans="3:21" x14ac:dyDescent="0.25">
      <c r="E102" t="s">
        <v>9</v>
      </c>
      <c r="F102" t="s">
        <v>10</v>
      </c>
      <c r="G102" t="s">
        <v>11</v>
      </c>
      <c r="H102" t="s">
        <v>12</v>
      </c>
      <c r="I102" t="s">
        <v>13</v>
      </c>
      <c r="J102" t="s">
        <v>14</v>
      </c>
      <c r="K102" t="s">
        <v>15</v>
      </c>
      <c r="L102" t="s">
        <v>16</v>
      </c>
      <c r="M102" t="s">
        <v>21</v>
      </c>
      <c r="N102" t="s">
        <v>22</v>
      </c>
      <c r="O102" t="s">
        <v>23</v>
      </c>
      <c r="P102" t="s">
        <v>24</v>
      </c>
      <c r="Q102" t="s">
        <v>17</v>
      </c>
      <c r="R102" t="s">
        <v>18</v>
      </c>
      <c r="S102" t="s">
        <v>19</v>
      </c>
      <c r="T102" t="s">
        <v>20</v>
      </c>
      <c r="U102" t="s">
        <v>85</v>
      </c>
    </row>
    <row r="103" spans="3:21" x14ac:dyDescent="0.25">
      <c r="C103" t="s">
        <v>40</v>
      </c>
      <c r="D103" s="2"/>
      <c r="E103" s="12">
        <f>E96/D96-1</f>
        <v>-1.9810004052046581E-3</v>
      </c>
      <c r="F103" s="12">
        <f t="shared" ref="F103:S103" si="74">F96/E96-1</f>
        <v>9.2179064976467551E-3</v>
      </c>
      <c r="G103" s="12">
        <f t="shared" si="74"/>
        <v>8.1652114312960045E-3</v>
      </c>
      <c r="H103" s="12">
        <f t="shared" si="74"/>
        <v>3.4095947503768764E-2</v>
      </c>
      <c r="I103" s="12">
        <f t="shared" si="74"/>
        <v>4.1947148022695835E-2</v>
      </c>
      <c r="J103" s="12">
        <f t="shared" si="74"/>
        <v>2.4278503237133986E-3</v>
      </c>
      <c r="K103" s="12">
        <f t="shared" si="74"/>
        <v>1.1699347299571672E-2</v>
      </c>
      <c r="L103" s="12">
        <f t="shared" si="74"/>
        <v>6.0592945249946517E-3</v>
      </c>
      <c r="M103" s="12">
        <f t="shared" si="74"/>
        <v>-5.8211443321144474E-3</v>
      </c>
      <c r="N103" s="12">
        <f t="shared" si="74"/>
        <v>9.8714013333145445E-4</v>
      </c>
      <c r="O103" s="12">
        <f t="shared" si="74"/>
        <v>1.6089376418458867E-2</v>
      </c>
      <c r="P103" s="12">
        <f t="shared" si="74"/>
        <v>-8.4557601542245564E-3</v>
      </c>
      <c r="Q103" s="12">
        <f t="shared" si="74"/>
        <v>-1.7377545957977469E-2</v>
      </c>
      <c r="R103" s="12">
        <f t="shared" si="74"/>
        <v>1.4191558751688316E-3</v>
      </c>
      <c r="S103" s="12">
        <f t="shared" si="74"/>
        <v>1.2386389960074684E-2</v>
      </c>
      <c r="T103" s="12">
        <f>T96/S96-1</f>
        <v>1.3728868310540765E-3</v>
      </c>
      <c r="U103" s="12">
        <f>U96/T96-1</f>
        <v>1.5753111642786033E-2</v>
      </c>
    </row>
    <row r="104" spans="3:21" x14ac:dyDescent="0.25">
      <c r="C104" t="s">
        <v>41</v>
      </c>
      <c r="D104" s="2"/>
      <c r="E104" s="12">
        <f>E97/D97-1</f>
        <v>3.965492924639169E-2</v>
      </c>
      <c r="F104" s="12">
        <f t="shared" ref="F104:U104" si="75">F97/E97-1</f>
        <v>7.0677609713084122E-2</v>
      </c>
      <c r="G104" s="12">
        <f t="shared" si="75"/>
        <v>9.3400908035054409E-2</v>
      </c>
      <c r="H104" s="12">
        <f t="shared" si="75"/>
        <v>0.13434277106106851</v>
      </c>
      <c r="I104" s="12">
        <f t="shared" si="75"/>
        <v>4.6804236047264025E-2</v>
      </c>
      <c r="J104" s="12">
        <f t="shared" si="75"/>
        <v>1.234487581933208E-2</v>
      </c>
      <c r="K104" s="12">
        <f t="shared" si="75"/>
        <v>7.1591529835159484E-2</v>
      </c>
      <c r="L104" s="12">
        <f t="shared" si="75"/>
        <v>2.713724549461749E-2</v>
      </c>
      <c r="M104" s="12">
        <f t="shared" si="75"/>
        <v>2.7442050563437625E-3</v>
      </c>
      <c r="N104" s="12">
        <f t="shared" si="75"/>
        <v>2.6260626528473274E-2</v>
      </c>
      <c r="O104" s="12">
        <f t="shared" si="75"/>
        <v>5.0156028368794292E-2</v>
      </c>
      <c r="P104" s="12">
        <f t="shared" si="75"/>
        <v>-4.0926035982494779E-3</v>
      </c>
      <c r="Q104" s="12">
        <f t="shared" si="75"/>
        <v>-1.040239784085828E-2</v>
      </c>
      <c r="R104" s="12">
        <f t="shared" si="75"/>
        <v>7.7844475509141198E-3</v>
      </c>
      <c r="S104" s="12">
        <f t="shared" si="75"/>
        <v>4.3449288764381144E-2</v>
      </c>
      <c r="T104" s="12">
        <f t="shared" si="75"/>
        <v>8.3931759830051522E-3</v>
      </c>
      <c r="U104" s="12">
        <f t="shared" si="75"/>
        <v>3.1496775360914109E-2</v>
      </c>
    </row>
    <row r="105" spans="3:21" x14ac:dyDescent="0.25">
      <c r="C105" t="s">
        <v>42</v>
      </c>
      <c r="D105" s="2"/>
      <c r="E105" s="12">
        <f>E98/D98-1</f>
        <v>1.2451446618506612E-2</v>
      </c>
      <c r="F105" s="12">
        <f t="shared" ref="F105:U105" si="76">F98/E98-1</f>
        <v>5.3424166367873838E-2</v>
      </c>
      <c r="G105" s="12">
        <f t="shared" si="76"/>
        <v>6.933287950987066E-2</v>
      </c>
      <c r="H105" s="12">
        <f t="shared" si="76"/>
        <v>9.233854282713172E-2</v>
      </c>
      <c r="I105" s="12">
        <f t="shared" si="76"/>
        <v>5.0993647648464258E-2</v>
      </c>
      <c r="J105" s="12">
        <f t="shared" si="76"/>
        <v>7.097704336253674E-3</v>
      </c>
      <c r="K105" s="12">
        <f t="shared" si="76"/>
        <v>3.33938993502918E-2</v>
      </c>
      <c r="L105" s="12">
        <f t="shared" si="76"/>
        <v>9.5106161920239796E-3</v>
      </c>
      <c r="M105" s="12">
        <f t="shared" si="76"/>
        <v>2.0161503140338821E-2</v>
      </c>
      <c r="N105" s="12">
        <f t="shared" si="76"/>
        <v>8.5363960887785417E-3</v>
      </c>
      <c r="O105" s="12">
        <f t="shared" si="76"/>
        <v>2.4956396840053241E-2</v>
      </c>
      <c r="P105" s="12">
        <f t="shared" si="76"/>
        <v>-8.7835639748754524E-3</v>
      </c>
      <c r="Q105" s="12">
        <f t="shared" si="76"/>
        <v>3.5344609946985628E-4</v>
      </c>
      <c r="R105" s="12">
        <f t="shared" si="76"/>
        <v>7.8740157480314821E-3</v>
      </c>
      <c r="S105" s="12">
        <f t="shared" si="76"/>
        <v>4.4145633012820484E-2</v>
      </c>
      <c r="T105" s="12">
        <f t="shared" si="76"/>
        <v>-1.0791625698458041E-2</v>
      </c>
      <c r="U105" s="12">
        <f t="shared" si="76"/>
        <v>2.9600717593153858E-2</v>
      </c>
    </row>
    <row r="106" spans="3:21" x14ac:dyDescent="0.25">
      <c r="C106" t="s">
        <v>43</v>
      </c>
      <c r="D106" s="2"/>
      <c r="E106" s="12">
        <f>E99/D99-1</f>
        <v>6.597479614529278E-2</v>
      </c>
      <c r="F106" s="12">
        <f t="shared" ref="F106:U106" si="77">F99/E99-1</f>
        <v>0.11922423118528824</v>
      </c>
      <c r="G106" s="12">
        <f t="shared" si="77"/>
        <v>0.12067656196064891</v>
      </c>
      <c r="H106" s="12">
        <f t="shared" si="77"/>
        <v>0.22189367338138366</v>
      </c>
      <c r="I106" s="12">
        <f t="shared" si="77"/>
        <v>0.13395512982102353</v>
      </c>
      <c r="J106" s="12">
        <f t="shared" si="77"/>
        <v>4.4993775564645233E-2</v>
      </c>
      <c r="K106" s="12">
        <f t="shared" si="77"/>
        <v>8.4581347855684053E-2</v>
      </c>
      <c r="L106" s="12">
        <f t="shared" si="77"/>
        <v>5.3389298603483404E-2</v>
      </c>
      <c r="M106" s="12">
        <f t="shared" si="77"/>
        <v>3.8059062302163715E-2</v>
      </c>
      <c r="N106" s="12">
        <f t="shared" si="77"/>
        <v>7.8062780269058329E-2</v>
      </c>
      <c r="O106" s="12">
        <f t="shared" si="77"/>
        <v>8.5887324881035676E-2</v>
      </c>
      <c r="P106" s="12">
        <f t="shared" si="77"/>
        <v>3.3310860505025852E-2</v>
      </c>
      <c r="Q106" s="12">
        <f t="shared" si="77"/>
        <v>3.20294196150539E-2</v>
      </c>
      <c r="R106" s="12">
        <f t="shared" si="77"/>
        <v>4.1064398402252955E-2</v>
      </c>
      <c r="S106" s="12">
        <f t="shared" si="77"/>
        <v>4.9547311471789701E-2</v>
      </c>
      <c r="T106" s="12">
        <f t="shared" si="77"/>
        <v>3.8266312495068844E-2</v>
      </c>
      <c r="U106" s="12">
        <f t="shared" si="77"/>
        <v>2.7154364456152713E-2</v>
      </c>
    </row>
    <row r="120" spans="3:23" x14ac:dyDescent="0.25">
      <c r="D120" t="s">
        <v>8</v>
      </c>
      <c r="E120" t="s">
        <v>9</v>
      </c>
      <c r="F120" t="s">
        <v>10</v>
      </c>
      <c r="G120" t="s">
        <v>11</v>
      </c>
      <c r="H120" t="s">
        <v>12</v>
      </c>
      <c r="I120" t="s">
        <v>13</v>
      </c>
      <c r="J120" t="s">
        <v>14</v>
      </c>
      <c r="K120" t="s">
        <v>15</v>
      </c>
      <c r="L120" t="s">
        <v>16</v>
      </c>
      <c r="M120" t="s">
        <v>21</v>
      </c>
      <c r="N120" t="s">
        <v>22</v>
      </c>
      <c r="O120" t="s">
        <v>23</v>
      </c>
      <c r="P120" t="s">
        <v>24</v>
      </c>
      <c r="Q120" t="s">
        <v>17</v>
      </c>
      <c r="R120" t="s">
        <v>18</v>
      </c>
      <c r="S120" t="s">
        <v>19</v>
      </c>
      <c r="T120" t="s">
        <v>20</v>
      </c>
      <c r="U120" t="s">
        <v>85</v>
      </c>
      <c r="V120" t="s">
        <v>87</v>
      </c>
      <c r="W120" t="s">
        <v>88</v>
      </c>
    </row>
    <row r="121" spans="3:23" x14ac:dyDescent="0.25">
      <c r="C121" t="s">
        <v>86</v>
      </c>
      <c r="D121" s="2">
        <f>SUM(D96:D99)</f>
        <v>148863</v>
      </c>
      <c r="E121" s="2">
        <f t="shared" ref="E121:U121" si="78">SUM(E96:E99)</f>
        <v>151562</v>
      </c>
      <c r="F121" s="2">
        <f t="shared" si="78"/>
        <v>158334</v>
      </c>
      <c r="G121" s="2">
        <f t="shared" si="78"/>
        <v>167090</v>
      </c>
      <c r="H121" s="2">
        <f t="shared" si="78"/>
        <v>182856</v>
      </c>
      <c r="I121" s="2">
        <f t="shared" si="78"/>
        <v>192947</v>
      </c>
      <c r="J121" s="2">
        <f t="shared" si="78"/>
        <v>195151</v>
      </c>
      <c r="K121" s="2">
        <f t="shared" si="78"/>
        <v>203663</v>
      </c>
      <c r="L121" s="2">
        <f t="shared" si="78"/>
        <v>207639</v>
      </c>
      <c r="M121" s="2">
        <f t="shared" si="78"/>
        <v>209180</v>
      </c>
      <c r="N121" s="2">
        <f t="shared" si="78"/>
        <v>213563</v>
      </c>
      <c r="O121" s="2">
        <f t="shared" si="78"/>
        <v>221844</v>
      </c>
      <c r="P121" s="2">
        <f t="shared" si="78"/>
        <v>221641</v>
      </c>
      <c r="Q121" s="2">
        <f t="shared" si="78"/>
        <v>220672</v>
      </c>
      <c r="R121" s="2">
        <f t="shared" si="78"/>
        <v>223085</v>
      </c>
      <c r="S121" s="2">
        <f t="shared" si="78"/>
        <v>230747</v>
      </c>
      <c r="T121" s="2">
        <f t="shared" si="78"/>
        <v>232498</v>
      </c>
      <c r="U121" s="2">
        <f t="shared" si="78"/>
        <v>238400</v>
      </c>
      <c r="V121" s="2">
        <v>225000</v>
      </c>
      <c r="W121" s="2">
        <v>224500</v>
      </c>
    </row>
    <row r="123" spans="3:23" x14ac:dyDescent="0.25">
      <c r="T123" s="2"/>
    </row>
  </sheetData>
  <hyperlinks>
    <hyperlink ref="A1" location="Main!A1" display="Main" xr:uid="{602EBC35-C74A-4B97-A790-15136BE89F5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64E1-E803-42C9-8507-6F2B50157EEF}">
  <dimension ref="A2:U21"/>
  <sheetViews>
    <sheetView workbookViewId="0">
      <selection activeCell="D19" sqref="D19"/>
    </sheetView>
  </sheetViews>
  <sheetFormatPr defaultRowHeight="15" x14ac:dyDescent="0.25"/>
  <cols>
    <col min="1" max="1" width="14" bestFit="1" customWidth="1"/>
  </cols>
  <sheetData>
    <row r="2" spans="1:2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21</v>
      </c>
      <c r="L2" t="s">
        <v>22</v>
      </c>
      <c r="M2" t="s">
        <v>23</v>
      </c>
      <c r="N2" t="s">
        <v>24</v>
      </c>
      <c r="O2" t="s">
        <v>17</v>
      </c>
      <c r="P2" t="s">
        <v>18</v>
      </c>
      <c r="Q2" t="s">
        <v>19</v>
      </c>
      <c r="R2" t="s">
        <v>20</v>
      </c>
      <c r="S2" t="s">
        <v>25</v>
      </c>
    </row>
    <row r="3" spans="1:21" x14ac:dyDescent="0.25">
      <c r="A3" t="s">
        <v>89</v>
      </c>
      <c r="F3">
        <v>27</v>
      </c>
      <c r="G3">
        <v>34</v>
      </c>
      <c r="H3">
        <v>58</v>
      </c>
      <c r="I3">
        <v>74</v>
      </c>
      <c r="J3">
        <v>95</v>
      </c>
      <c r="K3">
        <v>104</v>
      </c>
      <c r="L3">
        <v>116</v>
      </c>
      <c r="M3">
        <v>118</v>
      </c>
      <c r="N3">
        <v>130</v>
      </c>
      <c r="O3">
        <v>138</v>
      </c>
      <c r="P3">
        <v>152</v>
      </c>
      <c r="Q3">
        <v>164</v>
      </c>
      <c r="R3">
        <v>162</v>
      </c>
      <c r="S3">
        <v>158</v>
      </c>
    </row>
    <row r="4" spans="1:21" x14ac:dyDescent="0.25">
      <c r="A4" t="s">
        <v>90</v>
      </c>
      <c r="I4">
        <v>12</v>
      </c>
      <c r="J4">
        <v>17</v>
      </c>
      <c r="K4">
        <v>21</v>
      </c>
      <c r="L4">
        <v>26</v>
      </c>
      <c r="M4">
        <v>33</v>
      </c>
      <c r="N4">
        <v>40</v>
      </c>
      <c r="O4">
        <v>43</v>
      </c>
      <c r="P4">
        <v>46</v>
      </c>
      <c r="Q4">
        <v>56</v>
      </c>
      <c r="R4">
        <v>60</v>
      </c>
    </row>
    <row r="5" spans="1:21" x14ac:dyDescent="0.25">
      <c r="A5" t="s">
        <v>91</v>
      </c>
      <c r="F5">
        <v>54</v>
      </c>
      <c r="G5">
        <v>56</v>
      </c>
      <c r="H5">
        <v>57</v>
      </c>
      <c r="I5">
        <v>61</v>
      </c>
      <c r="J5">
        <v>64</v>
      </c>
      <c r="K5">
        <v>68</v>
      </c>
      <c r="L5">
        <v>70</v>
      </c>
      <c r="M5">
        <v>74</v>
      </c>
      <c r="N5">
        <v>77</v>
      </c>
      <c r="O5">
        <v>92</v>
      </c>
      <c r="P5">
        <v>95</v>
      </c>
    </row>
    <row r="6" spans="1:21" x14ac:dyDescent="0.25">
      <c r="A6" t="s">
        <v>92</v>
      </c>
      <c r="B6">
        <v>23</v>
      </c>
      <c r="C6">
        <v>25</v>
      </c>
      <c r="D6">
        <v>28</v>
      </c>
      <c r="E6">
        <v>29</v>
      </c>
      <c r="F6">
        <v>30</v>
      </c>
      <c r="G6">
        <v>32</v>
      </c>
      <c r="H6">
        <v>36</v>
      </c>
      <c r="I6">
        <v>37</v>
      </c>
      <c r="J6">
        <v>39</v>
      </c>
      <c r="K6">
        <v>42</v>
      </c>
      <c r="L6">
        <v>43</v>
      </c>
      <c r="M6">
        <v>44</v>
      </c>
      <c r="N6">
        <v>45</v>
      </c>
      <c r="O6">
        <v>46</v>
      </c>
      <c r="P6">
        <v>46</v>
      </c>
      <c r="Q6">
        <v>47</v>
      </c>
      <c r="R6">
        <v>48</v>
      </c>
      <c r="S6">
        <v>48</v>
      </c>
    </row>
    <row r="7" spans="1:21" s="3" customFormat="1" x14ac:dyDescent="0.25">
      <c r="A7" s="3" t="s">
        <v>93</v>
      </c>
      <c r="B7" s="5">
        <v>148863</v>
      </c>
      <c r="C7" s="5">
        <v>151562</v>
      </c>
      <c r="D7" s="5">
        <v>158334</v>
      </c>
      <c r="E7" s="5">
        <v>167090</v>
      </c>
      <c r="F7" s="5">
        <v>182856</v>
      </c>
      <c r="G7" s="5">
        <v>192947</v>
      </c>
      <c r="H7" s="5">
        <v>195151</v>
      </c>
      <c r="I7" s="5">
        <v>203663</v>
      </c>
      <c r="J7" s="5">
        <v>207639</v>
      </c>
      <c r="K7" s="5">
        <v>209180</v>
      </c>
      <c r="L7" s="5">
        <v>213563</v>
      </c>
      <c r="M7" s="5">
        <v>221844</v>
      </c>
      <c r="N7" s="5">
        <v>221641</v>
      </c>
      <c r="O7" s="5">
        <v>220672</v>
      </c>
      <c r="P7" s="5">
        <v>223085</v>
      </c>
      <c r="Q7" s="5">
        <v>230747</v>
      </c>
      <c r="R7" s="5">
        <v>232498</v>
      </c>
      <c r="S7" s="5"/>
      <c r="T7" s="5"/>
      <c r="U7" s="5"/>
    </row>
    <row r="16" spans="1:21" x14ac:dyDescent="0.25"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21</v>
      </c>
      <c r="L16" t="s">
        <v>22</v>
      </c>
      <c r="M16" t="s">
        <v>23</v>
      </c>
      <c r="N16" t="s">
        <v>24</v>
      </c>
      <c r="O16" t="s">
        <v>17</v>
      </c>
      <c r="P16" t="s">
        <v>18</v>
      </c>
      <c r="Q16" t="s">
        <v>19</v>
      </c>
      <c r="R16" t="s">
        <v>20</v>
      </c>
      <c r="S16" t="s">
        <v>25</v>
      </c>
    </row>
    <row r="17" spans="1:19" x14ac:dyDescent="0.25">
      <c r="A17" t="s">
        <v>89</v>
      </c>
      <c r="B17" s="6"/>
      <c r="C17" s="6"/>
      <c r="D17" s="6"/>
      <c r="E17" s="6"/>
      <c r="F17" s="6"/>
      <c r="G17" s="6">
        <f t="shared" ref="C17:R21" si="0">G3/F3-1</f>
        <v>0.2592592592592593</v>
      </c>
      <c r="H17" s="6">
        <f t="shared" si="0"/>
        <v>0.70588235294117641</v>
      </c>
      <c r="I17" s="6">
        <f t="shared" si="0"/>
        <v>0.27586206896551735</v>
      </c>
      <c r="J17" s="6">
        <f t="shared" si="0"/>
        <v>0.28378378378378377</v>
      </c>
      <c r="K17" s="6">
        <f t="shared" si="0"/>
        <v>9.473684210526323E-2</v>
      </c>
      <c r="L17" s="6">
        <f t="shared" si="0"/>
        <v>0.11538461538461542</v>
      </c>
      <c r="M17" s="6">
        <f t="shared" si="0"/>
        <v>1.7241379310344751E-2</v>
      </c>
      <c r="N17" s="6">
        <f t="shared" si="0"/>
        <v>0.10169491525423724</v>
      </c>
      <c r="O17" s="6">
        <f t="shared" si="0"/>
        <v>6.1538461538461542E-2</v>
      </c>
      <c r="P17" s="6">
        <f t="shared" si="0"/>
        <v>0.10144927536231885</v>
      </c>
      <c r="Q17" s="6">
        <f t="shared" si="0"/>
        <v>7.8947368421052655E-2</v>
      </c>
      <c r="R17" s="6">
        <f t="shared" si="0"/>
        <v>-1.2195121951219523E-2</v>
      </c>
      <c r="S17" s="6">
        <f>S3/R3-1</f>
        <v>-2.4691358024691357E-2</v>
      </c>
    </row>
    <row r="18" spans="1:19" x14ac:dyDescent="0.25">
      <c r="A18" t="s">
        <v>90</v>
      </c>
      <c r="B18" s="6"/>
      <c r="C18" s="6"/>
      <c r="D18" s="6"/>
      <c r="E18" s="6"/>
      <c r="F18" s="6"/>
      <c r="G18" s="6"/>
      <c r="H18" s="6"/>
      <c r="I18" s="6"/>
      <c r="J18" s="6">
        <f t="shared" si="0"/>
        <v>0.41666666666666674</v>
      </c>
      <c r="K18" s="6">
        <f t="shared" si="0"/>
        <v>0.23529411764705888</v>
      </c>
      <c r="L18" s="6">
        <f t="shared" si="0"/>
        <v>0.23809523809523814</v>
      </c>
      <c r="M18" s="6">
        <f t="shared" si="0"/>
        <v>0.26923076923076916</v>
      </c>
      <c r="N18" s="6">
        <f t="shared" si="0"/>
        <v>0.21212121212121215</v>
      </c>
      <c r="O18" s="6">
        <f t="shared" si="0"/>
        <v>7.4999999999999956E-2</v>
      </c>
      <c r="P18" s="6">
        <f t="shared" si="0"/>
        <v>6.9767441860465018E-2</v>
      </c>
      <c r="Q18" s="6">
        <f t="shared" si="0"/>
        <v>0.21739130434782616</v>
      </c>
      <c r="R18" s="6">
        <f t="shared" si="0"/>
        <v>7.1428571428571397E-2</v>
      </c>
      <c r="S18" s="6"/>
    </row>
    <row r="19" spans="1:19" x14ac:dyDescent="0.25">
      <c r="A19" t="s">
        <v>91</v>
      </c>
      <c r="B19" s="6"/>
      <c r="C19" s="6"/>
      <c r="D19" s="6"/>
      <c r="E19" s="6"/>
      <c r="F19" s="6"/>
      <c r="G19" s="6">
        <f t="shared" si="0"/>
        <v>3.7037037037036979E-2</v>
      </c>
      <c r="H19" s="6">
        <f t="shared" si="0"/>
        <v>1.7857142857142794E-2</v>
      </c>
      <c r="I19" s="6">
        <f t="shared" si="0"/>
        <v>7.0175438596491224E-2</v>
      </c>
      <c r="J19" s="6">
        <f t="shared" si="0"/>
        <v>4.9180327868852514E-2</v>
      </c>
      <c r="K19" s="6">
        <f t="shared" si="0"/>
        <v>6.25E-2</v>
      </c>
      <c r="L19" s="6">
        <f t="shared" si="0"/>
        <v>2.9411764705882248E-2</v>
      </c>
      <c r="M19" s="6">
        <f t="shared" si="0"/>
        <v>5.7142857142857162E-2</v>
      </c>
      <c r="N19" s="6">
        <f t="shared" si="0"/>
        <v>4.0540540540540571E-2</v>
      </c>
      <c r="O19" s="6">
        <f t="shared" si="0"/>
        <v>0.19480519480519476</v>
      </c>
      <c r="P19" s="6">
        <f t="shared" si="0"/>
        <v>3.2608695652173836E-2</v>
      </c>
      <c r="Q19" s="6"/>
      <c r="R19" s="6"/>
      <c r="S19" s="6"/>
    </row>
    <row r="20" spans="1:19" x14ac:dyDescent="0.25">
      <c r="A20" t="s">
        <v>92</v>
      </c>
      <c r="B20" s="6"/>
      <c r="C20" s="6">
        <f t="shared" si="0"/>
        <v>8.6956521739130377E-2</v>
      </c>
      <c r="D20" s="6">
        <f t="shared" si="0"/>
        <v>0.12000000000000011</v>
      </c>
      <c r="E20" s="6">
        <f t="shared" si="0"/>
        <v>3.5714285714285809E-2</v>
      </c>
      <c r="F20" s="6">
        <f t="shared" si="0"/>
        <v>3.4482758620689724E-2</v>
      </c>
      <c r="G20" s="6">
        <f t="shared" si="0"/>
        <v>6.6666666666666652E-2</v>
      </c>
      <c r="H20" s="6">
        <f t="shared" si="0"/>
        <v>0.125</v>
      </c>
      <c r="I20" s="6">
        <f t="shared" si="0"/>
        <v>2.7777777777777679E-2</v>
      </c>
      <c r="J20" s="6">
        <f t="shared" si="0"/>
        <v>5.4054054054053946E-2</v>
      </c>
      <c r="K20" s="6">
        <f t="shared" si="0"/>
        <v>7.6923076923076872E-2</v>
      </c>
      <c r="L20" s="6">
        <f t="shared" si="0"/>
        <v>2.3809523809523725E-2</v>
      </c>
      <c r="M20" s="6">
        <f t="shared" si="0"/>
        <v>2.3255813953488413E-2</v>
      </c>
      <c r="N20" s="6">
        <f t="shared" si="0"/>
        <v>2.2727272727272707E-2</v>
      </c>
      <c r="O20" s="6">
        <f t="shared" si="0"/>
        <v>2.2222222222222143E-2</v>
      </c>
      <c r="P20" s="6">
        <f t="shared" si="0"/>
        <v>0</v>
      </c>
      <c r="Q20" s="6">
        <f t="shared" si="0"/>
        <v>2.1739130434782705E-2</v>
      </c>
      <c r="R20" s="6">
        <f t="shared" si="0"/>
        <v>2.1276595744680771E-2</v>
      </c>
      <c r="S20" s="6">
        <f t="shared" ref="S20" si="1">S6/R6-1</f>
        <v>0</v>
      </c>
    </row>
    <row r="21" spans="1:19" x14ac:dyDescent="0.25">
      <c r="A21" s="3" t="s">
        <v>93</v>
      </c>
      <c r="B21" s="6"/>
      <c r="C21" s="6">
        <f t="shared" si="0"/>
        <v>1.8130764528458965E-2</v>
      </c>
      <c r="D21" s="6">
        <f t="shared" si="0"/>
        <v>4.4681384515907752E-2</v>
      </c>
      <c r="E21" s="6">
        <f t="shared" si="0"/>
        <v>5.530081978602186E-2</v>
      </c>
      <c r="F21" s="6">
        <f t="shared" si="0"/>
        <v>9.4356334909330375E-2</v>
      </c>
      <c r="G21" s="6">
        <f t="shared" si="0"/>
        <v>5.5185501159382255E-2</v>
      </c>
      <c r="H21" s="6">
        <f t="shared" si="0"/>
        <v>1.1422825957387195E-2</v>
      </c>
      <c r="I21" s="6">
        <f t="shared" si="0"/>
        <v>4.3617506443728082E-2</v>
      </c>
      <c r="J21" s="6">
        <f t="shared" si="0"/>
        <v>1.9522446394288684E-2</v>
      </c>
      <c r="K21" s="6">
        <f t="shared" si="0"/>
        <v>7.4215344901487068E-3</v>
      </c>
      <c r="L21" s="6">
        <f t="shared" si="0"/>
        <v>2.0953246008222681E-2</v>
      </c>
      <c r="M21" s="6">
        <f t="shared" si="0"/>
        <v>3.877544331180971E-2</v>
      </c>
      <c r="N21" s="6">
        <f t="shared" si="0"/>
        <v>-9.1505742774200538E-4</v>
      </c>
      <c r="O21" s="6">
        <f t="shared" si="0"/>
        <v>-4.3719347954574994E-3</v>
      </c>
      <c r="P21" s="6">
        <f t="shared" si="0"/>
        <v>1.0934781032482688E-2</v>
      </c>
      <c r="Q21" s="6">
        <f t="shared" si="0"/>
        <v>3.4345653002218812E-2</v>
      </c>
      <c r="R21" s="6">
        <f t="shared" si="0"/>
        <v>7.5883976823101218E-3</v>
      </c>
      <c r="S2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Comps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Garza</cp:lastModifiedBy>
  <cp:revision/>
  <dcterms:created xsi:type="dcterms:W3CDTF">2023-05-27T18:23:33Z</dcterms:created>
  <dcterms:modified xsi:type="dcterms:W3CDTF">2023-07-31T23:33:31Z</dcterms:modified>
  <cp:category/>
  <cp:contentStatus/>
</cp:coreProperties>
</file>