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fda80931a57275/Documents/"/>
    </mc:Choice>
  </mc:AlternateContent>
  <xr:revisionPtr revIDLastSave="342" documentId="8_{A7694AFA-BC57-49E7-B5AD-9C4938AC3052}" xr6:coauthVersionLast="47" xr6:coauthVersionMax="47" xr10:uidLastSave="{7F00C6C2-4F14-4386-8F42-AB4879DC74E2}"/>
  <bookViews>
    <workbookView xWindow="23805" yWindow="1095" windowWidth="26385" windowHeight="18735" firstSheet="1" activeTab="1" xr2:uid="{7C8214AC-F21F-4B6C-8D76-6029D4F15773}"/>
  </bookViews>
  <sheets>
    <sheet name="Main" sheetId="1" r:id="rId1"/>
    <sheet name="Model" sheetId="2" r:id="rId2"/>
    <sheet name="NTLA-2001" sheetId="3" r:id="rId3"/>
    <sheet name="NTLA-200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D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T17" i="2"/>
  <c r="S17" i="2"/>
  <c r="R17" i="2"/>
  <c r="Q17" i="2"/>
  <c r="P17" i="2"/>
  <c r="O17" i="2"/>
  <c r="N17" i="2"/>
  <c r="M17" i="2"/>
  <c r="L17" i="2"/>
  <c r="K17" i="2"/>
  <c r="J17" i="2"/>
  <c r="I17" i="2"/>
  <c r="M16" i="2"/>
  <c r="I16" i="2"/>
  <c r="H16" i="2"/>
  <c r="T15" i="2"/>
  <c r="T16" i="2" s="1"/>
  <c r="S15" i="2"/>
  <c r="S16" i="2" s="1"/>
  <c r="R15" i="2"/>
  <c r="R16" i="2" s="1"/>
  <c r="Q15" i="2"/>
  <c r="Q16" i="2" s="1"/>
  <c r="P15" i="2"/>
  <c r="P16" i="2" s="1"/>
  <c r="O15" i="2"/>
  <c r="O16" i="2" s="1"/>
  <c r="N15" i="2"/>
  <c r="N16" i="2" s="1"/>
  <c r="M15" i="2"/>
  <c r="L15" i="2"/>
  <c r="L16" i="2" s="1"/>
  <c r="K15" i="2"/>
  <c r="K16" i="2" s="1"/>
  <c r="J15" i="2"/>
  <c r="J16" i="2" s="1"/>
  <c r="I15" i="2"/>
  <c r="H15" i="2"/>
  <c r="G16" i="2"/>
  <c r="G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T12" i="2"/>
  <c r="H12" i="2"/>
  <c r="T11" i="2"/>
  <c r="S11" i="2"/>
  <c r="S12" i="2" s="1"/>
  <c r="R11" i="2"/>
  <c r="R12" i="2" s="1"/>
  <c r="Q11" i="2"/>
  <c r="Q12" i="2" s="1"/>
  <c r="P11" i="2"/>
  <c r="P12" i="2" s="1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G12" i="2"/>
  <c r="G11" i="2"/>
  <c r="Q7" i="2"/>
  <c r="Q8" i="2" s="1"/>
  <c r="O9" i="2"/>
  <c r="N9" i="2"/>
  <c r="M9" i="2"/>
  <c r="L9" i="2"/>
  <c r="K9" i="2"/>
  <c r="J9" i="2"/>
  <c r="I9" i="2"/>
  <c r="H9" i="2"/>
  <c r="W10" i="2"/>
  <c r="V10" i="2"/>
  <c r="U10" i="2"/>
  <c r="O10" i="2"/>
  <c r="N10" i="2"/>
  <c r="M10" i="2"/>
  <c r="L10" i="2"/>
  <c r="K10" i="2"/>
  <c r="J10" i="2"/>
  <c r="I10" i="2"/>
  <c r="H10" i="2"/>
  <c r="G10" i="2"/>
  <c r="L7" i="2"/>
  <c r="M7" i="2" s="1"/>
  <c r="K8" i="2"/>
  <c r="J8" i="2"/>
  <c r="I8" i="2"/>
  <c r="H8" i="2"/>
  <c r="G8" i="2"/>
  <c r="G4" i="2"/>
  <c r="Q9" i="2" l="1"/>
  <c r="Q10" i="2"/>
  <c r="R7" i="2"/>
  <c r="N7" i="2"/>
  <c r="M8" i="2"/>
  <c r="L8" i="2"/>
  <c r="O7" i="2"/>
  <c r="N8" i="2"/>
  <c r="W23" i="2" l="1"/>
  <c r="W24" i="2" s="1"/>
  <c r="R8" i="2"/>
  <c r="S7" i="2"/>
  <c r="P7" i="2"/>
  <c r="P8" i="2" s="1"/>
  <c r="O8" i="2"/>
  <c r="P9" i="2" l="1"/>
  <c r="P10" i="2" s="1"/>
  <c r="S8" i="2"/>
  <c r="T7" i="2"/>
  <c r="T8" i="2" s="1"/>
  <c r="R9" i="2"/>
  <c r="R10" i="2"/>
  <c r="T9" i="2" l="1"/>
  <c r="T10" i="2"/>
  <c r="S9" i="2"/>
  <c r="S10" i="2"/>
  <c r="J3" i="1" l="1"/>
  <c r="J4" i="1" s="1"/>
  <c r="J5" i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J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tc={12138994-ACDC-4CD8-ACF7-AB96A8E107D1}</author>
  </authors>
  <commentList>
    <comment ref="G5" authorId="0" shapeId="0" xr:uid="{12138994-ACDC-4CD8-ACF7-AB96A8E107D1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Q322</t>
      </text>
    </comment>
  </commentList>
</comments>
</file>

<file path=xl/sharedStrings.xml><?xml version="1.0" encoding="utf-8"?>
<sst xmlns="http://schemas.openxmlformats.org/spreadsheetml/2006/main" count="112" uniqueCount="94">
  <si>
    <t>Brand</t>
  </si>
  <si>
    <t>Indication</t>
  </si>
  <si>
    <t>MOA</t>
  </si>
  <si>
    <t>Phase</t>
  </si>
  <si>
    <t>Economics</t>
  </si>
  <si>
    <t>Price</t>
  </si>
  <si>
    <t>NTLA-2001</t>
  </si>
  <si>
    <t>ATTR amyloidosis</t>
  </si>
  <si>
    <t>CRISPR</t>
  </si>
  <si>
    <t>I/II</t>
  </si>
  <si>
    <t>REGN</t>
  </si>
  <si>
    <t>Shares</t>
  </si>
  <si>
    <t>Q322</t>
  </si>
  <si>
    <t>NTLA-2002</t>
  </si>
  <si>
    <t>HAE</t>
  </si>
  <si>
    <t>II in 2023</t>
  </si>
  <si>
    <t>MC</t>
  </si>
  <si>
    <t>NTLA-3001</t>
  </si>
  <si>
    <t>AATD</t>
  </si>
  <si>
    <t>CRISPR insertion</t>
  </si>
  <si>
    <t>IND in 2H23</t>
  </si>
  <si>
    <t>Cash</t>
  </si>
  <si>
    <t>NTLA-5001</t>
  </si>
  <si>
    <t>AML</t>
  </si>
  <si>
    <t>TCR</t>
  </si>
  <si>
    <t>Debt</t>
  </si>
  <si>
    <t>Hemophilia A</t>
  </si>
  <si>
    <t>EV</t>
  </si>
  <si>
    <t>Hemophilia B</t>
  </si>
  <si>
    <t>Primary Hyperoxaluria</t>
  </si>
  <si>
    <t>AD</t>
  </si>
  <si>
    <t>NTLA-6001</t>
  </si>
  <si>
    <t>CD30+ lymphomas</t>
  </si>
  <si>
    <t>PIC</t>
  </si>
  <si>
    <t>Sickle Cell</t>
  </si>
  <si>
    <t>NVS</t>
  </si>
  <si>
    <t>YE23: initiate pivotal trial for NTLA-2001</t>
  </si>
  <si>
    <t>11/30/2022: Proposes secondary.</t>
  </si>
  <si>
    <t>CEO: John Leonard</t>
  </si>
  <si>
    <t>11/30/2022: Prices secondary of 6.6m at 45.80 for $300m gross.</t>
  </si>
  <si>
    <t>4/11/2016: REGN deal. $75m upfront.</t>
  </si>
  <si>
    <t>Rewrite Therapeutics acquisition</t>
  </si>
  <si>
    <t>AvenCell Therapeutics investment, privately held CART company, formed with Cellex</t>
  </si>
  <si>
    <t>SparvingVision (ocular)</t>
  </si>
  <si>
    <t>Regeneron: ATTR is 1st of 10 liver targets, hemophilia A/B included</t>
  </si>
  <si>
    <t>Kyverna (CD19 cell therapy)</t>
  </si>
  <si>
    <t>ONK Therapeutics</t>
  </si>
  <si>
    <t>Novartis</t>
  </si>
  <si>
    <t>Main</t>
  </si>
  <si>
    <t>Vyndaqel price</t>
  </si>
  <si>
    <t>Vyndaqel patients</t>
  </si>
  <si>
    <t>Vynadel revenue</t>
  </si>
  <si>
    <t>NTLA-2001 price</t>
  </si>
  <si>
    <t>NTLA-2001 patients</t>
  </si>
  <si>
    <t>NTLA-2001 revenue</t>
  </si>
  <si>
    <t>III</t>
  </si>
  <si>
    <t>Filing</t>
  </si>
  <si>
    <t>Approval</t>
  </si>
  <si>
    <t>NTLA-2002 revenue</t>
  </si>
  <si>
    <t>Revenue</t>
  </si>
  <si>
    <t>COGS</t>
  </si>
  <si>
    <t>Gross Margin</t>
  </si>
  <si>
    <t>SG&amp;A</t>
  </si>
  <si>
    <t>Operating Income</t>
  </si>
  <si>
    <t>REGN split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</si>
  <si>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</si>
  <si>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</si>
  <si>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</si>
  <si>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</si>
  <si>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</si>
  <si>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</si>
  <si>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</si>
  <si>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</si>
  <si>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Generic</t>
  </si>
  <si>
    <t>ATTR (TTR amyloidosis). Transthyretin, produced by the liver, transports thyroxine and retinol to the liver.</t>
  </si>
  <si>
    <t>The liver secrets TTR into the blood. TTR may be redundant given the function of thyroxine-binding globulin</t>
  </si>
  <si>
    <t>55kDa homotetramer, dimer of dimers</t>
  </si>
  <si>
    <t>Clinical Trials</t>
  </si>
  <si>
    <t>Phase I FIH n=6 ATTR - NCT04601051, NEJM 2021</t>
  </si>
  <si>
    <t>87% mean serum TTR reduction in 0.3mg/kg</t>
  </si>
  <si>
    <t>52% mean serum TTR reduction in 0.1mg/kg</t>
  </si>
  <si>
    <t>0.7mg/kg ATTR-CM cohort, 92% reduction at day 28</t>
  </si>
  <si>
    <t>1.0mg/kg ATTR-CM cohort, 92% reduction at day 28</t>
  </si>
  <si>
    <t>Phase III ATTR-CM - initiate by YE23</t>
  </si>
  <si>
    <t>Phase III ATTR-PN</t>
  </si>
  <si>
    <t>Hereditary Angioedema: 11k-21.5k in US/EU</t>
  </si>
  <si>
    <t xml:space="preserve">kallikrein CRISPR. </t>
  </si>
  <si>
    <t>Administration</t>
  </si>
  <si>
    <t>IV</t>
  </si>
  <si>
    <t>Phase I/II HAE - ongoing, presented at ACAAI 2022</t>
  </si>
  <si>
    <t>Phase II component initiates 1H23</t>
  </si>
  <si>
    <t>n=3 25mg - 64% serum kallikrein reduction at week 32, 91% attack rate reduction</t>
  </si>
  <si>
    <t>n=4 50mg - 81% serum kallikrein reduction at day 22</t>
  </si>
  <si>
    <t>n=3 75mg - 92% serum kallikrein reduction at week 16, 78% attack rate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</si>
</sst>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1" fillId="0" borderId="0" xfId="0" applyFont="1"/>
    <xf numFmtId="0" fontId="3" fillId="0" borderId="0" xfId="0" applyFont="1"/>
    <xf numFmtId="0" fontId="2" fillId="0" borderId="1" xfId="1" applyBorder="1"/>
    <xf numFmtId="14" fontId="4" fillId="0" borderId="0" xfId="0" applyNumberFormat="1" applyFont="1"/>
    <xf numFmtId="0" fontId="4" fillId="0" borderId="0" xfId="0" applyFont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8825B-F1D4-490B-83C6-CF9953CE40F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3-01-30T00:52:01.61" personId="{1338825B-F1D4-490B-83C6-CF9953CE40F6}" id="{12138994-ACDC-4CD8-ACF7-AB96A8E107D1}">
    <text>TTM Q322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432B-967F-417C-9021-14265A25557D}">
  <dimension ref="B2:K28"/>
  <sheetViews>
    <sheetView zoomScale="190" zoomScaleNormal="190" workbookViewId="0"/>
  </sheetViews>
  <sheetFormatPr defaultRowHeight="12.75"/>
  <cols>
    <col min="1" max="1" width="4.85546875" customWidth="1"/>
    <col min="2" max="2" width="10.85546875" customWidth="1"/>
    <col min="3" max="3" width="19.5703125" customWidth="1"/>
    <col min="4" max="4" width="16.28515625" customWidth="1"/>
    <col min="5" max="5" width="11.140625" customWidth="1"/>
  </cols>
  <sheetData>
    <row r="2" spans="2:11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/>
      <c r="I2" t="s">
        <v>5</v>
      </c>
      <c r="J2" s="1">
        <v>41.63</v>
      </c>
    </row>
    <row r="3" spans="2:11">
      <c r="B3" s="15" t="s">
        <v>6</v>
      </c>
      <c r="C3" t="s">
        <v>7</v>
      </c>
      <c r="D3" t="s">
        <v>8</v>
      </c>
      <c r="E3" t="s">
        <v>9</v>
      </c>
      <c r="F3" t="s">
        <v>10</v>
      </c>
      <c r="G3" s="5"/>
      <c r="I3" t="s">
        <v>11</v>
      </c>
      <c r="J3" s="2">
        <f>78.684039+6.6</f>
        <v>85.284038999999993</v>
      </c>
      <c r="K3" s="3" t="s">
        <v>12</v>
      </c>
    </row>
    <row r="4" spans="2:11">
      <c r="B4" s="15" t="s">
        <v>13</v>
      </c>
      <c r="C4" t="s">
        <v>14</v>
      </c>
      <c r="D4" t="s">
        <v>8</v>
      </c>
      <c r="E4" t="s">
        <v>15</v>
      </c>
      <c r="G4" s="5"/>
      <c r="I4" t="s">
        <v>16</v>
      </c>
      <c r="J4" s="2">
        <f>+J2*J3</f>
        <v>3550.3745435699998</v>
      </c>
    </row>
    <row r="5" spans="2:11">
      <c r="B5" s="4" t="s">
        <v>17</v>
      </c>
      <c r="C5" t="s">
        <v>18</v>
      </c>
      <c r="D5" t="s">
        <v>19</v>
      </c>
      <c r="E5" t="s">
        <v>20</v>
      </c>
      <c r="G5" s="5"/>
      <c r="I5" t="s">
        <v>21</v>
      </c>
      <c r="J5" s="2">
        <f>141.194+687+20.533+40.102+290</f>
        <v>1178.829</v>
      </c>
      <c r="K5" s="3" t="s">
        <v>12</v>
      </c>
    </row>
    <row r="6" spans="2:11">
      <c r="B6" s="4" t="s">
        <v>22</v>
      </c>
      <c r="C6" t="s">
        <v>23</v>
      </c>
      <c r="D6" t="s">
        <v>24</v>
      </c>
      <c r="G6" s="5"/>
      <c r="I6" t="s">
        <v>25</v>
      </c>
      <c r="J6" s="2">
        <v>0</v>
      </c>
      <c r="K6" s="3" t="s">
        <v>12</v>
      </c>
    </row>
    <row r="7" spans="2:11">
      <c r="B7" s="4"/>
      <c r="C7" t="s">
        <v>26</v>
      </c>
      <c r="G7" s="5"/>
      <c r="I7" t="s">
        <v>27</v>
      </c>
      <c r="J7" s="2">
        <f>+J4-J5+J6</f>
        <v>2371.5455435699996</v>
      </c>
    </row>
    <row r="8" spans="2:11">
      <c r="B8" s="4"/>
      <c r="C8" t="s">
        <v>28</v>
      </c>
      <c r="G8" s="5"/>
    </row>
    <row r="9" spans="2:11">
      <c r="B9" s="4"/>
      <c r="C9" t="s">
        <v>29</v>
      </c>
      <c r="G9" s="5"/>
      <c r="I9" t="s">
        <v>30</v>
      </c>
      <c r="J9" s="2">
        <v>1898.0909999999999</v>
      </c>
      <c r="K9" s="3" t="s">
        <v>12</v>
      </c>
    </row>
    <row r="10" spans="2:11">
      <c r="B10" s="4" t="s">
        <v>31</v>
      </c>
      <c r="C10" t="s">
        <v>32</v>
      </c>
      <c r="G10" s="5"/>
      <c r="I10" t="s">
        <v>33</v>
      </c>
      <c r="J10" s="2">
        <v>1063.78</v>
      </c>
      <c r="K10" s="3" t="s">
        <v>12</v>
      </c>
    </row>
    <row r="11" spans="2:11">
      <c r="B11" s="6"/>
      <c r="C11" s="7" t="s">
        <v>34</v>
      </c>
      <c r="D11" s="7"/>
      <c r="E11" s="7"/>
      <c r="F11" s="7" t="s">
        <v>35</v>
      </c>
      <c r="G11" s="8"/>
    </row>
    <row r="13" spans="2:11">
      <c r="B13" t="s">
        <v>36</v>
      </c>
      <c r="E13" s="17" t="s">
        <v>37</v>
      </c>
      <c r="I13" t="s">
        <v>38</v>
      </c>
    </row>
    <row r="14" spans="2:11">
      <c r="E14" s="16" t="s">
        <v>39</v>
      </c>
    </row>
    <row r="16" spans="2:11">
      <c r="E16" t="s">
        <v>40</v>
      </c>
    </row>
    <row r="22" spans="2:2">
      <c r="B22" t="s">
        <v>41</v>
      </c>
    </row>
    <row r="23" spans="2:2">
      <c r="B23" t="s">
        <v>42</v>
      </c>
    </row>
    <row r="24" spans="2:2">
      <c r="B24" t="s">
        <v>43</v>
      </c>
    </row>
    <row r="25" spans="2:2">
      <c r="B25" t="s">
        <v>44</v>
      </c>
    </row>
    <row r="26" spans="2:2">
      <c r="B26" t="s">
        <v>45</v>
      </c>
    </row>
    <row r="27" spans="2:2">
      <c r="B27" t="s">
        <v>46</v>
      </c>
    </row>
    <row r="28" spans="2:2">
      <c r="B28" t="s">
        <v>47</v>
      </c>
    </row>
  </sheetData>
  <hyperlinks>
    <hyperlink ref="B3" location="'NTLA-2001'!A1" display="NTLA-2001" xr:uid="{A7AA35AB-E97E-45D2-85AB-B1564AF8E293}"/>
    <hyperlink ref="B4" location="'NTLA-2002'!A1" display="NTLA-2002" xr:uid="{29DB71C3-EE96-4213-A1E4-FD438CA1BC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AA28-1F5A-4385-9113-080E34EAA000}">
  <dimension ref="A1:AY24"/>
  <sheetViews>
    <sheetView tabSelected="1" zoomScale="145" zoomScaleNormal="145" workbookViewId="0">
      <pane xSplit="2" ySplit="2" topLeftCell="J3" activePane="bottomRight" state="frozen"/>
      <selection pane="bottomRight" activeCell="G6" sqref="G6:T10"/>
      <selection pane="bottomLeft" activeCell="A3" sqref="A3"/>
      <selection pane="topRight" activeCell="C1" sqref="C1"/>
    </sheetView>
  </sheetViews>
  <sheetFormatPr defaultRowHeight="12.75"/>
  <cols>
    <col min="1" max="1" width="5" bestFit="1" customWidth="1"/>
    <col min="2" max="2" width="18.140625" customWidth="1"/>
    <col min="4" max="12" width="9.140625" style="3"/>
    <col min="23" max="23" width="7.85546875" customWidth="1"/>
  </cols>
  <sheetData>
    <row r="1" spans="1:51">
      <c r="A1" s="12" t="s">
        <v>48</v>
      </c>
    </row>
    <row r="2" spans="1:51">
      <c r="C2">
        <v>2023</v>
      </c>
      <c r="D2" s="3">
        <f>+C2+1</f>
        <v>2024</v>
      </c>
      <c r="E2" s="3">
        <f t="shared" ref="E2:AY2" si="0">+D2+1</f>
        <v>2025</v>
      </c>
      <c r="F2" s="3">
        <f t="shared" si="0"/>
        <v>2026</v>
      </c>
      <c r="G2" s="3">
        <f t="shared" si="0"/>
        <v>2027</v>
      </c>
      <c r="H2" s="3">
        <f t="shared" si="0"/>
        <v>2028</v>
      </c>
      <c r="I2" s="3">
        <f t="shared" si="0"/>
        <v>2029</v>
      </c>
      <c r="J2" s="3">
        <f t="shared" si="0"/>
        <v>2030</v>
      </c>
      <c r="K2" s="3">
        <f t="shared" si="0"/>
        <v>2031</v>
      </c>
      <c r="L2" s="3">
        <f t="shared" si="0"/>
        <v>2032</v>
      </c>
      <c r="M2">
        <f t="shared" si="0"/>
        <v>2033</v>
      </c>
      <c r="N2">
        <f t="shared" si="0"/>
        <v>2034</v>
      </c>
      <c r="O2">
        <f t="shared" si="0"/>
        <v>2035</v>
      </c>
      <c r="P2">
        <f t="shared" si="0"/>
        <v>2036</v>
      </c>
      <c r="Q2">
        <f t="shared" si="0"/>
        <v>2037</v>
      </c>
      <c r="R2">
        <f t="shared" si="0"/>
        <v>2038</v>
      </c>
      <c r="S2">
        <f t="shared" si="0"/>
        <v>2039</v>
      </c>
      <c r="T2">
        <f t="shared" si="0"/>
        <v>2040</v>
      </c>
      <c r="U2">
        <f t="shared" si="0"/>
        <v>2041</v>
      </c>
      <c r="V2">
        <f t="shared" si="0"/>
        <v>2042</v>
      </c>
      <c r="W2">
        <f t="shared" si="0"/>
        <v>2043</v>
      </c>
      <c r="X2">
        <f t="shared" si="0"/>
        <v>2044</v>
      </c>
      <c r="Y2">
        <f t="shared" si="0"/>
        <v>2045</v>
      </c>
      <c r="Z2">
        <f t="shared" si="0"/>
        <v>2046</v>
      </c>
      <c r="AA2">
        <f t="shared" si="0"/>
        <v>2047</v>
      </c>
      <c r="AB2">
        <f t="shared" si="0"/>
        <v>2048</v>
      </c>
      <c r="AC2">
        <f t="shared" si="0"/>
        <v>2049</v>
      </c>
      <c r="AD2">
        <f t="shared" si="0"/>
        <v>2050</v>
      </c>
      <c r="AE2">
        <f t="shared" si="0"/>
        <v>2051</v>
      </c>
      <c r="AF2">
        <f t="shared" si="0"/>
        <v>2052</v>
      </c>
      <c r="AG2">
        <f t="shared" si="0"/>
        <v>2053</v>
      </c>
      <c r="AH2">
        <f t="shared" si="0"/>
        <v>2054</v>
      </c>
      <c r="AI2">
        <f t="shared" si="0"/>
        <v>2055</v>
      </c>
      <c r="AJ2">
        <f t="shared" si="0"/>
        <v>2056</v>
      </c>
      <c r="AK2">
        <f t="shared" si="0"/>
        <v>2057</v>
      </c>
      <c r="AL2">
        <f t="shared" si="0"/>
        <v>2058</v>
      </c>
      <c r="AM2">
        <f t="shared" si="0"/>
        <v>2059</v>
      </c>
      <c r="AN2">
        <f t="shared" si="0"/>
        <v>2060</v>
      </c>
      <c r="AO2">
        <f t="shared" si="0"/>
        <v>2061</v>
      </c>
      <c r="AP2">
        <f t="shared" si="0"/>
        <v>2062</v>
      </c>
      <c r="AQ2">
        <f t="shared" si="0"/>
        <v>2063</v>
      </c>
      <c r="AR2">
        <f t="shared" si="0"/>
        <v>2064</v>
      </c>
      <c r="AS2">
        <f t="shared" si="0"/>
        <v>2065</v>
      </c>
      <c r="AT2">
        <f t="shared" si="0"/>
        <v>2066</v>
      </c>
      <c r="AU2">
        <f t="shared" si="0"/>
        <v>2067</v>
      </c>
      <c r="AV2">
        <f t="shared" si="0"/>
        <v>2068</v>
      </c>
      <c r="AW2">
        <f t="shared" si="0"/>
        <v>2069</v>
      </c>
      <c r="AX2">
        <f t="shared" si="0"/>
        <v>2070</v>
      </c>
      <c r="AY2">
        <f t="shared" si="0"/>
        <v>2071</v>
      </c>
    </row>
    <row r="3" spans="1:51">
      <c r="B3" t="s">
        <v>49</v>
      </c>
      <c r="G3" s="3">
        <v>225</v>
      </c>
    </row>
    <row r="4" spans="1:51">
      <c r="B4" t="s">
        <v>50</v>
      </c>
      <c r="G4" s="18">
        <f>2327/0.225</f>
        <v>10342.222222222223</v>
      </c>
    </row>
    <row r="5" spans="1:51">
      <c r="B5" t="s">
        <v>51</v>
      </c>
      <c r="G5" s="18">
        <v>2327</v>
      </c>
    </row>
    <row r="6" spans="1:51">
      <c r="B6" t="s">
        <v>52</v>
      </c>
      <c r="G6" s="18">
        <v>2500</v>
      </c>
      <c r="H6" s="18">
        <v>2500</v>
      </c>
      <c r="I6" s="18">
        <v>2500</v>
      </c>
      <c r="J6" s="18">
        <v>2500</v>
      </c>
      <c r="K6" s="18">
        <v>2500</v>
      </c>
      <c r="L6" s="18">
        <v>2500</v>
      </c>
      <c r="M6" s="18">
        <v>2500</v>
      </c>
      <c r="N6" s="18">
        <v>2500</v>
      </c>
      <c r="O6" s="18">
        <v>2500</v>
      </c>
      <c r="P6" s="18">
        <v>2500</v>
      </c>
      <c r="Q6" s="18">
        <v>2500</v>
      </c>
      <c r="R6" s="18">
        <v>2500</v>
      </c>
      <c r="S6" s="18">
        <v>2500</v>
      </c>
      <c r="T6" s="18">
        <v>2500</v>
      </c>
    </row>
    <row r="7" spans="1:51">
      <c r="B7" t="s">
        <v>53</v>
      </c>
      <c r="G7" s="18">
        <v>500</v>
      </c>
      <c r="H7" s="3">
        <v>750</v>
      </c>
      <c r="I7" s="18">
        <v>1000</v>
      </c>
      <c r="J7" s="18">
        <v>1000</v>
      </c>
      <c r="K7" s="18">
        <v>1000</v>
      </c>
      <c r="L7" s="18">
        <f>+K7*0.9</f>
        <v>900</v>
      </c>
      <c r="M7" s="18">
        <f t="shared" ref="M7:P7" si="1">+L7*0.9</f>
        <v>810</v>
      </c>
      <c r="N7" s="18">
        <f t="shared" si="1"/>
        <v>729</v>
      </c>
      <c r="O7" s="18">
        <f t="shared" si="1"/>
        <v>656.1</v>
      </c>
      <c r="P7" s="18">
        <f t="shared" si="1"/>
        <v>590.49</v>
      </c>
      <c r="Q7" s="18">
        <f t="shared" ref="Q7:T7" si="2">+P7*0.9</f>
        <v>531.44100000000003</v>
      </c>
      <c r="R7" s="18">
        <f t="shared" si="2"/>
        <v>478.29690000000005</v>
      </c>
      <c r="S7" s="18">
        <f t="shared" si="2"/>
        <v>430.46721000000008</v>
      </c>
      <c r="T7" s="18">
        <f t="shared" si="2"/>
        <v>387.42048900000009</v>
      </c>
    </row>
    <row r="8" spans="1:51">
      <c r="B8" t="s">
        <v>54</v>
      </c>
      <c r="D8" s="3" t="s">
        <v>55</v>
      </c>
      <c r="E8" s="3" t="s">
        <v>56</v>
      </c>
      <c r="F8" s="3" t="s">
        <v>57</v>
      </c>
      <c r="G8" s="18">
        <f>+G6*G7/1000</f>
        <v>1250</v>
      </c>
      <c r="H8" s="18">
        <f>+H6*H7/1000</f>
        <v>1875</v>
      </c>
      <c r="I8" s="18">
        <f>+I6*I7/1000</f>
        <v>2500</v>
      </c>
      <c r="J8" s="18">
        <f t="shared" ref="J8:L8" si="3">+J6*J7/1000</f>
        <v>2500</v>
      </c>
      <c r="K8" s="18">
        <f t="shared" si="3"/>
        <v>2500</v>
      </c>
      <c r="L8" s="18">
        <f t="shared" si="3"/>
        <v>2250</v>
      </c>
      <c r="M8" s="18">
        <f t="shared" ref="M8" si="4">+M6*M7/1000</f>
        <v>2025</v>
      </c>
      <c r="N8" s="18">
        <f t="shared" ref="N8" si="5">+N6*N7/1000</f>
        <v>1822.5</v>
      </c>
      <c r="O8" s="18">
        <f t="shared" ref="O8" si="6">+O6*O7/1000</f>
        <v>1640.25</v>
      </c>
      <c r="P8" s="18">
        <f t="shared" ref="P8" si="7">+P6*P7/1000</f>
        <v>1476.2249999999999</v>
      </c>
      <c r="Q8" s="18">
        <f t="shared" ref="Q8" si="8">+Q6*Q7/1000</f>
        <v>1328.6025</v>
      </c>
      <c r="R8" s="18">
        <f t="shared" ref="R8" si="9">+R6*R7/1000</f>
        <v>1195.7422500000002</v>
      </c>
      <c r="S8" s="18">
        <f t="shared" ref="S8" si="10">+S6*S7/1000</f>
        <v>1076.1680250000002</v>
      </c>
      <c r="T8" s="18">
        <f t="shared" ref="T8" si="11">+T6*T7/1000</f>
        <v>968.55122250000022</v>
      </c>
    </row>
    <row r="9" spans="1:51">
      <c r="B9" t="s">
        <v>58</v>
      </c>
      <c r="H9" s="18">
        <f>+H8*0.2</f>
        <v>375</v>
      </c>
      <c r="I9" s="18">
        <f t="shared" ref="I9:P9" si="12">+I8*0.2</f>
        <v>500</v>
      </c>
      <c r="J9" s="18">
        <f t="shared" si="12"/>
        <v>500</v>
      </c>
      <c r="K9" s="18">
        <f t="shared" si="12"/>
        <v>500</v>
      </c>
      <c r="L9" s="18">
        <f t="shared" si="12"/>
        <v>450</v>
      </c>
      <c r="M9" s="18">
        <f t="shared" si="12"/>
        <v>405</v>
      </c>
      <c r="N9" s="18">
        <f t="shared" si="12"/>
        <v>364.5</v>
      </c>
      <c r="O9" s="18">
        <f t="shared" si="12"/>
        <v>328.05</v>
      </c>
      <c r="P9" s="18">
        <f t="shared" si="12"/>
        <v>295.245</v>
      </c>
      <c r="Q9" s="18">
        <f t="shared" ref="Q9" si="13">+Q8*0.2</f>
        <v>265.72050000000002</v>
      </c>
      <c r="R9" s="18">
        <f t="shared" ref="R9" si="14">+R8*0.2</f>
        <v>239.14845000000005</v>
      </c>
      <c r="S9" s="18">
        <f t="shared" ref="S9" si="15">+S8*0.2</f>
        <v>215.23360500000004</v>
      </c>
      <c r="T9" s="18">
        <f t="shared" ref="T9" si="16">+T8*0.2</f>
        <v>193.71024450000004</v>
      </c>
    </row>
    <row r="10" spans="1:51" s="13" customFormat="1">
      <c r="B10" s="13" t="s">
        <v>59</v>
      </c>
      <c r="D10" s="19"/>
      <c r="E10" s="19"/>
      <c r="F10" s="19"/>
      <c r="G10" s="20">
        <f>+G8+G9</f>
        <v>1250</v>
      </c>
      <c r="H10" s="20">
        <f t="shared" ref="H10:W10" si="17">+H8+H9</f>
        <v>2250</v>
      </c>
      <c r="I10" s="20">
        <f t="shared" si="17"/>
        <v>3000</v>
      </c>
      <c r="J10" s="20">
        <f t="shared" si="17"/>
        <v>3000</v>
      </c>
      <c r="K10" s="20">
        <f t="shared" si="17"/>
        <v>3000</v>
      </c>
      <c r="L10" s="20">
        <f t="shared" si="17"/>
        <v>2700</v>
      </c>
      <c r="M10" s="20">
        <f t="shared" si="17"/>
        <v>2430</v>
      </c>
      <c r="N10" s="20">
        <f t="shared" si="17"/>
        <v>2187</v>
      </c>
      <c r="O10" s="20">
        <f t="shared" si="17"/>
        <v>1968.3</v>
      </c>
      <c r="P10" s="20">
        <f t="shared" si="17"/>
        <v>1771.4699999999998</v>
      </c>
      <c r="Q10" s="20">
        <f t="shared" si="17"/>
        <v>1594.3229999999999</v>
      </c>
      <c r="R10" s="20">
        <f t="shared" si="17"/>
        <v>1434.8907000000004</v>
      </c>
      <c r="S10" s="20">
        <f t="shared" si="17"/>
        <v>1291.4016300000003</v>
      </c>
      <c r="T10" s="20">
        <f t="shared" si="17"/>
        <v>1162.2614670000003</v>
      </c>
      <c r="U10" s="20">
        <f t="shared" si="17"/>
        <v>0</v>
      </c>
      <c r="V10" s="20">
        <f t="shared" si="17"/>
        <v>0</v>
      </c>
      <c r="W10" s="20">
        <f t="shared" si="17"/>
        <v>0</v>
      </c>
    </row>
    <row r="11" spans="1:51">
      <c r="B11" t="s">
        <v>60</v>
      </c>
      <c r="G11" s="18">
        <f>+G10*0.05</f>
        <v>62.5</v>
      </c>
      <c r="H11" s="18">
        <f t="shared" ref="H11:T11" si="18">+H10*0.05</f>
        <v>112.5</v>
      </c>
      <c r="I11" s="18">
        <f t="shared" si="18"/>
        <v>150</v>
      </c>
      <c r="J11" s="18">
        <f t="shared" si="18"/>
        <v>150</v>
      </c>
      <c r="K11" s="18">
        <f t="shared" si="18"/>
        <v>150</v>
      </c>
      <c r="L11" s="18">
        <f t="shared" si="18"/>
        <v>135</v>
      </c>
      <c r="M11" s="18">
        <f t="shared" si="18"/>
        <v>121.5</v>
      </c>
      <c r="N11" s="18">
        <f t="shared" si="18"/>
        <v>109.35000000000001</v>
      </c>
      <c r="O11" s="18">
        <f t="shared" si="18"/>
        <v>98.415000000000006</v>
      </c>
      <c r="P11" s="18">
        <f t="shared" si="18"/>
        <v>88.573499999999996</v>
      </c>
      <c r="Q11" s="18">
        <f t="shared" si="18"/>
        <v>79.716149999999999</v>
      </c>
      <c r="R11" s="18">
        <f t="shared" si="18"/>
        <v>71.744535000000027</v>
      </c>
      <c r="S11" s="18">
        <f t="shared" si="18"/>
        <v>64.570081500000015</v>
      </c>
      <c r="T11" s="18">
        <f t="shared" si="18"/>
        <v>58.113073350000015</v>
      </c>
    </row>
    <row r="12" spans="1:51">
      <c r="B12" t="s">
        <v>61</v>
      </c>
      <c r="G12" s="18">
        <f>+G10-G11</f>
        <v>1187.5</v>
      </c>
      <c r="H12" s="18">
        <f t="shared" ref="H12:T12" si="19">+H10-H11</f>
        <v>2137.5</v>
      </c>
      <c r="I12" s="18">
        <f t="shared" si="19"/>
        <v>2850</v>
      </c>
      <c r="J12" s="18">
        <f t="shared" si="19"/>
        <v>2850</v>
      </c>
      <c r="K12" s="18">
        <f t="shared" si="19"/>
        <v>2850</v>
      </c>
      <c r="L12" s="18">
        <f t="shared" si="19"/>
        <v>2565</v>
      </c>
      <c r="M12" s="18">
        <f t="shared" si="19"/>
        <v>2308.5</v>
      </c>
      <c r="N12" s="18">
        <f t="shared" si="19"/>
        <v>2077.65</v>
      </c>
      <c r="O12" s="18">
        <f t="shared" si="19"/>
        <v>1869.885</v>
      </c>
      <c r="P12" s="18">
        <f t="shared" si="19"/>
        <v>1682.8964999999998</v>
      </c>
      <c r="Q12" s="18">
        <f t="shared" si="19"/>
        <v>1514.6068499999999</v>
      </c>
      <c r="R12" s="18">
        <f t="shared" si="19"/>
        <v>1363.1461650000003</v>
      </c>
      <c r="S12" s="18">
        <f t="shared" si="19"/>
        <v>1226.8315485000003</v>
      </c>
      <c r="T12" s="18">
        <f t="shared" si="19"/>
        <v>1104.1483936500003</v>
      </c>
    </row>
    <row r="13" spans="1:51">
      <c r="B13" t="s">
        <v>62</v>
      </c>
      <c r="G13" s="3">
        <v>200</v>
      </c>
      <c r="H13" s="3">
        <v>200</v>
      </c>
      <c r="I13" s="3">
        <v>200</v>
      </c>
      <c r="J13" s="3">
        <v>200</v>
      </c>
      <c r="K13" s="3">
        <v>200</v>
      </c>
      <c r="L13" s="3">
        <v>200</v>
      </c>
      <c r="M13" s="3">
        <v>200</v>
      </c>
      <c r="N13" s="3">
        <v>200</v>
      </c>
      <c r="O13" s="3">
        <v>200</v>
      </c>
      <c r="P13" s="3">
        <v>200</v>
      </c>
      <c r="Q13" s="3">
        <v>200</v>
      </c>
      <c r="R13" s="3">
        <v>200</v>
      </c>
      <c r="S13" s="3">
        <v>200</v>
      </c>
      <c r="T13" s="3">
        <v>200</v>
      </c>
    </row>
    <row r="14" spans="1:51">
      <c r="B14" t="s">
        <v>63</v>
      </c>
      <c r="G14" s="18">
        <f>+G12-G13</f>
        <v>987.5</v>
      </c>
      <c r="H14" s="18">
        <f t="shared" ref="H14:T14" si="20">+H12-H13</f>
        <v>1937.5</v>
      </c>
      <c r="I14" s="18">
        <f t="shared" si="20"/>
        <v>2650</v>
      </c>
      <c r="J14" s="18">
        <f t="shared" si="20"/>
        <v>2650</v>
      </c>
      <c r="K14" s="18">
        <f t="shared" si="20"/>
        <v>2650</v>
      </c>
      <c r="L14" s="18">
        <f t="shared" si="20"/>
        <v>2365</v>
      </c>
      <c r="M14" s="18">
        <f t="shared" si="20"/>
        <v>2108.5</v>
      </c>
      <c r="N14" s="18">
        <f t="shared" si="20"/>
        <v>1877.65</v>
      </c>
      <c r="O14" s="18">
        <f t="shared" si="20"/>
        <v>1669.885</v>
      </c>
      <c r="P14" s="18">
        <f t="shared" si="20"/>
        <v>1482.8964999999998</v>
      </c>
      <c r="Q14" s="18">
        <f t="shared" si="20"/>
        <v>1314.6068499999999</v>
      </c>
      <c r="R14" s="18">
        <f t="shared" si="20"/>
        <v>1163.1461650000003</v>
      </c>
      <c r="S14" s="18">
        <f t="shared" si="20"/>
        <v>1026.8315485000003</v>
      </c>
      <c r="T14" s="18">
        <f t="shared" si="20"/>
        <v>904.14839365000034</v>
      </c>
    </row>
    <row r="15" spans="1:51">
      <c r="B15" t="s">
        <v>64</v>
      </c>
      <c r="G15" s="18">
        <f>+G14*0.25</f>
        <v>246.875</v>
      </c>
      <c r="H15" s="18">
        <f t="shared" ref="H15:T15" si="21">+H14*0.25</f>
        <v>484.375</v>
      </c>
      <c r="I15" s="18">
        <f t="shared" si="21"/>
        <v>662.5</v>
      </c>
      <c r="J15" s="18">
        <f t="shared" si="21"/>
        <v>662.5</v>
      </c>
      <c r="K15" s="18">
        <f t="shared" si="21"/>
        <v>662.5</v>
      </c>
      <c r="L15" s="18">
        <f t="shared" si="21"/>
        <v>591.25</v>
      </c>
      <c r="M15" s="18">
        <f t="shared" si="21"/>
        <v>527.125</v>
      </c>
      <c r="N15" s="18">
        <f t="shared" si="21"/>
        <v>469.41250000000002</v>
      </c>
      <c r="O15" s="18">
        <f t="shared" si="21"/>
        <v>417.47125</v>
      </c>
      <c r="P15" s="18">
        <f t="shared" si="21"/>
        <v>370.72412499999996</v>
      </c>
      <c r="Q15" s="18">
        <f t="shared" si="21"/>
        <v>328.65171249999997</v>
      </c>
      <c r="R15" s="18">
        <f t="shared" si="21"/>
        <v>290.78654125000008</v>
      </c>
      <c r="S15" s="18">
        <f t="shared" si="21"/>
        <v>256.70788712500007</v>
      </c>
      <c r="T15" s="18">
        <f t="shared" si="21"/>
        <v>226.03709841250009</v>
      </c>
    </row>
    <row r="16" spans="1:51">
      <c r="B16" t="s">
        <v>65</v>
      </c>
      <c r="G16" s="18">
        <f>+G14-G15</f>
        <v>740.625</v>
      </c>
      <c r="H16" s="18">
        <f t="shared" ref="H16:T16" si="22">+H14-H15</f>
        <v>1453.125</v>
      </c>
      <c r="I16" s="18">
        <f t="shared" si="22"/>
        <v>1987.5</v>
      </c>
      <c r="J16" s="18">
        <f t="shared" si="22"/>
        <v>1987.5</v>
      </c>
      <c r="K16" s="18">
        <f t="shared" si="22"/>
        <v>1987.5</v>
      </c>
      <c r="L16" s="18">
        <f t="shared" si="22"/>
        <v>1773.75</v>
      </c>
      <c r="M16" s="18">
        <f t="shared" si="22"/>
        <v>1581.375</v>
      </c>
      <c r="N16" s="18">
        <f t="shared" si="22"/>
        <v>1408.2375000000002</v>
      </c>
      <c r="O16" s="18">
        <f t="shared" si="22"/>
        <v>1252.4137499999999</v>
      </c>
      <c r="P16" s="18">
        <f t="shared" si="22"/>
        <v>1112.1723749999999</v>
      </c>
      <c r="Q16" s="18">
        <f t="shared" si="22"/>
        <v>985.95513749999986</v>
      </c>
      <c r="R16" s="18">
        <f t="shared" si="22"/>
        <v>872.35962375000031</v>
      </c>
      <c r="S16" s="18">
        <f t="shared" si="22"/>
        <v>770.12366137500021</v>
      </c>
      <c r="T16" s="18">
        <f t="shared" si="22"/>
        <v>678.11129523750026</v>
      </c>
    </row>
    <row r="17" spans="2:51">
      <c r="B17" t="s">
        <v>66</v>
      </c>
      <c r="G17" s="3">
        <v>0</v>
      </c>
      <c r="H17" s="3">
        <v>0</v>
      </c>
      <c r="I17" s="18">
        <f>+I16*0.2</f>
        <v>397.5</v>
      </c>
      <c r="J17" s="18">
        <f t="shared" ref="J17:T17" si="23">+J16*0.2</f>
        <v>397.5</v>
      </c>
      <c r="K17" s="18">
        <f t="shared" si="23"/>
        <v>397.5</v>
      </c>
      <c r="L17" s="18">
        <f t="shared" si="23"/>
        <v>354.75</v>
      </c>
      <c r="M17" s="18">
        <f t="shared" si="23"/>
        <v>316.27500000000003</v>
      </c>
      <c r="N17" s="18">
        <f t="shared" si="23"/>
        <v>281.64750000000004</v>
      </c>
      <c r="O17" s="18">
        <f t="shared" si="23"/>
        <v>250.48275000000001</v>
      </c>
      <c r="P17" s="18">
        <f t="shared" si="23"/>
        <v>222.43447499999999</v>
      </c>
      <c r="Q17" s="18">
        <f t="shared" si="23"/>
        <v>197.19102749999999</v>
      </c>
      <c r="R17" s="18">
        <f t="shared" si="23"/>
        <v>174.47192475000008</v>
      </c>
      <c r="S17" s="18">
        <f t="shared" si="23"/>
        <v>154.02473227500005</v>
      </c>
      <c r="T17" s="18">
        <f t="shared" si="23"/>
        <v>135.62225904750005</v>
      </c>
    </row>
    <row r="18" spans="2:51">
      <c r="B18" t="s">
        <v>67</v>
      </c>
      <c r="D18" s="3">
        <v>-300</v>
      </c>
      <c r="E18" s="3">
        <v>-300</v>
      </c>
      <c r="F18" s="3">
        <v>-300</v>
      </c>
      <c r="G18" s="18">
        <f>+G16-G17</f>
        <v>740.625</v>
      </c>
      <c r="H18" s="18">
        <f t="shared" ref="H18:T18" si="24">+H16-H17</f>
        <v>1453.125</v>
      </c>
      <c r="I18" s="18">
        <f t="shared" si="24"/>
        <v>1590</v>
      </c>
      <c r="J18" s="18">
        <f t="shared" si="24"/>
        <v>1590</v>
      </c>
      <c r="K18" s="18">
        <f t="shared" si="24"/>
        <v>1590</v>
      </c>
      <c r="L18" s="18">
        <f t="shared" si="24"/>
        <v>1419</v>
      </c>
      <c r="M18" s="18">
        <f t="shared" si="24"/>
        <v>1265.0999999999999</v>
      </c>
      <c r="N18" s="18">
        <f t="shared" si="24"/>
        <v>1126.5900000000001</v>
      </c>
      <c r="O18" s="18">
        <f t="shared" si="24"/>
        <v>1001.9309999999999</v>
      </c>
      <c r="P18" s="18">
        <f t="shared" si="24"/>
        <v>889.73789999999985</v>
      </c>
      <c r="Q18" s="18">
        <f t="shared" si="24"/>
        <v>788.76410999999985</v>
      </c>
      <c r="R18" s="18">
        <f t="shared" si="24"/>
        <v>697.88769900000023</v>
      </c>
      <c r="S18" s="18">
        <f t="shared" si="24"/>
        <v>616.09892910000019</v>
      </c>
      <c r="T18" s="18">
        <f t="shared" si="24"/>
        <v>542.48903619000021</v>
      </c>
      <c r="U18" s="18">
        <f>+T18*(1+$W$22)</f>
        <v>515.36458438050022</v>
      </c>
      <c r="V18" s="18">
        <f t="shared" ref="V18:AY18" si="25">+U18*(1+$W$22)</f>
        <v>489.59635516147517</v>
      </c>
      <c r="W18" s="18">
        <f t="shared" si="25"/>
        <v>465.11653740340137</v>
      </c>
      <c r="X18" s="18">
        <f t="shared" si="25"/>
        <v>441.86071053323127</v>
      </c>
      <c r="Y18" s="18">
        <f t="shared" si="25"/>
        <v>419.76767500656968</v>
      </c>
      <c r="Z18" s="18">
        <f t="shared" si="25"/>
        <v>398.77929125624115</v>
      </c>
      <c r="AA18" s="18">
        <f t="shared" si="25"/>
        <v>378.84032669342906</v>
      </c>
      <c r="AB18" s="18">
        <f t="shared" si="25"/>
        <v>359.89831035875761</v>
      </c>
      <c r="AC18" s="18">
        <f t="shared" si="25"/>
        <v>341.90339484081971</v>
      </c>
      <c r="AD18" s="18">
        <f t="shared" si="25"/>
        <v>324.80822509877873</v>
      </c>
      <c r="AE18" s="18">
        <f t="shared" si="25"/>
        <v>308.56781384383976</v>
      </c>
      <c r="AF18" s="18">
        <f t="shared" si="25"/>
        <v>293.13942315164775</v>
      </c>
      <c r="AG18" s="18">
        <f t="shared" si="25"/>
        <v>278.48245199406534</v>
      </c>
      <c r="AH18" s="18">
        <f t="shared" si="25"/>
        <v>264.55832939436209</v>
      </c>
      <c r="AI18" s="18">
        <f t="shared" si="25"/>
        <v>251.33041292464398</v>
      </c>
      <c r="AJ18" s="18">
        <f t="shared" si="25"/>
        <v>238.76389227841176</v>
      </c>
      <c r="AK18" s="18">
        <f t="shared" si="25"/>
        <v>226.82569766449117</v>
      </c>
      <c r="AL18" s="18">
        <f t="shared" si="25"/>
        <v>215.4844127812666</v>
      </c>
      <c r="AM18" s="18">
        <f t="shared" si="25"/>
        <v>204.71019214220325</v>
      </c>
      <c r="AN18" s="18">
        <f t="shared" si="25"/>
        <v>194.47468253509308</v>
      </c>
      <c r="AO18" s="18">
        <f t="shared" si="25"/>
        <v>184.75094840833842</v>
      </c>
      <c r="AP18" s="18">
        <f t="shared" si="25"/>
        <v>175.5134009879215</v>
      </c>
      <c r="AQ18" s="18">
        <f t="shared" si="25"/>
        <v>166.73773093852543</v>
      </c>
      <c r="AR18" s="18">
        <f t="shared" si="25"/>
        <v>158.40084439159915</v>
      </c>
      <c r="AS18" s="18">
        <f t="shared" si="25"/>
        <v>150.4808021720192</v>
      </c>
      <c r="AT18" s="18">
        <f t="shared" si="25"/>
        <v>142.95676206341824</v>
      </c>
      <c r="AU18" s="18">
        <f t="shared" si="25"/>
        <v>135.80892396024731</v>
      </c>
      <c r="AV18" s="18">
        <f t="shared" si="25"/>
        <v>129.01847776223494</v>
      </c>
      <c r="AW18" s="18">
        <f t="shared" si="25"/>
        <v>122.56755387412318</v>
      </c>
      <c r="AX18" s="18">
        <f t="shared" si="25"/>
        <v>116.43917618041701</v>
      </c>
      <c r="AY18" s="18">
        <f t="shared" si="25"/>
        <v>110.61721737139615</v>
      </c>
    </row>
    <row r="19" spans="2:51">
      <c r="B19" t="s">
        <v>68</v>
      </c>
      <c r="C19">
        <v>85</v>
      </c>
      <c r="D19" s="3">
        <f>+C19</f>
        <v>85</v>
      </c>
      <c r="E19" s="3">
        <f t="shared" ref="E19:T19" si="26">+D19</f>
        <v>85</v>
      </c>
      <c r="F19" s="3">
        <f t="shared" si="26"/>
        <v>85</v>
      </c>
      <c r="G19" s="3">
        <f t="shared" si="26"/>
        <v>85</v>
      </c>
      <c r="H19" s="3">
        <f t="shared" si="26"/>
        <v>85</v>
      </c>
      <c r="I19" s="3">
        <f t="shared" si="26"/>
        <v>85</v>
      </c>
      <c r="J19" s="3">
        <f t="shared" si="26"/>
        <v>85</v>
      </c>
      <c r="K19" s="3">
        <f t="shared" si="26"/>
        <v>85</v>
      </c>
      <c r="L19" s="3">
        <f t="shared" si="26"/>
        <v>85</v>
      </c>
      <c r="M19" s="3">
        <f t="shared" si="26"/>
        <v>85</v>
      </c>
      <c r="N19" s="3">
        <f t="shared" si="26"/>
        <v>85</v>
      </c>
      <c r="O19" s="3">
        <f t="shared" si="26"/>
        <v>85</v>
      </c>
      <c r="P19" s="3">
        <f t="shared" si="26"/>
        <v>85</v>
      </c>
      <c r="Q19" s="3">
        <f t="shared" si="26"/>
        <v>85</v>
      </c>
      <c r="R19" s="3">
        <f t="shared" si="26"/>
        <v>85</v>
      </c>
      <c r="S19" s="3">
        <f t="shared" si="26"/>
        <v>85</v>
      </c>
      <c r="T19" s="3">
        <f t="shared" si="26"/>
        <v>85</v>
      </c>
    </row>
    <row r="20" spans="2:51">
      <c r="B20" t="s">
        <v>11</v>
      </c>
    </row>
    <row r="21" spans="2:51">
      <c r="V21" t="s">
        <v>69</v>
      </c>
      <c r="W21" s="21">
        <v>0.1</v>
      </c>
    </row>
    <row r="22" spans="2:51">
      <c r="V22" t="s">
        <v>70</v>
      </c>
      <c r="W22" s="21">
        <v>-0.05</v>
      </c>
    </row>
    <row r="23" spans="2:51">
      <c r="V23" t="s">
        <v>71</v>
      </c>
      <c r="W23" s="2">
        <f>NPV(W21,D18:AY18)+Main!J5-Main!J6</f>
        <v>7646.1790343987605</v>
      </c>
    </row>
    <row r="24" spans="2:51">
      <c r="V24" t="s">
        <v>72</v>
      </c>
      <c r="W24" s="1">
        <f>W23/Main!J3</f>
        <v>89.655451641997885</v>
      </c>
    </row>
  </sheetData>
  <hyperlinks>
    <hyperlink ref="A1" location="Main!A1" display="Main" xr:uid="{7BB69641-DF21-4FBD-8F40-9D4165AFA9C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4975-DF27-4A82-9E0B-8E1BC512C2AC}">
  <dimension ref="A1:C18"/>
  <sheetViews>
    <sheetView zoomScale="220" zoomScaleNormal="220" workbookViewId="0"/>
  </sheetViews>
  <sheetFormatPr defaultRowHeight="12.75"/>
  <cols>
    <col min="1" max="1" width="5" bestFit="1" customWidth="1"/>
    <col min="2" max="2" width="13.28515625" customWidth="1"/>
  </cols>
  <sheetData>
    <row r="1" spans="1:3">
      <c r="A1" s="12" t="s">
        <v>48</v>
      </c>
    </row>
    <row r="2" spans="1:3">
      <c r="B2" t="s">
        <v>0</v>
      </c>
      <c r="C2" t="s">
        <v>6</v>
      </c>
    </row>
    <row r="3" spans="1:3">
      <c r="B3" t="s">
        <v>73</v>
      </c>
    </row>
    <row r="4" spans="1:3">
      <c r="B4" t="s">
        <v>1</v>
      </c>
      <c r="C4" t="s">
        <v>74</v>
      </c>
    </row>
    <row r="5" spans="1:3">
      <c r="C5" t="s">
        <v>75</v>
      </c>
    </row>
    <row r="6" spans="1:3">
      <c r="C6" t="s">
        <v>76</v>
      </c>
    </row>
    <row r="7" spans="1:3">
      <c r="B7" t="s">
        <v>4</v>
      </c>
      <c r="C7" t="s">
        <v>10</v>
      </c>
    </row>
    <row r="8" spans="1:3">
      <c r="B8" t="s">
        <v>77</v>
      </c>
    </row>
    <row r="9" spans="1:3">
      <c r="C9" s="14" t="s">
        <v>78</v>
      </c>
    </row>
    <row r="10" spans="1:3">
      <c r="C10" t="s">
        <v>79</v>
      </c>
    </row>
    <row r="11" spans="1:3">
      <c r="C11" t="s">
        <v>80</v>
      </c>
    </row>
    <row r="13" spans="1:3">
      <c r="C13" t="s">
        <v>81</v>
      </c>
    </row>
    <row r="14" spans="1:3">
      <c r="C14" t="s">
        <v>82</v>
      </c>
    </row>
    <row r="16" spans="1:3">
      <c r="C16" s="14" t="s">
        <v>83</v>
      </c>
    </row>
    <row r="18" spans="3:3">
      <c r="C18" s="14" t="s">
        <v>84</v>
      </c>
    </row>
  </sheetData>
  <hyperlinks>
    <hyperlink ref="A1" location="Main!A1" display="Main" xr:uid="{BA35EC39-3DA7-4378-9ED9-5C1FBA9F44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637C-3F78-434A-9DCB-4AB646A8764C}">
  <dimension ref="A1:C11"/>
  <sheetViews>
    <sheetView zoomScale="220" zoomScaleNormal="220" workbookViewId="0">
      <selection activeCell="E16" sqref="E16"/>
    </sheetView>
  </sheetViews>
  <sheetFormatPr defaultRowHeight="12.75"/>
  <cols>
    <col min="1" max="1" width="5" bestFit="1" customWidth="1"/>
    <col min="2" max="2" width="13.28515625" customWidth="1"/>
  </cols>
  <sheetData>
    <row r="1" spans="1:3">
      <c r="A1" s="12" t="s">
        <v>48</v>
      </c>
    </row>
    <row r="2" spans="1:3">
      <c r="B2" t="s">
        <v>0</v>
      </c>
      <c r="C2" t="s">
        <v>13</v>
      </c>
    </row>
    <row r="3" spans="1:3">
      <c r="B3" t="s">
        <v>1</v>
      </c>
      <c r="C3" t="s">
        <v>85</v>
      </c>
    </row>
    <row r="4" spans="1:3">
      <c r="B4" t="s">
        <v>2</v>
      </c>
      <c r="C4" t="s">
        <v>86</v>
      </c>
    </row>
    <row r="5" spans="1:3">
      <c r="B5" t="s">
        <v>87</v>
      </c>
      <c r="C5" t="s">
        <v>88</v>
      </c>
    </row>
    <row r="6" spans="1:3">
      <c r="B6" t="s">
        <v>77</v>
      </c>
    </row>
    <row r="7" spans="1:3">
      <c r="C7" s="14" t="s">
        <v>89</v>
      </c>
    </row>
    <row r="8" spans="1:3">
      <c r="C8" t="s">
        <v>90</v>
      </c>
    </row>
    <row r="9" spans="1:3">
      <c r="C9" t="s">
        <v>91</v>
      </c>
    </row>
    <row r="10" spans="1:3">
      <c r="C10" t="s">
        <v>92</v>
      </c>
    </row>
    <row r="11" spans="1:3">
      <c r="C11" t="s">
        <v>93</v>
      </c>
    </row>
  </sheetData>
  <hyperlinks>
    <hyperlink ref="A1" location="Main!A1" display="Main" xr:uid="{5BFCE2D9-E8EE-4C58-9B2B-E2F88A3C02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Shkreli</dc:creator>
  <cp:keywords/>
  <dc:description/>
  <cp:lastModifiedBy>Garza, Jacob S</cp:lastModifiedBy>
  <cp:revision/>
  <dcterms:created xsi:type="dcterms:W3CDTF">2023-01-29T22:01:30Z</dcterms:created>
  <dcterms:modified xsi:type="dcterms:W3CDTF">2023-05-26T15:09:22Z</dcterms:modified>
  <cp:category/>
  <cp:contentStatus/>
</cp:coreProperties>
</file>