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Desktop/Models/Models/"/>
    </mc:Choice>
  </mc:AlternateContent>
  <xr:revisionPtr revIDLastSave="0" documentId="13_ncr:1_{2321B8AC-5444-2F40-921D-B2420A33CA3B}" xr6:coauthVersionLast="47" xr6:coauthVersionMax="47" xr10:uidLastSave="{00000000-0000-0000-0000-000000000000}"/>
  <bookViews>
    <workbookView xWindow="160" yWindow="500" windowWidth="17800" windowHeight="21900" firstSheet="1" activeTab="1" xr2:uid="{44E66BAB-A45D-4F4A-BE14-9DCF3BE587B5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9" i="2"/>
  <c r="J10" i="2"/>
  <c r="J6" i="2"/>
  <c r="J20" i="2" s="1"/>
  <c r="M9" i="2"/>
  <c r="M8" i="2"/>
  <c r="N8" i="2" s="1"/>
  <c r="M7" i="2"/>
  <c r="M5" i="2"/>
  <c r="M4" i="2"/>
  <c r="M19" i="2" s="1"/>
  <c r="L14" i="2"/>
  <c r="L12" i="2"/>
  <c r="L11" i="2"/>
  <c r="L13" i="2" s="1"/>
  <c r="L15" i="2" s="1"/>
  <c r="L16" i="2" s="1"/>
  <c r="L10" i="2"/>
  <c r="L9" i="2"/>
  <c r="L8" i="2"/>
  <c r="L7" i="2"/>
  <c r="L6" i="2"/>
  <c r="L5" i="2"/>
  <c r="L4" i="2"/>
  <c r="U3" i="2"/>
  <c r="O3" i="2"/>
  <c r="P3" i="2" s="1"/>
  <c r="Q3" i="2" s="1"/>
  <c r="R3" i="2" s="1"/>
  <c r="S3" i="2" s="1"/>
  <c r="T3" i="2" s="1"/>
  <c r="N3" i="2"/>
  <c r="F14" i="2"/>
  <c r="F9" i="2"/>
  <c r="F8" i="2"/>
  <c r="F7" i="2"/>
  <c r="F10" i="2" s="1"/>
  <c r="F5" i="2"/>
  <c r="F4" i="2"/>
  <c r="C12" i="2"/>
  <c r="C10" i="2"/>
  <c r="C6" i="2"/>
  <c r="G12" i="2"/>
  <c r="G10" i="2"/>
  <c r="G6" i="2"/>
  <c r="G20" i="2"/>
  <c r="E20" i="2"/>
  <c r="I20" i="2"/>
  <c r="H19" i="2"/>
  <c r="G19" i="2"/>
  <c r="I19" i="2"/>
  <c r="D12" i="2"/>
  <c r="D10" i="2"/>
  <c r="D6" i="2"/>
  <c r="D11" i="2" s="1"/>
  <c r="H12" i="2"/>
  <c r="H10" i="2"/>
  <c r="H6" i="2"/>
  <c r="H20" i="2" s="1"/>
  <c r="E12" i="2"/>
  <c r="E10" i="2"/>
  <c r="E6" i="2"/>
  <c r="I12" i="2"/>
  <c r="I10" i="2"/>
  <c r="I6" i="2"/>
  <c r="I11" i="2" s="1"/>
  <c r="I13" i="2" s="1"/>
  <c r="I15" i="2" s="1"/>
  <c r="I16" i="2" s="1"/>
  <c r="S7" i="1"/>
  <c r="S5" i="1"/>
  <c r="S4" i="1"/>
  <c r="M10" i="2" l="1"/>
  <c r="J11" i="2"/>
  <c r="J13" i="2" s="1"/>
  <c r="J15" i="2" s="1"/>
  <c r="J16" i="2" s="1"/>
  <c r="O8" i="2"/>
  <c r="N7" i="2"/>
  <c r="O7" i="2" s="1"/>
  <c r="P7" i="2" s="1"/>
  <c r="Q7" i="2" s="1"/>
  <c r="R7" i="2" s="1"/>
  <c r="S7" i="2" s="1"/>
  <c r="T7" i="2" s="1"/>
  <c r="U7" i="2" s="1"/>
  <c r="N4" i="2"/>
  <c r="M6" i="2"/>
  <c r="M20" i="2" s="1"/>
  <c r="P8" i="2"/>
  <c r="M11" i="2"/>
  <c r="D20" i="2"/>
  <c r="F6" i="2"/>
  <c r="C11" i="2"/>
  <c r="C13" i="2" s="1"/>
  <c r="C15" i="2" s="1"/>
  <c r="C16" i="2" s="1"/>
  <c r="C20" i="2"/>
  <c r="G11" i="2"/>
  <c r="G13" i="2" s="1"/>
  <c r="G15" i="2" s="1"/>
  <c r="G16" i="2" s="1"/>
  <c r="D13" i="2"/>
  <c r="D15" i="2" s="1"/>
  <c r="D16" i="2" s="1"/>
  <c r="H11" i="2"/>
  <c r="H13" i="2" s="1"/>
  <c r="H15" i="2" s="1"/>
  <c r="H16" i="2" s="1"/>
  <c r="E11" i="2"/>
  <c r="E13" i="2" s="1"/>
  <c r="E15" i="2" s="1"/>
  <c r="E16" i="2" s="1"/>
  <c r="N10" i="2" l="1"/>
  <c r="O10" i="2"/>
  <c r="M13" i="2"/>
  <c r="M14" i="2"/>
  <c r="N6" i="2"/>
  <c r="O4" i="2"/>
  <c r="N19" i="2"/>
  <c r="P10" i="2"/>
  <c r="Q8" i="2"/>
  <c r="F11" i="2"/>
  <c r="F13" i="2" s="1"/>
  <c r="F15" i="2" s="1"/>
  <c r="F16" i="2" s="1"/>
  <c r="F20" i="2"/>
  <c r="P4" i="2" l="1"/>
  <c r="O6" i="2"/>
  <c r="O19" i="2"/>
  <c r="N20" i="2"/>
  <c r="N11" i="2"/>
  <c r="M15" i="2"/>
  <c r="M16" i="2" s="1"/>
  <c r="Q10" i="2"/>
  <c r="R8" i="2"/>
  <c r="N13" i="2" l="1"/>
  <c r="N14" i="2"/>
  <c r="Q4" i="2"/>
  <c r="P19" i="2"/>
  <c r="P6" i="2"/>
  <c r="O20" i="2"/>
  <c r="O11" i="2"/>
  <c r="R10" i="2"/>
  <c r="S8" i="2"/>
  <c r="O13" i="2" l="1"/>
  <c r="O14" i="2"/>
  <c r="P20" i="2"/>
  <c r="P11" i="2"/>
  <c r="R4" i="2"/>
  <c r="Q19" i="2"/>
  <c r="Q6" i="2"/>
  <c r="N15" i="2"/>
  <c r="N16" i="2" s="1"/>
  <c r="T8" i="2"/>
  <c r="S10" i="2"/>
  <c r="Q20" i="2" l="1"/>
  <c r="Q11" i="2"/>
  <c r="S4" i="2"/>
  <c r="R19" i="2"/>
  <c r="R6" i="2"/>
  <c r="P13" i="2"/>
  <c r="P14" i="2"/>
  <c r="O15" i="2"/>
  <c r="O16" i="2" s="1"/>
  <c r="U8" i="2"/>
  <c r="U10" i="2" s="1"/>
  <c r="T10" i="2"/>
  <c r="P15" i="2" l="1"/>
  <c r="P16" i="2" s="1"/>
  <c r="T4" i="2"/>
  <c r="S19" i="2"/>
  <c r="S6" i="2"/>
  <c r="Q13" i="2"/>
  <c r="Q14" i="2"/>
  <c r="R20" i="2"/>
  <c r="R11" i="2"/>
  <c r="R13" i="2" l="1"/>
  <c r="R14" i="2"/>
  <c r="Q15" i="2"/>
  <c r="Q16" i="2" s="1"/>
  <c r="S20" i="2"/>
  <c r="S11" i="2"/>
  <c r="U4" i="2"/>
  <c r="T19" i="2"/>
  <c r="T6" i="2"/>
  <c r="T20" i="2" l="1"/>
  <c r="T11" i="2"/>
  <c r="U19" i="2"/>
  <c r="U6" i="2"/>
  <c r="S13" i="2"/>
  <c r="S14" i="2"/>
  <c r="R15" i="2"/>
  <c r="R16" i="2" s="1"/>
  <c r="T13" i="2" l="1"/>
  <c r="T14" i="2"/>
  <c r="S15" i="2"/>
  <c r="U20" i="2"/>
  <c r="U11" i="2"/>
  <c r="S16" i="2" l="1"/>
  <c r="U13" i="2"/>
  <c r="U14" i="2"/>
  <c r="T15" i="2"/>
  <c r="T16" i="2" s="1"/>
  <c r="U15" i="2" l="1"/>
  <c r="U16" i="2" l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X20" i="2" l="1"/>
  <c r="X21" i="2" s="1"/>
  <c r="X22" i="2" s="1"/>
</calcChain>
</file>

<file path=xl/sharedStrings.xml><?xml version="1.0" encoding="utf-8"?>
<sst xmlns="http://schemas.openxmlformats.org/spreadsheetml/2006/main" count="37" uniqueCount="35">
  <si>
    <t>Model</t>
  </si>
  <si>
    <t>Price</t>
  </si>
  <si>
    <t>Q322</t>
  </si>
  <si>
    <t>Shares</t>
  </si>
  <si>
    <t>MC</t>
  </si>
  <si>
    <t>Cash</t>
  </si>
  <si>
    <t>Debt</t>
  </si>
  <si>
    <t>EV</t>
  </si>
  <si>
    <t>Main</t>
  </si>
  <si>
    <t>Q121</t>
  </si>
  <si>
    <t>Q221</t>
  </si>
  <si>
    <t>Q321</t>
  </si>
  <si>
    <t>Q421</t>
  </si>
  <si>
    <t>Q122</t>
  </si>
  <si>
    <t>Q222</t>
  </si>
  <si>
    <t>Q422</t>
  </si>
  <si>
    <t>Revenue</t>
  </si>
  <si>
    <t>COGS</t>
  </si>
  <si>
    <t>Gross profit</t>
  </si>
  <si>
    <t>Sales and marketing</t>
  </si>
  <si>
    <t>R&amp;D</t>
  </si>
  <si>
    <t>G&amp;A</t>
  </si>
  <si>
    <t>Operating Expense</t>
  </si>
  <si>
    <t>Operating Income</t>
  </si>
  <si>
    <t>Interest</t>
  </si>
  <si>
    <t>Pretax Income</t>
  </si>
  <si>
    <t>Tax</t>
  </si>
  <si>
    <t>Net Profit</t>
  </si>
  <si>
    <t>EPS</t>
  </si>
  <si>
    <t>Discount</t>
  </si>
  <si>
    <t>Rev y/y</t>
  </si>
  <si>
    <t>Terminal</t>
  </si>
  <si>
    <t>Gross Margin</t>
  </si>
  <si>
    <t>NPV</t>
  </si>
  <si>
    <t xml:space="preserve">Share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</si>
</sst>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3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2" fontId="0" fillId="0" borderId="0" xfId="0" applyNumberFormat="1"/>
    <xf numFmtId="9" fontId="0" fillId="0" borderId="0" xfId="2" applyFont="1"/>
    <xf numFmtId="164" fontId="0" fillId="0" borderId="0" xfId="2" applyNumberFormat="1" applyFont="1"/>
    <xf numFmtId="0" fontId="2" fillId="0" borderId="0" xfId="0" applyFont="1"/>
    <xf numFmtId="0" fontId="2" fillId="0" borderId="2" xfId="0" applyFont="1" applyBorder="1"/>
    <xf numFmtId="1" fontId="0" fillId="0" borderId="0" xfId="0" applyNumberFormat="1"/>
    <xf numFmtId="0" fontId="0" fillId="0" borderId="4" xfId="0" applyBorder="1"/>
    <xf numFmtId="0" fontId="0" fillId="0" borderId="5" xfId="0" applyBorder="1" applyAlignment="1">
      <alignment horizontal="right"/>
    </xf>
    <xf numFmtId="1" fontId="0" fillId="0" borderId="4" xfId="0" applyNumberFormat="1" applyBorder="1"/>
    <xf numFmtId="2" fontId="0" fillId="0" borderId="4" xfId="0" applyNumberFormat="1" applyBorder="1"/>
    <xf numFmtId="1" fontId="2" fillId="0" borderId="0" xfId="0" applyNumberFormat="1" applyFont="1"/>
    <xf numFmtId="0" fontId="0" fillId="0" borderId="5" xfId="0" applyBorder="1"/>
    <xf numFmtId="1" fontId="2" fillId="0" borderId="4" xfId="0" applyNumberFormat="1" applyFont="1" applyBorder="1"/>
    <xf numFmtId="9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9" fontId="0" fillId="0" borderId="0" xfId="2" applyFont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FCD6-AB9A-484A-A4E5-D920E71DD68A}">
  <dimension ref="A1:T7"/>
  <sheetViews>
    <sheetView workbookViewId="0">
      <selection activeCell="S3" sqref="S3"/>
    </sheetView>
  </sheetViews>
  <sheetFormatPr defaultColWidth="8.85546875" defaultRowHeight="15"/>
  <cols>
    <col min="1" max="1" width="6.42578125" customWidth="1"/>
  </cols>
  <sheetData>
    <row r="1" spans="1:20">
      <c r="A1" s="1" t="s">
        <v>0</v>
      </c>
    </row>
    <row r="2" spans="1:20">
      <c r="R2" t="s">
        <v>1</v>
      </c>
      <c r="S2">
        <v>6.98</v>
      </c>
      <c r="T2" t="s">
        <v>2</v>
      </c>
    </row>
    <row r="3" spans="1:20">
      <c r="R3" t="s">
        <v>3</v>
      </c>
      <c r="S3" s="2">
        <v>1979.2729999999999</v>
      </c>
    </row>
    <row r="4" spans="1:20">
      <c r="R4" t="s">
        <v>4</v>
      </c>
      <c r="S4">
        <f>S2*S3</f>
        <v>13815.32554</v>
      </c>
    </row>
    <row r="5" spans="1:20">
      <c r="R5" t="s">
        <v>5</v>
      </c>
      <c r="S5">
        <f>2411.29+57.342</f>
        <v>2468.6320000000001</v>
      </c>
    </row>
    <row r="6" spans="1:20">
      <c r="R6" t="s">
        <v>6</v>
      </c>
      <c r="S6">
        <v>0</v>
      </c>
    </row>
    <row r="7" spans="1:20">
      <c r="R7" t="s">
        <v>7</v>
      </c>
      <c r="S7">
        <f>S4-S5</f>
        <v>11346.69354</v>
      </c>
    </row>
  </sheetData>
  <hyperlinks>
    <hyperlink ref="A1" location="Model!A1" display="Model" xr:uid="{58E284B2-2DA3-4B1B-9F3A-F1C0861778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F13EE-A946-4C49-83A6-5421F9C599F8}">
  <dimension ref="A1:DN22"/>
  <sheetViews>
    <sheetView tabSelected="1" workbookViewId="0">
      <pane xSplit="2" ySplit="3" topLeftCell="I4" activePane="bottomRight" state="frozen"/>
      <selection pane="bottomRight" activeCell="J15" sqref="J15"/>
      <selection pane="bottomLeft" activeCell="A4" sqref="A4"/>
      <selection pane="topRight" activeCell="C1" sqref="C1"/>
    </sheetView>
  </sheetViews>
  <sheetFormatPr defaultColWidth="18.7109375" defaultRowHeight="15"/>
  <cols>
    <col min="1" max="1" width="5.42578125" customWidth="1"/>
    <col min="2" max="2" width="18.7109375" style="5"/>
    <col min="10" max="10" width="18.7109375" style="13"/>
    <col min="13" max="13" width="18.7109375" style="13"/>
  </cols>
  <sheetData>
    <row r="1" spans="1:118">
      <c r="A1" s="1" t="s">
        <v>8</v>
      </c>
    </row>
    <row r="3" spans="1:118" s="3" customFormat="1">
      <c r="B3" s="6"/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2</v>
      </c>
      <c r="J3" s="14" t="s">
        <v>15</v>
      </c>
      <c r="L3" s="3">
        <v>2021</v>
      </c>
      <c r="M3" s="18">
        <v>2022</v>
      </c>
      <c r="N3" s="3">
        <f>M3+1</f>
        <v>2023</v>
      </c>
      <c r="O3" s="3">
        <f t="shared" ref="O3:U3" si="0">N3+1</f>
        <v>2024</v>
      </c>
      <c r="P3" s="3">
        <f t="shared" si="0"/>
        <v>2025</v>
      </c>
      <c r="Q3" s="3">
        <f t="shared" si="0"/>
        <v>2026</v>
      </c>
      <c r="R3" s="3">
        <f t="shared" si="0"/>
        <v>2027</v>
      </c>
      <c r="S3" s="3">
        <f t="shared" si="0"/>
        <v>2028</v>
      </c>
      <c r="T3" s="3">
        <f t="shared" si="0"/>
        <v>2029</v>
      </c>
      <c r="U3" s="3">
        <f t="shared" si="0"/>
        <v>2030</v>
      </c>
    </row>
    <row r="4" spans="1:118" s="10" customFormat="1">
      <c r="B4" s="11" t="s">
        <v>16</v>
      </c>
      <c r="C4" s="10">
        <v>341</v>
      </c>
      <c r="D4" s="10">
        <v>375</v>
      </c>
      <c r="E4" s="10">
        <v>392</v>
      </c>
      <c r="F4" s="10">
        <f>1542-SUM(C4:E4)</f>
        <v>434</v>
      </c>
      <c r="G4" s="10">
        <v>446</v>
      </c>
      <c r="H4" s="10">
        <v>473</v>
      </c>
      <c r="I4" s="10">
        <v>478</v>
      </c>
      <c r="J4" s="10">
        <v>508</v>
      </c>
      <c r="L4" s="10">
        <f>SUM(C4:F4)</f>
        <v>1542</v>
      </c>
      <c r="M4" s="19">
        <f>SUM(G4:J4)</f>
        <v>1905</v>
      </c>
      <c r="N4" s="17">
        <f>M4*1.25</f>
        <v>2381.25</v>
      </c>
      <c r="O4" s="17">
        <f>N4*1.25</f>
        <v>2976.5625</v>
      </c>
      <c r="P4" s="17">
        <f>O4*1.25</f>
        <v>3720.703125</v>
      </c>
      <c r="Q4" s="17">
        <f t="shared" ref="Q4" si="1">P4*1.2</f>
        <v>4464.84375</v>
      </c>
      <c r="R4" s="17">
        <f>Q4*1.3</f>
        <v>5804.296875</v>
      </c>
      <c r="S4" s="17">
        <f t="shared" ref="S4:U4" si="2">R4*1.3</f>
        <v>7545.5859375</v>
      </c>
      <c r="T4" s="17">
        <f t="shared" si="2"/>
        <v>9809.26171875</v>
      </c>
      <c r="U4" s="17">
        <f t="shared" si="2"/>
        <v>12752.040234375001</v>
      </c>
    </row>
    <row r="5" spans="1:118">
      <c r="B5" s="5" t="s">
        <v>17</v>
      </c>
      <c r="C5">
        <v>74</v>
      </c>
      <c r="D5">
        <v>90</v>
      </c>
      <c r="E5">
        <v>86</v>
      </c>
      <c r="F5">
        <f>339-SUM(C5:E5)</f>
        <v>89</v>
      </c>
      <c r="G5">
        <v>94</v>
      </c>
      <c r="H5">
        <v>102</v>
      </c>
      <c r="I5">
        <v>108</v>
      </c>
      <c r="J5">
        <v>104</v>
      </c>
      <c r="L5">
        <f>SUM(C5:F5)</f>
        <v>339</v>
      </c>
      <c r="M5" s="15">
        <f>SUM(G5:J5)</f>
        <v>408</v>
      </c>
      <c r="P5" s="12"/>
      <c r="Q5" s="12"/>
      <c r="R5" s="12"/>
      <c r="S5" s="12"/>
      <c r="T5" s="12"/>
      <c r="U5" s="12"/>
    </row>
    <row r="6" spans="1:118">
      <c r="B6" s="5" t="s">
        <v>18</v>
      </c>
      <c r="C6">
        <f t="shared" ref="C6:J6" si="3">C4-C5</f>
        <v>267</v>
      </c>
      <c r="D6">
        <f t="shared" si="3"/>
        <v>285</v>
      </c>
      <c r="E6">
        <f t="shared" si="3"/>
        <v>306</v>
      </c>
      <c r="F6">
        <f t="shared" si="3"/>
        <v>345</v>
      </c>
      <c r="G6">
        <f t="shared" si="3"/>
        <v>352</v>
      </c>
      <c r="H6">
        <f t="shared" si="3"/>
        <v>371</v>
      </c>
      <c r="I6">
        <f t="shared" si="3"/>
        <v>370</v>
      </c>
      <c r="J6">
        <f t="shared" ref="J6" si="4">J4-J5</f>
        <v>404</v>
      </c>
      <c r="L6">
        <f>L4-L5</f>
        <v>1203</v>
      </c>
      <c r="M6" s="15">
        <f t="shared" ref="M6" si="5">M4-M5</f>
        <v>1497</v>
      </c>
      <c r="N6" s="12">
        <f>0.78*N4</f>
        <v>1857.375</v>
      </c>
      <c r="O6" s="12">
        <f t="shared" ref="O6:U6" si="6">0.78*O4</f>
        <v>2321.71875</v>
      </c>
      <c r="P6" s="12">
        <f t="shared" si="6"/>
        <v>2902.1484375</v>
      </c>
      <c r="Q6" s="12">
        <f t="shared" si="6"/>
        <v>3482.578125</v>
      </c>
      <c r="R6" s="12">
        <f t="shared" si="6"/>
        <v>4527.3515625</v>
      </c>
      <c r="S6" s="12">
        <f t="shared" si="6"/>
        <v>5885.5570312500004</v>
      </c>
      <c r="T6" s="12">
        <f t="shared" si="6"/>
        <v>7651.2241406250005</v>
      </c>
      <c r="U6" s="12">
        <f t="shared" si="6"/>
        <v>9946.5913828125013</v>
      </c>
    </row>
    <row r="7" spans="1:118">
      <c r="B7" s="5" t="s">
        <v>19</v>
      </c>
      <c r="C7">
        <v>136</v>
      </c>
      <c r="D7">
        <v>162</v>
      </c>
      <c r="E7">
        <v>153</v>
      </c>
      <c r="F7">
        <f>615-SUM(C7:E7)</f>
        <v>164</v>
      </c>
      <c r="G7">
        <v>160</v>
      </c>
      <c r="H7">
        <v>169</v>
      </c>
      <c r="I7">
        <v>183</v>
      </c>
      <c r="J7">
        <v>190</v>
      </c>
      <c r="L7">
        <f>SUM(C7:F7)</f>
        <v>615</v>
      </c>
      <c r="M7" s="15">
        <f>SUM(G7:J7)</f>
        <v>702</v>
      </c>
      <c r="N7" s="12">
        <f>M7+50</f>
        <v>752</v>
      </c>
      <c r="O7" s="12">
        <f t="shared" ref="O7:U7" si="7">N7+50</f>
        <v>802</v>
      </c>
      <c r="P7" s="12">
        <f t="shared" si="7"/>
        <v>852</v>
      </c>
      <c r="Q7" s="12">
        <f t="shared" si="7"/>
        <v>902</v>
      </c>
      <c r="R7" s="12">
        <f t="shared" si="7"/>
        <v>952</v>
      </c>
      <c r="S7" s="12">
        <f t="shared" si="7"/>
        <v>1002</v>
      </c>
      <c r="T7" s="12">
        <f t="shared" si="7"/>
        <v>1052</v>
      </c>
      <c r="U7" s="12">
        <f t="shared" si="7"/>
        <v>1102</v>
      </c>
    </row>
    <row r="8" spans="1:118">
      <c r="B8" s="5" t="s">
        <v>20</v>
      </c>
      <c r="C8">
        <v>98</v>
      </c>
      <c r="D8">
        <v>110</v>
      </c>
      <c r="E8">
        <v>94</v>
      </c>
      <c r="F8">
        <f>387-SUM(C8:E8)</f>
        <v>85</v>
      </c>
      <c r="G8">
        <v>87</v>
      </c>
      <c r="H8">
        <v>88</v>
      </c>
      <c r="I8">
        <v>101</v>
      </c>
      <c r="J8">
        <v>82</v>
      </c>
      <c r="L8">
        <f>SUM(C8:F8)</f>
        <v>387</v>
      </c>
      <c r="M8" s="15">
        <f>SUM(G8:J8)</f>
        <v>358</v>
      </c>
      <c r="N8" s="12">
        <f>M8+1</f>
        <v>359</v>
      </c>
      <c r="O8" s="12">
        <f t="shared" ref="O8:U8" si="8">N8+1</f>
        <v>360</v>
      </c>
      <c r="P8" s="12">
        <f t="shared" si="8"/>
        <v>361</v>
      </c>
      <c r="Q8" s="12">
        <f t="shared" si="8"/>
        <v>362</v>
      </c>
      <c r="R8" s="12">
        <f t="shared" si="8"/>
        <v>363</v>
      </c>
      <c r="S8" s="12">
        <f t="shared" si="8"/>
        <v>364</v>
      </c>
      <c r="T8" s="12">
        <f t="shared" si="8"/>
        <v>365</v>
      </c>
      <c r="U8" s="12">
        <f t="shared" si="8"/>
        <v>366</v>
      </c>
    </row>
    <row r="9" spans="1:118">
      <c r="B9" s="5" t="s">
        <v>21</v>
      </c>
      <c r="C9">
        <v>146</v>
      </c>
      <c r="D9">
        <v>157</v>
      </c>
      <c r="E9">
        <v>150</v>
      </c>
      <c r="F9">
        <f>612-SUM(C9:E9)</f>
        <v>159</v>
      </c>
      <c r="G9">
        <v>142</v>
      </c>
      <c r="H9">
        <v>155</v>
      </c>
      <c r="I9">
        <v>149</v>
      </c>
      <c r="J9">
        <v>149</v>
      </c>
      <c r="L9">
        <f>SUM(C9:F9)</f>
        <v>612</v>
      </c>
      <c r="M9" s="15">
        <f>SUM(G9:J9)</f>
        <v>595</v>
      </c>
      <c r="N9">
        <v>600</v>
      </c>
      <c r="O9">
        <v>600</v>
      </c>
      <c r="P9">
        <v>600</v>
      </c>
      <c r="Q9">
        <v>600</v>
      </c>
      <c r="R9">
        <v>600</v>
      </c>
      <c r="S9">
        <v>600</v>
      </c>
      <c r="T9">
        <v>600</v>
      </c>
      <c r="U9">
        <v>600</v>
      </c>
    </row>
    <row r="10" spans="1:118">
      <c r="B10" s="5" t="s">
        <v>22</v>
      </c>
      <c r="C10">
        <f t="shared" ref="C10:J10" si="9">C7+C8+C9</f>
        <v>380</v>
      </c>
      <c r="D10">
        <f t="shared" si="9"/>
        <v>429</v>
      </c>
      <c r="E10">
        <f t="shared" si="9"/>
        <v>397</v>
      </c>
      <c r="F10">
        <f t="shared" si="9"/>
        <v>408</v>
      </c>
      <c r="G10">
        <f t="shared" si="9"/>
        <v>389</v>
      </c>
      <c r="H10">
        <f t="shared" si="9"/>
        <v>412</v>
      </c>
      <c r="I10">
        <f t="shared" si="9"/>
        <v>433</v>
      </c>
      <c r="J10">
        <f t="shared" ref="J10" si="10">J7+J8+J9</f>
        <v>421</v>
      </c>
      <c r="L10">
        <f>L9+L8+L7</f>
        <v>1614</v>
      </c>
      <c r="M10" s="15">
        <f t="shared" ref="M10:U10" si="11">M9+M8+M7</f>
        <v>1655</v>
      </c>
      <c r="N10">
        <f t="shared" si="11"/>
        <v>1711</v>
      </c>
      <c r="O10">
        <f t="shared" si="11"/>
        <v>1762</v>
      </c>
      <c r="P10" s="12">
        <f t="shared" si="11"/>
        <v>1813</v>
      </c>
      <c r="Q10" s="12">
        <f t="shared" si="11"/>
        <v>1864</v>
      </c>
      <c r="R10" s="12">
        <f t="shared" si="11"/>
        <v>1915</v>
      </c>
      <c r="S10" s="12">
        <f t="shared" si="11"/>
        <v>1966</v>
      </c>
      <c r="T10" s="12">
        <f t="shared" si="11"/>
        <v>2017</v>
      </c>
      <c r="U10" s="12">
        <f t="shared" si="11"/>
        <v>2068</v>
      </c>
    </row>
    <row r="11" spans="1:118">
      <c r="B11" s="5" t="s">
        <v>23</v>
      </c>
      <c r="C11">
        <f t="shared" ref="C11:J11" si="12">C6-C10</f>
        <v>-113</v>
      </c>
      <c r="D11">
        <f t="shared" si="12"/>
        <v>-144</v>
      </c>
      <c r="E11">
        <f t="shared" si="12"/>
        <v>-91</v>
      </c>
      <c r="F11">
        <f t="shared" si="12"/>
        <v>-63</v>
      </c>
      <c r="G11">
        <f t="shared" si="12"/>
        <v>-37</v>
      </c>
      <c r="H11">
        <f t="shared" si="12"/>
        <v>-41</v>
      </c>
      <c r="I11">
        <f t="shared" si="12"/>
        <v>-63</v>
      </c>
      <c r="J11">
        <f t="shared" ref="J11" si="13">J6-J10</f>
        <v>-17</v>
      </c>
      <c r="L11">
        <f>L6-L10</f>
        <v>-411</v>
      </c>
      <c r="M11" s="15">
        <f t="shared" ref="M11:U11" si="14">M6-M10</f>
        <v>-158</v>
      </c>
      <c r="N11">
        <f t="shared" si="14"/>
        <v>146.375</v>
      </c>
      <c r="O11">
        <f t="shared" si="14"/>
        <v>559.71875</v>
      </c>
      <c r="P11" s="12">
        <f t="shared" si="14"/>
        <v>1089.1484375</v>
      </c>
      <c r="Q11" s="12">
        <f t="shared" si="14"/>
        <v>1618.578125</v>
      </c>
      <c r="R11" s="12">
        <f t="shared" si="14"/>
        <v>2612.3515625</v>
      </c>
      <c r="S11" s="12">
        <f t="shared" si="14"/>
        <v>3919.5570312500004</v>
      </c>
      <c r="T11" s="12">
        <f t="shared" si="14"/>
        <v>5634.2241406250005</v>
      </c>
      <c r="U11" s="12">
        <f t="shared" si="14"/>
        <v>7878.5913828125013</v>
      </c>
    </row>
    <row r="12" spans="1:118">
      <c r="B12" s="5" t="s">
        <v>24</v>
      </c>
      <c r="C12" s="12">
        <f>0.376-1.84</f>
        <v>-1.464</v>
      </c>
      <c r="D12" s="12">
        <f>0.372-0.59</f>
        <v>-0.21799999999999997</v>
      </c>
      <c r="E12" s="12">
        <f>0.379-0.609</f>
        <v>-0.22999999999999998</v>
      </c>
      <c r="F12" s="12">
        <v>0</v>
      </c>
      <c r="G12" s="12">
        <f>0.547-0.594</f>
        <v>-4.6999999999999931E-2</v>
      </c>
      <c r="H12" s="12">
        <f>1.5-0.67</f>
        <v>0.83</v>
      </c>
      <c r="I12" s="12">
        <f>5.5-1.1</f>
        <v>4.4000000000000004</v>
      </c>
      <c r="J12" s="12">
        <f>12-1</f>
        <v>11</v>
      </c>
      <c r="L12" s="12">
        <f>SUM(C12:F12)</f>
        <v>-1.9119999999999999</v>
      </c>
      <c r="M12" s="15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118">
      <c r="B13" s="5" t="s">
        <v>25</v>
      </c>
      <c r="C13" s="12">
        <f t="shared" ref="C13:J13" si="15">C11+C12</f>
        <v>-114.464</v>
      </c>
      <c r="D13" s="12">
        <f t="shared" si="15"/>
        <v>-144.21799999999999</v>
      </c>
      <c r="E13" s="12">
        <f t="shared" si="15"/>
        <v>-91.23</v>
      </c>
      <c r="F13" s="12">
        <f t="shared" si="15"/>
        <v>-63</v>
      </c>
      <c r="G13" s="12">
        <f t="shared" si="15"/>
        <v>-37.046999999999997</v>
      </c>
      <c r="H13" s="12">
        <f t="shared" si="15"/>
        <v>-40.17</v>
      </c>
      <c r="I13" s="12">
        <f t="shared" si="15"/>
        <v>-58.6</v>
      </c>
      <c r="J13" s="12">
        <f t="shared" ref="J13" si="16">J11+J12</f>
        <v>-6</v>
      </c>
      <c r="L13" s="12">
        <f>L11-L12</f>
        <v>-409.08800000000002</v>
      </c>
      <c r="M13" s="15">
        <f t="shared" ref="M13:U13" si="17">M11-M12</f>
        <v>-158</v>
      </c>
      <c r="N13" s="12">
        <f t="shared" si="17"/>
        <v>146.375</v>
      </c>
      <c r="O13" s="12">
        <f t="shared" si="17"/>
        <v>559.71875</v>
      </c>
      <c r="P13" s="12">
        <f t="shared" si="17"/>
        <v>1089.1484375</v>
      </c>
      <c r="Q13" s="12">
        <f t="shared" si="17"/>
        <v>1618.578125</v>
      </c>
      <c r="R13" s="12">
        <f t="shared" si="17"/>
        <v>2612.3515625</v>
      </c>
      <c r="S13" s="12">
        <f t="shared" si="17"/>
        <v>3919.5570312500004</v>
      </c>
      <c r="T13" s="12">
        <f t="shared" si="17"/>
        <v>5634.2241406250005</v>
      </c>
      <c r="U13" s="12">
        <f t="shared" si="17"/>
        <v>7878.5913828125013</v>
      </c>
    </row>
    <row r="14" spans="1:118">
      <c r="B14" s="5" t="s">
        <v>26</v>
      </c>
      <c r="C14" s="12">
        <v>3.1</v>
      </c>
      <c r="D14" s="12">
        <v>-5.7</v>
      </c>
      <c r="E14" s="12">
        <v>1.4</v>
      </c>
      <c r="F14" s="12">
        <f>31.8-SUM(C14:E14)</f>
        <v>33</v>
      </c>
      <c r="G14" s="12">
        <v>2</v>
      </c>
      <c r="H14" s="12">
        <v>2.5</v>
      </c>
      <c r="I14" s="12">
        <v>1.01</v>
      </c>
      <c r="J14" s="12">
        <v>4</v>
      </c>
      <c r="L14" s="12">
        <f>SUM(C14:F14)</f>
        <v>31.8</v>
      </c>
      <c r="M14" s="15">
        <f>0.1*M11</f>
        <v>-15.8</v>
      </c>
      <c r="N14" s="15">
        <f t="shared" ref="N14:U14" si="18">0.1*N11</f>
        <v>14.637500000000001</v>
      </c>
      <c r="O14" s="15">
        <f t="shared" si="18"/>
        <v>55.971875000000004</v>
      </c>
      <c r="P14" s="15">
        <f t="shared" si="18"/>
        <v>108.91484375</v>
      </c>
      <c r="Q14" s="15">
        <f t="shared" si="18"/>
        <v>161.85781250000002</v>
      </c>
      <c r="R14" s="15">
        <f t="shared" si="18"/>
        <v>261.23515624999999</v>
      </c>
      <c r="S14" s="15">
        <f t="shared" si="18"/>
        <v>391.95570312500007</v>
      </c>
      <c r="T14" s="15">
        <f t="shared" si="18"/>
        <v>563.42241406250002</v>
      </c>
      <c r="U14" s="15">
        <f t="shared" si="18"/>
        <v>787.85913828125013</v>
      </c>
    </row>
    <row r="15" spans="1:118">
      <c r="B15" s="5" t="s">
        <v>27</v>
      </c>
      <c r="C15" s="12">
        <f t="shared" ref="C15:J15" si="19">C13-C14</f>
        <v>-117.56399999999999</v>
      </c>
      <c r="D15" s="12">
        <f t="shared" si="19"/>
        <v>-138.518</v>
      </c>
      <c r="E15" s="12">
        <f t="shared" si="19"/>
        <v>-92.63000000000001</v>
      </c>
      <c r="F15" s="12">
        <f t="shared" si="19"/>
        <v>-96</v>
      </c>
      <c r="G15" s="12">
        <f t="shared" si="19"/>
        <v>-39.046999999999997</v>
      </c>
      <c r="H15" s="12">
        <f t="shared" si="19"/>
        <v>-42.67</v>
      </c>
      <c r="I15" s="12">
        <f t="shared" si="19"/>
        <v>-59.61</v>
      </c>
      <c r="J15" s="12">
        <f t="shared" ref="J15" si="20">J13-J14</f>
        <v>-10</v>
      </c>
      <c r="L15" s="12">
        <f>L13-L14</f>
        <v>-440.88800000000003</v>
      </c>
      <c r="M15" s="15">
        <f t="shared" ref="M15:U15" si="21">M13-M14</f>
        <v>-142.19999999999999</v>
      </c>
      <c r="N15" s="12">
        <f t="shared" si="21"/>
        <v>131.73750000000001</v>
      </c>
      <c r="O15" s="12">
        <f t="shared" si="21"/>
        <v>503.74687499999999</v>
      </c>
      <c r="P15" s="12">
        <f t="shared" si="21"/>
        <v>980.23359374999995</v>
      </c>
      <c r="Q15" s="12">
        <f t="shared" si="21"/>
        <v>1456.7203125000001</v>
      </c>
      <c r="R15" s="12">
        <f t="shared" si="21"/>
        <v>2351.1164062500002</v>
      </c>
      <c r="S15" s="12">
        <f t="shared" si="21"/>
        <v>3527.6013281250002</v>
      </c>
      <c r="T15" s="12">
        <f t="shared" si="21"/>
        <v>5070.8017265625003</v>
      </c>
      <c r="U15" s="12">
        <f t="shared" si="21"/>
        <v>7090.7322445312511</v>
      </c>
      <c r="V15" s="12">
        <f>U15*(1+$X$19)</f>
        <v>7019.8249220859389</v>
      </c>
      <c r="W15" s="12">
        <f t="shared" ref="W15:CH15" si="22">V15*(1+$X$19)</f>
        <v>6949.6266728650799</v>
      </c>
      <c r="X15" s="12">
        <f t="shared" si="22"/>
        <v>6880.130406136429</v>
      </c>
      <c r="Y15" s="12">
        <f t="shared" si="22"/>
        <v>6811.3291020750648</v>
      </c>
      <c r="Z15" s="12">
        <f t="shared" si="22"/>
        <v>6743.2158110543141</v>
      </c>
      <c r="AA15" s="12">
        <f t="shared" si="22"/>
        <v>6675.7836529437709</v>
      </c>
      <c r="AB15" s="12">
        <f t="shared" si="22"/>
        <v>6609.0258164143333</v>
      </c>
      <c r="AC15" s="12">
        <f t="shared" si="22"/>
        <v>6542.9355582501903</v>
      </c>
      <c r="AD15" s="12">
        <f t="shared" si="22"/>
        <v>6477.5062026676887</v>
      </c>
      <c r="AE15" s="12">
        <f t="shared" si="22"/>
        <v>6412.7311406410117</v>
      </c>
      <c r="AF15" s="12">
        <f t="shared" si="22"/>
        <v>6348.6038292346011</v>
      </c>
      <c r="AG15" s="12">
        <f t="shared" si="22"/>
        <v>6285.1177909422549</v>
      </c>
      <c r="AH15" s="12">
        <f t="shared" si="22"/>
        <v>6222.2666130328325</v>
      </c>
      <c r="AI15" s="12">
        <f t="shared" si="22"/>
        <v>6160.0439469025041</v>
      </c>
      <c r="AJ15" s="12">
        <f t="shared" si="22"/>
        <v>6098.4435074334788</v>
      </c>
      <c r="AK15" s="12">
        <f t="shared" si="22"/>
        <v>6037.4590723591436</v>
      </c>
      <c r="AL15" s="12">
        <f t="shared" si="22"/>
        <v>5977.084481635552</v>
      </c>
      <c r="AM15" s="12">
        <f t="shared" si="22"/>
        <v>5917.3136368191963</v>
      </c>
      <c r="AN15" s="12">
        <f t="shared" si="22"/>
        <v>5858.1405004510043</v>
      </c>
      <c r="AO15" s="12">
        <f t="shared" si="22"/>
        <v>5799.5590954464942</v>
      </c>
      <c r="AP15" s="12">
        <f t="shared" si="22"/>
        <v>5741.5635044920291</v>
      </c>
      <c r="AQ15" s="12">
        <f t="shared" si="22"/>
        <v>5684.1478694471089</v>
      </c>
      <c r="AR15" s="12">
        <f t="shared" si="22"/>
        <v>5627.3063907526375</v>
      </c>
      <c r="AS15" s="12">
        <f t="shared" si="22"/>
        <v>5571.0333268451113</v>
      </c>
      <c r="AT15" s="12">
        <f t="shared" si="22"/>
        <v>5515.3229935766603</v>
      </c>
      <c r="AU15" s="12">
        <f t="shared" si="22"/>
        <v>5460.1697636408935</v>
      </c>
      <c r="AV15" s="12">
        <f t="shared" si="22"/>
        <v>5405.5680660044845</v>
      </c>
      <c r="AW15" s="12">
        <f t="shared" si="22"/>
        <v>5351.5123853444393</v>
      </c>
      <c r="AX15" s="12">
        <f t="shared" si="22"/>
        <v>5297.9972614909948</v>
      </c>
      <c r="AY15" s="12">
        <f t="shared" si="22"/>
        <v>5245.0172888760844</v>
      </c>
      <c r="AZ15" s="12">
        <f t="shared" si="22"/>
        <v>5192.5671159873236</v>
      </c>
      <c r="BA15" s="12">
        <f t="shared" si="22"/>
        <v>5140.64144482745</v>
      </c>
      <c r="BB15" s="12">
        <f t="shared" si="22"/>
        <v>5089.2350303791754</v>
      </c>
      <c r="BC15" s="12">
        <f t="shared" si="22"/>
        <v>5038.3426800753832</v>
      </c>
      <c r="BD15" s="12">
        <f t="shared" si="22"/>
        <v>4987.9592532746292</v>
      </c>
      <c r="BE15" s="12">
        <f t="shared" si="22"/>
        <v>4938.0796607418824</v>
      </c>
      <c r="BF15" s="12">
        <f t="shared" si="22"/>
        <v>4888.6988641344633</v>
      </c>
      <c r="BG15" s="12">
        <f t="shared" si="22"/>
        <v>4839.8118754931184</v>
      </c>
      <c r="BH15" s="12">
        <f t="shared" si="22"/>
        <v>4791.4137567381867</v>
      </c>
      <c r="BI15" s="12">
        <f t="shared" si="22"/>
        <v>4743.4996191708051</v>
      </c>
      <c r="BJ15" s="12">
        <f t="shared" si="22"/>
        <v>4696.0646229790973</v>
      </c>
      <c r="BK15" s="12">
        <f t="shared" si="22"/>
        <v>4649.1039767493066</v>
      </c>
      <c r="BL15" s="12">
        <f t="shared" si="22"/>
        <v>4602.6129369818136</v>
      </c>
      <c r="BM15" s="12">
        <f t="shared" si="22"/>
        <v>4556.586807611995</v>
      </c>
      <c r="BN15" s="12">
        <f t="shared" si="22"/>
        <v>4511.0209395358752</v>
      </c>
      <c r="BO15" s="12">
        <f t="shared" si="22"/>
        <v>4465.9107301405165</v>
      </c>
      <c r="BP15" s="12">
        <f t="shared" si="22"/>
        <v>4421.2516228391114</v>
      </c>
      <c r="BQ15" s="12">
        <f t="shared" si="22"/>
        <v>4377.0391066107204</v>
      </c>
      <c r="BR15" s="12">
        <f t="shared" si="22"/>
        <v>4333.2687155446129</v>
      </c>
      <c r="BS15" s="12">
        <f t="shared" si="22"/>
        <v>4289.9360283891665</v>
      </c>
      <c r="BT15" s="12">
        <f t="shared" si="22"/>
        <v>4247.0366681052747</v>
      </c>
      <c r="BU15" s="12">
        <f t="shared" si="22"/>
        <v>4204.5663014242218</v>
      </c>
      <c r="BV15" s="12">
        <f t="shared" si="22"/>
        <v>4162.5206384099793</v>
      </c>
      <c r="BW15" s="12">
        <f t="shared" si="22"/>
        <v>4120.895432025879</v>
      </c>
      <c r="BX15" s="12">
        <f t="shared" si="22"/>
        <v>4079.6864777056203</v>
      </c>
      <c r="BY15" s="12">
        <f t="shared" si="22"/>
        <v>4038.889612928564</v>
      </c>
      <c r="BZ15" s="12">
        <f t="shared" si="22"/>
        <v>3998.5007167992785</v>
      </c>
      <c r="CA15" s="12">
        <f t="shared" si="22"/>
        <v>3958.5157096312855</v>
      </c>
      <c r="CB15" s="12">
        <f t="shared" si="22"/>
        <v>3918.9305525349728</v>
      </c>
      <c r="CC15" s="12">
        <f t="shared" si="22"/>
        <v>3879.7412470096228</v>
      </c>
      <c r="CD15" s="12">
        <f t="shared" si="22"/>
        <v>3840.9438345395265</v>
      </c>
      <c r="CE15" s="12">
        <f t="shared" si="22"/>
        <v>3802.5343961941312</v>
      </c>
      <c r="CF15" s="12">
        <f t="shared" si="22"/>
        <v>3764.5090522321898</v>
      </c>
      <c r="CG15" s="12">
        <f t="shared" si="22"/>
        <v>3726.8639617098679</v>
      </c>
      <c r="CH15" s="12">
        <f t="shared" si="22"/>
        <v>3689.595322092769</v>
      </c>
      <c r="CI15" s="12">
        <f t="shared" ref="CI15:DN15" si="23">CH15*(1+$X$19)</f>
        <v>3652.6993688718412</v>
      </c>
      <c r="CJ15" s="12">
        <f t="shared" si="23"/>
        <v>3616.1723751831228</v>
      </c>
      <c r="CK15" s="12">
        <f t="shared" si="23"/>
        <v>3580.0106514312915</v>
      </c>
      <c r="CL15" s="12">
        <f t="shared" si="23"/>
        <v>3544.2105449169785</v>
      </c>
      <c r="CM15" s="12">
        <f t="shared" si="23"/>
        <v>3508.7684394678085</v>
      </c>
      <c r="CN15" s="12">
        <f t="shared" si="23"/>
        <v>3473.6807550731305</v>
      </c>
      <c r="CO15" s="12">
        <f t="shared" si="23"/>
        <v>3438.943947522399</v>
      </c>
      <c r="CP15" s="12">
        <f t="shared" si="23"/>
        <v>3404.5545080471747</v>
      </c>
      <c r="CQ15" s="12">
        <f t="shared" si="23"/>
        <v>3370.5089629667032</v>
      </c>
      <c r="CR15" s="12">
        <f t="shared" si="23"/>
        <v>3336.8038733370363</v>
      </c>
      <c r="CS15" s="12">
        <f t="shared" si="23"/>
        <v>3303.4358346036661</v>
      </c>
      <c r="CT15" s="12">
        <f t="shared" si="23"/>
        <v>3270.4014762576294</v>
      </c>
      <c r="CU15" s="12">
        <f t="shared" si="23"/>
        <v>3237.6974614950532</v>
      </c>
      <c r="CV15" s="12">
        <f t="shared" si="23"/>
        <v>3205.3204868801026</v>
      </c>
      <c r="CW15" s="12">
        <f t="shared" si="23"/>
        <v>3173.2672820113016</v>
      </c>
      <c r="CX15" s="12">
        <f t="shared" si="23"/>
        <v>3141.5346091911888</v>
      </c>
      <c r="CY15" s="12">
        <f t="shared" si="23"/>
        <v>3110.1192630992768</v>
      </c>
      <c r="CZ15" s="12">
        <f t="shared" si="23"/>
        <v>3079.0180704682839</v>
      </c>
      <c r="DA15" s="12">
        <f t="shared" si="23"/>
        <v>3048.2278897636011</v>
      </c>
      <c r="DB15" s="12">
        <f t="shared" si="23"/>
        <v>3017.7456108659649</v>
      </c>
      <c r="DC15" s="12">
        <f t="shared" si="23"/>
        <v>2987.5681547573054</v>
      </c>
      <c r="DD15" s="12">
        <f t="shared" si="23"/>
        <v>2957.6924732097323</v>
      </c>
      <c r="DE15" s="12">
        <f t="shared" si="23"/>
        <v>2928.115548477635</v>
      </c>
      <c r="DF15" s="12">
        <f t="shared" si="23"/>
        <v>2898.8343929928587</v>
      </c>
      <c r="DG15" s="12">
        <f t="shared" si="23"/>
        <v>2869.84604906293</v>
      </c>
      <c r="DH15" s="12">
        <f t="shared" si="23"/>
        <v>2841.1475885723007</v>
      </c>
      <c r="DI15" s="12">
        <f t="shared" si="23"/>
        <v>2812.7361126865776</v>
      </c>
      <c r="DJ15" s="12">
        <f t="shared" si="23"/>
        <v>2784.6087515597119</v>
      </c>
      <c r="DK15" s="12">
        <f t="shared" si="23"/>
        <v>2756.7626640441149</v>
      </c>
      <c r="DL15" s="12">
        <f t="shared" si="23"/>
        <v>2729.1950374036737</v>
      </c>
      <c r="DM15" s="12">
        <f t="shared" si="23"/>
        <v>2701.9030870296369</v>
      </c>
      <c r="DN15" s="12">
        <f t="shared" si="23"/>
        <v>2674.8840561593406</v>
      </c>
    </row>
    <row r="16" spans="1:118">
      <c r="B16" s="5" t="s">
        <v>28</v>
      </c>
      <c r="C16" s="7">
        <f t="shared" ref="C16:J16" si="24">C15/C17</f>
        <v>-6.2071805702217528E-2</v>
      </c>
      <c r="D16" s="7">
        <f t="shared" si="24"/>
        <v>-7.3135163674762402E-2</v>
      </c>
      <c r="E16" s="7">
        <f t="shared" si="24"/>
        <v>-4.7163951120162938E-2</v>
      </c>
      <c r="F16" s="7">
        <f t="shared" si="24"/>
        <v>-4.8879837067209775E-2</v>
      </c>
      <c r="G16" s="7">
        <f t="shared" si="24"/>
        <v>-1.917829076620825E-2</v>
      </c>
      <c r="H16" s="7">
        <f t="shared" si="24"/>
        <v>-2.0774099318403117E-2</v>
      </c>
      <c r="I16" s="7">
        <f t="shared" si="24"/>
        <v>-2.8755426917510853E-2</v>
      </c>
      <c r="J16" s="7">
        <f t="shared" ref="J16" si="25">J15/J17</f>
        <v>-4.8239266763145201E-3</v>
      </c>
      <c r="L16" s="7">
        <f>L15/L17</f>
        <v>-0.22278322385042953</v>
      </c>
      <c r="M16" s="16">
        <f t="shared" ref="M16:U16" si="26">M15/M17</f>
        <v>-7.1854471955533086E-2</v>
      </c>
      <c r="N16" s="7">
        <f t="shared" si="26"/>
        <v>6.6567710965133906E-2</v>
      </c>
      <c r="O16" s="7">
        <f t="shared" si="26"/>
        <v>0.25454617230924709</v>
      </c>
      <c r="P16" s="7">
        <f t="shared" si="26"/>
        <v>0.49531763201111673</v>
      </c>
      <c r="Q16" s="7">
        <f t="shared" si="26"/>
        <v>0.73608909171298642</v>
      </c>
      <c r="R16" s="7">
        <f t="shared" si="26"/>
        <v>1.1880325448458819</v>
      </c>
      <c r="S16" s="7">
        <f t="shared" si="26"/>
        <v>1.7825170935447197</v>
      </c>
      <c r="T16" s="7">
        <f t="shared" si="26"/>
        <v>2.5623050664792828</v>
      </c>
      <c r="U16" s="7">
        <f t="shared" si="26"/>
        <v>3.5829874909202886</v>
      </c>
    </row>
    <row r="17" spans="2:24">
      <c r="B17" s="5" t="s">
        <v>3</v>
      </c>
      <c r="C17">
        <v>1894</v>
      </c>
      <c r="D17">
        <v>1894</v>
      </c>
      <c r="E17">
        <v>1964</v>
      </c>
      <c r="F17">
        <v>1964</v>
      </c>
      <c r="G17">
        <v>2036</v>
      </c>
      <c r="H17">
        <v>2054</v>
      </c>
      <c r="I17">
        <v>2073</v>
      </c>
      <c r="J17">
        <v>2073</v>
      </c>
      <c r="L17">
        <v>1979</v>
      </c>
      <c r="M17" s="13">
        <v>1979</v>
      </c>
      <c r="N17">
        <v>1979</v>
      </c>
      <c r="O17">
        <v>1979</v>
      </c>
      <c r="P17">
        <v>1979</v>
      </c>
      <c r="Q17">
        <v>1979</v>
      </c>
      <c r="R17">
        <v>1979</v>
      </c>
      <c r="S17">
        <v>1979</v>
      </c>
      <c r="T17">
        <v>1979</v>
      </c>
      <c r="U17">
        <v>1979</v>
      </c>
    </row>
    <row r="18" spans="2:24">
      <c r="J18"/>
      <c r="W18" t="s">
        <v>29</v>
      </c>
      <c r="X18" s="20">
        <v>0.08</v>
      </c>
    </row>
    <row r="19" spans="2:24">
      <c r="B19" s="5" t="s">
        <v>30</v>
      </c>
      <c r="D19" s="9"/>
      <c r="E19" s="9"/>
      <c r="F19" s="9"/>
      <c r="G19" s="9">
        <f t="shared" ref="G19:H19" si="27">G4/C4-1</f>
        <v>0.3079178885630498</v>
      </c>
      <c r="H19" s="9">
        <f t="shared" si="27"/>
        <v>0.26133333333333342</v>
      </c>
      <c r="I19" s="9">
        <f>I4/E4-1</f>
        <v>0.21938775510204089</v>
      </c>
      <c r="J19" s="9">
        <f>J4/F4-1</f>
        <v>0.17050691244239635</v>
      </c>
      <c r="L19" s="5"/>
      <c r="M19" s="23">
        <f>M4/L4-1</f>
        <v>0.2354085603112841</v>
      </c>
      <c r="N19" s="23">
        <f t="shared" ref="N19:U19" si="28">N4/M4-1</f>
        <v>0.25</v>
      </c>
      <c r="O19" s="23">
        <f t="shared" si="28"/>
        <v>0.25</v>
      </c>
      <c r="P19" s="23">
        <f t="shared" si="28"/>
        <v>0.25</v>
      </c>
      <c r="Q19" s="23">
        <f t="shared" si="28"/>
        <v>0.19999999999999996</v>
      </c>
      <c r="R19" s="23">
        <f t="shared" si="28"/>
        <v>0.30000000000000004</v>
      </c>
      <c r="S19" s="23">
        <f t="shared" si="28"/>
        <v>0.30000000000000004</v>
      </c>
      <c r="T19" s="23">
        <f t="shared" si="28"/>
        <v>0.30000000000000004</v>
      </c>
      <c r="U19" s="23">
        <f t="shared" si="28"/>
        <v>0.30000000000000004</v>
      </c>
      <c r="W19" t="s">
        <v>31</v>
      </c>
      <c r="X19" s="20">
        <v>-0.01</v>
      </c>
    </row>
    <row r="20" spans="2:24">
      <c r="B20" s="5" t="s">
        <v>32</v>
      </c>
      <c r="C20" s="9">
        <f t="shared" ref="C20:H20" si="29">C6/C4</f>
        <v>0.78299120234604103</v>
      </c>
      <c r="D20" s="9">
        <f t="shared" si="29"/>
        <v>0.76</v>
      </c>
      <c r="E20" s="9">
        <f t="shared" si="29"/>
        <v>0.78061224489795922</v>
      </c>
      <c r="F20" s="9">
        <f t="shared" si="29"/>
        <v>0.79493087557603692</v>
      </c>
      <c r="G20" s="9">
        <f t="shared" si="29"/>
        <v>0.78923766816143492</v>
      </c>
      <c r="H20" s="9">
        <f t="shared" si="29"/>
        <v>0.78435517970401691</v>
      </c>
      <c r="I20" s="9">
        <f>I6/I4</f>
        <v>0.77405857740585771</v>
      </c>
      <c r="J20" s="9">
        <f>J6/J4</f>
        <v>0.79527559055118113</v>
      </c>
      <c r="L20" s="5"/>
      <c r="M20" s="23">
        <f>M6/M4</f>
        <v>0.78582677165354331</v>
      </c>
      <c r="N20" s="23">
        <f t="shared" ref="N20:U20" si="30">N6/N4</f>
        <v>0.78</v>
      </c>
      <c r="O20" s="23">
        <f t="shared" si="30"/>
        <v>0.78</v>
      </c>
      <c r="P20" s="23">
        <f t="shared" si="30"/>
        <v>0.78</v>
      </c>
      <c r="Q20" s="23">
        <f t="shared" si="30"/>
        <v>0.78</v>
      </c>
      <c r="R20" s="23">
        <f t="shared" si="30"/>
        <v>0.78</v>
      </c>
      <c r="S20" s="23">
        <f t="shared" si="30"/>
        <v>0.78</v>
      </c>
      <c r="T20" s="23">
        <f t="shared" si="30"/>
        <v>0.78</v>
      </c>
      <c r="U20" s="23">
        <f t="shared" si="30"/>
        <v>0.78</v>
      </c>
      <c r="W20" t="s">
        <v>33</v>
      </c>
      <c r="X20" s="21">
        <f>NPV(X18,N15:DN15)</f>
        <v>55146.337109400018</v>
      </c>
    </row>
    <row r="21" spans="2:24">
      <c r="W21" t="s">
        <v>34</v>
      </c>
      <c r="X21" s="22">
        <f>X20/1979</f>
        <v>27.865759024456807</v>
      </c>
    </row>
    <row r="22" spans="2:24">
      <c r="X22" s="8">
        <f>X21/6.98-1</f>
        <v>2.992229086598396</v>
      </c>
    </row>
  </sheetData>
  <hyperlinks>
    <hyperlink ref="A1" location="Main!A1" display="Main" xr:uid="{9CC5FC9B-4813-4212-AC47-F533726EB610}"/>
  </hyperlinks>
  <pageMargins left="0.7" right="0.7" top="0.75" bottom="0.75" header="0.3" footer="0.3"/>
  <pageSetup orientation="portrait" horizontalDpi="0" verticalDpi="0" copies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205F9637DCC48859EDAC7DA0912D5" ma:contentTypeVersion="10" ma:contentTypeDescription="Create a new document." ma:contentTypeScope="" ma:versionID="00755e0bcaefbd7b5ad521bd55e1e17a">
  <xsd:schema xmlns:xsd="http://www.w3.org/2001/XMLSchema" xmlns:xs="http://www.w3.org/2001/XMLSchema" xmlns:p="http://schemas.microsoft.com/office/2006/metadata/properties" xmlns:ns3="2dd4f4b4-88ac-483e-942f-116d5b920b19" xmlns:ns4="a8f09735-27e2-40a7-868b-44b4658107aa" targetNamespace="http://schemas.microsoft.com/office/2006/metadata/properties" ma:root="true" ma:fieldsID="6f90c84059b47a4bf7166350bf1e0b9f" ns3:_="" ns4:_="">
    <xsd:import namespace="2dd4f4b4-88ac-483e-942f-116d5b920b19"/>
    <xsd:import namespace="a8f09735-27e2-40a7-868b-44b4658107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d4f4b4-88ac-483e-942f-116d5b92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09735-27e2-40a7-868b-44b4658107a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7B0646-A014-4E42-B3DC-2588F1239466}"/>
</file>

<file path=customXml/itemProps2.xml><?xml version="1.0" encoding="utf-8"?>
<ds:datastoreItem xmlns:ds="http://schemas.openxmlformats.org/officeDocument/2006/customXml" ds:itemID="{5F27E6C0-3375-4DA0-ACC0-21EAB0CAFD17}"/>
</file>

<file path=customXml/itemProps3.xml><?xml version="1.0" encoding="utf-8"?>
<ds:datastoreItem xmlns:ds="http://schemas.openxmlformats.org/officeDocument/2006/customXml" ds:itemID="{3FA9CD8F-40E2-4493-927F-2C9636558D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Garza</dc:creator>
  <cp:keywords/>
  <dc:description/>
  <cp:lastModifiedBy>Garza, Jacob S</cp:lastModifiedBy>
  <cp:revision/>
  <dcterms:created xsi:type="dcterms:W3CDTF">2023-01-11T21:24:17Z</dcterms:created>
  <dcterms:modified xsi:type="dcterms:W3CDTF">2023-05-28T19:28:41Z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0x01010069B205F9637DCC48859EDAC7DA0912D5</vt:lpwstr>
  </property>
</Properties>
</file>