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garza25_illinois_edu/Documents/Stock Models/"/>
    </mc:Choice>
  </mc:AlternateContent>
  <xr:revisionPtr revIDLastSave="539" documentId="11_E60897F41BE170836B02CE998F75CCDC64E183C8" xr6:coauthVersionLast="47" xr6:coauthVersionMax="47" xr10:uidLastSave="{0DC77BE6-3BEE-4BB9-8E78-D7B350216AA0}"/>
  <bookViews>
    <workbookView xWindow="-105" yWindow="0" windowWidth="38610" windowHeight="20985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6" i="2" l="1"/>
  <c r="AH7" i="2"/>
  <c r="AI7" i="2" s="1"/>
  <c r="AJ7" i="2" s="1"/>
  <c r="AK7" i="2" s="1"/>
  <c r="AL7" i="2" s="1"/>
  <c r="AM7" i="2" s="1"/>
  <c r="AN7" i="2" s="1"/>
  <c r="AO7" i="2" s="1"/>
  <c r="AH6" i="2"/>
  <c r="AI6" i="2" s="1"/>
  <c r="AJ6" i="2" s="1"/>
  <c r="AK6" i="2" s="1"/>
  <c r="AL6" i="2" s="1"/>
  <c r="AM6" i="2" s="1"/>
  <c r="AN6" i="2" s="1"/>
  <c r="AO6" i="2" s="1"/>
  <c r="AG7" i="2"/>
  <c r="AG6" i="2"/>
  <c r="AF10" i="2"/>
  <c r="AF7" i="2"/>
  <c r="AF6" i="2"/>
  <c r="AF5" i="2"/>
  <c r="AF8" i="2" s="1"/>
  <c r="V8" i="2"/>
  <c r="U8" i="2"/>
  <c r="V26" i="2"/>
  <c r="U26" i="2"/>
  <c r="U2" i="2"/>
  <c r="V2" i="2" s="1"/>
  <c r="AE24" i="2"/>
  <c r="AD24" i="2"/>
  <c r="AC24" i="2"/>
  <c r="AB24" i="2"/>
  <c r="AA24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G22" i="2"/>
  <c r="R21" i="2"/>
  <c r="E20" i="2"/>
  <c r="D20" i="2"/>
  <c r="C20" i="2"/>
  <c r="AE8" i="2"/>
  <c r="AE4" i="2"/>
  <c r="AE20" i="2" s="1"/>
  <c r="AD8" i="2"/>
  <c r="AD4" i="2"/>
  <c r="AD9" i="2" s="1"/>
  <c r="AD11" i="2" s="1"/>
  <c r="AD13" i="2" s="1"/>
  <c r="AD15" i="2" s="1"/>
  <c r="AC8" i="2"/>
  <c r="AC4" i="2"/>
  <c r="AC20" i="2" s="1"/>
  <c r="AB8" i="2"/>
  <c r="AB4" i="2"/>
  <c r="AB20" i="2" s="1"/>
  <c r="AA8" i="2"/>
  <c r="AA4" i="2"/>
  <c r="AA20" i="2" s="1"/>
  <c r="Z4" i="2"/>
  <c r="Z20" i="2" s="1"/>
  <c r="Z8" i="2"/>
  <c r="C8" i="2"/>
  <c r="C4" i="2"/>
  <c r="E8" i="2"/>
  <c r="E4" i="2"/>
  <c r="D8" i="2"/>
  <c r="D4" i="2"/>
  <c r="G8" i="2"/>
  <c r="G4" i="2"/>
  <c r="G9" i="2" s="1"/>
  <c r="G11" i="2" s="1"/>
  <c r="G13" i="2" s="1"/>
  <c r="G15" i="2" s="1"/>
  <c r="H4" i="2"/>
  <c r="H20" i="2" s="1"/>
  <c r="H8" i="2"/>
  <c r="H9" i="2" s="1"/>
  <c r="H11" i="2" s="1"/>
  <c r="H13" i="2" s="1"/>
  <c r="H15" i="2" s="1"/>
  <c r="F8" i="2"/>
  <c r="F4" i="2"/>
  <c r="F9" i="2" s="1"/>
  <c r="F11" i="2" s="1"/>
  <c r="F13" i="2" s="1"/>
  <c r="F15" i="2" s="1"/>
  <c r="J8" i="2"/>
  <c r="J4" i="2"/>
  <c r="J20" i="2" s="1"/>
  <c r="I8" i="2"/>
  <c r="I4" i="2"/>
  <c r="I20" i="2" s="1"/>
  <c r="L8" i="2"/>
  <c r="L4" i="2"/>
  <c r="L9" i="2" s="1"/>
  <c r="L11" i="2" s="1"/>
  <c r="L13" i="2" s="1"/>
  <c r="L15" i="2" s="1"/>
  <c r="M8" i="2"/>
  <c r="M4" i="2"/>
  <c r="M9" i="2" s="1"/>
  <c r="M11" i="2" s="1"/>
  <c r="M13" i="2" s="1"/>
  <c r="M15" i="2" s="1"/>
  <c r="K8" i="2"/>
  <c r="K4" i="2"/>
  <c r="K20" i="2" s="1"/>
  <c r="O8" i="2"/>
  <c r="O4" i="2"/>
  <c r="O20" i="2" s="1"/>
  <c r="Q45" i="2"/>
  <c r="Q39" i="2"/>
  <c r="R45" i="2"/>
  <c r="R39" i="2"/>
  <c r="N8" i="2"/>
  <c r="N4" i="2"/>
  <c r="N20" i="2" s="1"/>
  <c r="Q8" i="2"/>
  <c r="Q4" i="2"/>
  <c r="Q9" i="2" s="1"/>
  <c r="Q11" i="2" s="1"/>
  <c r="Q13" i="2" s="1"/>
  <c r="Q15" i="2" s="1"/>
  <c r="R4" i="2"/>
  <c r="R20" i="2" s="1"/>
  <c r="R8" i="2"/>
  <c r="R9" i="2" s="1"/>
  <c r="R11" i="2" s="1"/>
  <c r="R13" i="2" s="1"/>
  <c r="R15" i="2" s="1"/>
  <c r="T45" i="2"/>
  <c r="T39" i="2"/>
  <c r="S45" i="2"/>
  <c r="S39" i="2"/>
  <c r="P45" i="2"/>
  <c r="P39" i="2"/>
  <c r="P47" i="2" s="1"/>
  <c r="P8" i="2"/>
  <c r="P4" i="2"/>
  <c r="P9" i="2" s="1"/>
  <c r="P11" i="2" s="1"/>
  <c r="P13" i="2" s="1"/>
  <c r="P15" i="2" s="1"/>
  <c r="S8" i="2"/>
  <c r="S4" i="2"/>
  <c r="S20" i="2" s="1"/>
  <c r="T8" i="2"/>
  <c r="T4" i="2"/>
  <c r="T20" i="2" s="1"/>
  <c r="AG1" i="2"/>
  <c r="AH1" i="2" s="1"/>
  <c r="AI1" i="2" s="1"/>
  <c r="AJ1" i="2" s="1"/>
  <c r="AK1" i="2" s="1"/>
  <c r="AL1" i="2" s="1"/>
  <c r="AM1" i="2" s="1"/>
  <c r="AN1" i="2" s="1"/>
  <c r="AO1" i="2" s="1"/>
  <c r="M6" i="1"/>
  <c r="K6" i="1"/>
  <c r="K3" i="1"/>
  <c r="F25" i="2" l="1"/>
  <c r="P20" i="2"/>
  <c r="G25" i="2"/>
  <c r="Q20" i="2"/>
  <c r="H25" i="2"/>
  <c r="U4" i="2"/>
  <c r="U3" i="2" s="1"/>
  <c r="Q25" i="2"/>
  <c r="Q21" i="2"/>
  <c r="AF2" i="2"/>
  <c r="V4" i="2"/>
  <c r="V20" i="2" s="1"/>
  <c r="V24" i="2"/>
  <c r="V3" i="2"/>
  <c r="AF3" i="2"/>
  <c r="AD22" i="2"/>
  <c r="M25" i="2"/>
  <c r="U9" i="2"/>
  <c r="U11" i="2" s="1"/>
  <c r="AD21" i="2"/>
  <c r="F22" i="2"/>
  <c r="F20" i="2"/>
  <c r="H21" i="2"/>
  <c r="L22" i="2"/>
  <c r="L21" i="2"/>
  <c r="L20" i="2"/>
  <c r="U24" i="2"/>
  <c r="M20" i="2"/>
  <c r="P22" i="2"/>
  <c r="P25" i="2"/>
  <c r="H22" i="2"/>
  <c r="AG5" i="2"/>
  <c r="M22" i="2"/>
  <c r="U20" i="2"/>
  <c r="AD25" i="2"/>
  <c r="M21" i="2"/>
  <c r="Q22" i="2"/>
  <c r="V9" i="2"/>
  <c r="L25" i="2"/>
  <c r="AD20" i="2"/>
  <c r="R25" i="2"/>
  <c r="F21" i="2"/>
  <c r="G21" i="2"/>
  <c r="G20" i="2"/>
  <c r="T9" i="2"/>
  <c r="T11" i="2" s="1"/>
  <c r="P21" i="2"/>
  <c r="R22" i="2"/>
  <c r="V21" i="2"/>
  <c r="V11" i="2"/>
  <c r="U12" i="2"/>
  <c r="U25" i="2" s="1"/>
  <c r="U13" i="2"/>
  <c r="U22" i="2" s="1"/>
  <c r="J9" i="2"/>
  <c r="Z9" i="2"/>
  <c r="AE9" i="2"/>
  <c r="AC9" i="2"/>
  <c r="AB9" i="2"/>
  <c r="AA9" i="2"/>
  <c r="Q47" i="2"/>
  <c r="C9" i="2"/>
  <c r="E9" i="2"/>
  <c r="D9" i="2"/>
  <c r="I9" i="2"/>
  <c r="K9" i="2"/>
  <c r="O9" i="2"/>
  <c r="R47" i="2"/>
  <c r="N9" i="2"/>
  <c r="T47" i="2"/>
  <c r="S47" i="2"/>
  <c r="S9" i="2"/>
  <c r="T21" i="2" l="1"/>
  <c r="U21" i="2"/>
  <c r="J11" i="2"/>
  <c r="J21" i="2"/>
  <c r="N11" i="2"/>
  <c r="N21" i="2"/>
  <c r="Z11" i="2"/>
  <c r="Z21" i="2"/>
  <c r="AH5" i="2"/>
  <c r="AG8" i="2"/>
  <c r="S11" i="2"/>
  <c r="S21" i="2"/>
  <c r="K11" i="2"/>
  <c r="K21" i="2"/>
  <c r="O11" i="2"/>
  <c r="O21" i="2"/>
  <c r="T13" i="2"/>
  <c r="T25" i="2"/>
  <c r="I11" i="2"/>
  <c r="I21" i="2"/>
  <c r="D11" i="2"/>
  <c r="D21" i="2"/>
  <c r="E11" i="2"/>
  <c r="E21" i="2"/>
  <c r="C11" i="2"/>
  <c r="C21" i="2"/>
  <c r="AA11" i="2"/>
  <c r="AA21" i="2"/>
  <c r="AB11" i="2"/>
  <c r="AB21" i="2"/>
  <c r="AC11" i="2"/>
  <c r="AC21" i="2"/>
  <c r="AE11" i="2"/>
  <c r="AE21" i="2"/>
  <c r="AG2" i="2"/>
  <c r="AF24" i="2"/>
  <c r="AF4" i="2"/>
  <c r="V12" i="2"/>
  <c r="V25" i="2" s="1"/>
  <c r="E13" i="2" l="1"/>
  <c r="E25" i="2"/>
  <c r="I13" i="2"/>
  <c r="I25" i="2"/>
  <c r="O13" i="2"/>
  <c r="O25" i="2"/>
  <c r="AH2" i="2"/>
  <c r="AG24" i="2"/>
  <c r="AG4" i="2"/>
  <c r="AE13" i="2"/>
  <c r="AE25" i="2"/>
  <c r="Z13" i="2"/>
  <c r="Z25" i="2"/>
  <c r="N13" i="2"/>
  <c r="N25" i="2"/>
  <c r="C13" i="2"/>
  <c r="C25" i="2"/>
  <c r="D13" i="2"/>
  <c r="D25" i="2"/>
  <c r="T15" i="2"/>
  <c r="T22" i="2"/>
  <c r="AF20" i="2"/>
  <c r="AF9" i="2"/>
  <c r="K13" i="2"/>
  <c r="K25" i="2"/>
  <c r="S13" i="2"/>
  <c r="S25" i="2"/>
  <c r="AI5" i="2"/>
  <c r="AH8" i="2"/>
  <c r="AC13" i="2"/>
  <c r="AC25" i="2"/>
  <c r="AB13" i="2"/>
  <c r="AB25" i="2"/>
  <c r="AA13" i="2"/>
  <c r="AA25" i="2"/>
  <c r="J13" i="2"/>
  <c r="J25" i="2"/>
  <c r="V13" i="2"/>
  <c r="V22" i="2" s="1"/>
  <c r="AE15" i="2" l="1"/>
  <c r="AE22" i="2"/>
  <c r="AI2" i="2"/>
  <c r="AH4" i="2"/>
  <c r="AH24" i="2"/>
  <c r="AC15" i="2"/>
  <c r="AC22" i="2"/>
  <c r="AJ5" i="2"/>
  <c r="AI8" i="2"/>
  <c r="I15" i="2"/>
  <c r="I22" i="2"/>
  <c r="S15" i="2"/>
  <c r="S22" i="2"/>
  <c r="E15" i="2"/>
  <c r="E22" i="2"/>
  <c r="K15" i="2"/>
  <c r="K22" i="2"/>
  <c r="AF11" i="2"/>
  <c r="AF21" i="2"/>
  <c r="D15" i="2"/>
  <c r="D22" i="2"/>
  <c r="N15" i="2"/>
  <c r="N22" i="2"/>
  <c r="C15" i="2"/>
  <c r="C22" i="2"/>
  <c r="J15" i="2"/>
  <c r="J22" i="2"/>
  <c r="Z15" i="2"/>
  <c r="Z22" i="2"/>
  <c r="AA15" i="2"/>
  <c r="AA22" i="2"/>
  <c r="AG20" i="2"/>
  <c r="AG9" i="2"/>
  <c r="AB15" i="2"/>
  <c r="AB22" i="2"/>
  <c r="O15" i="2"/>
  <c r="O22" i="2"/>
  <c r="AF12" i="2" l="1"/>
  <c r="AF25" i="2" s="1"/>
  <c r="AG21" i="2"/>
  <c r="AK5" i="2"/>
  <c r="AJ8" i="2"/>
  <c r="AH20" i="2"/>
  <c r="AH9" i="2"/>
  <c r="AJ2" i="2"/>
  <c r="AI4" i="2"/>
  <c r="AI24" i="2"/>
  <c r="AF13" i="2" l="1"/>
  <c r="AI9" i="2"/>
  <c r="AI20" i="2"/>
  <c r="AK2" i="2"/>
  <c r="AJ4" i="2"/>
  <c r="AJ24" i="2"/>
  <c r="AH21" i="2"/>
  <c r="AL5" i="2"/>
  <c r="AK8" i="2"/>
  <c r="AF22" i="2" l="1"/>
  <c r="AF18" i="2"/>
  <c r="AG10" i="2" s="1"/>
  <c r="AL2" i="2"/>
  <c r="AK4" i="2"/>
  <c r="AK24" i="2"/>
  <c r="AM5" i="2"/>
  <c r="AL8" i="2"/>
  <c r="AJ9" i="2"/>
  <c r="AJ20" i="2"/>
  <c r="AI21" i="2"/>
  <c r="AG11" i="2" l="1"/>
  <c r="AJ21" i="2"/>
  <c r="AN5" i="2"/>
  <c r="AM8" i="2"/>
  <c r="AK9" i="2"/>
  <c r="AK20" i="2"/>
  <c r="AM2" i="2"/>
  <c r="AL4" i="2"/>
  <c r="AL24" i="2"/>
  <c r="AG12" i="2" l="1"/>
  <c r="AG25" i="2" s="1"/>
  <c r="AG13" i="2"/>
  <c r="AN2" i="2"/>
  <c r="AM4" i="2"/>
  <c r="AM24" i="2"/>
  <c r="AL9" i="2"/>
  <c r="AL20" i="2"/>
  <c r="AK21" i="2"/>
  <c r="AO5" i="2"/>
  <c r="AO8" i="2" s="1"/>
  <c r="AN8" i="2"/>
  <c r="AG18" i="2" l="1"/>
  <c r="AH10" i="2" s="1"/>
  <c r="AG22" i="2"/>
  <c r="AL21" i="2"/>
  <c r="AM9" i="2"/>
  <c r="AM20" i="2"/>
  <c r="AO2" i="2"/>
  <c r="AN4" i="2"/>
  <c r="AN24" i="2"/>
  <c r="AH11" i="2" l="1"/>
  <c r="AN9" i="2"/>
  <c r="AN20" i="2"/>
  <c r="AO4" i="2"/>
  <c r="AO24" i="2"/>
  <c r="AM21" i="2"/>
  <c r="AH12" i="2" l="1"/>
  <c r="AH25" i="2" s="1"/>
  <c r="AH13" i="2"/>
  <c r="AO9" i="2"/>
  <c r="AO20" i="2"/>
  <c r="AN21" i="2"/>
  <c r="AH22" i="2" l="1"/>
  <c r="AH18" i="2"/>
  <c r="AI10" i="2" s="1"/>
  <c r="AO21" i="2"/>
  <c r="AI11" i="2" l="1"/>
  <c r="AI12" i="2" l="1"/>
  <c r="AI25" i="2" s="1"/>
  <c r="AI13" i="2"/>
  <c r="AI22" i="2" l="1"/>
  <c r="AI18" i="2"/>
  <c r="AJ10" i="2" s="1"/>
  <c r="AJ11" i="2" l="1"/>
  <c r="AJ12" i="2" l="1"/>
  <c r="AJ25" i="2" s="1"/>
  <c r="AJ13" i="2"/>
  <c r="AJ22" i="2" l="1"/>
  <c r="AJ18" i="2"/>
  <c r="AK10" i="2" s="1"/>
  <c r="AK11" i="2" l="1"/>
  <c r="AK12" i="2" l="1"/>
  <c r="AK25" i="2" s="1"/>
  <c r="AK13" i="2"/>
  <c r="AK22" i="2" l="1"/>
  <c r="AK18" i="2"/>
  <c r="AL10" i="2" s="1"/>
  <c r="AL11" i="2" l="1"/>
  <c r="AL12" i="2" l="1"/>
  <c r="AL25" i="2" s="1"/>
  <c r="AL13" i="2"/>
  <c r="AL22" i="2" l="1"/>
  <c r="AL18" i="2"/>
  <c r="AM10" i="2" s="1"/>
  <c r="AM11" i="2" l="1"/>
  <c r="AM12" i="2" l="1"/>
  <c r="AM25" i="2" s="1"/>
  <c r="AM13" i="2"/>
  <c r="AM22" i="2" l="1"/>
  <c r="AM18" i="2"/>
  <c r="AN10" i="2" s="1"/>
  <c r="AN11" i="2" l="1"/>
  <c r="AN12" i="2" l="1"/>
  <c r="AN25" i="2" s="1"/>
  <c r="AN13" i="2"/>
  <c r="AN22" i="2" l="1"/>
  <c r="AN18" i="2"/>
  <c r="AO10" i="2" s="1"/>
  <c r="AO11" i="2" l="1"/>
  <c r="AO12" i="2" l="1"/>
  <c r="AO25" i="2" s="1"/>
  <c r="AO13" i="2"/>
  <c r="AO22" i="2" l="1"/>
  <c r="AP13" i="2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HH13" i="2" s="1"/>
  <c r="HI13" i="2" s="1"/>
  <c r="HJ13" i="2" s="1"/>
  <c r="HK13" i="2" s="1"/>
  <c r="HL13" i="2" s="1"/>
  <c r="HM13" i="2" s="1"/>
  <c r="HN13" i="2" s="1"/>
  <c r="HO13" i="2" s="1"/>
  <c r="HP13" i="2" s="1"/>
  <c r="HQ13" i="2" s="1"/>
  <c r="HR13" i="2" s="1"/>
  <c r="HS13" i="2" s="1"/>
  <c r="HT13" i="2" s="1"/>
  <c r="HU13" i="2" s="1"/>
  <c r="HV13" i="2" s="1"/>
  <c r="HW13" i="2" s="1"/>
  <c r="HX13" i="2" s="1"/>
  <c r="HY13" i="2" s="1"/>
  <c r="HZ13" i="2" s="1"/>
  <c r="IA13" i="2" s="1"/>
  <c r="IB13" i="2" s="1"/>
  <c r="IC13" i="2" s="1"/>
  <c r="ID13" i="2" s="1"/>
  <c r="IE13" i="2" s="1"/>
  <c r="IF13" i="2" s="1"/>
  <c r="IG13" i="2" s="1"/>
  <c r="IH13" i="2" s="1"/>
  <c r="II13" i="2" s="1"/>
  <c r="IJ13" i="2" s="1"/>
  <c r="IK13" i="2" s="1"/>
  <c r="IL13" i="2" s="1"/>
  <c r="IM13" i="2" s="1"/>
  <c r="IN13" i="2" s="1"/>
  <c r="IO13" i="2" s="1"/>
  <c r="IP13" i="2" s="1"/>
  <c r="IQ13" i="2" s="1"/>
  <c r="IR13" i="2" s="1"/>
  <c r="IS13" i="2" s="1"/>
  <c r="IT13" i="2" s="1"/>
  <c r="IU13" i="2" s="1"/>
  <c r="IV13" i="2" s="1"/>
  <c r="IW13" i="2" s="1"/>
  <c r="IX13" i="2" s="1"/>
  <c r="IY13" i="2" s="1"/>
  <c r="IZ13" i="2" s="1"/>
  <c r="JA13" i="2" s="1"/>
  <c r="JB13" i="2" s="1"/>
  <c r="JC13" i="2" s="1"/>
  <c r="JD13" i="2" s="1"/>
  <c r="JE13" i="2" s="1"/>
  <c r="JF13" i="2" s="1"/>
  <c r="JG13" i="2" s="1"/>
  <c r="JH13" i="2" s="1"/>
  <c r="JI13" i="2" s="1"/>
  <c r="JJ13" i="2" s="1"/>
  <c r="JK13" i="2" s="1"/>
  <c r="JL13" i="2" s="1"/>
  <c r="JM13" i="2" s="1"/>
  <c r="JN13" i="2" s="1"/>
  <c r="JO13" i="2" s="1"/>
  <c r="JP13" i="2" s="1"/>
  <c r="JQ13" i="2" s="1"/>
  <c r="JR13" i="2" s="1"/>
  <c r="JS13" i="2" s="1"/>
  <c r="JT13" i="2" s="1"/>
  <c r="JU13" i="2" s="1"/>
  <c r="JV13" i="2" s="1"/>
  <c r="JW13" i="2" s="1"/>
  <c r="JX13" i="2" s="1"/>
  <c r="JY13" i="2" s="1"/>
  <c r="JZ13" i="2" s="1"/>
  <c r="KA13" i="2" s="1"/>
  <c r="KB13" i="2" s="1"/>
  <c r="KC13" i="2" s="1"/>
  <c r="KD13" i="2" s="1"/>
  <c r="KE13" i="2" s="1"/>
  <c r="KF13" i="2" s="1"/>
  <c r="KG13" i="2" s="1"/>
  <c r="KH13" i="2" s="1"/>
  <c r="AT24" i="2" s="1"/>
  <c r="AT26" i="2" s="1"/>
  <c r="AT27" i="2" s="1"/>
  <c r="AO18" i="2"/>
</calcChain>
</file>

<file path=xl/sharedStrings.xml><?xml version="1.0" encoding="utf-8"?>
<sst xmlns="http://schemas.openxmlformats.org/spreadsheetml/2006/main" count="71" uniqueCount="68">
  <si>
    <t>Model</t>
  </si>
  <si>
    <t>Main</t>
  </si>
  <si>
    <t>Price</t>
  </si>
  <si>
    <t>Shares</t>
  </si>
  <si>
    <t>MC</t>
  </si>
  <si>
    <t>Cash</t>
  </si>
  <si>
    <t>Debt</t>
  </si>
  <si>
    <t>EV</t>
  </si>
  <si>
    <t>Q119</t>
  </si>
  <si>
    <t>Q219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</si>
  <si>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</si>
  <si>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</si>
  <si>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</si>
  <si>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</si>
  <si>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</si>
  <si>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</si>
  <si>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</si>
  <si>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</si>
  <si>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</si>
  <si>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</si>
  <si>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</si>
  <si>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</si>
  <si>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</si>
  <si>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</si>
  <si>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</si>
  <si>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</si>
  <si>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</si>
  <si>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Sales</t>
  </si>
  <si>
    <t>COGS</t>
  </si>
  <si>
    <t>Gross Profit</t>
  </si>
  <si>
    <t>R&amp;D</t>
  </si>
  <si>
    <t>S&amp;M</t>
  </si>
  <si>
    <t>G&amp;A</t>
  </si>
  <si>
    <t>Operating Expense</t>
  </si>
  <si>
    <t>Operating Income</t>
  </si>
  <si>
    <t>Interest</t>
  </si>
  <si>
    <t>Net Interest</t>
  </si>
  <si>
    <t>Pretax Income</t>
  </si>
  <si>
    <t>Tax</t>
  </si>
  <si>
    <t>Net Income</t>
  </si>
  <si>
    <t>EPS</t>
  </si>
  <si>
    <t>AR</t>
  </si>
  <si>
    <t>Inventories</t>
  </si>
  <si>
    <t>Refundable deposits</t>
  </si>
  <si>
    <t>Prepaid Expenses</t>
  </si>
  <si>
    <t>Long term investment</t>
  </si>
  <si>
    <t>PPE</t>
  </si>
  <si>
    <t>Other</t>
  </si>
  <si>
    <t>TOTAL ASSETs</t>
  </si>
  <si>
    <t>AP</t>
  </si>
  <si>
    <t>Income tax payable</t>
  </si>
  <si>
    <t>Accured expenses</t>
  </si>
  <si>
    <t xml:space="preserve">Other </t>
  </si>
  <si>
    <t>Total liabilities</t>
  </si>
  <si>
    <t>Shareholder Equity</t>
  </si>
  <si>
    <t>Q319</t>
  </si>
  <si>
    <t>Gross Margin</t>
  </si>
  <si>
    <t>Operating Margin</t>
  </si>
  <si>
    <t>Profit Margin</t>
  </si>
  <si>
    <t>Rev y/y</t>
  </si>
  <si>
    <t>Tax rate</t>
  </si>
  <si>
    <t>R&amp;D y/y</t>
  </si>
  <si>
    <t>Discount</t>
  </si>
  <si>
    <t>ROIC</t>
  </si>
  <si>
    <t>NPV</t>
  </si>
  <si>
    <t>Share Est</t>
  </si>
  <si>
    <t>Value</t>
  </si>
  <si>
    <t>Merger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</si>
</sst>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3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20</xdr:col>
      <xdr:colOff>0</xdr:colOff>
      <xdr:row>60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B983CD0-5AF8-AF1B-4BF5-2A20E83476CA}"/>
            </a:ext>
          </a:extLst>
        </xdr:cNvPr>
        <xdr:cNvCxnSpPr/>
      </xdr:nvCxnSpPr>
      <xdr:spPr>
        <a:xfrm>
          <a:off x="12534900" y="0"/>
          <a:ext cx="0" cy="942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19050</xdr:colOff>
      <xdr:row>72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25AE99D-01F9-EB06-52D3-59852334DA38}"/>
            </a:ext>
          </a:extLst>
        </xdr:cNvPr>
        <xdr:cNvCxnSpPr/>
      </xdr:nvCxnSpPr>
      <xdr:spPr>
        <a:xfrm>
          <a:off x="19250025" y="0"/>
          <a:ext cx="9525" cy="1163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workbookViewId="0">
      <selection activeCell="M7" sqref="M7"/>
    </sheetView>
  </sheetViews>
  <sheetFormatPr defaultRowHeight="15" x14ac:dyDescent="0.25"/>
  <cols>
    <col min="1" max="1" width="6.7109375" bestFit="1" customWidth="1"/>
  </cols>
  <sheetData>
    <row r="1" spans="1:13" x14ac:dyDescent="0.25">
      <c r="A1" s="1" t="s">
        <v>0</v>
      </c>
      <c r="J1" t="s">
        <v>2</v>
      </c>
      <c r="K1">
        <v>59.6</v>
      </c>
    </row>
    <row r="2" spans="1:13" x14ac:dyDescent="0.25">
      <c r="J2" t="s">
        <v>3</v>
      </c>
      <c r="K2" s="2">
        <v>33.438000000000002</v>
      </c>
    </row>
    <row r="3" spans="1:13" x14ac:dyDescent="0.25">
      <c r="J3" t="s">
        <v>4</v>
      </c>
      <c r="K3" s="2">
        <f>K2*K1</f>
        <v>1992.9048000000003</v>
      </c>
    </row>
    <row r="4" spans="1:13" x14ac:dyDescent="0.25">
      <c r="J4" t="s">
        <v>5</v>
      </c>
      <c r="K4" s="2">
        <v>249.83</v>
      </c>
    </row>
    <row r="5" spans="1:13" x14ac:dyDescent="0.25">
      <c r="J5" t="s">
        <v>6</v>
      </c>
      <c r="K5">
        <v>0</v>
      </c>
    </row>
    <row r="6" spans="1:13" x14ac:dyDescent="0.25">
      <c r="J6" t="s">
        <v>7</v>
      </c>
      <c r="K6" s="2">
        <f>K3-K4+K5</f>
        <v>1743.0748000000003</v>
      </c>
      <c r="M6">
        <f>K6/K3</f>
        <v>0.87464027383545873</v>
      </c>
    </row>
  </sheetData>
  <hyperlinks>
    <hyperlink ref="A1" location="Model!A1" display="Model" xr:uid="{6ED6A816-4A3E-4E7F-A6C7-A40BCC8A4D0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C18B-3C6F-4404-A93F-71584BB157CF}">
  <dimension ref="A1:KH47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V27" sqref="AV27"/>
    </sheetView>
  </sheetViews>
  <sheetFormatPr defaultRowHeight="15" x14ac:dyDescent="0.25"/>
  <cols>
    <col min="1" max="1" width="5.42578125" bestFit="1" customWidth="1"/>
    <col min="2" max="2" width="20.7109375" bestFit="1" customWidth="1"/>
    <col min="46" max="46" width="10.28515625" bestFit="1" customWidth="1"/>
  </cols>
  <sheetData>
    <row r="1" spans="1:294" x14ac:dyDescent="0.25">
      <c r="A1" s="1" t="s">
        <v>1</v>
      </c>
      <c r="C1" t="s">
        <v>8</v>
      </c>
      <c r="D1" t="s">
        <v>9</v>
      </c>
      <c r="E1" t="s">
        <v>55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Z1">
        <v>2017</v>
      </c>
      <c r="AA1">
        <v>2018</v>
      </c>
      <c r="AB1">
        <v>2019</v>
      </c>
      <c r="AC1">
        <v>2020</v>
      </c>
      <c r="AD1">
        <v>2021</v>
      </c>
      <c r="AE1">
        <v>2022</v>
      </c>
      <c r="AF1">
        <v>2023</v>
      </c>
      <c r="AG1">
        <f>AF1+1</f>
        <v>2024</v>
      </c>
      <c r="AH1">
        <f t="shared" ref="AH1:AO1" si="0">AG1+1</f>
        <v>2025</v>
      </c>
      <c r="AI1">
        <f t="shared" si="0"/>
        <v>2026</v>
      </c>
      <c r="AJ1">
        <f t="shared" si="0"/>
        <v>2027</v>
      </c>
      <c r="AK1">
        <f t="shared" si="0"/>
        <v>2028</v>
      </c>
      <c r="AL1">
        <f t="shared" si="0"/>
        <v>2029</v>
      </c>
      <c r="AM1">
        <f t="shared" si="0"/>
        <v>2030</v>
      </c>
      <c r="AN1">
        <f t="shared" si="0"/>
        <v>2031</v>
      </c>
      <c r="AO1">
        <f t="shared" si="0"/>
        <v>2032</v>
      </c>
    </row>
    <row r="2" spans="1:294" x14ac:dyDescent="0.25">
      <c r="B2" t="s">
        <v>27</v>
      </c>
      <c r="C2" s="2">
        <v>94.69</v>
      </c>
      <c r="D2" s="2">
        <v>98.84</v>
      </c>
      <c r="E2" s="2">
        <v>110.51</v>
      </c>
      <c r="F2" s="2">
        <v>153.196</v>
      </c>
      <c r="G2" s="2">
        <v>132.76</v>
      </c>
      <c r="H2" s="2">
        <v>136.80000000000001</v>
      </c>
      <c r="I2" s="2">
        <v>126.04</v>
      </c>
      <c r="J2" s="2">
        <v>143.88999999999999</v>
      </c>
      <c r="K2" s="2">
        <v>182.399</v>
      </c>
      <c r="L2" s="2">
        <v>221.1</v>
      </c>
      <c r="M2" s="2">
        <v>252.2</v>
      </c>
      <c r="N2" s="2">
        <v>264.35000000000002</v>
      </c>
      <c r="O2" s="2">
        <v>241.97</v>
      </c>
      <c r="P2" s="2">
        <v>252.37</v>
      </c>
      <c r="Q2" s="2">
        <v>250.81</v>
      </c>
      <c r="R2" s="2">
        <v>200.75</v>
      </c>
      <c r="S2" s="2">
        <v>124.06</v>
      </c>
      <c r="T2" s="2">
        <v>140.36000000000001</v>
      </c>
      <c r="U2" s="2">
        <f>T2*1.175</f>
        <v>164.92300000000003</v>
      </c>
      <c r="V2" s="2">
        <f>U2*1.175</f>
        <v>193.78452500000003</v>
      </c>
      <c r="Z2" s="2">
        <v>523.4</v>
      </c>
      <c r="AA2" s="2">
        <v>530</v>
      </c>
      <c r="AB2" s="2">
        <v>457.25</v>
      </c>
      <c r="AC2" s="2">
        <v>539.52099999999996</v>
      </c>
      <c r="AD2" s="2">
        <v>922.1</v>
      </c>
      <c r="AE2" s="2">
        <v>945.9</v>
      </c>
      <c r="AF2" s="2">
        <f>SUM(S2:V2)</f>
        <v>623.12752500000011</v>
      </c>
      <c r="AG2" s="2">
        <f>AF2*1.2</f>
        <v>747.75303000000008</v>
      </c>
      <c r="AH2" s="2">
        <f>AG2*1.1</f>
        <v>822.5283330000002</v>
      </c>
      <c r="AI2" s="2">
        <f t="shared" ref="AI2:AO2" si="1">AH2*1.1</f>
        <v>904.78116630000034</v>
      </c>
      <c r="AJ2" s="2">
        <f t="shared" si="1"/>
        <v>995.2592829300005</v>
      </c>
      <c r="AK2" s="2">
        <f t="shared" si="1"/>
        <v>1094.7852112230007</v>
      </c>
      <c r="AL2" s="2">
        <f t="shared" si="1"/>
        <v>1204.2637323453009</v>
      </c>
      <c r="AM2" s="2">
        <f t="shared" si="1"/>
        <v>1324.6901055798312</v>
      </c>
      <c r="AN2" s="2">
        <f t="shared" si="1"/>
        <v>1457.1591161378144</v>
      </c>
      <c r="AO2" s="2">
        <f t="shared" si="1"/>
        <v>1602.875027751596</v>
      </c>
    </row>
    <row r="3" spans="1:294" x14ac:dyDescent="0.25">
      <c r="B3" t="s">
        <v>28</v>
      </c>
      <c r="C3" s="2">
        <v>47</v>
      </c>
      <c r="D3" s="2">
        <v>52.71</v>
      </c>
      <c r="E3" s="2">
        <v>55.7</v>
      </c>
      <c r="F3" s="2">
        <v>79.56</v>
      </c>
      <c r="G3" s="2">
        <v>68.88</v>
      </c>
      <c r="H3" s="2">
        <v>68</v>
      </c>
      <c r="I3" s="2">
        <v>64.209999999999994</v>
      </c>
      <c r="J3" s="2">
        <v>77.849999999999994</v>
      </c>
      <c r="K3" s="2">
        <v>91.1</v>
      </c>
      <c r="L3" s="2">
        <v>109.9</v>
      </c>
      <c r="M3" s="2">
        <v>127</v>
      </c>
      <c r="N3" s="2">
        <v>133.12</v>
      </c>
      <c r="O3" s="2">
        <v>115.87</v>
      </c>
      <c r="P3" s="2">
        <v>118.74</v>
      </c>
      <c r="Q3" s="2">
        <v>131.69</v>
      </c>
      <c r="R3" s="2">
        <v>113.78</v>
      </c>
      <c r="S3" s="2">
        <v>71.760000000000005</v>
      </c>
      <c r="T3" s="2">
        <v>83.93</v>
      </c>
      <c r="U3" s="2">
        <f>U2-U4</f>
        <v>95.655340000000024</v>
      </c>
      <c r="V3" s="2">
        <f>V2-V4</f>
        <v>106.58148875000002</v>
      </c>
      <c r="Z3" s="2">
        <v>272.2</v>
      </c>
      <c r="AA3" s="2">
        <v>269.5</v>
      </c>
      <c r="AB3" s="2">
        <v>235.08</v>
      </c>
      <c r="AC3" s="2">
        <v>279.36</v>
      </c>
      <c r="AD3" s="2">
        <v>461.3</v>
      </c>
      <c r="AE3" s="2">
        <v>480</v>
      </c>
      <c r="AF3" s="2">
        <f>SUM(S3:V3)</f>
        <v>357.92682875000003</v>
      </c>
    </row>
    <row r="4" spans="1:294" x14ac:dyDescent="0.25">
      <c r="B4" t="s">
        <v>29</v>
      </c>
      <c r="C4" s="2">
        <f>C2-C3</f>
        <v>47.69</v>
      </c>
      <c r="D4" s="2">
        <f>D2-D3</f>
        <v>46.13</v>
      </c>
      <c r="E4" s="2">
        <f>E2-E3</f>
        <v>54.81</v>
      </c>
      <c r="F4" s="2">
        <f>F2-F3</f>
        <v>73.635999999999996</v>
      </c>
      <c r="G4" s="2">
        <f>G2-G3</f>
        <v>63.879999999999995</v>
      </c>
      <c r="H4" s="2">
        <f>H2-H3</f>
        <v>68.800000000000011</v>
      </c>
      <c r="I4" s="2">
        <f>I2-I3</f>
        <v>61.830000000000013</v>
      </c>
      <c r="J4" s="2">
        <f>J2-J3</f>
        <v>66.039999999999992</v>
      </c>
      <c r="K4" s="2">
        <f>K2-K3</f>
        <v>91.299000000000007</v>
      </c>
      <c r="L4" s="2">
        <f>L2-L3</f>
        <v>111.19999999999999</v>
      </c>
      <c r="M4" s="2">
        <f>M2-M3</f>
        <v>125.19999999999999</v>
      </c>
      <c r="N4" s="2">
        <f>N2-N3</f>
        <v>131.23000000000002</v>
      </c>
      <c r="O4" s="2">
        <f>O2-O3</f>
        <v>126.1</v>
      </c>
      <c r="P4" s="2">
        <f>P2-P3</f>
        <v>133.63</v>
      </c>
      <c r="Q4" s="2">
        <f>Q2-Q3</f>
        <v>119.12</v>
      </c>
      <c r="R4" s="2">
        <f>R2-R3</f>
        <v>86.97</v>
      </c>
      <c r="S4" s="2">
        <f>S2-S3</f>
        <v>52.3</v>
      </c>
      <c r="T4" s="2">
        <f>T2-T3</f>
        <v>56.430000000000007</v>
      </c>
      <c r="U4" s="2">
        <f>U2*0.42</f>
        <v>69.267660000000006</v>
      </c>
      <c r="V4" s="2">
        <f>V2*0.45</f>
        <v>87.203036250000011</v>
      </c>
      <c r="Z4" s="2">
        <f>Z2-Z3</f>
        <v>251.2</v>
      </c>
      <c r="AA4" s="2">
        <f>AA2-AA3</f>
        <v>260.5</v>
      </c>
      <c r="AB4" s="2">
        <f>AB2-AB3</f>
        <v>222.17</v>
      </c>
      <c r="AC4" s="2">
        <f>AC2-AC3</f>
        <v>260.16099999999994</v>
      </c>
      <c r="AD4" s="2">
        <f>AD2-AD3</f>
        <v>460.8</v>
      </c>
      <c r="AE4" s="2">
        <f>AE2-AE3</f>
        <v>465.9</v>
      </c>
      <c r="AF4" s="2">
        <f>AF2-AF3</f>
        <v>265.20069625000008</v>
      </c>
      <c r="AG4" s="2">
        <f>0.5*AG2</f>
        <v>373.87651500000004</v>
      </c>
      <c r="AH4" s="2">
        <f t="shared" ref="AH4:AO4" si="2">0.5*AH2</f>
        <v>411.2641665000001</v>
      </c>
      <c r="AI4" s="2">
        <f t="shared" si="2"/>
        <v>452.39058315000017</v>
      </c>
      <c r="AJ4" s="2">
        <f t="shared" si="2"/>
        <v>497.62964146500025</v>
      </c>
      <c r="AK4" s="2">
        <f t="shared" si="2"/>
        <v>547.39260561150036</v>
      </c>
      <c r="AL4" s="2">
        <f t="shared" si="2"/>
        <v>602.13186617265046</v>
      </c>
      <c r="AM4" s="2">
        <f t="shared" si="2"/>
        <v>662.3450527899156</v>
      </c>
      <c r="AN4" s="2">
        <f t="shared" si="2"/>
        <v>728.5795580689072</v>
      </c>
      <c r="AO4" s="2">
        <f t="shared" si="2"/>
        <v>801.437513875798</v>
      </c>
    </row>
    <row r="5" spans="1:294" x14ac:dyDescent="0.25">
      <c r="B5" t="s">
        <v>30</v>
      </c>
      <c r="C5" s="2">
        <v>27.97</v>
      </c>
      <c r="D5" s="2">
        <v>23.9</v>
      </c>
      <c r="E5" s="2">
        <v>24.3</v>
      </c>
      <c r="F5" s="2">
        <v>33.909999999999997</v>
      </c>
      <c r="G5" s="2">
        <v>28.9</v>
      </c>
      <c r="H5" s="2">
        <v>28.9</v>
      </c>
      <c r="I5" s="2">
        <v>26.37</v>
      </c>
      <c r="J5" s="2">
        <v>37.159999999999997</v>
      </c>
      <c r="K5" s="2">
        <v>35.9</v>
      </c>
      <c r="L5" s="2">
        <v>38.9</v>
      </c>
      <c r="M5" s="2">
        <v>44.6</v>
      </c>
      <c r="N5" s="2">
        <v>44.74</v>
      </c>
      <c r="O5" s="2">
        <v>45.62</v>
      </c>
      <c r="P5" s="2">
        <v>43.25</v>
      </c>
      <c r="Q5" s="2">
        <v>47.74</v>
      </c>
      <c r="R5" s="2">
        <v>51.92</v>
      </c>
      <c r="S5" s="2">
        <v>34.85</v>
      </c>
      <c r="T5" s="2">
        <v>41.3</v>
      </c>
      <c r="U5" s="2">
        <v>38</v>
      </c>
      <c r="V5" s="2">
        <v>35</v>
      </c>
      <c r="Z5" s="2">
        <v>102.05</v>
      </c>
      <c r="AA5" s="2">
        <v>102</v>
      </c>
      <c r="AB5" s="2">
        <v>110</v>
      </c>
      <c r="AC5" s="2">
        <v>121.78</v>
      </c>
      <c r="AD5" s="2">
        <v>164.29</v>
      </c>
      <c r="AE5" s="2">
        <v>188.5</v>
      </c>
      <c r="AF5" s="2">
        <f t="shared" ref="AF5:AF7" si="3">SUM(S5:V5)</f>
        <v>149.15</v>
      </c>
      <c r="AG5" s="2">
        <f>AF5*1.05</f>
        <v>156.60750000000002</v>
      </c>
      <c r="AH5" s="2">
        <f t="shared" ref="AH5:AO5" si="4">AG5*1.05</f>
        <v>164.43787500000002</v>
      </c>
      <c r="AI5" s="2">
        <f t="shared" si="4"/>
        <v>172.65976875000004</v>
      </c>
      <c r="AJ5" s="2">
        <f t="shared" si="4"/>
        <v>181.29275718750006</v>
      </c>
      <c r="AK5" s="2">
        <f t="shared" si="4"/>
        <v>190.35739504687507</v>
      </c>
      <c r="AL5" s="2">
        <f t="shared" si="4"/>
        <v>199.87526479921883</v>
      </c>
      <c r="AM5" s="2">
        <f t="shared" si="4"/>
        <v>209.86902803917977</v>
      </c>
      <c r="AN5" s="2">
        <f t="shared" si="4"/>
        <v>220.36247944113876</v>
      </c>
      <c r="AO5" s="2">
        <f t="shared" si="4"/>
        <v>231.3806034131957</v>
      </c>
    </row>
    <row r="6" spans="1:294" x14ac:dyDescent="0.25">
      <c r="B6" t="s">
        <v>31</v>
      </c>
      <c r="C6" s="2">
        <v>6.9</v>
      </c>
      <c r="D6" s="2">
        <v>6</v>
      </c>
      <c r="E6" s="2">
        <v>5.8</v>
      </c>
      <c r="F6" s="2">
        <v>6.11</v>
      </c>
      <c r="G6" s="2">
        <v>6.4</v>
      </c>
      <c r="H6" s="2">
        <v>4.8</v>
      </c>
      <c r="I6" s="2">
        <v>6</v>
      </c>
      <c r="J6" s="2">
        <v>6.4</v>
      </c>
      <c r="K6" s="2">
        <v>6.4</v>
      </c>
      <c r="L6" s="2">
        <v>7.01</v>
      </c>
      <c r="M6" s="2">
        <v>7.7</v>
      </c>
      <c r="N6" s="2">
        <v>7.53</v>
      </c>
      <c r="O6" s="2">
        <v>7.6</v>
      </c>
      <c r="P6" s="2">
        <v>8.93</v>
      </c>
      <c r="Q6" s="2">
        <v>9.3699999999999992</v>
      </c>
      <c r="R6" s="2">
        <v>5.6289999999999996</v>
      </c>
      <c r="S6" s="2">
        <v>6.6</v>
      </c>
      <c r="T6" s="2">
        <v>7.24</v>
      </c>
      <c r="U6" s="2">
        <v>7.24</v>
      </c>
      <c r="V6" s="2">
        <v>7.24</v>
      </c>
      <c r="Z6" s="2">
        <v>25.86</v>
      </c>
      <c r="AA6" s="2">
        <v>29.27</v>
      </c>
      <c r="AB6" s="2">
        <v>25</v>
      </c>
      <c r="AC6" s="2">
        <v>24.8</v>
      </c>
      <c r="AD6" s="2">
        <v>28.81</v>
      </c>
      <c r="AE6" s="2">
        <v>31.5</v>
      </c>
      <c r="AF6" s="2">
        <f t="shared" si="3"/>
        <v>28.32</v>
      </c>
      <c r="AG6" s="2">
        <f>AF6*1.03</f>
        <v>29.169600000000003</v>
      </c>
      <c r="AH6" s="2">
        <f t="shared" ref="AH6:AO6" si="5">AG6*1.03</f>
        <v>30.044688000000004</v>
      </c>
      <c r="AI6" s="2">
        <f t="shared" si="5"/>
        <v>30.946028640000005</v>
      </c>
      <c r="AJ6" s="2">
        <f t="shared" si="5"/>
        <v>31.874409499200006</v>
      </c>
      <c r="AK6" s="2">
        <f t="shared" si="5"/>
        <v>32.830641784176009</v>
      </c>
      <c r="AL6" s="2">
        <f t="shared" si="5"/>
        <v>33.815561037701293</v>
      </c>
      <c r="AM6" s="2">
        <f t="shared" si="5"/>
        <v>34.830027868832332</v>
      </c>
      <c r="AN6" s="2">
        <f t="shared" si="5"/>
        <v>35.8749287048973</v>
      </c>
      <c r="AO6" s="2">
        <f t="shared" si="5"/>
        <v>36.951176566044218</v>
      </c>
    </row>
    <row r="7" spans="1:294" x14ac:dyDescent="0.25">
      <c r="B7" t="s">
        <v>32</v>
      </c>
      <c r="C7" s="2">
        <v>4.3</v>
      </c>
      <c r="D7" s="2">
        <v>3.5</v>
      </c>
      <c r="E7" s="2">
        <v>3.6</v>
      </c>
      <c r="F7" s="2">
        <v>6.28</v>
      </c>
      <c r="G7" s="2">
        <v>3.9</v>
      </c>
      <c r="H7" s="2">
        <v>3.5</v>
      </c>
      <c r="I7" s="2">
        <v>3.5</v>
      </c>
      <c r="J7" s="2">
        <v>4.58</v>
      </c>
      <c r="K7" s="2">
        <v>3.3</v>
      </c>
      <c r="L7" s="2">
        <v>4.5999999999999996</v>
      </c>
      <c r="M7" s="2">
        <v>5.9</v>
      </c>
      <c r="N7" s="2">
        <v>6.8</v>
      </c>
      <c r="O7" s="2">
        <v>6.5</v>
      </c>
      <c r="P7" s="2">
        <v>13.62</v>
      </c>
      <c r="Q7" s="2">
        <v>6.94</v>
      </c>
      <c r="R7" s="2">
        <v>4.34</v>
      </c>
      <c r="S7" s="2">
        <v>5.36</v>
      </c>
      <c r="T7" s="2">
        <v>6</v>
      </c>
      <c r="U7" s="2">
        <v>6</v>
      </c>
      <c r="V7" s="2">
        <v>6</v>
      </c>
      <c r="Z7" s="2">
        <v>16.899999999999999</v>
      </c>
      <c r="AA7" s="2">
        <v>17.600000000000001</v>
      </c>
      <c r="AB7" s="2">
        <v>17.8</v>
      </c>
      <c r="AC7" s="2">
        <v>15.6</v>
      </c>
      <c r="AD7" s="2">
        <v>21.81</v>
      </c>
      <c r="AE7" s="2">
        <v>31</v>
      </c>
      <c r="AF7" s="2">
        <f t="shared" si="3"/>
        <v>23.36</v>
      </c>
      <c r="AG7" s="2">
        <f>AF7*1.03</f>
        <v>24.0608</v>
      </c>
      <c r="AH7" s="2">
        <f t="shared" ref="AH7:AO7" si="6">AG7*1.03</f>
        <v>24.782624000000002</v>
      </c>
      <c r="AI7" s="2">
        <f t="shared" si="6"/>
        <v>25.526102720000004</v>
      </c>
      <c r="AJ7" s="2">
        <f t="shared" si="6"/>
        <v>26.291885801600007</v>
      </c>
      <c r="AK7" s="2">
        <f t="shared" si="6"/>
        <v>27.080642375648008</v>
      </c>
      <c r="AL7" s="2">
        <f t="shared" si="6"/>
        <v>27.893061646917449</v>
      </c>
      <c r="AM7" s="2">
        <f t="shared" si="6"/>
        <v>28.729853496324974</v>
      </c>
      <c r="AN7" s="2">
        <f t="shared" si="6"/>
        <v>29.591749101214724</v>
      </c>
      <c r="AO7" s="2">
        <f t="shared" si="6"/>
        <v>30.479501574251167</v>
      </c>
    </row>
    <row r="8" spans="1:294" x14ac:dyDescent="0.25">
      <c r="B8" t="s">
        <v>33</v>
      </c>
      <c r="C8" s="2">
        <f>SUM(C5:C7)</f>
        <v>39.169999999999995</v>
      </c>
      <c r="D8" s="2">
        <f>SUM(D5:D7)</f>
        <v>33.4</v>
      </c>
      <c r="E8" s="2">
        <f>SUM(E5:E7)</f>
        <v>33.700000000000003</v>
      </c>
      <c r="F8" s="2">
        <f>SUM(F5:F7)</f>
        <v>46.3</v>
      </c>
      <c r="G8" s="2">
        <f>SUM(G5:G7)</f>
        <v>39.199999999999996</v>
      </c>
      <c r="H8" s="2">
        <f>SUM(H5:H7)</f>
        <v>37.199999999999996</v>
      </c>
      <c r="I8" s="2">
        <f>SUM(I5:I7)</f>
        <v>35.870000000000005</v>
      </c>
      <c r="J8" s="2">
        <f>SUM(J5:J7)</f>
        <v>48.139999999999993</v>
      </c>
      <c r="K8" s="2">
        <f>SUM(K5:K7)</f>
        <v>45.599999999999994</v>
      </c>
      <c r="L8" s="2">
        <f>SUM(L5:L7)</f>
        <v>50.51</v>
      </c>
      <c r="M8" s="2">
        <f>SUM(M5:M7)</f>
        <v>58.2</v>
      </c>
      <c r="N8" s="2">
        <f>SUM(N5:N7)</f>
        <v>59.07</v>
      </c>
      <c r="O8" s="2">
        <f>SUM(O5:O7)</f>
        <v>59.72</v>
      </c>
      <c r="P8" s="2">
        <f>SUM(P5:P7)</f>
        <v>65.8</v>
      </c>
      <c r="Q8" s="2">
        <f>SUM(Q5:Q7)</f>
        <v>64.05</v>
      </c>
      <c r="R8" s="2">
        <f>SUM(R5:R7)</f>
        <v>61.888999999999996</v>
      </c>
      <c r="S8" s="2">
        <f>SUM(S5:S7)</f>
        <v>46.81</v>
      </c>
      <c r="T8" s="2">
        <f>SUM(T5:T7)</f>
        <v>54.54</v>
      </c>
      <c r="U8" s="2">
        <f t="shared" ref="U8:V8" si="7">SUM(U5:U7)</f>
        <v>51.24</v>
      </c>
      <c r="V8" s="2">
        <f t="shared" si="7"/>
        <v>48.24</v>
      </c>
      <c r="Z8" s="2">
        <f>SUM(Z5:Z7)</f>
        <v>144.81</v>
      </c>
      <c r="AA8" s="2">
        <f>SUM(AA5:AA7)</f>
        <v>148.87</v>
      </c>
      <c r="AB8" s="2">
        <f>SUM(AB5:AB7)</f>
        <v>152.80000000000001</v>
      </c>
      <c r="AC8" s="2">
        <f>SUM(AC5:AC7)</f>
        <v>162.18</v>
      </c>
      <c r="AD8" s="2">
        <f>SUM(AD5:AD7)</f>
        <v>214.91</v>
      </c>
      <c r="AE8" s="2">
        <f>SUM(AE5:AE7)</f>
        <v>251</v>
      </c>
      <c r="AF8" s="2">
        <f>SUM(AF5:AF7)</f>
        <v>200.82999999999998</v>
      </c>
      <c r="AG8" s="2">
        <f t="shared" ref="AG8:AO8" si="8">SUM(AG5:AG7)</f>
        <v>209.83790000000002</v>
      </c>
      <c r="AH8" s="2">
        <f t="shared" si="8"/>
        <v>219.26518700000003</v>
      </c>
      <c r="AI8" s="2">
        <f t="shared" si="8"/>
        <v>229.13190011000006</v>
      </c>
      <c r="AJ8" s="2">
        <f t="shared" si="8"/>
        <v>239.45905248830007</v>
      </c>
      <c r="AK8" s="2">
        <f t="shared" si="8"/>
        <v>250.26867920669909</v>
      </c>
      <c r="AL8" s="2">
        <f t="shared" si="8"/>
        <v>261.58388748383754</v>
      </c>
      <c r="AM8" s="2">
        <f t="shared" si="8"/>
        <v>273.42890940433705</v>
      </c>
      <c r="AN8" s="2">
        <f t="shared" si="8"/>
        <v>285.82915724725075</v>
      </c>
      <c r="AO8" s="2">
        <f t="shared" si="8"/>
        <v>298.81128155349109</v>
      </c>
    </row>
    <row r="9" spans="1:294" x14ac:dyDescent="0.25">
      <c r="B9" t="s">
        <v>34</v>
      </c>
      <c r="C9" s="2">
        <f>C4-C8</f>
        <v>8.5200000000000031</v>
      </c>
      <c r="D9" s="2">
        <f>D4-D8</f>
        <v>12.730000000000004</v>
      </c>
      <c r="E9" s="2">
        <f>E4-E8</f>
        <v>21.11</v>
      </c>
      <c r="F9" s="2">
        <f>F4-F8</f>
        <v>27.335999999999999</v>
      </c>
      <c r="G9" s="2">
        <f>G4-G8</f>
        <v>24.68</v>
      </c>
      <c r="H9" s="2">
        <f>H4-H8</f>
        <v>31.600000000000016</v>
      </c>
      <c r="I9" s="2">
        <f>I4-I8</f>
        <v>25.960000000000008</v>
      </c>
      <c r="J9" s="2">
        <f>J4-J8</f>
        <v>17.899999999999999</v>
      </c>
      <c r="K9" s="2">
        <f>K4-K8</f>
        <v>45.699000000000012</v>
      </c>
      <c r="L9" s="2">
        <f>L4-L8</f>
        <v>60.689999999999991</v>
      </c>
      <c r="M9" s="2">
        <f>M4-M8</f>
        <v>66.999999999999986</v>
      </c>
      <c r="N9" s="2">
        <f>N4-N8</f>
        <v>72.160000000000025</v>
      </c>
      <c r="O9" s="2">
        <f>O4-O8</f>
        <v>66.38</v>
      </c>
      <c r="P9" s="2">
        <f>P4-P8</f>
        <v>67.83</v>
      </c>
      <c r="Q9" s="2">
        <f>Q4-Q8</f>
        <v>55.070000000000007</v>
      </c>
      <c r="R9" s="2">
        <f>R4-R8</f>
        <v>25.081000000000003</v>
      </c>
      <c r="S9" s="2">
        <f>S4-S8</f>
        <v>5.4899999999999949</v>
      </c>
      <c r="T9" s="2">
        <f>T4-T8</f>
        <v>1.8900000000000077</v>
      </c>
      <c r="U9" s="2">
        <f t="shared" ref="U9:V9" si="9">U4-U8</f>
        <v>18.027660000000004</v>
      </c>
      <c r="V9" s="2">
        <f t="shared" si="9"/>
        <v>38.963036250000009</v>
      </c>
      <c r="Z9" s="2">
        <f>Z4-Z8</f>
        <v>106.38999999999999</v>
      </c>
      <c r="AA9" s="2">
        <f>AA4-AA8</f>
        <v>111.63</v>
      </c>
      <c r="AB9" s="2">
        <f>AB4-AB8</f>
        <v>69.369999999999976</v>
      </c>
      <c r="AC9" s="2">
        <f>AC4-AC8</f>
        <v>97.980999999999938</v>
      </c>
      <c r="AD9" s="2">
        <f>AD4-AD8</f>
        <v>245.89000000000001</v>
      </c>
      <c r="AE9" s="2">
        <f>AE4-AE8</f>
        <v>214.89999999999998</v>
      </c>
      <c r="AF9" s="2">
        <f>AF4-AF8</f>
        <v>64.370696250000094</v>
      </c>
      <c r="AG9" s="2">
        <f t="shared" ref="AG9:AO9" si="10">AG4-AG8</f>
        <v>164.03861500000002</v>
      </c>
      <c r="AH9" s="2">
        <f t="shared" si="10"/>
        <v>191.99897950000008</v>
      </c>
      <c r="AI9" s="2">
        <f t="shared" si="10"/>
        <v>223.25868304000011</v>
      </c>
      <c r="AJ9" s="2">
        <f t="shared" si="10"/>
        <v>258.17058897670017</v>
      </c>
      <c r="AK9" s="2">
        <f t="shared" si="10"/>
        <v>297.1239264048013</v>
      </c>
      <c r="AL9" s="2">
        <f t="shared" si="10"/>
        <v>340.54797868881292</v>
      </c>
      <c r="AM9" s="2">
        <f t="shared" si="10"/>
        <v>388.91614338557855</v>
      </c>
      <c r="AN9" s="2">
        <f t="shared" si="10"/>
        <v>442.75040082165646</v>
      </c>
      <c r="AO9" s="2">
        <f t="shared" si="10"/>
        <v>502.62623232230692</v>
      </c>
    </row>
    <row r="10" spans="1:294" x14ac:dyDescent="0.25">
      <c r="B10" t="s">
        <v>36</v>
      </c>
      <c r="C10" s="2">
        <v>1.5</v>
      </c>
      <c r="D10" s="2">
        <v>1.8</v>
      </c>
      <c r="E10" s="2">
        <v>1.6</v>
      </c>
      <c r="F10" s="2">
        <v>1.5</v>
      </c>
      <c r="G10" s="2">
        <v>1.7</v>
      </c>
      <c r="H10" s="2">
        <v>1.3</v>
      </c>
      <c r="I10" s="2">
        <v>0.84099999999999997</v>
      </c>
      <c r="J10" s="2">
        <v>0.72899999999999998</v>
      </c>
      <c r="K10" s="2">
        <v>0.2</v>
      </c>
      <c r="L10" s="2">
        <v>0.3</v>
      </c>
      <c r="M10" s="2">
        <v>0.3</v>
      </c>
      <c r="N10" s="2">
        <v>0.2</v>
      </c>
      <c r="O10" s="2">
        <v>0.2</v>
      </c>
      <c r="P10" s="2">
        <v>0.36499999999999999</v>
      </c>
      <c r="Q10" s="2">
        <v>0.75</v>
      </c>
      <c r="R10" s="2">
        <v>1.26</v>
      </c>
      <c r="S10" s="2">
        <v>1.8</v>
      </c>
      <c r="T10" s="2">
        <v>2.7</v>
      </c>
      <c r="U10" s="2">
        <v>1</v>
      </c>
      <c r="V10" s="2">
        <v>1</v>
      </c>
      <c r="Z10" s="2">
        <v>3.8450000000000002</v>
      </c>
      <c r="AA10" s="2">
        <v>5.9</v>
      </c>
      <c r="AB10" s="2">
        <v>6.7480000000000002</v>
      </c>
      <c r="AC10" s="2">
        <v>4.5999999999999996</v>
      </c>
      <c r="AD10" s="2">
        <v>1.27</v>
      </c>
      <c r="AE10" s="2">
        <v>2.6</v>
      </c>
      <c r="AF10" s="2">
        <f>AE18*$AT$21</f>
        <v>6.96</v>
      </c>
      <c r="AG10" s="2">
        <f t="shared" ref="AG10:AO10" si="11">AF18*$AT$21</f>
        <v>8.6719367100000024</v>
      </c>
      <c r="AH10" s="2">
        <f t="shared" si="11"/>
        <v>12.816989951040004</v>
      </c>
      <c r="AI10" s="2">
        <f t="shared" si="11"/>
        <v>17.732573217864964</v>
      </c>
      <c r="AJ10" s="2">
        <f t="shared" si="11"/>
        <v>23.516363368053728</v>
      </c>
      <c r="AK10" s="2">
        <f t="shared" si="11"/>
        <v>30.27685022432782</v>
      </c>
      <c r="AL10" s="2">
        <f t="shared" si="11"/>
        <v>38.134468863426918</v>
      </c>
      <c r="AM10" s="2">
        <f t="shared" si="11"/>
        <v>47.222847604680673</v>
      </c>
      <c r="AN10" s="2">
        <f t="shared" si="11"/>
        <v>57.690183388446897</v>
      </c>
      <c r="AO10" s="2">
        <f t="shared" si="11"/>
        <v>69.70075740948937</v>
      </c>
    </row>
    <row r="11" spans="1:294" x14ac:dyDescent="0.25">
      <c r="B11" t="s">
        <v>37</v>
      </c>
      <c r="C11" s="2">
        <f>C9+C10</f>
        <v>10.020000000000003</v>
      </c>
      <c r="D11" s="2">
        <f>D9+D10</f>
        <v>14.530000000000005</v>
      </c>
      <c r="E11" s="2">
        <f>E9+E10</f>
        <v>22.71</v>
      </c>
      <c r="F11" s="2">
        <f>F9+F10</f>
        <v>28.835999999999999</v>
      </c>
      <c r="G11" s="2">
        <f>G9+G10</f>
        <v>26.38</v>
      </c>
      <c r="H11" s="2">
        <f>H9+H10</f>
        <v>32.900000000000013</v>
      </c>
      <c r="I11" s="2">
        <f>I9+I10</f>
        <v>26.801000000000009</v>
      </c>
      <c r="J11" s="2">
        <f>J9+J10</f>
        <v>18.628999999999998</v>
      </c>
      <c r="K11" s="2">
        <f>K9+K10</f>
        <v>45.899000000000015</v>
      </c>
      <c r="L11" s="2">
        <f>L9+L10</f>
        <v>60.989999999999988</v>
      </c>
      <c r="M11" s="2">
        <f>M9+M10</f>
        <v>67.299999999999983</v>
      </c>
      <c r="N11" s="2">
        <f>N9+N10</f>
        <v>72.360000000000028</v>
      </c>
      <c r="O11" s="2">
        <f>O9+O10</f>
        <v>66.58</v>
      </c>
      <c r="P11" s="2">
        <f>P9+P10</f>
        <v>68.194999999999993</v>
      </c>
      <c r="Q11" s="2">
        <f>Q9+Q10</f>
        <v>55.820000000000007</v>
      </c>
      <c r="R11" s="2">
        <f>R9+R10</f>
        <v>26.341000000000005</v>
      </c>
      <c r="S11" s="2">
        <f>S9+S10</f>
        <v>7.2899999999999947</v>
      </c>
      <c r="T11" s="2">
        <f>T9+T10</f>
        <v>4.5900000000000079</v>
      </c>
      <c r="U11" s="2">
        <f t="shared" ref="U11:V11" si="12">U9+U10</f>
        <v>19.027660000000004</v>
      </c>
      <c r="V11" s="2">
        <f t="shared" si="12"/>
        <v>39.963036250000009</v>
      </c>
      <c r="Z11" s="2">
        <f>Z9+Z10</f>
        <v>110.23499999999999</v>
      </c>
      <c r="AA11" s="2">
        <f>AA9+AA10</f>
        <v>117.53</v>
      </c>
      <c r="AB11" s="2">
        <f>AB9+AB10</f>
        <v>76.117999999999981</v>
      </c>
      <c r="AC11" s="2">
        <f>AC9+AC10</f>
        <v>102.58099999999993</v>
      </c>
      <c r="AD11" s="2">
        <f>AD9+AD10</f>
        <v>247.16000000000003</v>
      </c>
      <c r="AE11" s="2">
        <f>AE9+AE10</f>
        <v>217.49999999999997</v>
      </c>
      <c r="AF11" s="2">
        <f>AF9+AF10</f>
        <v>71.330696250000088</v>
      </c>
      <c r="AG11" s="2">
        <f t="shared" ref="AG11:AO11" si="13">AG9+AG10</f>
        <v>172.71055171000003</v>
      </c>
      <c r="AH11" s="2">
        <f t="shared" si="13"/>
        <v>204.81596945104008</v>
      </c>
      <c r="AI11" s="2">
        <f t="shared" si="13"/>
        <v>240.99125625786507</v>
      </c>
      <c r="AJ11" s="2">
        <f t="shared" si="13"/>
        <v>281.68695234475388</v>
      </c>
      <c r="AK11" s="2">
        <f t="shared" si="13"/>
        <v>327.4007766291291</v>
      </c>
      <c r="AL11" s="2">
        <f t="shared" si="13"/>
        <v>378.68244755223986</v>
      </c>
      <c r="AM11" s="2">
        <f t="shared" si="13"/>
        <v>436.13899099025923</v>
      </c>
      <c r="AN11" s="2">
        <f t="shared" si="13"/>
        <v>500.44058421010334</v>
      </c>
      <c r="AO11" s="2">
        <f t="shared" si="13"/>
        <v>572.32698973179629</v>
      </c>
    </row>
    <row r="12" spans="1:294" x14ac:dyDescent="0.25">
      <c r="B12" t="s">
        <v>38</v>
      </c>
      <c r="C12" s="2">
        <v>1.8</v>
      </c>
      <c r="D12" s="2">
        <v>0.5</v>
      </c>
      <c r="E12" s="2">
        <v>1.7</v>
      </c>
      <c r="F12" s="2">
        <v>3.56</v>
      </c>
      <c r="G12" s="2">
        <v>-0.5</v>
      </c>
      <c r="H12" s="2">
        <v>3</v>
      </c>
      <c r="I12" s="2">
        <v>2.96</v>
      </c>
      <c r="J12" s="2">
        <v>0</v>
      </c>
      <c r="K12" s="2">
        <v>9.5</v>
      </c>
      <c r="L12" s="2">
        <v>11.74</v>
      </c>
      <c r="M12" s="2">
        <v>13.6</v>
      </c>
      <c r="N12" s="2">
        <v>12.3</v>
      </c>
      <c r="O12" s="2">
        <v>12.28</v>
      </c>
      <c r="P12" s="2">
        <v>13.7</v>
      </c>
      <c r="Q12" s="2">
        <v>10.9</v>
      </c>
      <c r="R12" s="2">
        <v>3.13</v>
      </c>
      <c r="S12" s="2">
        <v>2.12</v>
      </c>
      <c r="T12" s="2">
        <v>0.86799999999999999</v>
      </c>
      <c r="U12" s="2">
        <f>U11*0.18</f>
        <v>3.4249788000000008</v>
      </c>
      <c r="V12" s="2">
        <f t="shared" ref="V12" si="14">V11*0.18</f>
        <v>7.1933465250000017</v>
      </c>
      <c r="Z12" s="2">
        <v>24.06</v>
      </c>
      <c r="AA12" s="2">
        <v>11.79</v>
      </c>
      <c r="AB12" s="2">
        <v>7.6</v>
      </c>
      <c r="AC12" s="2">
        <v>5.8</v>
      </c>
      <c r="AD12" s="2">
        <v>47.2</v>
      </c>
      <c r="AE12" s="2">
        <v>40</v>
      </c>
      <c r="AF12" s="2">
        <f>AF11*0.2</f>
        <v>14.266139250000018</v>
      </c>
      <c r="AG12" s="2">
        <f>AG11*0.2</f>
        <v>34.542110342000008</v>
      </c>
      <c r="AH12" s="2">
        <f t="shared" ref="AH12:AO12" si="15">AH11*0.2</f>
        <v>40.963193890208018</v>
      </c>
      <c r="AI12" s="2">
        <f t="shared" si="15"/>
        <v>48.198251251573019</v>
      </c>
      <c r="AJ12" s="2">
        <f t="shared" si="15"/>
        <v>56.33739046895078</v>
      </c>
      <c r="AK12" s="2">
        <f t="shared" si="15"/>
        <v>65.48015532582582</v>
      </c>
      <c r="AL12" s="2">
        <f t="shared" si="15"/>
        <v>75.736489510447981</v>
      </c>
      <c r="AM12" s="2">
        <f t="shared" si="15"/>
        <v>87.227798198051858</v>
      </c>
      <c r="AN12" s="2">
        <f t="shared" si="15"/>
        <v>100.08811684202067</v>
      </c>
      <c r="AO12" s="2">
        <f t="shared" si="15"/>
        <v>114.46539794635926</v>
      </c>
    </row>
    <row r="13" spans="1:294" x14ac:dyDescent="0.25">
      <c r="B13" t="s">
        <v>39</v>
      </c>
      <c r="C13" s="2">
        <f>C11-C12</f>
        <v>8.2200000000000024</v>
      </c>
      <c r="D13" s="2">
        <f>D11-D12</f>
        <v>14.030000000000005</v>
      </c>
      <c r="E13" s="2">
        <f>E11-E12</f>
        <v>21.01</v>
      </c>
      <c r="F13" s="2">
        <f>F11-F12</f>
        <v>25.276</v>
      </c>
      <c r="G13" s="2">
        <f>G11-G12</f>
        <v>26.88</v>
      </c>
      <c r="H13" s="2">
        <f>H11-H12</f>
        <v>29.900000000000013</v>
      </c>
      <c r="I13" s="2">
        <f>I11-I12</f>
        <v>23.841000000000008</v>
      </c>
      <c r="J13" s="2">
        <f>J11-J12</f>
        <v>18.628999999999998</v>
      </c>
      <c r="K13" s="2">
        <f>K11-K12</f>
        <v>36.399000000000015</v>
      </c>
      <c r="L13" s="2">
        <f>L11-L12</f>
        <v>49.249999999999986</v>
      </c>
      <c r="M13" s="2">
        <f>M11-M12</f>
        <v>53.699999999999982</v>
      </c>
      <c r="N13" s="2">
        <f>N11-N12</f>
        <v>60.060000000000031</v>
      </c>
      <c r="O13" s="2">
        <f>O11-O12</f>
        <v>54.3</v>
      </c>
      <c r="P13" s="2">
        <f>P11-P12</f>
        <v>54.49499999999999</v>
      </c>
      <c r="Q13" s="2">
        <f>Q11-Q12</f>
        <v>44.920000000000009</v>
      </c>
      <c r="R13" s="2">
        <f>R11-R12</f>
        <v>23.211000000000006</v>
      </c>
      <c r="S13" s="2">
        <f>S11-S12</f>
        <v>5.1699999999999946</v>
      </c>
      <c r="T13" s="2">
        <f>T11-T12</f>
        <v>3.722000000000008</v>
      </c>
      <c r="U13" s="2">
        <f t="shared" ref="U13:V13" si="16">U11-U12</f>
        <v>15.602681200000003</v>
      </c>
      <c r="V13" s="2">
        <f t="shared" si="16"/>
        <v>32.769689725000006</v>
      </c>
      <c r="Z13" s="2">
        <f>Z11-Z12</f>
        <v>86.174999999999983</v>
      </c>
      <c r="AA13" s="2">
        <f>AA11-AA12</f>
        <v>105.74000000000001</v>
      </c>
      <c r="AB13" s="2">
        <f>AB11-AB12</f>
        <v>68.517999999999986</v>
      </c>
      <c r="AC13" s="2">
        <f>AC11-AC12</f>
        <v>96.780999999999935</v>
      </c>
      <c r="AD13" s="2">
        <f>AD11-AD12</f>
        <v>199.96000000000004</v>
      </c>
      <c r="AE13" s="2">
        <f>AE11-AE12</f>
        <v>177.49999999999997</v>
      </c>
      <c r="AF13" s="2">
        <f>AF11-AF12</f>
        <v>57.064557000000072</v>
      </c>
      <c r="AG13" s="2">
        <f t="shared" ref="AG13:AO13" si="17">AG11-AG12</f>
        <v>138.16844136800003</v>
      </c>
      <c r="AH13" s="2">
        <f t="shared" si="17"/>
        <v>163.85277556083207</v>
      </c>
      <c r="AI13" s="2">
        <f t="shared" si="17"/>
        <v>192.79300500629205</v>
      </c>
      <c r="AJ13" s="2">
        <f t="shared" si="17"/>
        <v>225.34956187580309</v>
      </c>
      <c r="AK13" s="2">
        <f t="shared" si="17"/>
        <v>261.92062130330328</v>
      </c>
      <c r="AL13" s="2">
        <f t="shared" si="17"/>
        <v>302.94595804179187</v>
      </c>
      <c r="AM13" s="2">
        <f t="shared" si="17"/>
        <v>348.91119279220737</v>
      </c>
      <c r="AN13" s="2">
        <f t="shared" si="17"/>
        <v>400.35246736808267</v>
      </c>
      <c r="AO13" s="2">
        <f t="shared" si="17"/>
        <v>457.86159178543704</v>
      </c>
      <c r="AP13" s="2">
        <f>AO13*(1+$AT$23)</f>
        <v>453.28297586758265</v>
      </c>
      <c r="AQ13" s="2">
        <f t="shared" ref="AQ13:DB13" si="18">AP13*(1+$AT$23)</f>
        <v>448.75014610890685</v>
      </c>
      <c r="AR13" s="2">
        <f t="shared" si="18"/>
        <v>444.26264464781775</v>
      </c>
      <c r="AS13" s="2">
        <f t="shared" si="18"/>
        <v>439.82001820133956</v>
      </c>
      <c r="AT13" s="2">
        <f t="shared" si="18"/>
        <v>435.42181801932617</v>
      </c>
      <c r="AU13" s="2">
        <f t="shared" si="18"/>
        <v>431.06759983913292</v>
      </c>
      <c r="AV13" s="2">
        <f t="shared" si="18"/>
        <v>426.75692384074159</v>
      </c>
      <c r="AW13" s="2">
        <f t="shared" si="18"/>
        <v>422.48935460233417</v>
      </c>
      <c r="AX13" s="2">
        <f t="shared" si="18"/>
        <v>418.26446105631084</v>
      </c>
      <c r="AY13" s="2">
        <f t="shared" si="18"/>
        <v>414.08181644574773</v>
      </c>
      <c r="AZ13" s="2">
        <f t="shared" si="18"/>
        <v>409.94099828129026</v>
      </c>
      <c r="BA13" s="2">
        <f t="shared" si="18"/>
        <v>405.84158829847735</v>
      </c>
      <c r="BB13" s="2">
        <f t="shared" si="18"/>
        <v>401.78317241549257</v>
      </c>
      <c r="BC13" s="2">
        <f t="shared" si="18"/>
        <v>397.76534069133766</v>
      </c>
      <c r="BD13" s="2">
        <f t="shared" si="18"/>
        <v>393.78768728442429</v>
      </c>
      <c r="BE13" s="2">
        <f t="shared" si="18"/>
        <v>389.84981041158005</v>
      </c>
      <c r="BF13" s="2">
        <f t="shared" si="18"/>
        <v>385.95131230746426</v>
      </c>
      <c r="BG13" s="2">
        <f t="shared" si="18"/>
        <v>382.09179918438963</v>
      </c>
      <c r="BH13" s="2">
        <f t="shared" si="18"/>
        <v>378.27088119254574</v>
      </c>
      <c r="BI13" s="2">
        <f t="shared" si="18"/>
        <v>374.48817238062026</v>
      </c>
      <c r="BJ13" s="2">
        <f t="shared" si="18"/>
        <v>370.74329065681405</v>
      </c>
      <c r="BK13" s="2">
        <f t="shared" si="18"/>
        <v>367.0358577502459</v>
      </c>
      <c r="BL13" s="2">
        <f t="shared" si="18"/>
        <v>363.36549917274345</v>
      </c>
      <c r="BM13" s="2">
        <f t="shared" si="18"/>
        <v>359.73184418101602</v>
      </c>
      <c r="BN13" s="2">
        <f t="shared" si="18"/>
        <v>356.13452573920586</v>
      </c>
      <c r="BO13" s="2">
        <f t="shared" si="18"/>
        <v>352.57318048181378</v>
      </c>
      <c r="BP13" s="2">
        <f t="shared" si="18"/>
        <v>349.04744867699566</v>
      </c>
      <c r="BQ13" s="2">
        <f t="shared" si="18"/>
        <v>345.55697419022567</v>
      </c>
      <c r="BR13" s="2">
        <f t="shared" si="18"/>
        <v>342.10140444832342</v>
      </c>
      <c r="BS13" s="2">
        <f t="shared" si="18"/>
        <v>338.68039040384019</v>
      </c>
      <c r="BT13" s="2">
        <f t="shared" si="18"/>
        <v>335.29358649980179</v>
      </c>
      <c r="BU13" s="2">
        <f t="shared" si="18"/>
        <v>331.94065063480377</v>
      </c>
      <c r="BV13" s="2">
        <f t="shared" si="18"/>
        <v>328.62124412845571</v>
      </c>
      <c r="BW13" s="2">
        <f t="shared" si="18"/>
        <v>325.33503168717118</v>
      </c>
      <c r="BX13" s="2">
        <f t="shared" si="18"/>
        <v>322.08168137029946</v>
      </c>
      <c r="BY13" s="2">
        <f t="shared" si="18"/>
        <v>318.86086455659648</v>
      </c>
      <c r="BZ13" s="2">
        <f t="shared" si="18"/>
        <v>315.6722559110305</v>
      </c>
      <c r="CA13" s="2">
        <f t="shared" si="18"/>
        <v>312.51553335192017</v>
      </c>
      <c r="CB13" s="2">
        <f t="shared" si="18"/>
        <v>309.39037801840095</v>
      </c>
      <c r="CC13" s="2">
        <f t="shared" si="18"/>
        <v>306.29647423821694</v>
      </c>
      <c r="CD13" s="2">
        <f t="shared" si="18"/>
        <v>303.23350949583477</v>
      </c>
      <c r="CE13" s="2">
        <f t="shared" si="18"/>
        <v>300.20117440087643</v>
      </c>
      <c r="CF13" s="2">
        <f t="shared" si="18"/>
        <v>297.19916265686766</v>
      </c>
      <c r="CG13" s="2">
        <f t="shared" si="18"/>
        <v>294.22717103029896</v>
      </c>
      <c r="CH13" s="2">
        <f t="shared" si="18"/>
        <v>291.28489931999599</v>
      </c>
      <c r="CI13" s="2">
        <f t="shared" si="18"/>
        <v>288.372050326796</v>
      </c>
      <c r="CJ13" s="2">
        <f t="shared" si="18"/>
        <v>285.48832982352803</v>
      </c>
      <c r="CK13" s="2">
        <f t="shared" si="18"/>
        <v>282.63344652529275</v>
      </c>
      <c r="CL13" s="2">
        <f t="shared" si="18"/>
        <v>279.8071120600398</v>
      </c>
      <c r="CM13" s="2">
        <f t="shared" si="18"/>
        <v>277.00904093943939</v>
      </c>
      <c r="CN13" s="2">
        <f t="shared" si="18"/>
        <v>274.23895053004497</v>
      </c>
      <c r="CO13" s="2">
        <f t="shared" si="18"/>
        <v>271.49656102474449</v>
      </c>
      <c r="CP13" s="2">
        <f t="shared" si="18"/>
        <v>268.78159541449702</v>
      </c>
      <c r="CQ13" s="2">
        <f t="shared" si="18"/>
        <v>266.09377946035204</v>
      </c>
      <c r="CR13" s="2">
        <f t="shared" si="18"/>
        <v>263.43284166574853</v>
      </c>
      <c r="CS13" s="2">
        <f t="shared" si="18"/>
        <v>260.79851324909106</v>
      </c>
      <c r="CT13" s="2">
        <f t="shared" si="18"/>
        <v>258.19052811660015</v>
      </c>
      <c r="CU13" s="2">
        <f t="shared" si="18"/>
        <v>255.60862283543415</v>
      </c>
      <c r="CV13" s="2">
        <f t="shared" si="18"/>
        <v>253.05253660707982</v>
      </c>
      <c r="CW13" s="2">
        <f t="shared" si="18"/>
        <v>250.52201124100901</v>
      </c>
      <c r="CX13" s="2">
        <f t="shared" si="18"/>
        <v>248.01679112859892</v>
      </c>
      <c r="CY13" s="2">
        <f t="shared" si="18"/>
        <v>245.53662321731292</v>
      </c>
      <c r="CZ13" s="2">
        <f t="shared" si="18"/>
        <v>243.08125698513979</v>
      </c>
      <c r="DA13" s="2">
        <f t="shared" si="18"/>
        <v>240.65044441528838</v>
      </c>
      <c r="DB13" s="2">
        <f t="shared" si="18"/>
        <v>238.24393997113549</v>
      </c>
      <c r="DC13" s="2">
        <f t="shared" ref="DC13:FN13" si="19">DB13*(1+$AT$23)</f>
        <v>235.86150057142413</v>
      </c>
      <c r="DD13" s="2">
        <f t="shared" si="19"/>
        <v>233.50288556570987</v>
      </c>
      <c r="DE13" s="2">
        <f t="shared" si="19"/>
        <v>231.16785671005277</v>
      </c>
      <c r="DF13" s="2">
        <f t="shared" si="19"/>
        <v>228.85617814295225</v>
      </c>
      <c r="DG13" s="2">
        <f t="shared" si="19"/>
        <v>226.56761636152271</v>
      </c>
      <c r="DH13" s="2">
        <f t="shared" si="19"/>
        <v>224.30194019790747</v>
      </c>
      <c r="DI13" s="2">
        <f t="shared" si="19"/>
        <v>222.0589207959284</v>
      </c>
      <c r="DJ13" s="2">
        <f t="shared" si="19"/>
        <v>219.83833158796912</v>
      </c>
      <c r="DK13" s="2">
        <f t="shared" si="19"/>
        <v>217.63994827208944</v>
      </c>
      <c r="DL13" s="2">
        <f t="shared" si="19"/>
        <v>215.46354878936853</v>
      </c>
      <c r="DM13" s="2">
        <f t="shared" si="19"/>
        <v>213.30891330147483</v>
      </c>
      <c r="DN13" s="2">
        <f t="shared" si="19"/>
        <v>211.17582416846008</v>
      </c>
      <c r="DO13" s="2">
        <f t="shared" si="19"/>
        <v>209.06406592677547</v>
      </c>
      <c r="DP13" s="2">
        <f t="shared" si="19"/>
        <v>206.97342526750771</v>
      </c>
      <c r="DQ13" s="2">
        <f t="shared" si="19"/>
        <v>204.90369101483262</v>
      </c>
      <c r="DR13" s="2">
        <f t="shared" si="19"/>
        <v>202.8546541046843</v>
      </c>
      <c r="DS13" s="2">
        <f t="shared" si="19"/>
        <v>200.82610756363746</v>
      </c>
      <c r="DT13" s="2">
        <f t="shared" si="19"/>
        <v>198.81784648800109</v>
      </c>
      <c r="DU13" s="2">
        <f t="shared" si="19"/>
        <v>196.82966802312109</v>
      </c>
      <c r="DV13" s="2">
        <f t="shared" si="19"/>
        <v>194.86137134288987</v>
      </c>
      <c r="DW13" s="2">
        <f t="shared" si="19"/>
        <v>192.91275762946097</v>
      </c>
      <c r="DX13" s="2">
        <f t="shared" si="19"/>
        <v>190.98363005316637</v>
      </c>
      <c r="DY13" s="2">
        <f t="shared" si="19"/>
        <v>189.07379375263471</v>
      </c>
      <c r="DZ13" s="2">
        <f t="shared" si="19"/>
        <v>187.18305581510836</v>
      </c>
      <c r="EA13" s="2">
        <f t="shared" si="19"/>
        <v>185.31122525695727</v>
      </c>
      <c r="EB13" s="2">
        <f t="shared" si="19"/>
        <v>183.45811300438768</v>
      </c>
      <c r="EC13" s="2">
        <f t="shared" si="19"/>
        <v>181.6235318743438</v>
      </c>
      <c r="ED13" s="2">
        <f t="shared" si="19"/>
        <v>179.80729655560035</v>
      </c>
      <c r="EE13" s="2">
        <f t="shared" si="19"/>
        <v>178.00922359004434</v>
      </c>
      <c r="EF13" s="2">
        <f t="shared" si="19"/>
        <v>176.2291313541439</v>
      </c>
      <c r="EG13" s="2">
        <f t="shared" si="19"/>
        <v>174.46684004060245</v>
      </c>
      <c r="EH13" s="2">
        <f t="shared" si="19"/>
        <v>172.72217164019642</v>
      </c>
      <c r="EI13" s="2">
        <f t="shared" si="19"/>
        <v>170.99494992379445</v>
      </c>
      <c r="EJ13" s="2">
        <f t="shared" si="19"/>
        <v>169.2850004245565</v>
      </c>
      <c r="EK13" s="2">
        <f t="shared" si="19"/>
        <v>167.59215042031093</v>
      </c>
      <c r="EL13" s="2">
        <f t="shared" si="19"/>
        <v>165.91622891610783</v>
      </c>
      <c r="EM13" s="2">
        <f t="shared" si="19"/>
        <v>164.25706662694674</v>
      </c>
      <c r="EN13" s="2">
        <f t="shared" si="19"/>
        <v>162.61449596067726</v>
      </c>
      <c r="EO13" s="2">
        <f t="shared" si="19"/>
        <v>160.9883510010705</v>
      </c>
      <c r="EP13" s="2">
        <f t="shared" si="19"/>
        <v>159.37846749105978</v>
      </c>
      <c r="EQ13" s="2">
        <f t="shared" si="19"/>
        <v>157.78468281614917</v>
      </c>
      <c r="ER13" s="2">
        <f t="shared" si="19"/>
        <v>156.20683598798769</v>
      </c>
      <c r="ES13" s="2">
        <f t="shared" si="19"/>
        <v>154.64476762810781</v>
      </c>
      <c r="ET13" s="2">
        <f t="shared" si="19"/>
        <v>153.09831995182674</v>
      </c>
      <c r="EU13" s="2">
        <f t="shared" si="19"/>
        <v>151.56733675230848</v>
      </c>
      <c r="EV13" s="2">
        <f t="shared" si="19"/>
        <v>150.0516633847854</v>
      </c>
      <c r="EW13" s="2">
        <f t="shared" si="19"/>
        <v>148.55114675093753</v>
      </c>
      <c r="EX13" s="2">
        <f t="shared" si="19"/>
        <v>147.06563528342815</v>
      </c>
      <c r="EY13" s="2">
        <f t="shared" si="19"/>
        <v>145.59497893059387</v>
      </c>
      <c r="EZ13" s="2">
        <f t="shared" si="19"/>
        <v>144.13902914128792</v>
      </c>
      <c r="FA13" s="2">
        <f t="shared" si="19"/>
        <v>142.69763884987503</v>
      </c>
      <c r="FB13" s="2">
        <f t="shared" si="19"/>
        <v>141.27066246137628</v>
      </c>
      <c r="FC13" s="2">
        <f t="shared" si="19"/>
        <v>139.8579558367625</v>
      </c>
      <c r="FD13" s="2">
        <f t="shared" si="19"/>
        <v>138.45937627839487</v>
      </c>
      <c r="FE13" s="2">
        <f t="shared" si="19"/>
        <v>137.07478251561093</v>
      </c>
      <c r="FF13" s="2">
        <f t="shared" si="19"/>
        <v>135.70403469045482</v>
      </c>
      <c r="FG13" s="2">
        <f t="shared" si="19"/>
        <v>134.34699434355028</v>
      </c>
      <c r="FH13" s="2">
        <f t="shared" si="19"/>
        <v>133.00352440011477</v>
      </c>
      <c r="FI13" s="2">
        <f t="shared" si="19"/>
        <v>131.67348915611362</v>
      </c>
      <c r="FJ13" s="2">
        <f t="shared" si="19"/>
        <v>130.35675426455248</v>
      </c>
      <c r="FK13" s="2">
        <f t="shared" si="19"/>
        <v>129.05318672190694</v>
      </c>
      <c r="FL13" s="2">
        <f t="shared" si="19"/>
        <v>127.76265485468787</v>
      </c>
      <c r="FM13" s="2">
        <f t="shared" si="19"/>
        <v>126.48502830614099</v>
      </c>
      <c r="FN13" s="2">
        <f t="shared" si="19"/>
        <v>125.22017802307958</v>
      </c>
      <c r="FO13" s="2">
        <f t="shared" ref="FO13:HZ13" si="20">FN13*(1+$AT$23)</f>
        <v>123.96797624284879</v>
      </c>
      <c r="FP13" s="2">
        <f t="shared" si="20"/>
        <v>122.7282964804203</v>
      </c>
      <c r="FQ13" s="2">
        <f t="shared" si="20"/>
        <v>121.50101351561609</v>
      </c>
      <c r="FR13" s="2">
        <f t="shared" si="20"/>
        <v>120.28600338045993</v>
      </c>
      <c r="FS13" s="2">
        <f t="shared" si="20"/>
        <v>119.08314334665533</v>
      </c>
      <c r="FT13" s="2">
        <f t="shared" si="20"/>
        <v>117.89231191318878</v>
      </c>
      <c r="FU13" s="2">
        <f t="shared" si="20"/>
        <v>116.71338879405688</v>
      </c>
      <c r="FV13" s="2">
        <f t="shared" si="20"/>
        <v>115.54625490611632</v>
      </c>
      <c r="FW13" s="2">
        <f t="shared" si="20"/>
        <v>114.39079235705515</v>
      </c>
      <c r="FX13" s="2">
        <f t="shared" si="20"/>
        <v>113.2468844334846</v>
      </c>
      <c r="FY13" s="2">
        <f t="shared" si="20"/>
        <v>112.11441558914974</v>
      </c>
      <c r="FZ13" s="2">
        <f t="shared" si="20"/>
        <v>110.99327143325824</v>
      </c>
      <c r="GA13" s="2">
        <f t="shared" si="20"/>
        <v>109.88333871892566</v>
      </c>
      <c r="GB13" s="2">
        <f t="shared" si="20"/>
        <v>108.7845053317364</v>
      </c>
      <c r="GC13" s="2">
        <f t="shared" si="20"/>
        <v>107.69666027841903</v>
      </c>
      <c r="GD13" s="2">
        <f t="shared" si="20"/>
        <v>106.61969367563484</v>
      </c>
      <c r="GE13" s="2">
        <f t="shared" si="20"/>
        <v>105.55349673887848</v>
      </c>
      <c r="GF13" s="2">
        <f t="shared" si="20"/>
        <v>104.4979617714897</v>
      </c>
      <c r="GG13" s="2">
        <f t="shared" si="20"/>
        <v>103.4529821537748</v>
      </c>
      <c r="GH13" s="2">
        <f t="shared" si="20"/>
        <v>102.41845233223705</v>
      </c>
      <c r="GI13" s="2">
        <f t="shared" si="20"/>
        <v>101.39426780891468</v>
      </c>
      <c r="GJ13" s="2">
        <f t="shared" si="20"/>
        <v>100.38032513082553</v>
      </c>
      <c r="GK13" s="2">
        <f t="shared" si="20"/>
        <v>99.37652187951727</v>
      </c>
      <c r="GL13" s="2">
        <f t="shared" si="20"/>
        <v>98.382756660722094</v>
      </c>
      <c r="GM13" s="2">
        <f t="shared" si="20"/>
        <v>97.398929094114877</v>
      </c>
      <c r="GN13" s="2">
        <f t="shared" si="20"/>
        <v>96.424939803173729</v>
      </c>
      <c r="GO13" s="2">
        <f t="shared" si="20"/>
        <v>95.460690405141989</v>
      </c>
      <c r="GP13" s="2">
        <f t="shared" si="20"/>
        <v>94.506083501090572</v>
      </c>
      <c r="GQ13" s="2">
        <f t="shared" si="20"/>
        <v>93.561022666079666</v>
      </c>
      <c r="GR13" s="2">
        <f t="shared" si="20"/>
        <v>92.625412439418866</v>
      </c>
      <c r="GS13" s="2">
        <f t="shared" si="20"/>
        <v>91.699158315024675</v>
      </c>
      <c r="GT13" s="2">
        <f t="shared" si="20"/>
        <v>90.782166731874426</v>
      </c>
      <c r="GU13" s="2">
        <f t="shared" si="20"/>
        <v>89.874345064555683</v>
      </c>
      <c r="GV13" s="2">
        <f t="shared" si="20"/>
        <v>88.975601613910129</v>
      </c>
      <c r="GW13" s="2">
        <f t="shared" si="20"/>
        <v>88.085845597771026</v>
      </c>
      <c r="GX13" s="2">
        <f t="shared" si="20"/>
        <v>87.20498714179331</v>
      </c>
      <c r="GY13" s="2">
        <f t="shared" si="20"/>
        <v>86.332937270375382</v>
      </c>
      <c r="GZ13" s="2">
        <f t="shared" si="20"/>
        <v>85.469607897671622</v>
      </c>
      <c r="HA13" s="2">
        <f t="shared" si="20"/>
        <v>84.614911818694907</v>
      </c>
      <c r="HB13" s="2">
        <f t="shared" si="20"/>
        <v>83.768762700507963</v>
      </c>
      <c r="HC13" s="2">
        <f t="shared" si="20"/>
        <v>82.931075073502882</v>
      </c>
      <c r="HD13" s="2">
        <f t="shared" si="20"/>
        <v>82.101764322767849</v>
      </c>
      <c r="HE13" s="2">
        <f t="shared" si="20"/>
        <v>81.280746679540172</v>
      </c>
      <c r="HF13" s="2">
        <f t="shared" si="20"/>
        <v>80.467939212744767</v>
      </c>
      <c r="HG13" s="2">
        <f t="shared" si="20"/>
        <v>79.663259820617313</v>
      </c>
      <c r="HH13" s="2">
        <f t="shared" si="20"/>
        <v>78.86662722241114</v>
      </c>
      <c r="HI13" s="2">
        <f t="shared" si="20"/>
        <v>78.077960950187034</v>
      </c>
      <c r="HJ13" s="2">
        <f t="shared" si="20"/>
        <v>77.297181340685157</v>
      </c>
      <c r="HK13" s="2">
        <f t="shared" si="20"/>
        <v>76.524209527278302</v>
      </c>
      <c r="HL13" s="2">
        <f t="shared" si="20"/>
        <v>75.75896743200552</v>
      </c>
      <c r="HM13" s="2">
        <f t="shared" si="20"/>
        <v>75.001377757685461</v>
      </c>
      <c r="HN13" s="2">
        <f t="shared" si="20"/>
        <v>74.251363980108607</v>
      </c>
      <c r="HO13" s="2">
        <f t="shared" si="20"/>
        <v>73.508850340307518</v>
      </c>
      <c r="HP13" s="2">
        <f t="shared" si="20"/>
        <v>72.773761836904441</v>
      </c>
      <c r="HQ13" s="2">
        <f t="shared" si="20"/>
        <v>72.046024218535393</v>
      </c>
      <c r="HR13" s="2">
        <f t="shared" si="20"/>
        <v>71.32556397635004</v>
      </c>
      <c r="HS13" s="2">
        <f t="shared" si="20"/>
        <v>70.612308336586537</v>
      </c>
      <c r="HT13" s="2">
        <f t="shared" si="20"/>
        <v>69.90618525322067</v>
      </c>
      <c r="HU13" s="2">
        <f t="shared" si="20"/>
        <v>69.207123400688459</v>
      </c>
      <c r="HV13" s="2">
        <f t="shared" si="20"/>
        <v>68.515052166681571</v>
      </c>
      <c r="HW13" s="2">
        <f t="shared" si="20"/>
        <v>67.829901645014758</v>
      </c>
      <c r="HX13" s="2">
        <f t="shared" si="20"/>
        <v>67.151602628564603</v>
      </c>
      <c r="HY13" s="2">
        <f t="shared" si="20"/>
        <v>66.480086602278959</v>
      </c>
      <c r="HZ13" s="2">
        <f t="shared" si="20"/>
        <v>65.815285736256172</v>
      </c>
      <c r="IA13" s="2">
        <f t="shared" ref="IA13:KH13" si="21">HZ13*(1+$AT$23)</f>
        <v>65.157132878893606</v>
      </c>
      <c r="IB13" s="2">
        <f t="shared" si="21"/>
        <v>64.505561550104673</v>
      </c>
      <c r="IC13" s="2">
        <f t="shared" si="21"/>
        <v>63.860505934603623</v>
      </c>
      <c r="ID13" s="2">
        <f t="shared" si="21"/>
        <v>63.221900875257589</v>
      </c>
      <c r="IE13" s="2">
        <f t="shared" si="21"/>
        <v>62.589681866505011</v>
      </c>
      <c r="IF13" s="2">
        <f t="shared" si="21"/>
        <v>61.963785047839963</v>
      </c>
      <c r="IG13" s="2">
        <f t="shared" si="21"/>
        <v>61.344147197361565</v>
      </c>
      <c r="IH13" s="2">
        <f t="shared" si="21"/>
        <v>60.730705725387949</v>
      </c>
      <c r="II13" s="2">
        <f t="shared" si="21"/>
        <v>60.123398668134072</v>
      </c>
      <c r="IJ13" s="2">
        <f t="shared" si="21"/>
        <v>59.522164681452729</v>
      </c>
      <c r="IK13" s="2">
        <f t="shared" si="21"/>
        <v>58.926943034638199</v>
      </c>
      <c r="IL13" s="2">
        <f t="shared" si="21"/>
        <v>58.337673604291815</v>
      </c>
      <c r="IM13" s="2">
        <f t="shared" si="21"/>
        <v>57.754296868248893</v>
      </c>
      <c r="IN13" s="2">
        <f t="shared" si="21"/>
        <v>57.176753899566407</v>
      </c>
      <c r="IO13" s="2">
        <f t="shared" si="21"/>
        <v>56.604986360570742</v>
      </c>
      <c r="IP13" s="2">
        <f t="shared" si="21"/>
        <v>56.038936496965036</v>
      </c>
      <c r="IQ13" s="2">
        <f t="shared" si="21"/>
        <v>55.478547131995384</v>
      </c>
      <c r="IR13" s="2">
        <f t="shared" si="21"/>
        <v>54.923761660675432</v>
      </c>
      <c r="IS13" s="2">
        <f t="shared" si="21"/>
        <v>54.374524044068679</v>
      </c>
      <c r="IT13" s="2">
        <f t="shared" si="21"/>
        <v>53.830778803627993</v>
      </c>
      <c r="IU13" s="2">
        <f t="shared" si="21"/>
        <v>53.292471015591715</v>
      </c>
      <c r="IV13" s="2">
        <f t="shared" si="21"/>
        <v>52.759546305435798</v>
      </c>
      <c r="IW13" s="2">
        <f t="shared" si="21"/>
        <v>52.231950842381437</v>
      </c>
      <c r="IX13" s="2">
        <f t="shared" si="21"/>
        <v>51.709631333957624</v>
      </c>
      <c r="IY13" s="2">
        <f t="shared" si="21"/>
        <v>51.192535020618045</v>
      </c>
      <c r="IZ13" s="2">
        <f t="shared" si="21"/>
        <v>50.680609670411862</v>
      </c>
      <c r="JA13" s="2">
        <f t="shared" si="21"/>
        <v>50.173803573707744</v>
      </c>
      <c r="JB13" s="2">
        <f t="shared" si="21"/>
        <v>49.672065537970667</v>
      </c>
      <c r="JC13" s="2">
        <f t="shared" si="21"/>
        <v>49.175344882590963</v>
      </c>
      <c r="JD13" s="2">
        <f t="shared" si="21"/>
        <v>48.683591433765052</v>
      </c>
      <c r="JE13" s="2">
        <f t="shared" si="21"/>
        <v>48.196755519427398</v>
      </c>
      <c r="JF13" s="2">
        <f t="shared" si="21"/>
        <v>47.714787964233125</v>
      </c>
      <c r="JG13" s="2">
        <f t="shared" si="21"/>
        <v>47.237640084590794</v>
      </c>
      <c r="JH13" s="2">
        <f t="shared" si="21"/>
        <v>46.765263683744884</v>
      </c>
      <c r="JI13" s="2">
        <f t="shared" si="21"/>
        <v>46.297611046907434</v>
      </c>
      <c r="JJ13" s="2">
        <f t="shared" si="21"/>
        <v>45.834634936438363</v>
      </c>
      <c r="JK13" s="2">
        <f t="shared" si="21"/>
        <v>45.376288587073979</v>
      </c>
      <c r="JL13" s="2">
        <f t="shared" si="21"/>
        <v>44.922525701203242</v>
      </c>
      <c r="JM13" s="2">
        <f t="shared" si="21"/>
        <v>44.47330044419121</v>
      </c>
      <c r="JN13" s="2">
        <f t="shared" si="21"/>
        <v>44.028567439749295</v>
      </c>
      <c r="JO13" s="2">
        <f t="shared" si="21"/>
        <v>43.588281765351802</v>
      </c>
      <c r="JP13" s="2">
        <f t="shared" si="21"/>
        <v>43.152398947698281</v>
      </c>
      <c r="JQ13" s="2">
        <f t="shared" si="21"/>
        <v>42.720874958221295</v>
      </c>
      <c r="JR13" s="2">
        <f t="shared" si="21"/>
        <v>42.293666208639081</v>
      </c>
      <c r="JS13" s="2">
        <f t="shared" si="21"/>
        <v>41.870729546552688</v>
      </c>
      <c r="JT13" s="2">
        <f t="shared" si="21"/>
        <v>41.452022251087158</v>
      </c>
      <c r="JU13" s="2">
        <f t="shared" si="21"/>
        <v>41.037502028576284</v>
      </c>
      <c r="JV13" s="2">
        <f t="shared" si="21"/>
        <v>40.627127008290522</v>
      </c>
      <c r="JW13" s="2">
        <f t="shared" si="21"/>
        <v>40.220855738207618</v>
      </c>
      <c r="JX13" s="2">
        <f t="shared" si="21"/>
        <v>39.818647180825543</v>
      </c>
      <c r="JY13" s="2">
        <f t="shared" si="21"/>
        <v>39.420460709017284</v>
      </c>
      <c r="JZ13" s="2">
        <f t="shared" si="21"/>
        <v>39.02625610192711</v>
      </c>
      <c r="KA13" s="2">
        <f t="shared" si="21"/>
        <v>38.63599354090784</v>
      </c>
      <c r="KB13" s="2">
        <f t="shared" si="21"/>
        <v>38.249633605498765</v>
      </c>
      <c r="KC13" s="2">
        <f t="shared" si="21"/>
        <v>37.867137269443781</v>
      </c>
      <c r="KD13" s="2">
        <f t="shared" si="21"/>
        <v>37.488465896749339</v>
      </c>
      <c r="KE13" s="2">
        <f t="shared" si="21"/>
        <v>37.113581237781844</v>
      </c>
      <c r="KF13" s="2">
        <f t="shared" si="21"/>
        <v>36.742445425404028</v>
      </c>
      <c r="KG13" s="2">
        <f t="shared" si="21"/>
        <v>36.375020971149986</v>
      </c>
      <c r="KH13" s="2">
        <f t="shared" si="21"/>
        <v>36.011270761438489</v>
      </c>
    </row>
    <row r="15" spans="1:294" x14ac:dyDescent="0.25">
      <c r="B15" t="s">
        <v>40</v>
      </c>
      <c r="C15" s="3">
        <f>C13/C16</f>
        <v>0.23559759243336206</v>
      </c>
      <c r="D15" s="3">
        <f>D13/D16</f>
        <v>0.4021209515620523</v>
      </c>
      <c r="E15" s="3">
        <f>E13/E16</f>
        <v>0.60217827457724282</v>
      </c>
      <c r="F15" s="3">
        <f>F13/F16</f>
        <v>0.72444826597879042</v>
      </c>
      <c r="G15" s="3">
        <f>G13/G16</f>
        <v>0.76800000000000002</v>
      </c>
      <c r="H15" s="3">
        <f>H13/H16</f>
        <v>0.85428571428571465</v>
      </c>
      <c r="I15" s="3">
        <f>I13/I16</f>
        <v>0.68331900257953593</v>
      </c>
      <c r="J15" s="3">
        <f>J13/J16</f>
        <v>0.54154069767441859</v>
      </c>
      <c r="K15" s="3">
        <f>K13/K16</f>
        <v>1.0581104651162796</v>
      </c>
      <c r="L15" s="3">
        <f>L13/L16</f>
        <v>1.4091559370529323</v>
      </c>
      <c r="M15" s="3">
        <f>M13/M16</f>
        <v>1.5334094802969724</v>
      </c>
      <c r="N15" s="3">
        <f>N13/N16</f>
        <v>1.7130633200228187</v>
      </c>
      <c r="O15" s="3">
        <f>O13/O16</f>
        <v>1.5970588235294116</v>
      </c>
      <c r="P15" s="3">
        <f>P13/P16</f>
        <v>1.6419102139198551</v>
      </c>
      <c r="Q15" s="3">
        <f>Q13/Q16</f>
        <v>1.355461677730839</v>
      </c>
      <c r="R15" s="3">
        <f>R13/R16</f>
        <v>0.69912650602409654</v>
      </c>
      <c r="S15" s="3">
        <f>S13/S16</f>
        <v>0.15488316357100043</v>
      </c>
      <c r="T15" s="3">
        <f>T13/T16</f>
        <v>0.11133712234519916</v>
      </c>
      <c r="Z15" s="3">
        <f>Z13/Z16</f>
        <v>2.4004178272980496</v>
      </c>
      <c r="AA15" s="3">
        <f>AA13/AA16</f>
        <v>2.9274640088593582</v>
      </c>
      <c r="AB15" s="3">
        <f>AB13/AB16</f>
        <v>1.8969545957918048</v>
      </c>
      <c r="AC15" s="3">
        <f>AC13/AC16</f>
        <v>2.6794296788482819</v>
      </c>
      <c r="AD15" s="3">
        <f>AD13/AD16</f>
        <v>5.535991140642305</v>
      </c>
      <c r="AE15" s="3">
        <f>AE13/AE16</f>
        <v>4.9141749723145072</v>
      </c>
    </row>
    <row r="16" spans="1:294" x14ac:dyDescent="0.25">
      <c r="B16" t="s">
        <v>3</v>
      </c>
      <c r="C16">
        <v>34.89</v>
      </c>
      <c r="D16">
        <v>34.89</v>
      </c>
      <c r="E16">
        <v>34.89</v>
      </c>
      <c r="F16">
        <v>34.89</v>
      </c>
      <c r="G16">
        <v>35</v>
      </c>
      <c r="H16">
        <v>35</v>
      </c>
      <c r="I16">
        <v>34.89</v>
      </c>
      <c r="J16">
        <v>34.4</v>
      </c>
      <c r="K16">
        <v>34.4</v>
      </c>
      <c r="L16">
        <v>34.950000000000003</v>
      </c>
      <c r="M16">
        <v>35.020000000000003</v>
      </c>
      <c r="N16">
        <v>35.06</v>
      </c>
      <c r="O16">
        <v>34</v>
      </c>
      <c r="P16">
        <v>33.19</v>
      </c>
      <c r="Q16">
        <v>33.14</v>
      </c>
      <c r="R16">
        <v>33.200000000000003</v>
      </c>
      <c r="S16">
        <v>33.380000000000003</v>
      </c>
      <c r="T16">
        <v>33.43</v>
      </c>
      <c r="Z16">
        <v>35.9</v>
      </c>
      <c r="AA16">
        <v>36.119999999999997</v>
      </c>
      <c r="AB16">
        <v>36.119999999999997</v>
      </c>
      <c r="AC16">
        <v>36.119999999999997</v>
      </c>
      <c r="AD16">
        <v>36.119999999999997</v>
      </c>
      <c r="AE16">
        <v>36.119999999999997</v>
      </c>
    </row>
    <row r="18" spans="2:48" x14ac:dyDescent="0.25">
      <c r="B18" t="s">
        <v>5</v>
      </c>
      <c r="AE18">
        <v>232</v>
      </c>
      <c r="AF18" s="2">
        <f>AE18+AF13</f>
        <v>289.06455700000009</v>
      </c>
      <c r="AG18" s="2">
        <f t="shared" ref="AG18:AO18" si="22">AF18+AG13</f>
        <v>427.23299836800015</v>
      </c>
      <c r="AH18" s="2">
        <f t="shared" si="22"/>
        <v>591.08577392883217</v>
      </c>
      <c r="AI18" s="2">
        <f t="shared" si="22"/>
        <v>783.87877893512427</v>
      </c>
      <c r="AJ18" s="2">
        <f t="shared" si="22"/>
        <v>1009.2283408109274</v>
      </c>
      <c r="AK18" s="2">
        <f t="shared" si="22"/>
        <v>1271.1489621142307</v>
      </c>
      <c r="AL18" s="2">
        <f t="shared" si="22"/>
        <v>1574.0949201560225</v>
      </c>
      <c r="AM18" s="2">
        <f t="shared" si="22"/>
        <v>1923.0061129482299</v>
      </c>
      <c r="AN18" s="2">
        <f t="shared" si="22"/>
        <v>2323.3585803163123</v>
      </c>
      <c r="AO18" s="2">
        <f t="shared" si="22"/>
        <v>2781.2201721017495</v>
      </c>
    </row>
    <row r="20" spans="2:48" x14ac:dyDescent="0.25">
      <c r="B20" t="s">
        <v>56</v>
      </c>
      <c r="C20" s="6">
        <f>C4/C2</f>
        <v>0.50364346815925654</v>
      </c>
      <c r="D20" s="6">
        <f>D4/D2</f>
        <v>0.46671388101983002</v>
      </c>
      <c r="E20" s="6">
        <f>E4/E2</f>
        <v>0.49597321509365666</v>
      </c>
      <c r="F20" s="6">
        <f>F4/F2</f>
        <v>0.48066529152197185</v>
      </c>
      <c r="G20" s="6">
        <f>G4/G2</f>
        <v>0.48116902681530582</v>
      </c>
      <c r="H20" s="6">
        <f>H4/H2</f>
        <v>0.50292397660818722</v>
      </c>
      <c r="I20" s="6">
        <f>I4/I2</f>
        <v>0.4905585528403682</v>
      </c>
      <c r="J20" s="6">
        <f>J4/J2</f>
        <v>0.45896170685940646</v>
      </c>
      <c r="K20" s="6">
        <f>K4/K2</f>
        <v>0.50054550737668524</v>
      </c>
      <c r="L20" s="6">
        <f>L4/L2</f>
        <v>0.50293984622342824</v>
      </c>
      <c r="M20" s="6">
        <f>M4/M2</f>
        <v>0.49643140364789845</v>
      </c>
      <c r="N20" s="6">
        <f>N4/N2</f>
        <v>0.49642519387176093</v>
      </c>
      <c r="O20" s="6">
        <f>O4/O2</f>
        <v>0.52113898417159155</v>
      </c>
      <c r="P20" s="6">
        <f>P4/P2</f>
        <v>0.52950033680706898</v>
      </c>
      <c r="Q20" s="6">
        <f>Q4/Q2</f>
        <v>0.47494119054264183</v>
      </c>
      <c r="R20" s="6">
        <f>R4/R2</f>
        <v>0.43322540473225402</v>
      </c>
      <c r="S20" s="6">
        <f>S4/S2</f>
        <v>0.42157020796388839</v>
      </c>
      <c r="T20" s="6">
        <f>T4/T2</f>
        <v>0.40203761755485895</v>
      </c>
      <c r="U20" s="6">
        <f t="shared" ref="U20:V20" si="23">U4/U2</f>
        <v>0.42</v>
      </c>
      <c r="V20" s="6">
        <f t="shared" si="23"/>
        <v>0.45</v>
      </c>
      <c r="W20" s="6"/>
      <c r="X20" s="6"/>
      <c r="Y20" s="6"/>
      <c r="Z20" s="6">
        <f>Z4/Z2</f>
        <v>0.47993886129155522</v>
      </c>
      <c r="AA20" s="6">
        <f>AA4/AA2</f>
        <v>0.49150943396226415</v>
      </c>
      <c r="AB20" s="6">
        <f>AB4/AB2</f>
        <v>0.48588299617277197</v>
      </c>
      <c r="AC20" s="6">
        <f>AC4/AC2</f>
        <v>0.4822073654222912</v>
      </c>
      <c r="AD20" s="6">
        <f>AD4/AD2</f>
        <v>0.49972887973104868</v>
      </c>
      <c r="AE20" s="6">
        <f>AE4/AE2</f>
        <v>0.49254678084364095</v>
      </c>
      <c r="AF20" s="6">
        <f t="shared" ref="AF20:AO20" si="24">AF4/AF2</f>
        <v>0.42559618314084269</v>
      </c>
      <c r="AG20" s="6">
        <f t="shared" si="24"/>
        <v>0.5</v>
      </c>
      <c r="AH20" s="6">
        <f t="shared" si="24"/>
        <v>0.5</v>
      </c>
      <c r="AI20" s="6">
        <f t="shared" si="24"/>
        <v>0.5</v>
      </c>
      <c r="AJ20" s="6">
        <f t="shared" si="24"/>
        <v>0.5</v>
      </c>
      <c r="AK20" s="6">
        <f t="shared" si="24"/>
        <v>0.5</v>
      </c>
      <c r="AL20" s="6">
        <f t="shared" si="24"/>
        <v>0.5</v>
      </c>
      <c r="AM20" s="6">
        <f t="shared" si="24"/>
        <v>0.5</v>
      </c>
      <c r="AN20" s="6">
        <f t="shared" si="24"/>
        <v>0.5</v>
      </c>
      <c r="AO20" s="6">
        <f t="shared" si="24"/>
        <v>0.5</v>
      </c>
    </row>
    <row r="21" spans="2:48" x14ac:dyDescent="0.25">
      <c r="B21" t="s">
        <v>57</v>
      </c>
      <c r="C21" s="6">
        <f>C9/C2</f>
        <v>8.9977822367726307E-2</v>
      </c>
      <c r="D21" s="6">
        <f>D9/D2</f>
        <v>0.12879401052205589</v>
      </c>
      <c r="E21" s="6">
        <f>E9/E2</f>
        <v>0.19102343679305039</v>
      </c>
      <c r="F21" s="6">
        <f>F9/F2</f>
        <v>0.17843807932321992</v>
      </c>
      <c r="G21" s="6">
        <f>G9/G2</f>
        <v>0.18589936727930101</v>
      </c>
      <c r="H21" s="6">
        <f>H9/H2</f>
        <v>0.23099415204678372</v>
      </c>
      <c r="I21" s="6">
        <f>I9/I2</f>
        <v>0.2059663598857506</v>
      </c>
      <c r="J21" s="6">
        <f>J9/J2</f>
        <v>0.12440058377927583</v>
      </c>
      <c r="K21" s="6">
        <f>K9/K2</f>
        <v>0.25054413675513576</v>
      </c>
      <c r="L21" s="6">
        <f>L9/L2</f>
        <v>0.2744911804613297</v>
      </c>
      <c r="M21" s="6">
        <f>M9/M2</f>
        <v>0.26566217287866767</v>
      </c>
      <c r="N21" s="6">
        <f>N9/N2</f>
        <v>0.27297143937961044</v>
      </c>
      <c r="O21" s="6">
        <f>O9/O2</f>
        <v>0.27433152870190519</v>
      </c>
      <c r="P21" s="6">
        <f>P9/P2</f>
        <v>0.26877204105083802</v>
      </c>
      <c r="Q21" s="6">
        <f>Q9/Q2</f>
        <v>0.21956859774331169</v>
      </c>
      <c r="R21" s="6">
        <f>R9/R2</f>
        <v>0.1249364881693649</v>
      </c>
      <c r="S21" s="6">
        <f>S9/S2</f>
        <v>4.4252780912461667E-2</v>
      </c>
      <c r="T21" s="6">
        <f>T9/T2</f>
        <v>1.3465374750641261E-2</v>
      </c>
      <c r="U21" s="6">
        <f t="shared" ref="U21:V21" si="25">U9/U2</f>
        <v>0.1093095565809499</v>
      </c>
      <c r="V21" s="6">
        <f t="shared" si="25"/>
        <v>0.20106371367889156</v>
      </c>
      <c r="W21" s="6"/>
      <c r="X21" s="6"/>
      <c r="Y21" s="6"/>
      <c r="Z21" s="6">
        <f>Z9/Z2</f>
        <v>0.20326709973251814</v>
      </c>
      <c r="AA21" s="6">
        <f>AA9/AA2</f>
        <v>0.21062264150943397</v>
      </c>
      <c r="AB21" s="6">
        <f>AB9/AB2</f>
        <v>0.15171131765992341</v>
      </c>
      <c r="AC21" s="6">
        <f>AC9/AC2</f>
        <v>0.18160738877634039</v>
      </c>
      <c r="AD21" s="6">
        <f>AD9/AD2</f>
        <v>0.2666630517297473</v>
      </c>
      <c r="AE21" s="6">
        <f>AE9/AE2</f>
        <v>0.22719103499312823</v>
      </c>
      <c r="AF21" s="6">
        <f t="shared" ref="AF21:AO21" si="26">AF9/AF2</f>
        <v>0.10330260447089075</v>
      </c>
      <c r="AG21" s="6">
        <f t="shared" si="26"/>
        <v>0.21937539323645402</v>
      </c>
      <c r="AH21" s="6">
        <f t="shared" si="26"/>
        <v>0.23342536882556242</v>
      </c>
      <c r="AI21" s="6">
        <f t="shared" si="26"/>
        <v>0.24675434387410061</v>
      </c>
      <c r="AJ21" s="6">
        <f t="shared" si="26"/>
        <v>0.25940033256123679</v>
      </c>
      <c r="AK21" s="6">
        <f t="shared" si="26"/>
        <v>0.27139928760352888</v>
      </c>
      <c r="AL21" s="6">
        <f t="shared" si="26"/>
        <v>0.28278521518338551</v>
      </c>
      <c r="AM21" s="6">
        <f t="shared" si="26"/>
        <v>0.2935902833027848</v>
      </c>
      <c r="AN21" s="6">
        <f t="shared" si="26"/>
        <v>0.30384492394705798</v>
      </c>
      <c r="AO21" s="6">
        <f t="shared" si="26"/>
        <v>0.31357792942058421</v>
      </c>
      <c r="AS21" t="s">
        <v>35</v>
      </c>
      <c r="AT21" s="6">
        <v>0.03</v>
      </c>
    </row>
    <row r="22" spans="2:48" x14ac:dyDescent="0.25">
      <c r="B22" t="s">
        <v>58</v>
      </c>
      <c r="C22" s="6">
        <f>C13/C2</f>
        <v>8.6809589185764105E-2</v>
      </c>
      <c r="D22" s="6">
        <f>D13/D2</f>
        <v>0.14194658033184951</v>
      </c>
      <c r="E22" s="6">
        <f>E13/E2</f>
        <v>0.19011854130847888</v>
      </c>
      <c r="F22" s="6">
        <f>F13/F2</f>
        <v>0.1649912530353273</v>
      </c>
      <c r="G22" s="6">
        <f>G13/G2</f>
        <v>0.20247062368183188</v>
      </c>
      <c r="H22" s="6">
        <f>H13/H2</f>
        <v>0.21856725146198838</v>
      </c>
      <c r="I22" s="6">
        <f>I13/I2</f>
        <v>0.18915423675023807</v>
      </c>
      <c r="J22" s="6">
        <f>J13/J2</f>
        <v>0.12946695392313573</v>
      </c>
      <c r="K22" s="6">
        <f>K13/K2</f>
        <v>0.19955701511521454</v>
      </c>
      <c r="L22" s="6">
        <f>L13/L2</f>
        <v>0.22274988692899134</v>
      </c>
      <c r="M22" s="6">
        <f>M13/M2</f>
        <v>0.21292624900872317</v>
      </c>
      <c r="N22" s="6">
        <f>N13/N2</f>
        <v>0.22719878948363922</v>
      </c>
      <c r="O22" s="6">
        <f>O13/O2</f>
        <v>0.22440798446088356</v>
      </c>
      <c r="P22" s="6">
        <f>P13/P2</f>
        <v>0.21593295558109121</v>
      </c>
      <c r="Q22" s="6">
        <f>Q13/Q2</f>
        <v>0.17909971691718835</v>
      </c>
      <c r="R22" s="6">
        <f>R13/R2</f>
        <v>0.11562141967621423</v>
      </c>
      <c r="S22" s="6">
        <f>S13/S2</f>
        <v>4.167338384652583E-2</v>
      </c>
      <c r="T22" s="6">
        <f>T13/T2</f>
        <v>2.6517526360786602E-2</v>
      </c>
      <c r="U22" s="6">
        <f t="shared" ref="U22:V22" si="27">U13/U2</f>
        <v>9.4605853640789939E-2</v>
      </c>
      <c r="V22" s="6">
        <f t="shared" si="27"/>
        <v>0.16910374925448768</v>
      </c>
      <c r="W22" s="6"/>
      <c r="X22" s="6"/>
      <c r="Y22" s="6"/>
      <c r="Z22" s="6">
        <f>Z13/Z2</f>
        <v>0.16464463125716466</v>
      </c>
      <c r="AA22" s="6">
        <f>AA13/AA2</f>
        <v>0.19950943396226417</v>
      </c>
      <c r="AB22" s="6">
        <f>AB13/AB2</f>
        <v>0.14984800437397483</v>
      </c>
      <c r="AC22" s="6">
        <f>AC13/AC2</f>
        <v>0.17938319361062857</v>
      </c>
      <c r="AD22" s="6">
        <f>AD13/AD2</f>
        <v>0.21685283591801327</v>
      </c>
      <c r="AE22" s="6">
        <f>AE13/AE2</f>
        <v>0.18765197166719524</v>
      </c>
      <c r="AF22" s="6">
        <f t="shared" ref="AF22:AO22" si="28">AF13/AF2</f>
        <v>9.1577654188843713E-2</v>
      </c>
      <c r="AG22" s="6">
        <f t="shared" si="28"/>
        <v>0.1847781765163827</v>
      </c>
      <c r="AH22" s="6">
        <f t="shared" si="28"/>
        <v>0.19920623884555236</v>
      </c>
      <c r="AI22" s="6">
        <f t="shared" si="28"/>
        <v>0.21308246920600382</v>
      </c>
      <c r="AJ22" s="6">
        <f t="shared" si="28"/>
        <v>0.22642296911050525</v>
      </c>
      <c r="AK22" s="6">
        <f t="shared" si="28"/>
        <v>0.23924384310115762</v>
      </c>
      <c r="AL22" s="6">
        <f t="shared" si="28"/>
        <v>0.25156114055831053</v>
      </c>
      <c r="AM22" s="6">
        <f t="shared" si="28"/>
        <v>0.26339080462859288</v>
      </c>
      <c r="AN22" s="6">
        <f t="shared" si="28"/>
        <v>0.27474862760987478</v>
      </c>
      <c r="AO22" s="6">
        <f t="shared" si="28"/>
        <v>0.28565021218634501</v>
      </c>
      <c r="AS22" t="s">
        <v>62</v>
      </c>
      <c r="AT22" s="7">
        <v>8.5000000000000006E-2</v>
      </c>
    </row>
    <row r="23" spans="2:48" x14ac:dyDescent="0.25">
      <c r="AS23" t="s">
        <v>63</v>
      </c>
      <c r="AT23" s="6">
        <v>-0.01</v>
      </c>
    </row>
    <row r="24" spans="2:48" x14ac:dyDescent="0.25">
      <c r="B24" t="s">
        <v>59</v>
      </c>
      <c r="G24" s="6">
        <f>G2/C2-1</f>
        <v>0.4020487907910022</v>
      </c>
      <c r="H24" s="6">
        <f t="shared" ref="H24:T24" si="29">H2/D2-1</f>
        <v>0.38405503844597333</v>
      </c>
      <c r="I24" s="6">
        <f t="shared" si="29"/>
        <v>0.14053026875395891</v>
      </c>
      <c r="J24" s="6">
        <f t="shared" si="29"/>
        <v>-6.0745711376276268E-2</v>
      </c>
      <c r="K24" s="6">
        <f t="shared" si="29"/>
        <v>0.37390027116601399</v>
      </c>
      <c r="L24" s="6">
        <f t="shared" si="29"/>
        <v>0.61622807017543835</v>
      </c>
      <c r="M24" s="6">
        <f t="shared" si="29"/>
        <v>1.0009520787051729</v>
      </c>
      <c r="N24" s="6">
        <f t="shared" si="29"/>
        <v>0.83716728056154044</v>
      </c>
      <c r="O24" s="6">
        <f t="shared" si="29"/>
        <v>0.3265971852915861</v>
      </c>
      <c r="P24" s="6">
        <f t="shared" si="29"/>
        <v>0.14142921754862048</v>
      </c>
      <c r="Q24" s="6">
        <f t="shared" si="29"/>
        <v>-5.5114988104678631E-3</v>
      </c>
      <c r="R24" s="6">
        <f t="shared" si="29"/>
        <v>-0.24059012672593161</v>
      </c>
      <c r="S24" s="6">
        <f t="shared" si="29"/>
        <v>-0.48729181303467373</v>
      </c>
      <c r="T24" s="6">
        <f t="shared" si="29"/>
        <v>-0.44383246820145017</v>
      </c>
      <c r="U24" s="6">
        <f t="shared" ref="U24" si="30">U2/Q2-1</f>
        <v>-0.34243849926238978</v>
      </c>
      <c r="V24" s="6">
        <f t="shared" ref="V24" si="31">V2/R2-1</f>
        <v>-3.4697260273972463E-2</v>
      </c>
      <c r="AA24" s="6">
        <f>AA2/Z2-1</f>
        <v>1.2609858616736691E-2</v>
      </c>
      <c r="AB24" s="6">
        <f t="shared" ref="AB24:AE24" si="32">AB2/AA2-1</f>
        <v>-0.13726415094339628</v>
      </c>
      <c r="AC24" s="6">
        <f t="shared" si="32"/>
        <v>0.17992564242755593</v>
      </c>
      <c r="AD24" s="6">
        <f t="shared" si="32"/>
        <v>0.70910863525238144</v>
      </c>
      <c r="AE24" s="6">
        <f t="shared" si="32"/>
        <v>2.5810649604164349E-2</v>
      </c>
      <c r="AF24" s="6">
        <f t="shared" ref="AF24:AO24" si="33">AF2/AE2-1</f>
        <v>-0.34123319061211532</v>
      </c>
      <c r="AG24" s="6">
        <f t="shared" si="33"/>
        <v>0.19999999999999996</v>
      </c>
      <c r="AH24" s="6">
        <f t="shared" si="33"/>
        <v>0.10000000000000009</v>
      </c>
      <c r="AI24" s="6">
        <f t="shared" si="33"/>
        <v>0.10000000000000009</v>
      </c>
      <c r="AJ24" s="6">
        <f t="shared" si="33"/>
        <v>0.10000000000000009</v>
      </c>
      <c r="AK24" s="6">
        <f t="shared" si="33"/>
        <v>0.10000000000000009</v>
      </c>
      <c r="AL24" s="6">
        <f t="shared" si="33"/>
        <v>0.10000000000000009</v>
      </c>
      <c r="AM24" s="6">
        <f t="shared" si="33"/>
        <v>0.10000000000000009</v>
      </c>
      <c r="AN24" s="6">
        <f t="shared" si="33"/>
        <v>0.10000000000000009</v>
      </c>
      <c r="AO24" s="6">
        <f t="shared" si="33"/>
        <v>0.10000000000000009</v>
      </c>
      <c r="AS24" t="s">
        <v>64</v>
      </c>
      <c r="AT24" s="8">
        <f>NPV(AT22,AF13:KH13)</f>
        <v>3605.5253535837719</v>
      </c>
    </row>
    <row r="25" spans="2:48" x14ac:dyDescent="0.25">
      <c r="B25" t="s">
        <v>60</v>
      </c>
      <c r="C25" s="6">
        <f>C12/C11</f>
        <v>0.1796407185628742</v>
      </c>
      <c r="D25" s="6">
        <f>D12/D11</f>
        <v>3.4411562284927727E-2</v>
      </c>
      <c r="E25" s="6">
        <f>E12/E11</f>
        <v>7.4856891237340378E-2</v>
      </c>
      <c r="F25" s="6">
        <f>F12/F11</f>
        <v>0.1234567901234568</v>
      </c>
      <c r="G25" s="6">
        <f>G12/G11</f>
        <v>-1.8953752843062926E-2</v>
      </c>
      <c r="H25" s="6">
        <f>H12/H11</f>
        <v>9.1185410334346476E-2</v>
      </c>
      <c r="I25" s="6">
        <f>I12/I11</f>
        <v>0.11044364016268046</v>
      </c>
      <c r="J25" s="6">
        <f>J12/J11</f>
        <v>0</v>
      </c>
      <c r="K25" s="6">
        <f>K12/K11</f>
        <v>0.20697618684502925</v>
      </c>
      <c r="L25" s="6">
        <f>L12/L11</f>
        <v>0.19249057222495494</v>
      </c>
      <c r="M25" s="6">
        <f>M12/M11</f>
        <v>0.20208023774145623</v>
      </c>
      <c r="N25" s="6">
        <f>N12/N11</f>
        <v>0.16998341625207292</v>
      </c>
      <c r="O25" s="6">
        <f>O12/O11</f>
        <v>0.18443977170321418</v>
      </c>
      <c r="P25" s="6">
        <f>P12/P11</f>
        <v>0.20089449373121199</v>
      </c>
      <c r="Q25" s="6">
        <f>Q12/Q11</f>
        <v>0.19527051236116086</v>
      </c>
      <c r="R25" s="6">
        <f>R12/R11</f>
        <v>0.11882616453437604</v>
      </c>
      <c r="S25" s="6">
        <f>S12/S11</f>
        <v>0.2908093278463651</v>
      </c>
      <c r="T25" s="6">
        <f>T12/T11</f>
        <v>0.18910675381263584</v>
      </c>
      <c r="U25" s="6">
        <f t="shared" ref="U25:V25" si="34">U12/U11</f>
        <v>0.18</v>
      </c>
      <c r="V25" s="6">
        <f t="shared" si="34"/>
        <v>0.18</v>
      </c>
      <c r="W25" s="6"/>
      <c r="X25" s="6"/>
      <c r="Y25" s="6"/>
      <c r="Z25" s="6">
        <f>Z12/Z11</f>
        <v>0.21826098788950879</v>
      </c>
      <c r="AA25" s="6">
        <f>AA12/AA11</f>
        <v>0.10031481323917298</v>
      </c>
      <c r="AB25" s="6">
        <f>AB12/AB11</f>
        <v>9.9844977534880072E-2</v>
      </c>
      <c r="AC25" s="6">
        <f>AC12/AC11</f>
        <v>5.6540684922159107E-2</v>
      </c>
      <c r="AD25" s="6">
        <f>AD12/AD11</f>
        <v>0.19096941252629876</v>
      </c>
      <c r="AE25" s="6">
        <f>AE12/AE11</f>
        <v>0.18390804597701152</v>
      </c>
      <c r="AF25" s="6">
        <f t="shared" ref="AF25:AO25" si="35">AF12/AF11</f>
        <v>0.2</v>
      </c>
      <c r="AG25" s="6">
        <f t="shared" si="35"/>
        <v>0.2</v>
      </c>
      <c r="AH25" s="6">
        <f t="shared" si="35"/>
        <v>0.2</v>
      </c>
      <c r="AI25" s="6">
        <f t="shared" si="35"/>
        <v>0.2</v>
      </c>
      <c r="AJ25" s="6">
        <f t="shared" si="35"/>
        <v>0.2</v>
      </c>
      <c r="AK25" s="6">
        <f t="shared" si="35"/>
        <v>0.2</v>
      </c>
      <c r="AL25" s="6">
        <f t="shared" si="35"/>
        <v>0.2</v>
      </c>
      <c r="AM25" s="6">
        <f t="shared" si="35"/>
        <v>0.20000000000000004</v>
      </c>
      <c r="AN25" s="6">
        <f t="shared" si="35"/>
        <v>0.2</v>
      </c>
      <c r="AO25" s="6">
        <f t="shared" si="35"/>
        <v>0.2</v>
      </c>
    </row>
    <row r="26" spans="2:48" x14ac:dyDescent="0.25">
      <c r="B26" t="s">
        <v>61</v>
      </c>
      <c r="G26" s="6">
        <f>G5/C5-1</f>
        <v>3.3249910618519785E-2</v>
      </c>
      <c r="H26" s="6">
        <f t="shared" ref="H26:T26" si="36">H5/D5-1</f>
        <v>0.20920502092050208</v>
      </c>
      <c r="I26" s="6">
        <f t="shared" si="36"/>
        <v>8.5185185185185253E-2</v>
      </c>
      <c r="J26" s="6">
        <f t="shared" si="36"/>
        <v>9.584193453258627E-2</v>
      </c>
      <c r="K26" s="6">
        <f t="shared" si="36"/>
        <v>0.24221453287197225</v>
      </c>
      <c r="L26" s="6">
        <f t="shared" si="36"/>
        <v>0.34602076124567471</v>
      </c>
      <c r="M26" s="6">
        <f t="shared" si="36"/>
        <v>0.69131588926810772</v>
      </c>
      <c r="N26" s="6">
        <f t="shared" si="36"/>
        <v>0.20398277717976332</v>
      </c>
      <c r="O26" s="6">
        <f t="shared" si="36"/>
        <v>0.27075208913649029</v>
      </c>
      <c r="P26" s="6">
        <f t="shared" si="36"/>
        <v>0.11182519280205661</v>
      </c>
      <c r="Q26" s="6">
        <f t="shared" si="36"/>
        <v>7.0403587443946147E-2</v>
      </c>
      <c r="R26" s="6">
        <f t="shared" si="36"/>
        <v>0.16048278945015637</v>
      </c>
      <c r="S26" s="6">
        <f t="shared" si="36"/>
        <v>-0.23608066637439717</v>
      </c>
      <c r="T26" s="6">
        <f t="shared" si="36"/>
        <v>-4.5086705202312172E-2</v>
      </c>
      <c r="U26" s="6">
        <f t="shared" ref="U26" si="37">U5/Q5-1</f>
        <v>-0.20402178466694598</v>
      </c>
      <c r="V26" s="6">
        <f t="shared" ref="V26" si="38">V5/R5-1</f>
        <v>-0.32588597842835132</v>
      </c>
      <c r="AS26" t="s">
        <v>65</v>
      </c>
      <c r="AT26" s="3">
        <f>AT24/Main!K2</f>
        <v>107.82718325210155</v>
      </c>
      <c r="AU26" t="s">
        <v>67</v>
      </c>
      <c r="AV26">
        <f>93.52+(0.388*24.88)</f>
        <v>103.17344</v>
      </c>
    </row>
    <row r="27" spans="2:48" x14ac:dyDescent="0.25">
      <c r="AS27" t="s">
        <v>66</v>
      </c>
      <c r="AT27" s="6">
        <f>AT26/Main!K1-1</f>
        <v>0.80918092704868361</v>
      </c>
    </row>
    <row r="31" spans="2:48" x14ac:dyDescent="0.25">
      <c r="B31" t="s">
        <v>5</v>
      </c>
      <c r="P31" s="5">
        <v>179858</v>
      </c>
      <c r="Q31" s="5">
        <v>199215</v>
      </c>
      <c r="R31" s="5">
        <v>232179</v>
      </c>
      <c r="S31" s="5">
        <v>225382</v>
      </c>
      <c r="T31" s="5">
        <v>249830</v>
      </c>
    </row>
    <row r="32" spans="2:48" x14ac:dyDescent="0.25">
      <c r="B32" t="s">
        <v>41</v>
      </c>
      <c r="P32" s="5">
        <v>243546</v>
      </c>
      <c r="Q32" s="5">
        <v>229692</v>
      </c>
      <c r="R32" s="5">
        <v>206105</v>
      </c>
      <c r="S32" s="5">
        <v>145772</v>
      </c>
      <c r="T32" s="5">
        <v>166020</v>
      </c>
    </row>
    <row r="33" spans="2:20" x14ac:dyDescent="0.25">
      <c r="B33" t="s">
        <v>42</v>
      </c>
      <c r="P33" s="5">
        <v>265518</v>
      </c>
      <c r="Q33" s="5">
        <v>305566</v>
      </c>
      <c r="R33" s="5">
        <v>287964</v>
      </c>
      <c r="S33" s="5">
        <v>307662</v>
      </c>
      <c r="T33" s="5">
        <v>250524</v>
      </c>
    </row>
    <row r="34" spans="2:20" x14ac:dyDescent="0.25">
      <c r="B34" t="s">
        <v>43</v>
      </c>
      <c r="P34" s="5">
        <v>48532</v>
      </c>
      <c r="Q34" s="5">
        <v>48500</v>
      </c>
      <c r="R34" s="5">
        <v>49484</v>
      </c>
      <c r="S34" s="5">
        <v>49492</v>
      </c>
      <c r="T34" s="5">
        <v>49480</v>
      </c>
    </row>
    <row r="35" spans="2:20" x14ac:dyDescent="0.25">
      <c r="B35" t="s">
        <v>44</v>
      </c>
      <c r="P35" s="5">
        <v>37234</v>
      </c>
      <c r="Q35" s="5">
        <v>13899</v>
      </c>
      <c r="R35" s="5">
        <v>12190</v>
      </c>
      <c r="S35" s="5">
        <v>14115</v>
      </c>
      <c r="T35" s="5">
        <v>15916</v>
      </c>
    </row>
    <row r="36" spans="2:20" x14ac:dyDescent="0.25">
      <c r="B36" t="s">
        <v>45</v>
      </c>
      <c r="P36" s="5">
        <v>8439</v>
      </c>
      <c r="Q36" s="5">
        <v>8333</v>
      </c>
      <c r="R36" s="5">
        <v>9267</v>
      </c>
      <c r="S36" s="5">
        <v>14068</v>
      </c>
      <c r="T36" s="5">
        <v>19767</v>
      </c>
    </row>
    <row r="37" spans="2:20" x14ac:dyDescent="0.25">
      <c r="B37" t="s">
        <v>46</v>
      </c>
      <c r="P37" s="5">
        <v>131368</v>
      </c>
      <c r="Q37" s="5">
        <v>133499</v>
      </c>
      <c r="R37" s="5">
        <v>139434</v>
      </c>
      <c r="S37" s="5">
        <v>147115</v>
      </c>
      <c r="T37" s="5">
        <v>156962</v>
      </c>
    </row>
    <row r="38" spans="2:20" x14ac:dyDescent="0.25">
      <c r="B38" t="s">
        <v>47</v>
      </c>
      <c r="P38" s="5">
        <v>22507</v>
      </c>
      <c r="Q38" s="5">
        <v>22778</v>
      </c>
      <c r="R38" s="5">
        <v>24627</v>
      </c>
      <c r="S38" s="5">
        <v>24592</v>
      </c>
      <c r="T38" s="5">
        <v>38077</v>
      </c>
    </row>
    <row r="39" spans="2:20" x14ac:dyDescent="0.25">
      <c r="B39" s="4" t="s">
        <v>48</v>
      </c>
      <c r="P39" s="5">
        <f>SUM(P31:P38)</f>
        <v>937002</v>
      </c>
      <c r="Q39" s="5">
        <f>SUM(Q31:Q38)</f>
        <v>961482</v>
      </c>
      <c r="R39" s="5">
        <f>SUM(R31:R38)</f>
        <v>961250</v>
      </c>
      <c r="S39" s="5">
        <f>SUM(S31:S38)</f>
        <v>928198</v>
      </c>
      <c r="T39" s="5">
        <f>SUM(T31:T38)</f>
        <v>946576</v>
      </c>
    </row>
    <row r="41" spans="2:20" x14ac:dyDescent="0.25">
      <c r="B41" t="s">
        <v>49</v>
      </c>
      <c r="P41" s="5">
        <v>87272</v>
      </c>
      <c r="Q41" s="5">
        <v>70731</v>
      </c>
      <c r="R41" s="5">
        <v>36023</v>
      </c>
      <c r="S41" s="5">
        <v>35373</v>
      </c>
      <c r="T41" s="5">
        <v>12529</v>
      </c>
    </row>
    <row r="42" spans="2:20" x14ac:dyDescent="0.25">
      <c r="B42" t="s">
        <v>50</v>
      </c>
      <c r="P42" s="5">
        <v>46434</v>
      </c>
      <c r="Q42" s="5">
        <v>46211</v>
      </c>
      <c r="R42" s="5">
        <v>42114</v>
      </c>
      <c r="S42" s="5">
        <v>43685</v>
      </c>
      <c r="T42" s="5">
        <v>31272</v>
      </c>
    </row>
    <row r="43" spans="2:20" x14ac:dyDescent="0.25">
      <c r="B43" t="s">
        <v>51</v>
      </c>
      <c r="P43" s="5">
        <v>114392</v>
      </c>
      <c r="Q43" s="5">
        <v>105855</v>
      </c>
      <c r="R43" s="5">
        <v>105731</v>
      </c>
      <c r="S43" s="5">
        <v>55644</v>
      </c>
      <c r="T43" s="5">
        <v>78771</v>
      </c>
    </row>
    <row r="44" spans="2:20" x14ac:dyDescent="0.25">
      <c r="B44" t="s">
        <v>52</v>
      </c>
      <c r="P44" s="5">
        <v>44007</v>
      </c>
      <c r="Q44" s="5">
        <v>44328</v>
      </c>
      <c r="R44" s="5">
        <v>44781</v>
      </c>
      <c r="S44" s="5">
        <v>45223</v>
      </c>
      <c r="T44" s="5">
        <v>64562</v>
      </c>
    </row>
    <row r="45" spans="2:20" x14ac:dyDescent="0.25">
      <c r="B45" t="s">
        <v>53</v>
      </c>
      <c r="P45" s="5">
        <f>SUM(P41:P44)</f>
        <v>292105</v>
      </c>
      <c r="Q45" s="5">
        <f>SUM(Q41:Q44)</f>
        <v>267125</v>
      </c>
      <c r="R45" s="5">
        <f>SUM(R41:R44)</f>
        <v>228649</v>
      </c>
      <c r="S45" s="5">
        <f>SUM(S41:S44)</f>
        <v>179925</v>
      </c>
      <c r="T45" s="5">
        <f>SUM(T41:T44)</f>
        <v>187134</v>
      </c>
    </row>
    <row r="47" spans="2:20" x14ac:dyDescent="0.25">
      <c r="B47" t="s">
        <v>54</v>
      </c>
      <c r="P47" s="5">
        <f>P39-P45</f>
        <v>644897</v>
      </c>
      <c r="Q47" s="5">
        <f>Q39-Q45</f>
        <v>694357</v>
      </c>
      <c r="R47" s="5">
        <f>R39-R45</f>
        <v>732601</v>
      </c>
      <c r="S47" s="5">
        <f>S39-S45</f>
        <v>748273</v>
      </c>
      <c r="T47" s="5">
        <f>T39-T45</f>
        <v>759442</v>
      </c>
    </row>
  </sheetData>
  <hyperlinks>
    <hyperlink ref="A1" location="Sheet1!A1" display="Main" xr:uid="{64F3CCE5-7FB6-4705-BD76-3791BBF92A7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Garza</cp:lastModifiedBy>
  <cp:revision/>
  <dcterms:created xsi:type="dcterms:W3CDTF">2023-07-30T00:36:07Z</dcterms:created>
  <dcterms:modified xsi:type="dcterms:W3CDTF">2023-07-30T02:14:38Z</dcterms:modified>
  <cp:category/>
  <cp:contentStatus/>
</cp:coreProperties>
</file>