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bgarza/Desktop/Models/Models/"/>
    </mc:Choice>
  </mc:AlternateContent>
  <xr:revisionPtr revIDLastSave="0" documentId="13_ncr:1_{65993CEB-CAFF-AB45-8A34-4C5D2F24A8F8}" xr6:coauthVersionLast="47" xr6:coauthVersionMax="47" xr10:uidLastSave="{00000000-0000-0000-0000-000000000000}"/>
  <bookViews>
    <workbookView xWindow="0" yWindow="500" windowWidth="17420" windowHeight="21900" activeTab="1" xr2:uid="{E132C044-0DC3-4E43-BB78-653D592A4DBE}"/>
  </bookViews>
  <sheets>
    <sheet name="Main" sheetId="1" r:id="rId1"/>
    <sheet name="Model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0" i="2" l="1"/>
  <c r="AH29" i="2"/>
  <c r="AH28" i="2"/>
  <c r="AG15" i="2"/>
  <c r="AH15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BK15" i="2" s="1"/>
  <c r="BL15" i="2" s="1"/>
  <c r="BM15" i="2" s="1"/>
  <c r="BN15" i="2" s="1"/>
  <c r="BO15" i="2" s="1"/>
  <c r="BP15" i="2" s="1"/>
  <c r="BQ15" i="2" s="1"/>
  <c r="BR15" i="2" s="1"/>
  <c r="BS15" i="2" s="1"/>
  <c r="BT15" i="2" s="1"/>
  <c r="BU15" i="2" s="1"/>
  <c r="BV15" i="2" s="1"/>
  <c r="BW15" i="2" s="1"/>
  <c r="BX15" i="2" s="1"/>
  <c r="BY15" i="2" s="1"/>
  <c r="BZ15" i="2" s="1"/>
  <c r="CA15" i="2" s="1"/>
  <c r="CB15" i="2" s="1"/>
  <c r="CC15" i="2" s="1"/>
  <c r="CD15" i="2" s="1"/>
  <c r="CE15" i="2" s="1"/>
  <c r="CF15" i="2" s="1"/>
  <c r="CG15" i="2" s="1"/>
  <c r="CH15" i="2" s="1"/>
  <c r="CI15" i="2" s="1"/>
  <c r="CJ15" i="2" s="1"/>
  <c r="CK15" i="2" s="1"/>
  <c r="CL15" i="2" s="1"/>
  <c r="CM15" i="2" s="1"/>
  <c r="CN15" i="2" s="1"/>
  <c r="CO15" i="2" s="1"/>
  <c r="CP15" i="2" s="1"/>
  <c r="CQ15" i="2" s="1"/>
  <c r="CR15" i="2" s="1"/>
  <c r="CS15" i="2" s="1"/>
  <c r="CT15" i="2" s="1"/>
  <c r="CU15" i="2" s="1"/>
  <c r="CV15" i="2" s="1"/>
  <c r="CW15" i="2" s="1"/>
  <c r="CX15" i="2" s="1"/>
  <c r="CY15" i="2" s="1"/>
  <c r="CZ15" i="2" s="1"/>
  <c r="DA15" i="2" s="1"/>
  <c r="DB15" i="2" s="1"/>
  <c r="DC15" i="2" s="1"/>
  <c r="DD15" i="2" s="1"/>
  <c r="DE15" i="2" s="1"/>
  <c r="DF15" i="2" s="1"/>
  <c r="DG15" i="2" s="1"/>
  <c r="DH15" i="2" s="1"/>
  <c r="DI15" i="2" s="1"/>
  <c r="DJ15" i="2" s="1"/>
  <c r="DK15" i="2" s="1"/>
  <c r="DL15" i="2" s="1"/>
  <c r="DM15" i="2" s="1"/>
  <c r="DN15" i="2" s="1"/>
  <c r="DO15" i="2" s="1"/>
  <c r="DP15" i="2" s="1"/>
  <c r="DQ15" i="2" s="1"/>
  <c r="DR15" i="2" s="1"/>
  <c r="DS15" i="2" s="1"/>
  <c r="DT15" i="2" s="1"/>
  <c r="DU15" i="2" s="1"/>
  <c r="DV15" i="2" s="1"/>
  <c r="DW15" i="2" s="1"/>
  <c r="DX15" i="2" s="1"/>
  <c r="DY15" i="2" s="1"/>
  <c r="DZ15" i="2" s="1"/>
  <c r="EA15" i="2" s="1"/>
  <c r="EB15" i="2" s="1"/>
  <c r="EC15" i="2" s="1"/>
  <c r="ED15" i="2" s="1"/>
  <c r="EE15" i="2" s="1"/>
  <c r="EF15" i="2" s="1"/>
  <c r="EG15" i="2" s="1"/>
  <c r="EH15" i="2" s="1"/>
  <c r="AF15" i="2"/>
  <c r="Y3" i="2"/>
  <c r="Z3" i="2" s="1"/>
  <c r="AA3" i="2" s="1"/>
  <c r="AB3" i="2" s="1"/>
  <c r="AC3" i="2" s="1"/>
  <c r="AD3" i="2" s="1"/>
  <c r="AE3" i="2" s="1"/>
  <c r="X3" i="2"/>
  <c r="Y14" i="2"/>
  <c r="Z14" i="2" s="1"/>
  <c r="AA14" i="2" s="1"/>
  <c r="AB14" i="2" s="1"/>
  <c r="AC14" i="2" s="1"/>
  <c r="AD14" i="2" s="1"/>
  <c r="AE14" i="2" s="1"/>
  <c r="Y12" i="2"/>
  <c r="Z12" i="2" s="1"/>
  <c r="AA12" i="2" s="1"/>
  <c r="AB12" i="2" s="1"/>
  <c r="AC12" i="2" s="1"/>
  <c r="AD12" i="2" s="1"/>
  <c r="AE12" i="2" s="1"/>
  <c r="Y11" i="2"/>
  <c r="Z11" i="2" s="1"/>
  <c r="AA11" i="2" s="1"/>
  <c r="AB11" i="2" s="1"/>
  <c r="AC11" i="2" s="1"/>
  <c r="AD11" i="2" s="1"/>
  <c r="AE11" i="2" s="1"/>
  <c r="Y8" i="2"/>
  <c r="Y9" i="2" s="1"/>
  <c r="Y7" i="2"/>
  <c r="Z7" i="2" s="1"/>
  <c r="AA7" i="2" s="1"/>
  <c r="AB7" i="2" s="1"/>
  <c r="AC7" i="2" s="1"/>
  <c r="AD7" i="2" s="1"/>
  <c r="AE7" i="2" s="1"/>
  <c r="Y6" i="2"/>
  <c r="Z6" i="2" s="1"/>
  <c r="AA6" i="2" s="1"/>
  <c r="AB6" i="2" s="1"/>
  <c r="AC6" i="2" s="1"/>
  <c r="AD6" i="2" s="1"/>
  <c r="AE6" i="2" s="1"/>
  <c r="Y4" i="2"/>
  <c r="Z4" i="2" s="1"/>
  <c r="AA4" i="2" s="1"/>
  <c r="AB4" i="2" s="1"/>
  <c r="AC4" i="2" s="1"/>
  <c r="AD4" i="2" s="1"/>
  <c r="AE4" i="2" s="1"/>
  <c r="Y20" i="2"/>
  <c r="X20" i="2"/>
  <c r="X14" i="2"/>
  <c r="X12" i="2"/>
  <c r="X11" i="2"/>
  <c r="X9" i="2"/>
  <c r="X8" i="2"/>
  <c r="X7" i="2"/>
  <c r="X6" i="2"/>
  <c r="X5" i="2"/>
  <c r="X4" i="2"/>
  <c r="Z1" i="2"/>
  <c r="AA1" i="2" s="1"/>
  <c r="AB1" i="2" s="1"/>
  <c r="AC1" i="2" s="1"/>
  <c r="AD1" i="2" s="1"/>
  <c r="AE1" i="2" s="1"/>
  <c r="Y1" i="2"/>
  <c r="V20" i="2"/>
  <c r="U20" i="2"/>
  <c r="W20" i="2"/>
  <c r="W18" i="2"/>
  <c r="W14" i="2"/>
  <c r="W12" i="2"/>
  <c r="W11" i="2"/>
  <c r="W9" i="2"/>
  <c r="W8" i="2"/>
  <c r="W7" i="2"/>
  <c r="W6" i="2"/>
  <c r="W5" i="2"/>
  <c r="W4" i="2"/>
  <c r="W3" i="2"/>
  <c r="R3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R9" i="2"/>
  <c r="R8" i="2"/>
  <c r="R7" i="2"/>
  <c r="R5" i="2"/>
  <c r="R4" i="2" s="1"/>
  <c r="R21" i="2"/>
  <c r="R20" i="2"/>
  <c r="Q20" i="2"/>
  <c r="Q9" i="2"/>
  <c r="Q5" i="2"/>
  <c r="Q21" i="2" s="1"/>
  <c r="J14" i="2"/>
  <c r="U14" i="2" s="1"/>
  <c r="J8" i="2"/>
  <c r="U8" i="2"/>
  <c r="U9" i="2"/>
  <c r="U10" i="2" s="1"/>
  <c r="U13" i="2" s="1"/>
  <c r="J12" i="2"/>
  <c r="U12" i="2"/>
  <c r="N12" i="2"/>
  <c r="V12" i="2"/>
  <c r="T18" i="2"/>
  <c r="T17" i="2"/>
  <c r="T15" i="2"/>
  <c r="T14" i="2"/>
  <c r="T13" i="2"/>
  <c r="T12" i="2"/>
  <c r="T11" i="2"/>
  <c r="T9" i="2"/>
  <c r="T10" i="2" s="1"/>
  <c r="T8" i="2"/>
  <c r="T7" i="2"/>
  <c r="T6" i="2"/>
  <c r="T5" i="2"/>
  <c r="T4" i="2"/>
  <c r="T3" i="2"/>
  <c r="U18" i="2"/>
  <c r="U11" i="2"/>
  <c r="U7" i="2"/>
  <c r="U6" i="2"/>
  <c r="U5" i="2"/>
  <c r="U4" i="2"/>
  <c r="U3" i="2"/>
  <c r="V18" i="2"/>
  <c r="V15" i="2"/>
  <c r="V17" i="2" s="1"/>
  <c r="V14" i="2"/>
  <c r="V13" i="2"/>
  <c r="V11" i="2"/>
  <c r="V10" i="2"/>
  <c r="V9" i="2"/>
  <c r="V8" i="2"/>
  <c r="V7" i="2"/>
  <c r="V6" i="2"/>
  <c r="V5" i="2"/>
  <c r="V4" i="2"/>
  <c r="V3" i="2"/>
  <c r="P22" i="2"/>
  <c r="O22" i="2"/>
  <c r="N22" i="2"/>
  <c r="M22" i="2"/>
  <c r="L22" i="2"/>
  <c r="K22" i="2"/>
  <c r="I22" i="2"/>
  <c r="H22" i="2"/>
  <c r="G22" i="2"/>
  <c r="F22" i="2"/>
  <c r="E22" i="2"/>
  <c r="D22" i="2"/>
  <c r="C22" i="2"/>
  <c r="P21" i="2"/>
  <c r="O21" i="2"/>
  <c r="L21" i="2"/>
  <c r="I21" i="2"/>
  <c r="F21" i="2"/>
  <c r="D21" i="2"/>
  <c r="C21" i="2"/>
  <c r="O20" i="2"/>
  <c r="N20" i="2"/>
  <c r="M20" i="2"/>
  <c r="L20" i="2"/>
  <c r="K20" i="2"/>
  <c r="I20" i="2"/>
  <c r="H20" i="2"/>
  <c r="G20" i="2"/>
  <c r="P20" i="2"/>
  <c r="C9" i="2"/>
  <c r="C5" i="2"/>
  <c r="D9" i="2"/>
  <c r="D5" i="2"/>
  <c r="E9" i="2"/>
  <c r="E5" i="2"/>
  <c r="E21" i="2" s="1"/>
  <c r="F14" i="2"/>
  <c r="F12" i="2"/>
  <c r="F11" i="2"/>
  <c r="F8" i="2"/>
  <c r="F7" i="2"/>
  <c r="F6" i="2"/>
  <c r="F4" i="2"/>
  <c r="F3" i="2"/>
  <c r="F5" i="2" s="1"/>
  <c r="J11" i="2"/>
  <c r="J7" i="2"/>
  <c r="J6" i="2"/>
  <c r="J4" i="2"/>
  <c r="J3" i="2"/>
  <c r="J5" i="2" s="1"/>
  <c r="J21" i="2" s="1"/>
  <c r="G9" i="2"/>
  <c r="G5" i="2"/>
  <c r="G21" i="2" s="1"/>
  <c r="H9" i="2"/>
  <c r="H5" i="2"/>
  <c r="H21" i="2" s="1"/>
  <c r="I9" i="2"/>
  <c r="I5" i="2"/>
  <c r="N14" i="2"/>
  <c r="N11" i="2"/>
  <c r="N8" i="2"/>
  <c r="N7" i="2"/>
  <c r="N6" i="2"/>
  <c r="N4" i="2"/>
  <c r="N3" i="2"/>
  <c r="N5" i="2" s="1"/>
  <c r="N21" i="2" s="1"/>
  <c r="M9" i="2"/>
  <c r="M5" i="2"/>
  <c r="M21" i="2" s="1"/>
  <c r="K9" i="2"/>
  <c r="K5" i="2"/>
  <c r="K21" i="2" s="1"/>
  <c r="O9" i="2"/>
  <c r="O5" i="2"/>
  <c r="L9" i="2"/>
  <c r="L5" i="2"/>
  <c r="P9" i="2"/>
  <c r="P5" i="2"/>
  <c r="L4" i="1"/>
  <c r="L7" i="1" s="1"/>
  <c r="Y5" i="2" l="1"/>
  <c r="Y10" i="2" s="1"/>
  <c r="Y13" i="2" s="1"/>
  <c r="Y15" i="2" s="1"/>
  <c r="Z8" i="2"/>
  <c r="X10" i="2"/>
  <c r="X13" i="2" s="1"/>
  <c r="X15" i="2" s="1"/>
  <c r="W10" i="2"/>
  <c r="W13" i="2" s="1"/>
  <c r="W15" i="2" s="1"/>
  <c r="W17" i="2" s="1"/>
  <c r="R10" i="2"/>
  <c r="Q10" i="2"/>
  <c r="U15" i="2"/>
  <c r="U17" i="2" s="1"/>
  <c r="J20" i="2"/>
  <c r="C10" i="2"/>
  <c r="C13" i="2" s="1"/>
  <c r="C15" i="2" s="1"/>
  <c r="D10" i="2"/>
  <c r="D13" i="2" s="1"/>
  <c r="D15" i="2" s="1"/>
  <c r="E10" i="2"/>
  <c r="E13" i="2" s="1"/>
  <c r="E15" i="2" s="1"/>
  <c r="F9" i="2"/>
  <c r="F10" i="2" s="1"/>
  <c r="F13" i="2" s="1"/>
  <c r="F15" i="2" s="1"/>
  <c r="J9" i="2"/>
  <c r="N9" i="2"/>
  <c r="J10" i="2"/>
  <c r="N10" i="2"/>
  <c r="N13" i="2" s="1"/>
  <c r="N15" i="2" s="1"/>
  <c r="G10" i="2"/>
  <c r="G13" i="2" s="1"/>
  <c r="G15" i="2" s="1"/>
  <c r="H10" i="2"/>
  <c r="H13" i="2" s="1"/>
  <c r="H15" i="2" s="1"/>
  <c r="I10" i="2"/>
  <c r="M10" i="2"/>
  <c r="M13" i="2" s="1"/>
  <c r="M15" i="2" s="1"/>
  <c r="K10" i="2"/>
  <c r="K13" i="2" s="1"/>
  <c r="K15" i="2" s="1"/>
  <c r="O10" i="2"/>
  <c r="O13" i="2" s="1"/>
  <c r="O15" i="2" s="1"/>
  <c r="L10" i="2"/>
  <c r="L13" i="2" s="1"/>
  <c r="L15" i="2" s="1"/>
  <c r="P10" i="2"/>
  <c r="P13" i="2" s="1"/>
  <c r="P15" i="2" s="1"/>
  <c r="AA8" i="2" l="1"/>
  <c r="Z9" i="2"/>
  <c r="Z20" i="2"/>
  <c r="Z5" i="2"/>
  <c r="R22" i="2"/>
  <c r="R13" i="2"/>
  <c r="Q22" i="2"/>
  <c r="Q13" i="2"/>
  <c r="Q15" i="2" s="1"/>
  <c r="J13" i="2"/>
  <c r="J15" i="2" s="1"/>
  <c r="J22" i="2"/>
  <c r="K17" i="2"/>
  <c r="K23" i="2"/>
  <c r="H17" i="2"/>
  <c r="H23" i="2"/>
  <c r="L17" i="2"/>
  <c r="L23" i="2"/>
  <c r="O17" i="2"/>
  <c r="O23" i="2"/>
  <c r="M17" i="2"/>
  <c r="M23" i="2"/>
  <c r="G17" i="2"/>
  <c r="G23" i="2"/>
  <c r="N17" i="2"/>
  <c r="N23" i="2"/>
  <c r="J17" i="2"/>
  <c r="J23" i="2"/>
  <c r="F17" i="2"/>
  <c r="F23" i="2"/>
  <c r="E17" i="2"/>
  <c r="E23" i="2"/>
  <c r="D17" i="2"/>
  <c r="D23" i="2"/>
  <c r="C17" i="2"/>
  <c r="C23" i="2"/>
  <c r="P17" i="2"/>
  <c r="P23" i="2"/>
  <c r="I13" i="2"/>
  <c r="I15" i="2" s="1"/>
  <c r="Z10" i="2" l="1"/>
  <c r="Z13" i="2" s="1"/>
  <c r="Z15" i="2" s="1"/>
  <c r="AA20" i="2"/>
  <c r="AA5" i="2"/>
  <c r="AB8" i="2"/>
  <c r="AA9" i="2"/>
  <c r="R14" i="2"/>
  <c r="R25" i="2" s="1"/>
  <c r="R15" i="2"/>
  <c r="Q23" i="2"/>
  <c r="Q17" i="2"/>
  <c r="I17" i="2"/>
  <c r="I23" i="2"/>
  <c r="AB20" i="2" l="1"/>
  <c r="AB5" i="2"/>
  <c r="AB10" i="2" s="1"/>
  <c r="AB13" i="2" s="1"/>
  <c r="AB15" i="2" s="1"/>
  <c r="AA10" i="2"/>
  <c r="AA13" i="2" s="1"/>
  <c r="AA15" i="2" s="1"/>
  <c r="AB9" i="2"/>
  <c r="AC8" i="2"/>
  <c r="R17" i="2"/>
  <c r="R23" i="2"/>
  <c r="AD8" i="2" l="1"/>
  <c r="AC9" i="2"/>
  <c r="AC20" i="2"/>
  <c r="AC5" i="2"/>
  <c r="AC10" i="2" s="1"/>
  <c r="AC13" i="2" s="1"/>
  <c r="AC15" i="2" s="1"/>
  <c r="AD20" i="2" l="1"/>
  <c r="AD5" i="2"/>
  <c r="AE8" i="2"/>
  <c r="AE9" i="2" s="1"/>
  <c r="AD9" i="2"/>
  <c r="AD10" i="2" l="1"/>
  <c r="AD13" i="2" s="1"/>
  <c r="AD15" i="2" s="1"/>
  <c r="AE5" i="2"/>
  <c r="AE10" i="2" s="1"/>
  <c r="AE13" i="2" s="1"/>
  <c r="AE15" i="2" s="1"/>
  <c r="AE20" i="2"/>
</calcChain>
</file>

<file path=xl/sharedStrings.xml><?xml version="1.0" encoding="utf-8"?>
<sst xmlns="http://schemas.openxmlformats.org/spreadsheetml/2006/main" count="74" uniqueCount="61">
  <si>
    <t>Shares</t>
  </si>
  <si>
    <t>Price</t>
  </si>
  <si>
    <t>MC</t>
  </si>
  <si>
    <t>Cash</t>
  </si>
  <si>
    <t>Debt</t>
  </si>
  <si>
    <t>EV</t>
  </si>
  <si>
    <t>Manufacturer and Desinger of firearms</t>
  </si>
  <si>
    <t xml:space="preserve">Sells manufacturing services to other businesses </t>
  </si>
  <si>
    <t>Handguns</t>
  </si>
  <si>
    <t>Long Guns</t>
  </si>
  <si>
    <t>Other Products &amp; Services</t>
  </si>
  <si>
    <t>Model</t>
  </si>
  <si>
    <t>Main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</si>
  <si>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</si>
  <si>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</si>
  <si>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</si>
  <si>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</si>
  <si>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</si>
  <si>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</si>
  <si>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</si>
  <si>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</si>
  <si>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</si>
  <si>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</si>
  <si>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</si>
  <si>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</si>
  <si>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</si>
  <si>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</si>
  <si>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</si>
  <si>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FQ2</t>
  </si>
  <si>
    <t>FQ1</t>
  </si>
  <si>
    <t>FQ4</t>
  </si>
  <si>
    <t>FQ3</t>
  </si>
  <si>
    <t>Gross Profit</t>
  </si>
  <si>
    <t>COGS</t>
  </si>
  <si>
    <t>Revenue</t>
  </si>
  <si>
    <t>Operating Expense</t>
  </si>
  <si>
    <t>G&amp;A</t>
  </si>
  <si>
    <t>Selling, marketing, distribution</t>
  </si>
  <si>
    <t>R&amp;D</t>
  </si>
  <si>
    <t>Operating Income</t>
  </si>
  <si>
    <t>Other income</t>
  </si>
  <si>
    <t>Interest expense</t>
  </si>
  <si>
    <t>Pretax Income</t>
  </si>
  <si>
    <t>Taxes</t>
  </si>
  <si>
    <t>Net Profit</t>
  </si>
  <si>
    <t>EPS</t>
  </si>
  <si>
    <t>Rev y/y</t>
  </si>
  <si>
    <t>Gross margin</t>
  </si>
  <si>
    <t>Profit margin</t>
  </si>
  <si>
    <t>Operating margin</t>
  </si>
  <si>
    <t>FY20</t>
  </si>
  <si>
    <t>FY21</t>
  </si>
  <si>
    <t>FY22</t>
  </si>
  <si>
    <t>Management in FQ2 said channel inventory down significantly and 3 quarters sequentially</t>
  </si>
  <si>
    <t>Tax Rate</t>
  </si>
  <si>
    <t>FY23</t>
  </si>
  <si>
    <t>Maturity</t>
  </si>
  <si>
    <t>Discount</t>
  </si>
  <si>
    <t>NPV</t>
  </si>
  <si>
    <t>Share</t>
  </si>
  <si>
    <t>Upside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</si>
</sst>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_);[Red]\(0\)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1" fontId="0" fillId="0" borderId="0" xfId="0" applyNumberFormat="1"/>
    <xf numFmtId="0" fontId="2" fillId="0" borderId="0" xfId="1"/>
    <xf numFmtId="0" fontId="1" fillId="0" borderId="0" xfId="0" applyFont="1"/>
    <xf numFmtId="0" fontId="0" fillId="0" borderId="0" xfId="0" applyFont="1"/>
    <xf numFmtId="2" fontId="0" fillId="0" borderId="0" xfId="0" applyNumberFormat="1"/>
    <xf numFmtId="3" fontId="0" fillId="0" borderId="0" xfId="0" applyNumberFormat="1"/>
    <xf numFmtId="3" fontId="1" fillId="0" borderId="0" xfId="0" applyNumberFormat="1" applyFont="1"/>
    <xf numFmtId="9" fontId="0" fillId="0" borderId="0" xfId="0" applyNumberFormat="1"/>
    <xf numFmtId="3" fontId="0" fillId="0" borderId="0" xfId="0" applyNumberFormat="1" applyFont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16</xdr:col>
      <xdr:colOff>12700</xdr:colOff>
      <xdr:row>57</xdr:row>
      <xdr:rowOff>190500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04A2F1C-3E39-40B7-A837-A6D61C0C1A2B}"/>
            </a:ext>
          </a:extLst>
        </xdr:cNvPr>
        <xdr:cNvCxnSpPr/>
      </xdr:nvCxnSpPr>
      <xdr:spPr>
        <a:xfrm flipH="1">
          <a:off x="13614400" y="0"/>
          <a:ext cx="12700" cy="11569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</xdr:colOff>
      <xdr:row>0</xdr:row>
      <xdr:rowOff>58796</xdr:rowOff>
    </xdr:from>
    <xdr:to>
      <xdr:col>22</xdr:col>
      <xdr:colOff>11760</xdr:colOff>
      <xdr:row>31</xdr:row>
      <xdr:rowOff>47037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2BFD466-5DEC-F49D-D8A1-0D441AA26206}"/>
            </a:ext>
          </a:extLst>
        </xdr:cNvPr>
        <xdr:cNvCxnSpPr/>
      </xdr:nvCxnSpPr>
      <xdr:spPr>
        <a:xfrm>
          <a:off x="18920649" y="58796"/>
          <a:ext cx="11759" cy="618537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60B21-FE52-6A47-B093-11980FEA9D28}">
  <dimension ref="A1:L12"/>
  <sheetViews>
    <sheetView workbookViewId="0">
      <selection activeCell="I13" sqref="I13"/>
    </sheetView>
  </sheetViews>
  <sheetFormatPr baseColWidth="10" defaultRowHeight="16" x14ac:dyDescent="0.2"/>
  <cols>
    <col min="1" max="1" width="6.33203125" bestFit="1" customWidth="1"/>
  </cols>
  <sheetData>
    <row r="1" spans="1:12" x14ac:dyDescent="0.2">
      <c r="A1" s="2" t="s">
        <v>11</v>
      </c>
    </row>
    <row r="2" spans="1:12" x14ac:dyDescent="0.2">
      <c r="B2" t="s">
        <v>6</v>
      </c>
      <c r="K2" t="s">
        <v>1</v>
      </c>
      <c r="L2">
        <v>11.17</v>
      </c>
    </row>
    <row r="3" spans="1:12" x14ac:dyDescent="0.2">
      <c r="B3" t="s">
        <v>7</v>
      </c>
      <c r="K3" t="s">
        <v>0</v>
      </c>
      <c r="L3" s="6">
        <v>45897</v>
      </c>
    </row>
    <row r="4" spans="1:12" x14ac:dyDescent="0.2">
      <c r="K4" t="s">
        <v>2</v>
      </c>
      <c r="L4" s="6">
        <f>L2*L3</f>
        <v>512669.49</v>
      </c>
    </row>
    <row r="5" spans="1:12" x14ac:dyDescent="0.2">
      <c r="C5" t="s">
        <v>8</v>
      </c>
      <c r="K5" t="s">
        <v>3</v>
      </c>
      <c r="L5" s="1">
        <v>42.9</v>
      </c>
    </row>
    <row r="6" spans="1:12" x14ac:dyDescent="0.2">
      <c r="C6" t="s">
        <v>9</v>
      </c>
      <c r="K6" t="s">
        <v>4</v>
      </c>
      <c r="L6" s="1">
        <v>0</v>
      </c>
    </row>
    <row r="7" spans="1:12" x14ac:dyDescent="0.2">
      <c r="C7" t="s">
        <v>10</v>
      </c>
      <c r="K7" t="s">
        <v>5</v>
      </c>
      <c r="L7" s="6">
        <f>L4-L5+L6</f>
        <v>512626.58999999997</v>
      </c>
    </row>
    <row r="12" spans="1:12" x14ac:dyDescent="0.2">
      <c r="I12" t="s">
        <v>53</v>
      </c>
    </row>
  </sheetData>
  <hyperlinks>
    <hyperlink ref="A1" location="Model!A1" display="Model" xr:uid="{DF02E7D4-6F4E-3046-8184-103681FBCCB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DB625-2622-C841-B244-39918F881246}">
  <dimension ref="A1:EH30"/>
  <sheetViews>
    <sheetView tabSelected="1" zoomScale="108" zoomScaleNormal="108" workbookViewId="0">
      <pane xSplit="2" ySplit="2" topLeftCell="M3" activePane="bottomRight" state="frozen"/>
      <selection pane="topRight" activeCell="C1" sqref="C1"/>
      <selection pane="bottomLeft" activeCell="A3" sqref="A3"/>
      <selection pane="bottomRight" activeCell="H17" sqref="H17"/>
    </sheetView>
  </sheetViews>
  <sheetFormatPr baseColWidth="10" defaultRowHeight="16" x14ac:dyDescent="0.2"/>
  <cols>
    <col min="1" max="1" width="5.33203125" bestFit="1" customWidth="1"/>
    <col min="2" max="2" width="26.83203125" bestFit="1" customWidth="1"/>
    <col min="34" max="34" width="12.33203125" bestFit="1" customWidth="1"/>
  </cols>
  <sheetData>
    <row r="1" spans="1:138" x14ac:dyDescent="0.2">
      <c r="A1" s="2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T1">
        <v>2019</v>
      </c>
      <c r="U1">
        <v>2020</v>
      </c>
      <c r="V1">
        <v>2021</v>
      </c>
      <c r="W1">
        <v>2022</v>
      </c>
      <c r="X1">
        <v>2023</v>
      </c>
      <c r="Y1">
        <f>X1+1</f>
        <v>2024</v>
      </c>
      <c r="Z1">
        <f t="shared" ref="Z1:AE1" si="0">Y1+1</f>
        <v>2025</v>
      </c>
      <c r="AA1">
        <f t="shared" si="0"/>
        <v>2026</v>
      </c>
      <c r="AB1">
        <f t="shared" si="0"/>
        <v>2027</v>
      </c>
      <c r="AC1">
        <f t="shared" si="0"/>
        <v>2028</v>
      </c>
      <c r="AD1">
        <f t="shared" si="0"/>
        <v>2029</v>
      </c>
      <c r="AE1">
        <f t="shared" si="0"/>
        <v>2030</v>
      </c>
    </row>
    <row r="2" spans="1:138" x14ac:dyDescent="0.2">
      <c r="A2" s="2"/>
      <c r="C2" t="s">
        <v>29</v>
      </c>
      <c r="D2" t="s">
        <v>28</v>
      </c>
      <c r="E2" t="s">
        <v>31</v>
      </c>
      <c r="F2" t="s">
        <v>30</v>
      </c>
      <c r="G2" t="s">
        <v>29</v>
      </c>
      <c r="H2" t="s">
        <v>28</v>
      </c>
      <c r="I2" t="s">
        <v>31</v>
      </c>
      <c r="J2" t="s">
        <v>30</v>
      </c>
      <c r="K2" t="s">
        <v>29</v>
      </c>
      <c r="L2" t="s">
        <v>28</v>
      </c>
      <c r="M2" t="s">
        <v>31</v>
      </c>
      <c r="N2" t="s">
        <v>30</v>
      </c>
      <c r="O2" t="s">
        <v>29</v>
      </c>
      <c r="P2" t="s">
        <v>28</v>
      </c>
      <c r="Q2" t="s">
        <v>31</v>
      </c>
      <c r="R2" t="s">
        <v>30</v>
      </c>
      <c r="T2" t="s">
        <v>50</v>
      </c>
      <c r="U2" t="s">
        <v>51</v>
      </c>
      <c r="V2" t="s">
        <v>52</v>
      </c>
      <c r="W2" t="s">
        <v>55</v>
      </c>
    </row>
    <row r="3" spans="1:138" x14ac:dyDescent="0.2">
      <c r="B3" t="s">
        <v>34</v>
      </c>
      <c r="C3" s="6">
        <v>123665</v>
      </c>
      <c r="D3" s="6">
        <v>113717</v>
      </c>
      <c r="E3" s="6">
        <v>127416</v>
      </c>
      <c r="F3" s="9">
        <f>529618-E3-D3-C3</f>
        <v>164820</v>
      </c>
      <c r="G3" s="6">
        <v>229885</v>
      </c>
      <c r="H3" s="6">
        <v>248729</v>
      </c>
      <c r="I3" s="6">
        <v>257634</v>
      </c>
      <c r="J3" s="6">
        <f>1059195-I3-H3-G3</f>
        <v>322947</v>
      </c>
      <c r="K3" s="6">
        <v>274609</v>
      </c>
      <c r="L3" s="6">
        <v>230479</v>
      </c>
      <c r="M3" s="6">
        <v>177738</v>
      </c>
      <c r="N3" s="6">
        <f>864126-M3-L3-K3</f>
        <v>181300</v>
      </c>
      <c r="O3" s="6">
        <v>84394</v>
      </c>
      <c r="P3" s="6">
        <v>121035</v>
      </c>
      <c r="Q3" s="6">
        <v>121035</v>
      </c>
      <c r="R3" s="6">
        <f>Q3*1.25</f>
        <v>151293.75</v>
      </c>
      <c r="T3" s="6">
        <f>SUM(C3:F3)</f>
        <v>529618</v>
      </c>
      <c r="U3" s="6">
        <f>SUM(G3:J3)</f>
        <v>1059195</v>
      </c>
      <c r="V3" s="6">
        <f>SUM(K3:N3)</f>
        <v>864126</v>
      </c>
      <c r="W3" s="6">
        <f>SUM(O3:R3)</f>
        <v>477757.75</v>
      </c>
      <c r="X3" s="6">
        <f>W3*1.01</f>
        <v>482535.32750000001</v>
      </c>
      <c r="Y3" s="6">
        <f t="shared" ref="Y3:AE3" si="1">X3*1.01</f>
        <v>487360.68077500002</v>
      </c>
      <c r="Z3" s="6">
        <f t="shared" si="1"/>
        <v>492234.28758275002</v>
      </c>
      <c r="AA3" s="6">
        <f t="shared" si="1"/>
        <v>497156.63045857754</v>
      </c>
      <c r="AB3" s="6">
        <f t="shared" si="1"/>
        <v>502128.19676316332</v>
      </c>
      <c r="AC3" s="6">
        <f t="shared" si="1"/>
        <v>507149.47873079497</v>
      </c>
      <c r="AD3" s="6">
        <f t="shared" si="1"/>
        <v>512220.97351810295</v>
      </c>
      <c r="AE3" s="6">
        <f t="shared" si="1"/>
        <v>517343.18325328396</v>
      </c>
    </row>
    <row r="4" spans="1:138" x14ac:dyDescent="0.2">
      <c r="B4" s="4" t="s">
        <v>33</v>
      </c>
      <c r="C4" s="6">
        <v>75811</v>
      </c>
      <c r="D4" s="6">
        <v>81405</v>
      </c>
      <c r="E4" s="6">
        <v>91729</v>
      </c>
      <c r="F4" s="6">
        <f>363929-E4-D4-C4</f>
        <v>114984</v>
      </c>
      <c r="G4" s="6">
        <v>137461</v>
      </c>
      <c r="H4" s="6">
        <v>147656</v>
      </c>
      <c r="I4" s="6">
        <v>147955</v>
      </c>
      <c r="J4" s="6">
        <f>610212-I4-H4-G4</f>
        <v>177140</v>
      </c>
      <c r="K4" s="6">
        <v>144667</v>
      </c>
      <c r="L4" s="6">
        <v>128484</v>
      </c>
      <c r="M4" s="6">
        <v>107339</v>
      </c>
      <c r="N4" s="6">
        <f>489562-M4-L4-K4</f>
        <v>109072</v>
      </c>
      <c r="O4" s="6">
        <v>52923</v>
      </c>
      <c r="P4" s="6">
        <v>81773</v>
      </c>
      <c r="Q4" s="6">
        <v>81773</v>
      </c>
      <c r="R4" s="6">
        <f>R3-R5</f>
        <v>98340.9375</v>
      </c>
      <c r="T4" s="6">
        <f>SUM(C4:F4)</f>
        <v>363929</v>
      </c>
      <c r="U4" s="6">
        <f>SUM(G4:J4)</f>
        <v>610212</v>
      </c>
      <c r="V4" s="6">
        <f>SUM(K4:N4)</f>
        <v>489562</v>
      </c>
      <c r="W4" s="6">
        <f>SUM(O4:R4)</f>
        <v>314809.9375</v>
      </c>
      <c r="X4" s="6">
        <f>W4*1</f>
        <v>314809.9375</v>
      </c>
      <c r="Y4" s="6">
        <f t="shared" ref="Y4:AE4" si="2">X4*1</f>
        <v>314809.9375</v>
      </c>
      <c r="Z4" s="6">
        <f t="shared" si="2"/>
        <v>314809.9375</v>
      </c>
      <c r="AA4" s="6">
        <f t="shared" si="2"/>
        <v>314809.9375</v>
      </c>
      <c r="AB4" s="6">
        <f t="shared" si="2"/>
        <v>314809.9375</v>
      </c>
      <c r="AC4" s="6">
        <f t="shared" si="2"/>
        <v>314809.9375</v>
      </c>
      <c r="AD4" s="6">
        <f t="shared" si="2"/>
        <v>314809.9375</v>
      </c>
      <c r="AE4" s="6">
        <f t="shared" si="2"/>
        <v>314809.9375</v>
      </c>
    </row>
    <row r="5" spans="1:138" x14ac:dyDescent="0.2">
      <c r="B5" s="3" t="s">
        <v>32</v>
      </c>
      <c r="C5" s="7">
        <f>C3-C4</f>
        <v>47854</v>
      </c>
      <c r="D5" s="7">
        <f>D3-D4</f>
        <v>32312</v>
      </c>
      <c r="E5" s="7">
        <f>E3-E4</f>
        <v>35687</v>
      </c>
      <c r="F5" s="7">
        <f>F3-F4</f>
        <v>49836</v>
      </c>
      <c r="G5" s="7">
        <f>G3-G4</f>
        <v>92424</v>
      </c>
      <c r="H5" s="7">
        <f>H3-H4</f>
        <v>101073</v>
      </c>
      <c r="I5" s="7">
        <f>I3-I4</f>
        <v>109679</v>
      </c>
      <c r="J5" s="7">
        <f>J3-J4</f>
        <v>145807</v>
      </c>
      <c r="K5" s="7">
        <f>K3-K4</f>
        <v>129942</v>
      </c>
      <c r="L5" s="7">
        <f>L3-L4</f>
        <v>101995</v>
      </c>
      <c r="M5" s="7">
        <f>M3-M4</f>
        <v>70399</v>
      </c>
      <c r="N5" s="7">
        <f>N3-N4</f>
        <v>72228</v>
      </c>
      <c r="O5" s="7">
        <f>O3-O4</f>
        <v>31471</v>
      </c>
      <c r="P5" s="7">
        <f>P3-P4</f>
        <v>39262</v>
      </c>
      <c r="Q5" s="7">
        <f>Q3-Q4</f>
        <v>39262</v>
      </c>
      <c r="R5" s="7">
        <f>R3*0.35</f>
        <v>52952.8125</v>
      </c>
      <c r="T5" s="7">
        <f>T3-T4</f>
        <v>165689</v>
      </c>
      <c r="U5" s="7">
        <f>U3-U4</f>
        <v>448983</v>
      </c>
      <c r="V5" s="7">
        <f>V3-V4</f>
        <v>374564</v>
      </c>
      <c r="W5" s="7">
        <f>W3-W4</f>
        <v>162947.8125</v>
      </c>
      <c r="X5" s="7">
        <f>X3-X4</f>
        <v>167725.39000000001</v>
      </c>
      <c r="Y5" s="7">
        <f t="shared" ref="Y5:AE5" si="3">Y3-Y4</f>
        <v>172550.74327500002</v>
      </c>
      <c r="Z5" s="7">
        <f t="shared" si="3"/>
        <v>177424.35008275002</v>
      </c>
      <c r="AA5" s="7">
        <f t="shared" si="3"/>
        <v>182346.69295857754</v>
      </c>
      <c r="AB5" s="7">
        <f t="shared" si="3"/>
        <v>187318.25926316332</v>
      </c>
      <c r="AC5" s="7">
        <f t="shared" si="3"/>
        <v>192339.54123079497</v>
      </c>
      <c r="AD5" s="7">
        <f t="shared" si="3"/>
        <v>197411.03601810295</v>
      </c>
      <c r="AE5" s="7">
        <f t="shared" si="3"/>
        <v>202533.24575328396</v>
      </c>
    </row>
    <row r="6" spans="1:138" x14ac:dyDescent="0.2">
      <c r="B6" s="4" t="s">
        <v>38</v>
      </c>
      <c r="C6" s="6">
        <v>3229</v>
      </c>
      <c r="D6" s="6">
        <v>1795</v>
      </c>
      <c r="E6" s="6">
        <v>1809</v>
      </c>
      <c r="F6" s="6">
        <f>7364-E6-D6-C6</f>
        <v>531</v>
      </c>
      <c r="G6" s="6">
        <v>1906</v>
      </c>
      <c r="H6" s="6">
        <v>1855</v>
      </c>
      <c r="I6" s="6">
        <v>1757</v>
      </c>
      <c r="J6" s="6">
        <f>7480-I6-H6-G6</f>
        <v>1962</v>
      </c>
      <c r="K6" s="6">
        <v>1808</v>
      </c>
      <c r="L6" s="6">
        <v>1744</v>
      </c>
      <c r="M6" s="6">
        <v>1716</v>
      </c>
      <c r="N6" s="6">
        <f>7262-M6-L6-K6</f>
        <v>1994</v>
      </c>
      <c r="O6" s="6">
        <v>1673</v>
      </c>
      <c r="P6" s="6">
        <v>1869</v>
      </c>
      <c r="Q6" s="6">
        <v>1869</v>
      </c>
      <c r="R6" s="6">
        <v>1869</v>
      </c>
      <c r="T6" s="6">
        <f t="shared" ref="T6:T8" si="4">SUM(C6:F6)</f>
        <v>7364</v>
      </c>
      <c r="U6" s="6">
        <f t="shared" ref="U6:U8" si="5">SUM(G6:J6)</f>
        <v>7480</v>
      </c>
      <c r="V6" s="6">
        <f t="shared" ref="V6:V8" si="6">SUM(K6:N6)</f>
        <v>7262</v>
      </c>
      <c r="W6" s="6">
        <f t="shared" ref="W6:W8" si="7">SUM(O6:R6)</f>
        <v>7280</v>
      </c>
      <c r="X6" s="6">
        <f>W6*1</f>
        <v>7280</v>
      </c>
      <c r="Y6" s="6">
        <f t="shared" ref="Y6:AE6" si="8">X6*1</f>
        <v>7280</v>
      </c>
      <c r="Z6" s="6">
        <f t="shared" si="8"/>
        <v>7280</v>
      </c>
      <c r="AA6" s="6">
        <f t="shared" si="8"/>
        <v>7280</v>
      </c>
      <c r="AB6" s="6">
        <f t="shared" si="8"/>
        <v>7280</v>
      </c>
      <c r="AC6" s="6">
        <f t="shared" si="8"/>
        <v>7280</v>
      </c>
      <c r="AD6" s="6">
        <f t="shared" si="8"/>
        <v>7280</v>
      </c>
      <c r="AE6" s="6">
        <f t="shared" si="8"/>
        <v>7280</v>
      </c>
    </row>
    <row r="7" spans="1:138" x14ac:dyDescent="0.2">
      <c r="B7" t="s">
        <v>37</v>
      </c>
      <c r="C7" s="6">
        <v>16773</v>
      </c>
      <c r="D7" s="6">
        <v>10841</v>
      </c>
      <c r="E7" s="6">
        <v>10465</v>
      </c>
      <c r="F7" s="6">
        <f>41987-E7-D7-C7</f>
        <v>3908</v>
      </c>
      <c r="G7" s="6">
        <v>9995</v>
      </c>
      <c r="H7" s="6">
        <v>11614</v>
      </c>
      <c r="I7" s="6">
        <v>10487</v>
      </c>
      <c r="J7" s="6">
        <f>42603-I7-H7-G7</f>
        <v>10507</v>
      </c>
      <c r="K7" s="6">
        <v>10634</v>
      </c>
      <c r="L7" s="6">
        <v>11423</v>
      </c>
      <c r="M7" s="6">
        <v>11518</v>
      </c>
      <c r="N7" s="6">
        <f>43156-M7-L7-K7</f>
        <v>9581</v>
      </c>
      <c r="O7" s="6">
        <v>8027</v>
      </c>
      <c r="P7" s="6">
        <v>9431</v>
      </c>
      <c r="Q7" s="6">
        <v>9431</v>
      </c>
      <c r="R7" s="6">
        <f>Q7*1.05</f>
        <v>9902.5500000000011</v>
      </c>
      <c r="T7" s="6">
        <f t="shared" si="4"/>
        <v>41987</v>
      </c>
      <c r="U7" s="6">
        <f t="shared" si="5"/>
        <v>42603</v>
      </c>
      <c r="V7" s="6">
        <f t="shared" si="6"/>
        <v>43156</v>
      </c>
      <c r="W7" s="6">
        <f t="shared" si="7"/>
        <v>36791.550000000003</v>
      </c>
      <c r="X7" s="6">
        <f t="shared" ref="X7:AE8" si="9">W7*1</f>
        <v>36791.550000000003</v>
      </c>
      <c r="Y7" s="6">
        <f t="shared" si="9"/>
        <v>36791.550000000003</v>
      </c>
      <c r="Z7" s="6">
        <f t="shared" si="9"/>
        <v>36791.550000000003</v>
      </c>
      <c r="AA7" s="6">
        <f t="shared" si="9"/>
        <v>36791.550000000003</v>
      </c>
      <c r="AB7" s="6">
        <f t="shared" si="9"/>
        <v>36791.550000000003</v>
      </c>
      <c r="AC7" s="6">
        <f t="shared" si="9"/>
        <v>36791.550000000003</v>
      </c>
      <c r="AD7" s="6">
        <f t="shared" si="9"/>
        <v>36791.550000000003</v>
      </c>
      <c r="AE7" s="6">
        <f t="shared" si="9"/>
        <v>36791.550000000003</v>
      </c>
    </row>
    <row r="8" spans="1:138" x14ac:dyDescent="0.2">
      <c r="B8" t="s">
        <v>36</v>
      </c>
      <c r="C8" s="6">
        <v>26709</v>
      </c>
      <c r="D8" s="6">
        <v>16103</v>
      </c>
      <c r="E8" s="6">
        <v>14603</v>
      </c>
      <c r="F8" s="6">
        <f>66033-E8-D8-C8</f>
        <v>8618</v>
      </c>
      <c r="G8" s="6">
        <v>21780</v>
      </c>
      <c r="H8" s="6">
        <v>23224</v>
      </c>
      <c r="I8" s="6">
        <v>17054</v>
      </c>
      <c r="J8" s="6">
        <f>79268-I8-H8-G8</f>
        <v>17210</v>
      </c>
      <c r="K8" s="6">
        <v>17614</v>
      </c>
      <c r="L8" s="6">
        <v>23436</v>
      </c>
      <c r="M8" s="6">
        <v>17443</v>
      </c>
      <c r="N8" s="6">
        <f>72493-M8-L8-K8</f>
        <v>14000</v>
      </c>
      <c r="O8" s="6">
        <v>17854</v>
      </c>
      <c r="P8" s="6">
        <v>15435</v>
      </c>
      <c r="Q8" s="6">
        <v>15435</v>
      </c>
      <c r="R8" s="6">
        <f t="shared" ref="R8" si="10">Q8*1.05</f>
        <v>16206.75</v>
      </c>
      <c r="T8" s="6">
        <f t="shared" si="4"/>
        <v>66033</v>
      </c>
      <c r="U8" s="6">
        <f>SUM(G8:J8)</f>
        <v>79268</v>
      </c>
      <c r="V8" s="6">
        <f t="shared" si="6"/>
        <v>72493</v>
      </c>
      <c r="W8" s="6">
        <f t="shared" si="7"/>
        <v>64930.75</v>
      </c>
      <c r="X8" s="6">
        <f t="shared" si="9"/>
        <v>64930.75</v>
      </c>
      <c r="Y8" s="6">
        <f t="shared" si="9"/>
        <v>64930.75</v>
      </c>
      <c r="Z8" s="6">
        <f t="shared" si="9"/>
        <v>64930.75</v>
      </c>
      <c r="AA8" s="6">
        <f t="shared" si="9"/>
        <v>64930.75</v>
      </c>
      <c r="AB8" s="6">
        <f t="shared" si="9"/>
        <v>64930.75</v>
      </c>
      <c r="AC8" s="6">
        <f t="shared" si="9"/>
        <v>64930.75</v>
      </c>
      <c r="AD8" s="6">
        <f t="shared" si="9"/>
        <v>64930.75</v>
      </c>
      <c r="AE8" s="6">
        <f t="shared" si="9"/>
        <v>64930.75</v>
      </c>
    </row>
    <row r="9" spans="1:138" x14ac:dyDescent="0.2">
      <c r="B9" t="s">
        <v>35</v>
      </c>
      <c r="C9" s="6">
        <f>C8+C7+C6</f>
        <v>46711</v>
      </c>
      <c r="D9" s="6">
        <f>D8+D7+D6</f>
        <v>28739</v>
      </c>
      <c r="E9" s="6">
        <f>E8+E7+E6</f>
        <v>26877</v>
      </c>
      <c r="F9" s="6">
        <f>F8+F7+F6</f>
        <v>13057</v>
      </c>
      <c r="G9" s="6">
        <f>G8+G7+G6</f>
        <v>33681</v>
      </c>
      <c r="H9" s="6">
        <f>H8+H7+H6</f>
        <v>36693</v>
      </c>
      <c r="I9" s="6">
        <f>I8+I7+I6</f>
        <v>29298</v>
      </c>
      <c r="J9" s="6">
        <f>J8+J7+J6</f>
        <v>29679</v>
      </c>
      <c r="K9" s="6">
        <f>K8+K7+K6</f>
        <v>30056</v>
      </c>
      <c r="L9" s="6">
        <f>L8+L7+L6</f>
        <v>36603</v>
      </c>
      <c r="M9" s="6">
        <f>M8+M7+M6</f>
        <v>30677</v>
      </c>
      <c r="N9" s="6">
        <f>N8+N7+N6</f>
        <v>25575</v>
      </c>
      <c r="O9" s="6">
        <f>O8+O7+O6</f>
        <v>27554</v>
      </c>
      <c r="P9" s="6">
        <f>P8+P7+P6</f>
        <v>26735</v>
      </c>
      <c r="Q9" s="6">
        <f>Q8+Q7+Q6</f>
        <v>26735</v>
      </c>
      <c r="R9" s="6">
        <f>R8+R7+R6</f>
        <v>27978.300000000003</v>
      </c>
      <c r="T9" s="6">
        <f>T8+T7+T6</f>
        <v>115384</v>
      </c>
      <c r="U9" s="6">
        <f>U8+U7+U6</f>
        <v>129351</v>
      </c>
      <c r="V9" s="6">
        <f>V8+V7+V6</f>
        <v>122911</v>
      </c>
      <c r="W9" s="6">
        <f>W8+W7+W6</f>
        <v>109002.3</v>
      </c>
      <c r="X9" s="6">
        <f>X8+X7+X6</f>
        <v>109002.3</v>
      </c>
      <c r="Y9" s="6">
        <f t="shared" ref="Y9:AE9" si="11">Y8+Y7+Y6</f>
        <v>109002.3</v>
      </c>
      <c r="Z9" s="6">
        <f t="shared" si="11"/>
        <v>109002.3</v>
      </c>
      <c r="AA9" s="6">
        <f t="shared" si="11"/>
        <v>109002.3</v>
      </c>
      <c r="AB9" s="6">
        <f t="shared" si="11"/>
        <v>109002.3</v>
      </c>
      <c r="AC9" s="6">
        <f t="shared" si="11"/>
        <v>109002.3</v>
      </c>
      <c r="AD9" s="6">
        <f t="shared" si="11"/>
        <v>109002.3</v>
      </c>
      <c r="AE9" s="6">
        <f t="shared" si="11"/>
        <v>109002.3</v>
      </c>
    </row>
    <row r="10" spans="1:138" x14ac:dyDescent="0.2">
      <c r="B10" t="s">
        <v>39</v>
      </c>
      <c r="C10" s="6">
        <f>C5-C9</f>
        <v>1143</v>
      </c>
      <c r="D10" s="6">
        <f>D5-D9</f>
        <v>3573</v>
      </c>
      <c r="E10" s="6">
        <f>E5-E9</f>
        <v>8810</v>
      </c>
      <c r="F10" s="6">
        <f>F5-F9</f>
        <v>36779</v>
      </c>
      <c r="G10" s="6">
        <f>G5-G9</f>
        <v>58743</v>
      </c>
      <c r="H10" s="6">
        <f>H5-H9</f>
        <v>64380</v>
      </c>
      <c r="I10" s="6">
        <f>I5-I9</f>
        <v>80381</v>
      </c>
      <c r="J10" s="6">
        <f>J5-J9</f>
        <v>116128</v>
      </c>
      <c r="K10" s="6">
        <f>K5-K9</f>
        <v>99886</v>
      </c>
      <c r="L10" s="6">
        <f>L5-L9</f>
        <v>65392</v>
      </c>
      <c r="M10" s="6">
        <f>M5-M9</f>
        <v>39722</v>
      </c>
      <c r="N10" s="6">
        <f>N5-N9</f>
        <v>46653</v>
      </c>
      <c r="O10" s="6">
        <f>O5-O9</f>
        <v>3917</v>
      </c>
      <c r="P10" s="6">
        <f>P5-P9</f>
        <v>12527</v>
      </c>
      <c r="Q10" s="6">
        <f>Q5-Q9</f>
        <v>12527</v>
      </c>
      <c r="R10" s="6">
        <f>R5-R9</f>
        <v>24974.512499999997</v>
      </c>
      <c r="T10" s="6">
        <f>T5-T9</f>
        <v>50305</v>
      </c>
      <c r="U10" s="6">
        <f>U5-U9</f>
        <v>319632</v>
      </c>
      <c r="V10" s="6">
        <f>V5-V9</f>
        <v>251653</v>
      </c>
      <c r="W10" s="6">
        <f>W5-W9</f>
        <v>53945.512499999997</v>
      </c>
      <c r="X10" s="6">
        <f>X5-X9</f>
        <v>58723.090000000011</v>
      </c>
      <c r="Y10" s="6">
        <f t="shared" ref="Y10:AE10" si="12">Y5-Y9</f>
        <v>63548.443275000012</v>
      </c>
      <c r="Z10" s="6">
        <f t="shared" si="12"/>
        <v>68422.050082750022</v>
      </c>
      <c r="AA10" s="6">
        <f t="shared" si="12"/>
        <v>73344.392958577533</v>
      </c>
      <c r="AB10" s="6">
        <f t="shared" si="12"/>
        <v>78315.959263163313</v>
      </c>
      <c r="AC10" s="6">
        <f t="shared" si="12"/>
        <v>83337.241230794971</v>
      </c>
      <c r="AD10" s="6">
        <f t="shared" si="12"/>
        <v>88408.736018102951</v>
      </c>
      <c r="AE10" s="6">
        <f t="shared" si="12"/>
        <v>93530.945753283959</v>
      </c>
    </row>
    <row r="11" spans="1:138" x14ac:dyDescent="0.2">
      <c r="B11" t="s">
        <v>40</v>
      </c>
      <c r="C11" s="6">
        <v>5</v>
      </c>
      <c r="D11" s="6">
        <v>83</v>
      </c>
      <c r="E11" s="6">
        <v>-10</v>
      </c>
      <c r="F11" s="6">
        <f>495-E11-D11-C11</f>
        <v>417</v>
      </c>
      <c r="G11" s="6">
        <v>67</v>
      </c>
      <c r="H11" s="6">
        <v>693</v>
      </c>
      <c r="I11" s="6">
        <v>952</v>
      </c>
      <c r="J11" s="6">
        <f>2252-I11-H11-G11</f>
        <v>540</v>
      </c>
      <c r="K11" s="6">
        <v>660</v>
      </c>
      <c r="L11" s="6">
        <v>833</v>
      </c>
      <c r="M11" s="6">
        <v>751</v>
      </c>
      <c r="N11" s="6">
        <f>2868-M11-L11-K11</f>
        <v>624</v>
      </c>
      <c r="O11" s="6">
        <v>673</v>
      </c>
      <c r="P11" s="6">
        <v>790</v>
      </c>
      <c r="Q11" s="6">
        <v>790</v>
      </c>
      <c r="R11" s="6">
        <v>790</v>
      </c>
      <c r="T11" s="6">
        <f t="shared" ref="T11:T14" si="13">SUM(C11:F11)</f>
        <v>495</v>
      </c>
      <c r="U11" s="6">
        <f t="shared" ref="U11:U14" si="14">SUM(G11:J11)</f>
        <v>2252</v>
      </c>
      <c r="V11" s="6">
        <f t="shared" ref="V11:V14" si="15">SUM(K11:N11)</f>
        <v>2868</v>
      </c>
      <c r="W11" s="6">
        <f t="shared" ref="W11:W14" si="16">SUM(O11:R11)</f>
        <v>3043</v>
      </c>
      <c r="X11" s="6">
        <f>W11*1</f>
        <v>3043</v>
      </c>
      <c r="Y11" s="6">
        <f t="shared" ref="Y11:AE11" si="17">X11*1</f>
        <v>3043</v>
      </c>
      <c r="Z11" s="6">
        <f t="shared" si="17"/>
        <v>3043</v>
      </c>
      <c r="AA11" s="6">
        <f t="shared" si="17"/>
        <v>3043</v>
      </c>
      <c r="AB11" s="6">
        <f t="shared" si="17"/>
        <v>3043</v>
      </c>
      <c r="AC11" s="6">
        <f t="shared" si="17"/>
        <v>3043</v>
      </c>
      <c r="AD11" s="6">
        <f t="shared" si="17"/>
        <v>3043</v>
      </c>
      <c r="AE11" s="6">
        <f t="shared" si="17"/>
        <v>3043</v>
      </c>
    </row>
    <row r="12" spans="1:138" x14ac:dyDescent="0.2">
      <c r="B12" t="s">
        <v>41</v>
      </c>
      <c r="C12" s="6">
        <v>-2627</v>
      </c>
      <c r="D12" s="6">
        <v>-3046</v>
      </c>
      <c r="E12" s="6">
        <v>-2885</v>
      </c>
      <c r="F12" s="6">
        <f>-11625-E12-D12-C12</f>
        <v>-3067</v>
      </c>
      <c r="G12" s="6">
        <v>-1316</v>
      </c>
      <c r="H12" s="6">
        <v>-1490</v>
      </c>
      <c r="I12" s="6">
        <v>-550</v>
      </c>
      <c r="J12" s="6">
        <f>-3919-I12-H12-G12</f>
        <v>-563</v>
      </c>
      <c r="K12" s="6">
        <v>-544</v>
      </c>
      <c r="L12" s="6">
        <v>-466</v>
      </c>
      <c r="M12" s="6">
        <v>-594</v>
      </c>
      <c r="N12" s="6">
        <f>-2135-M12-L12-K12</f>
        <v>-531</v>
      </c>
      <c r="O12" s="6">
        <v>-433</v>
      </c>
      <c r="P12" s="6">
        <v>-420</v>
      </c>
      <c r="Q12" s="6">
        <v>-420</v>
      </c>
      <c r="R12" s="6">
        <v>-420</v>
      </c>
      <c r="T12" s="6">
        <f t="shared" si="13"/>
        <v>-11625</v>
      </c>
      <c r="U12" s="6">
        <f>SUM(G12:J12)</f>
        <v>-3919</v>
      </c>
      <c r="V12" s="6">
        <f>SUM(K12:N12)</f>
        <v>-2135</v>
      </c>
      <c r="W12" s="6">
        <f t="shared" si="16"/>
        <v>-1693</v>
      </c>
      <c r="X12" s="6">
        <f>W12*1</f>
        <v>-1693</v>
      </c>
      <c r="Y12" s="6">
        <f t="shared" ref="Y12:AE12" si="18">X12*1</f>
        <v>-1693</v>
      </c>
      <c r="Z12" s="6">
        <f t="shared" si="18"/>
        <v>-1693</v>
      </c>
      <c r="AA12" s="6">
        <f t="shared" si="18"/>
        <v>-1693</v>
      </c>
      <c r="AB12" s="6">
        <f t="shared" si="18"/>
        <v>-1693</v>
      </c>
      <c r="AC12" s="6">
        <f t="shared" si="18"/>
        <v>-1693</v>
      </c>
      <c r="AD12" s="6">
        <f t="shared" si="18"/>
        <v>-1693</v>
      </c>
      <c r="AE12" s="6">
        <f t="shared" si="18"/>
        <v>-1693</v>
      </c>
    </row>
    <row r="13" spans="1:138" x14ac:dyDescent="0.2">
      <c r="B13" t="s">
        <v>42</v>
      </c>
      <c r="C13" s="6">
        <f>C10+C11+C12</f>
        <v>-1479</v>
      </c>
      <c r="D13" s="6">
        <f>D10+D11+D12</f>
        <v>610</v>
      </c>
      <c r="E13" s="6">
        <f>E10+E11+E12</f>
        <v>5915</v>
      </c>
      <c r="F13" s="6">
        <f>F10+F11+F12</f>
        <v>34129</v>
      </c>
      <c r="G13" s="6">
        <f>G10+G11+G12</f>
        <v>57494</v>
      </c>
      <c r="H13" s="6">
        <f>H10+H11+H12</f>
        <v>63583</v>
      </c>
      <c r="I13" s="6">
        <f>I10+I11+I12</f>
        <v>80783</v>
      </c>
      <c r="J13" s="6">
        <f>J10+J11+J12</f>
        <v>116105</v>
      </c>
      <c r="K13" s="6">
        <f>K10+K11+K12</f>
        <v>100002</v>
      </c>
      <c r="L13" s="6">
        <f>L10+L11+L12</f>
        <v>65759</v>
      </c>
      <c r="M13" s="6">
        <f>M10+M11+M12</f>
        <v>39879</v>
      </c>
      <c r="N13" s="6">
        <f>N10+N11+N12</f>
        <v>46746</v>
      </c>
      <c r="O13" s="6">
        <f>O10+O11+O12</f>
        <v>4157</v>
      </c>
      <c r="P13" s="6">
        <f>P10+P11+P12</f>
        <v>12897</v>
      </c>
      <c r="Q13" s="6">
        <f>Q10+Q11+Q12</f>
        <v>12897</v>
      </c>
      <c r="R13" s="6">
        <f>R10+R11+R12</f>
        <v>25344.512499999997</v>
      </c>
      <c r="T13" s="6">
        <f>T10+T11+T12</f>
        <v>39175</v>
      </c>
      <c r="U13" s="6">
        <f>U10+U11+U12</f>
        <v>317965</v>
      </c>
      <c r="V13" s="6">
        <f>V10+V11+V12</f>
        <v>252386</v>
      </c>
      <c r="W13" s="6">
        <f>W10+W11+W12</f>
        <v>55295.512499999997</v>
      </c>
      <c r="X13" s="6">
        <f>X10+X11+X12</f>
        <v>60073.090000000011</v>
      </c>
      <c r="Y13" s="6">
        <f t="shared" ref="Y13:AE13" si="19">Y10+Y11+Y12</f>
        <v>64898.443275000012</v>
      </c>
      <c r="Z13" s="6">
        <f t="shared" si="19"/>
        <v>69772.050082750022</v>
      </c>
      <c r="AA13" s="6">
        <f t="shared" si="19"/>
        <v>74694.392958577533</v>
      </c>
      <c r="AB13" s="6">
        <f t="shared" si="19"/>
        <v>79665.959263163313</v>
      </c>
      <c r="AC13" s="6">
        <f t="shared" si="19"/>
        <v>84687.241230794971</v>
      </c>
      <c r="AD13" s="6">
        <f t="shared" si="19"/>
        <v>89758.736018102951</v>
      </c>
      <c r="AE13" s="6">
        <f t="shared" si="19"/>
        <v>94880.945753283959</v>
      </c>
    </row>
    <row r="14" spans="1:138" x14ac:dyDescent="0.2">
      <c r="B14" t="s">
        <v>43</v>
      </c>
      <c r="C14" s="6">
        <v>629</v>
      </c>
      <c r="D14" s="6">
        <v>267</v>
      </c>
      <c r="E14" s="6">
        <v>1688</v>
      </c>
      <c r="F14" s="6">
        <f>11522-E14-D14-C14</f>
        <v>8938</v>
      </c>
      <c r="G14" s="6">
        <v>14193</v>
      </c>
      <c r="H14" s="6">
        <v>14465</v>
      </c>
      <c r="I14" s="6">
        <v>18520</v>
      </c>
      <c r="J14" s="6">
        <f>74394-I14-H14-G14</f>
        <v>27216</v>
      </c>
      <c r="K14" s="6">
        <v>23120</v>
      </c>
      <c r="L14" s="6">
        <v>14824</v>
      </c>
      <c r="M14" s="6">
        <v>9337</v>
      </c>
      <c r="N14" s="6">
        <f>57892-M14-L14-K14</f>
        <v>10611</v>
      </c>
      <c r="O14" s="6">
        <v>845</v>
      </c>
      <c r="P14" s="6">
        <v>3249</v>
      </c>
      <c r="Q14" s="6">
        <v>3249</v>
      </c>
      <c r="R14" s="6">
        <f>R13*0.23</f>
        <v>5829.2378749999998</v>
      </c>
      <c r="T14" s="6">
        <f t="shared" si="13"/>
        <v>11522</v>
      </c>
      <c r="U14" s="6">
        <f>SUM(G14:J14)</f>
        <v>74394</v>
      </c>
      <c r="V14" s="6">
        <f t="shared" si="15"/>
        <v>57892</v>
      </c>
      <c r="W14" s="6">
        <f t="shared" si="16"/>
        <v>13172.237874999999</v>
      </c>
      <c r="X14" s="6">
        <f>W14*1</f>
        <v>13172.237874999999</v>
      </c>
      <c r="Y14" s="6">
        <f t="shared" ref="Y14:AE14" si="20">X14*1</f>
        <v>13172.237874999999</v>
      </c>
      <c r="Z14" s="6">
        <f t="shared" si="20"/>
        <v>13172.237874999999</v>
      </c>
      <c r="AA14" s="6">
        <f t="shared" si="20"/>
        <v>13172.237874999999</v>
      </c>
      <c r="AB14" s="6">
        <f t="shared" si="20"/>
        <v>13172.237874999999</v>
      </c>
      <c r="AC14" s="6">
        <f t="shared" si="20"/>
        <v>13172.237874999999</v>
      </c>
      <c r="AD14" s="6">
        <f t="shared" si="20"/>
        <v>13172.237874999999</v>
      </c>
      <c r="AE14" s="6">
        <f t="shared" si="20"/>
        <v>13172.237874999999</v>
      </c>
    </row>
    <row r="15" spans="1:138" x14ac:dyDescent="0.2">
      <c r="B15" t="s">
        <v>44</v>
      </c>
      <c r="C15" s="6">
        <f>C13-C14</f>
        <v>-2108</v>
      </c>
      <c r="D15" s="6">
        <f>D13-D14</f>
        <v>343</v>
      </c>
      <c r="E15" s="6">
        <f>E13-E14</f>
        <v>4227</v>
      </c>
      <c r="F15" s="6">
        <f>F13-F14</f>
        <v>25191</v>
      </c>
      <c r="G15" s="6">
        <f>G13-G14</f>
        <v>43301</v>
      </c>
      <c r="H15" s="6">
        <f>H13-H14</f>
        <v>49118</v>
      </c>
      <c r="I15" s="6">
        <f>I13-I14</f>
        <v>62263</v>
      </c>
      <c r="J15" s="6">
        <f>J13-J14</f>
        <v>88889</v>
      </c>
      <c r="K15" s="6">
        <f>K13-K14</f>
        <v>76882</v>
      </c>
      <c r="L15" s="6">
        <f>L13-L14</f>
        <v>50935</v>
      </c>
      <c r="M15" s="6">
        <f>M13-M14</f>
        <v>30542</v>
      </c>
      <c r="N15" s="6">
        <f>N13-N14</f>
        <v>36135</v>
      </c>
      <c r="O15" s="6">
        <f>O13-O14</f>
        <v>3312</v>
      </c>
      <c r="P15" s="6">
        <f>P13-P14</f>
        <v>9648</v>
      </c>
      <c r="Q15" s="6">
        <f>Q13-Q14</f>
        <v>9648</v>
      </c>
      <c r="R15" s="6">
        <f>R13-R14</f>
        <v>19515.274624999998</v>
      </c>
      <c r="T15" s="6">
        <f>T13-T14</f>
        <v>27653</v>
      </c>
      <c r="U15" s="6">
        <f>U13-U14</f>
        <v>243571</v>
      </c>
      <c r="V15" s="6">
        <f>V13-V14</f>
        <v>194494</v>
      </c>
      <c r="W15" s="6">
        <f>W13-W14</f>
        <v>42123.274624999998</v>
      </c>
      <c r="X15" s="6">
        <f>X13-X14</f>
        <v>46900.852125000012</v>
      </c>
      <c r="Y15" s="6">
        <f t="shared" ref="Y15:AE15" si="21">Y13-Y14</f>
        <v>51726.205400000013</v>
      </c>
      <c r="Z15" s="6">
        <f t="shared" si="21"/>
        <v>56599.812207750023</v>
      </c>
      <c r="AA15" s="6">
        <f t="shared" si="21"/>
        <v>61522.155083577534</v>
      </c>
      <c r="AB15" s="6">
        <f t="shared" si="21"/>
        <v>66493.721388163307</v>
      </c>
      <c r="AC15" s="6">
        <f t="shared" si="21"/>
        <v>71515.003355794965</v>
      </c>
      <c r="AD15" s="6">
        <f t="shared" si="21"/>
        <v>76586.498143102945</v>
      </c>
      <c r="AE15" s="6">
        <f t="shared" si="21"/>
        <v>81708.707878283953</v>
      </c>
      <c r="AF15" s="6">
        <f>AE15*(1+$AH$26)</f>
        <v>80891.620799501106</v>
      </c>
      <c r="AG15" s="6">
        <f t="shared" ref="AG15:CR15" si="22">AF15*(1+$AH$26)</f>
        <v>80082.704591506088</v>
      </c>
      <c r="AH15" s="6">
        <f t="shared" si="22"/>
        <v>79281.877545591022</v>
      </c>
      <c r="AI15" s="6">
        <f t="shared" si="22"/>
        <v>78489.058770135118</v>
      </c>
      <c r="AJ15" s="6">
        <f t="shared" si="22"/>
        <v>77704.168182433772</v>
      </c>
      <c r="AK15" s="6">
        <f t="shared" si="22"/>
        <v>76927.126500609433</v>
      </c>
      <c r="AL15" s="6">
        <f t="shared" si="22"/>
        <v>76157.855235603332</v>
      </c>
      <c r="AM15" s="6">
        <f t="shared" si="22"/>
        <v>75396.276683247299</v>
      </c>
      <c r="AN15" s="6">
        <f t="shared" si="22"/>
        <v>74642.313916414831</v>
      </c>
      <c r="AO15" s="6">
        <f t="shared" si="22"/>
        <v>73895.890777250679</v>
      </c>
      <c r="AP15" s="6">
        <f t="shared" si="22"/>
        <v>73156.931869478169</v>
      </c>
      <c r="AQ15" s="6">
        <f t="shared" si="22"/>
        <v>72425.362550783393</v>
      </c>
      <c r="AR15" s="6">
        <f t="shared" si="22"/>
        <v>71701.108925275563</v>
      </c>
      <c r="AS15" s="6">
        <f t="shared" si="22"/>
        <v>70984.097836022804</v>
      </c>
      <c r="AT15" s="6">
        <f t="shared" si="22"/>
        <v>70274.256857662578</v>
      </c>
      <c r="AU15" s="6">
        <f t="shared" si="22"/>
        <v>69571.514289085957</v>
      </c>
      <c r="AV15" s="6">
        <f t="shared" si="22"/>
        <v>68875.799146195102</v>
      </c>
      <c r="AW15" s="6">
        <f t="shared" si="22"/>
        <v>68187.041154733146</v>
      </c>
      <c r="AX15" s="6">
        <f t="shared" si="22"/>
        <v>67505.170743185809</v>
      </c>
      <c r="AY15" s="6">
        <f t="shared" si="22"/>
        <v>66830.119035753945</v>
      </c>
      <c r="AZ15" s="6">
        <f t="shared" si="22"/>
        <v>66161.817845396406</v>
      </c>
      <c r="BA15" s="6">
        <f t="shared" si="22"/>
        <v>65500.199666942441</v>
      </c>
      <c r="BB15" s="6">
        <f t="shared" si="22"/>
        <v>64845.197670273017</v>
      </c>
      <c r="BC15" s="6">
        <f t="shared" si="22"/>
        <v>64196.745693570287</v>
      </c>
      <c r="BD15" s="6">
        <f t="shared" si="22"/>
        <v>63554.778236634585</v>
      </c>
      <c r="BE15" s="6">
        <f t="shared" si="22"/>
        <v>62919.23045426824</v>
      </c>
      <c r="BF15" s="6">
        <f t="shared" si="22"/>
        <v>62290.038149725558</v>
      </c>
      <c r="BG15" s="6">
        <f t="shared" si="22"/>
        <v>61667.137768228306</v>
      </c>
      <c r="BH15" s="6">
        <f t="shared" si="22"/>
        <v>61050.466390546018</v>
      </c>
      <c r="BI15" s="6">
        <f t="shared" si="22"/>
        <v>60439.961726640555</v>
      </c>
      <c r="BJ15" s="6">
        <f t="shared" si="22"/>
        <v>59835.56210937415</v>
      </c>
      <c r="BK15" s="6">
        <f t="shared" si="22"/>
        <v>59237.206488280412</v>
      </c>
      <c r="BL15" s="6">
        <f t="shared" si="22"/>
        <v>58644.834423397609</v>
      </c>
      <c r="BM15" s="6">
        <f t="shared" si="22"/>
        <v>58058.386079163633</v>
      </c>
      <c r="BN15" s="6">
        <f t="shared" si="22"/>
        <v>57477.802218371995</v>
      </c>
      <c r="BO15" s="6">
        <f t="shared" si="22"/>
        <v>56903.024196188271</v>
      </c>
      <c r="BP15" s="6">
        <f t="shared" si="22"/>
        <v>56333.993954226389</v>
      </c>
      <c r="BQ15" s="6">
        <f t="shared" si="22"/>
        <v>55770.654014684122</v>
      </c>
      <c r="BR15" s="6">
        <f t="shared" si="22"/>
        <v>55212.947474537279</v>
      </c>
      <c r="BS15" s="6">
        <f t="shared" si="22"/>
        <v>54660.817999791907</v>
      </c>
      <c r="BT15" s="6">
        <f t="shared" si="22"/>
        <v>54114.209819793985</v>
      </c>
      <c r="BU15" s="6">
        <f t="shared" si="22"/>
        <v>53573.067721596046</v>
      </c>
      <c r="BV15" s="6">
        <f t="shared" si="22"/>
        <v>53037.337044380081</v>
      </c>
      <c r="BW15" s="6">
        <f t="shared" si="22"/>
        <v>52506.963673936283</v>
      </c>
      <c r="BX15" s="6">
        <f t="shared" si="22"/>
        <v>51981.894037196922</v>
      </c>
      <c r="BY15" s="6">
        <f t="shared" si="22"/>
        <v>51462.075096824956</v>
      </c>
      <c r="BZ15" s="6">
        <f t="shared" si="22"/>
        <v>50947.454345856706</v>
      </c>
      <c r="CA15" s="6">
        <f t="shared" si="22"/>
        <v>50437.979802398135</v>
      </c>
      <c r="CB15" s="6">
        <f t="shared" si="22"/>
        <v>49933.600004374151</v>
      </c>
      <c r="CC15" s="6">
        <f t="shared" si="22"/>
        <v>49434.264004330413</v>
      </c>
      <c r="CD15" s="6">
        <f t="shared" si="22"/>
        <v>48939.921364287111</v>
      </c>
      <c r="CE15" s="6">
        <f t="shared" si="22"/>
        <v>48450.522150644239</v>
      </c>
      <c r="CF15" s="6">
        <f t="shared" si="22"/>
        <v>47966.016929137797</v>
      </c>
      <c r="CG15" s="6">
        <f t="shared" si="22"/>
        <v>47486.356759846421</v>
      </c>
      <c r="CH15" s="6">
        <f t="shared" si="22"/>
        <v>47011.493192247959</v>
      </c>
      <c r="CI15" s="6">
        <f t="shared" si="22"/>
        <v>46541.37826032548</v>
      </c>
      <c r="CJ15" s="6">
        <f t="shared" si="22"/>
        <v>46075.964477722227</v>
      </c>
      <c r="CK15" s="6">
        <f t="shared" si="22"/>
        <v>45615.204832945004</v>
      </c>
      <c r="CL15" s="6">
        <f t="shared" si="22"/>
        <v>45159.052784615553</v>
      </c>
      <c r="CM15" s="6">
        <f t="shared" si="22"/>
        <v>44707.462256769395</v>
      </c>
      <c r="CN15" s="6">
        <f t="shared" si="22"/>
        <v>44260.387634201703</v>
      </c>
      <c r="CO15" s="6">
        <f t="shared" si="22"/>
        <v>43817.783757859688</v>
      </c>
      <c r="CP15" s="6">
        <f t="shared" si="22"/>
        <v>43379.605920281094</v>
      </c>
      <c r="CQ15" s="6">
        <f t="shared" si="22"/>
        <v>42945.809861078284</v>
      </c>
      <c r="CR15" s="6">
        <f t="shared" si="22"/>
        <v>42516.351762467501</v>
      </c>
      <c r="CS15" s="6">
        <f t="shared" ref="CS15:EH15" si="23">CR15*(1+$AH$26)</f>
        <v>42091.188244842822</v>
      </c>
      <c r="CT15" s="6">
        <f t="shared" si="23"/>
        <v>41670.27636239439</v>
      </c>
      <c r="CU15" s="6">
        <f t="shared" si="23"/>
        <v>41253.573598770447</v>
      </c>
      <c r="CV15" s="6">
        <f t="shared" si="23"/>
        <v>40841.037862782745</v>
      </c>
      <c r="CW15" s="6">
        <f t="shared" si="23"/>
        <v>40432.627484154917</v>
      </c>
      <c r="CX15" s="6">
        <f t="shared" si="23"/>
        <v>40028.301209313366</v>
      </c>
      <c r="CY15" s="6">
        <f t="shared" si="23"/>
        <v>39628.018197220234</v>
      </c>
      <c r="CZ15" s="6">
        <f t="shared" si="23"/>
        <v>39231.738015248033</v>
      </c>
      <c r="DA15" s="6">
        <f t="shared" si="23"/>
        <v>38839.42063509555</v>
      </c>
      <c r="DB15" s="6">
        <f t="shared" si="23"/>
        <v>38451.026428744597</v>
      </c>
      <c r="DC15" s="6">
        <f t="shared" si="23"/>
        <v>38066.516164457149</v>
      </c>
      <c r="DD15" s="6">
        <f t="shared" si="23"/>
        <v>37685.851002812575</v>
      </c>
      <c r="DE15" s="6">
        <f t="shared" si="23"/>
        <v>37308.992492784448</v>
      </c>
      <c r="DF15" s="6">
        <f t="shared" si="23"/>
        <v>36935.902567856603</v>
      </c>
      <c r="DG15" s="6">
        <f t="shared" si="23"/>
        <v>36566.543542178035</v>
      </c>
      <c r="DH15" s="6">
        <f t="shared" si="23"/>
        <v>36200.878106756252</v>
      </c>
      <c r="DI15" s="6">
        <f t="shared" si="23"/>
        <v>35838.869325688691</v>
      </c>
      <c r="DJ15" s="6">
        <f t="shared" si="23"/>
        <v>35480.480632431805</v>
      </c>
      <c r="DK15" s="6">
        <f t="shared" si="23"/>
        <v>35125.675826107487</v>
      </c>
      <c r="DL15" s="6">
        <f t="shared" si="23"/>
        <v>34774.419067846415</v>
      </c>
      <c r="DM15" s="6">
        <f t="shared" si="23"/>
        <v>34426.674877167949</v>
      </c>
      <c r="DN15" s="6">
        <f t="shared" si="23"/>
        <v>34082.408128396266</v>
      </c>
      <c r="DO15" s="6">
        <f t="shared" si="23"/>
        <v>33741.584047112301</v>
      </c>
      <c r="DP15" s="6">
        <f t="shared" si="23"/>
        <v>33404.168206641181</v>
      </c>
      <c r="DQ15" s="6">
        <f t="shared" si="23"/>
        <v>33070.126524574771</v>
      </c>
      <c r="DR15" s="6">
        <f t="shared" si="23"/>
        <v>32739.425259329022</v>
      </c>
      <c r="DS15" s="6">
        <f t="shared" si="23"/>
        <v>32412.031006735731</v>
      </c>
      <c r="DT15" s="6">
        <f t="shared" si="23"/>
        <v>32087.910696668372</v>
      </c>
      <c r="DU15" s="6">
        <f t="shared" si="23"/>
        <v>31767.031589701688</v>
      </c>
      <c r="DV15" s="6">
        <f t="shared" si="23"/>
        <v>31449.361273804672</v>
      </c>
      <c r="DW15" s="6">
        <f t="shared" si="23"/>
        <v>31134.867661066626</v>
      </c>
      <c r="DX15" s="6">
        <f t="shared" si="23"/>
        <v>30823.518984455961</v>
      </c>
      <c r="DY15" s="6">
        <f t="shared" si="23"/>
        <v>30515.283794611401</v>
      </c>
      <c r="DZ15" s="6">
        <f t="shared" si="23"/>
        <v>30210.130956665285</v>
      </c>
      <c r="EA15" s="6">
        <f t="shared" si="23"/>
        <v>29908.029647098632</v>
      </c>
      <c r="EB15" s="6">
        <f t="shared" si="23"/>
        <v>29608.949350627645</v>
      </c>
      <c r="EC15" s="6">
        <f t="shared" si="23"/>
        <v>29312.85985712137</v>
      </c>
      <c r="ED15" s="6">
        <f t="shared" si="23"/>
        <v>29019.731258550157</v>
      </c>
      <c r="EE15" s="6">
        <f t="shared" si="23"/>
        <v>28729.533945964657</v>
      </c>
      <c r="EF15" s="6">
        <f t="shared" si="23"/>
        <v>28442.238606505009</v>
      </c>
      <c r="EG15" s="6">
        <f t="shared" si="23"/>
        <v>28157.81622043996</v>
      </c>
      <c r="EH15" s="6">
        <f t="shared" si="23"/>
        <v>27876.238058235558</v>
      </c>
    </row>
    <row r="17" spans="2:34" x14ac:dyDescent="0.2">
      <c r="B17" t="s">
        <v>45</v>
      </c>
      <c r="C17" s="5">
        <f>C15/C18</f>
        <v>-3.8479090228720592E-2</v>
      </c>
      <c r="D17" s="5">
        <f>D15/D18</f>
        <v>6.1886547344110858E-3</v>
      </c>
      <c r="E17" s="5">
        <f>E15/E18</f>
        <v>7.5828788748564871E-2</v>
      </c>
      <c r="F17" s="5">
        <f>F15/F18</f>
        <v>0.45254648342764753</v>
      </c>
      <c r="G17" s="5">
        <f>G15/G18</f>
        <v>0.76942623096469254</v>
      </c>
      <c r="H17" s="5">
        <f>H15/H18</f>
        <v>0.86886840848384073</v>
      </c>
      <c r="I17" s="5">
        <f>I15/I18</f>
        <v>1.1177875121180567</v>
      </c>
      <c r="J17" s="5">
        <f>J15/J18</f>
        <v>1.6066406391208474</v>
      </c>
      <c r="K17" s="5">
        <f>K15/K18</f>
        <v>1.567420998980632</v>
      </c>
      <c r="L17" s="5">
        <f>L15/L18</f>
        <v>1.0460650620225089</v>
      </c>
      <c r="M17" s="5">
        <f>M15/M18</f>
        <v>0.64741918388977215</v>
      </c>
      <c r="N17" s="5">
        <f>N15/N18</f>
        <v>0.75710274891049278</v>
      </c>
      <c r="O17" s="5">
        <f>O15/O18</f>
        <v>7.1840701054184206E-2</v>
      </c>
      <c r="P17" s="5">
        <f>P15/P18</f>
        <v>0.20925692968377219</v>
      </c>
      <c r="Q17" s="5">
        <f>Q15/Q18</f>
        <v>0.20925692968377219</v>
      </c>
      <c r="R17" s="5">
        <f>R15/R18</f>
        <v>0.4232697398386327</v>
      </c>
      <c r="T17" s="5">
        <f>T15/T18</f>
        <v>0.499115587322215</v>
      </c>
      <c r="U17" s="5">
        <f>U15/U18</f>
        <v>4.352668918315195</v>
      </c>
      <c r="V17" s="5">
        <f>V15/V18</f>
        <v>4.0383918606763736</v>
      </c>
      <c r="W17" s="5">
        <f>W15/W18</f>
        <v>0.88822226234468649</v>
      </c>
    </row>
    <row r="18" spans="2:34" x14ac:dyDescent="0.2">
      <c r="B18" t="s">
        <v>0</v>
      </c>
      <c r="C18" s="6">
        <v>54783</v>
      </c>
      <c r="D18" s="6">
        <v>55424</v>
      </c>
      <c r="E18" s="6">
        <v>55744</v>
      </c>
      <c r="F18" s="6">
        <v>55665</v>
      </c>
      <c r="G18" s="6">
        <v>56277</v>
      </c>
      <c r="H18" s="6">
        <v>56531</v>
      </c>
      <c r="I18" s="6">
        <v>55702</v>
      </c>
      <c r="J18" s="6">
        <v>55326</v>
      </c>
      <c r="K18" s="6">
        <v>49050</v>
      </c>
      <c r="L18" s="6">
        <v>48692</v>
      </c>
      <c r="M18" s="6">
        <v>47175</v>
      </c>
      <c r="N18" s="6">
        <v>47728</v>
      </c>
      <c r="O18" s="6">
        <v>46102</v>
      </c>
      <c r="P18" s="6">
        <v>46106</v>
      </c>
      <c r="Q18" s="6">
        <v>46106</v>
      </c>
      <c r="R18" s="6">
        <v>46106</v>
      </c>
      <c r="T18" s="6">
        <f>AVERAGE(C18:F18)</f>
        <v>55404</v>
      </c>
      <c r="U18" s="6">
        <f>AVERAGE(G18:J18)</f>
        <v>55959</v>
      </c>
      <c r="V18" s="6">
        <f>AVERAGE(K18:N18)</f>
        <v>48161.25</v>
      </c>
      <c r="W18" s="6">
        <f>AVERAGE(L18:O18)</f>
        <v>47424.25</v>
      </c>
    </row>
    <row r="20" spans="2:34" x14ac:dyDescent="0.2">
      <c r="B20" t="s">
        <v>46</v>
      </c>
      <c r="G20" s="8">
        <f t="shared" ref="G20:O20" si="24">G3/C3-1</f>
        <v>0.85893340880604852</v>
      </c>
      <c r="H20" s="8">
        <f t="shared" si="24"/>
        <v>1.1872631180914022</v>
      </c>
      <c r="I20" s="8">
        <f t="shared" si="24"/>
        <v>1.0219909587492935</v>
      </c>
      <c r="J20" s="8">
        <f t="shared" si="24"/>
        <v>0.95939206406989452</v>
      </c>
      <c r="K20" s="8">
        <f t="shared" si="24"/>
        <v>0.19454944863736223</v>
      </c>
      <c r="L20" s="8">
        <f t="shared" si="24"/>
        <v>-7.3373028476775959E-2</v>
      </c>
      <c r="M20" s="8">
        <f t="shared" si="24"/>
        <v>-0.3101143482614872</v>
      </c>
      <c r="N20" s="8">
        <f t="shared" si="24"/>
        <v>-0.43860757337891354</v>
      </c>
      <c r="O20" s="8">
        <f t="shared" si="24"/>
        <v>-0.69267576809208731</v>
      </c>
      <c r="P20" s="8">
        <f>P3/L3-1</f>
        <v>-0.47485454206240052</v>
      </c>
      <c r="Q20" s="8">
        <f>Q3/M3-1</f>
        <v>-0.31902575701313174</v>
      </c>
      <c r="R20" s="8">
        <f>R3/N3-1</f>
        <v>-0.16550606729178152</v>
      </c>
      <c r="U20" s="8">
        <f t="shared" ref="U20:W20" si="25">U3/T3-1</f>
        <v>0.99992258571272119</v>
      </c>
      <c r="V20" s="8">
        <f t="shared" si="25"/>
        <v>-0.18416722133318231</v>
      </c>
      <c r="W20" s="8">
        <f>W3/V3-1</f>
        <v>-0.44712026949773531</v>
      </c>
      <c r="X20" s="8">
        <f t="shared" ref="X20:AE20" si="26">X3/W3-1</f>
        <v>1.0000000000000009E-2</v>
      </c>
      <c r="Y20" s="8">
        <f t="shared" si="26"/>
        <v>1.0000000000000009E-2</v>
      </c>
      <c r="Z20" s="8">
        <f t="shared" si="26"/>
        <v>1.0000000000000009E-2</v>
      </c>
      <c r="AA20" s="8">
        <f t="shared" si="26"/>
        <v>1.0000000000000009E-2</v>
      </c>
      <c r="AB20" s="8">
        <f t="shared" si="26"/>
        <v>1.0000000000000009E-2</v>
      </c>
      <c r="AC20" s="8">
        <f t="shared" si="26"/>
        <v>1.0000000000000009E-2</v>
      </c>
      <c r="AD20" s="8">
        <f t="shared" si="26"/>
        <v>1.0000000000000009E-2</v>
      </c>
      <c r="AE20" s="8">
        <f t="shared" si="26"/>
        <v>1.0000000000000009E-2</v>
      </c>
    </row>
    <row r="21" spans="2:34" x14ac:dyDescent="0.2">
      <c r="B21" t="s">
        <v>47</v>
      </c>
      <c r="C21" s="8">
        <f>C5/C3</f>
        <v>0.3869647838919662</v>
      </c>
      <c r="D21" s="8">
        <f t="shared" ref="D21:P21" si="27">D5/D3</f>
        <v>0.28414397143786768</v>
      </c>
      <c r="E21" s="8">
        <f t="shared" si="27"/>
        <v>0.28008256419915867</v>
      </c>
      <c r="F21" s="8">
        <f t="shared" si="27"/>
        <v>0.30236621769202765</v>
      </c>
      <c r="G21" s="8">
        <f t="shared" si="27"/>
        <v>0.40204450051112511</v>
      </c>
      <c r="H21" s="8">
        <f t="shared" si="27"/>
        <v>0.40635792368400953</v>
      </c>
      <c r="I21" s="8">
        <f t="shared" si="27"/>
        <v>0.42571632626128542</v>
      </c>
      <c r="J21" s="8">
        <f t="shared" si="27"/>
        <v>0.45148894400629208</v>
      </c>
      <c r="K21" s="8">
        <f t="shared" si="27"/>
        <v>0.47318915257693667</v>
      </c>
      <c r="L21" s="8">
        <f t="shared" si="27"/>
        <v>0.44253489471925861</v>
      </c>
      <c r="M21" s="8">
        <f t="shared" si="27"/>
        <v>0.39608299857093027</v>
      </c>
      <c r="N21" s="8">
        <f t="shared" si="27"/>
        <v>0.39838940981798127</v>
      </c>
      <c r="O21" s="8">
        <f t="shared" si="27"/>
        <v>0.37290565680024645</v>
      </c>
      <c r="P21" s="8">
        <f t="shared" si="27"/>
        <v>0.32438550832403851</v>
      </c>
      <c r="Q21" s="8">
        <f t="shared" ref="Q21:R21" si="28">Q5/Q3</f>
        <v>0.32438550832403851</v>
      </c>
      <c r="R21" s="8">
        <f t="shared" si="28"/>
        <v>0.35</v>
      </c>
    </row>
    <row r="22" spans="2:34" x14ac:dyDescent="0.2">
      <c r="B22" t="s">
        <v>49</v>
      </c>
      <c r="C22" s="8">
        <f>C10/C3</f>
        <v>9.2427121659321553E-3</v>
      </c>
      <c r="D22" s="8">
        <f t="shared" ref="D22:P22" si="29">D10/D3</f>
        <v>3.142010429399298E-2</v>
      </c>
      <c r="E22" s="8">
        <f t="shared" si="29"/>
        <v>6.9143592641426513E-2</v>
      </c>
      <c r="F22" s="8">
        <f t="shared" si="29"/>
        <v>0.22314646280791167</v>
      </c>
      <c r="G22" s="8">
        <f t="shared" si="29"/>
        <v>0.25553211388302849</v>
      </c>
      <c r="H22" s="8">
        <f t="shared" si="29"/>
        <v>0.25883592182656628</v>
      </c>
      <c r="I22" s="8">
        <f t="shared" si="29"/>
        <v>0.31199686376798091</v>
      </c>
      <c r="J22" s="8">
        <f t="shared" si="29"/>
        <v>0.35958841543658865</v>
      </c>
      <c r="K22" s="8">
        <f t="shared" si="29"/>
        <v>0.36373898888965767</v>
      </c>
      <c r="L22" s="8">
        <f t="shared" si="29"/>
        <v>0.28372216123811717</v>
      </c>
      <c r="M22" s="8">
        <f t="shared" si="29"/>
        <v>0.22348625504956734</v>
      </c>
      <c r="N22" s="8">
        <f t="shared" si="29"/>
        <v>0.25732487589630448</v>
      </c>
      <c r="O22" s="8">
        <f t="shared" si="29"/>
        <v>4.6413252126928456E-2</v>
      </c>
      <c r="P22" s="8">
        <f t="shared" si="29"/>
        <v>0.10349898789606313</v>
      </c>
      <c r="Q22" s="8">
        <f t="shared" ref="Q22:R22" si="30">Q10/Q3</f>
        <v>0.10349898789606313</v>
      </c>
      <c r="R22" s="8">
        <f t="shared" si="30"/>
        <v>0.16507299541454948</v>
      </c>
    </row>
    <row r="23" spans="2:34" x14ac:dyDescent="0.2">
      <c r="B23" t="s">
        <v>48</v>
      </c>
      <c r="C23" s="8">
        <f>C15/C3</f>
        <v>-1.7046051833582664E-2</v>
      </c>
      <c r="D23" s="8">
        <f t="shared" ref="D23:P23" si="31">D15/D3</f>
        <v>3.0162596621437429E-3</v>
      </c>
      <c r="E23" s="8">
        <f t="shared" si="31"/>
        <v>3.3174797513656054E-2</v>
      </c>
      <c r="F23" s="8">
        <f t="shared" si="31"/>
        <v>0.15283946123043321</v>
      </c>
      <c r="G23" s="8">
        <f t="shared" si="31"/>
        <v>0.18835939708984928</v>
      </c>
      <c r="H23" s="8">
        <f t="shared" si="31"/>
        <v>0.19747596782039892</v>
      </c>
      <c r="I23" s="8">
        <f t="shared" si="31"/>
        <v>0.24167229480580979</v>
      </c>
      <c r="J23" s="8">
        <f t="shared" si="31"/>
        <v>0.27524330617717457</v>
      </c>
      <c r="K23" s="8">
        <f t="shared" si="31"/>
        <v>0.27996897406858479</v>
      </c>
      <c r="L23" s="8">
        <f t="shared" si="31"/>
        <v>0.22099627297931698</v>
      </c>
      <c r="M23" s="8">
        <f t="shared" si="31"/>
        <v>0.17183719857318075</v>
      </c>
      <c r="N23" s="8">
        <f t="shared" si="31"/>
        <v>0.19931053502482074</v>
      </c>
      <c r="O23" s="8">
        <f t="shared" si="31"/>
        <v>3.9244496054221867E-2</v>
      </c>
      <c r="P23" s="8">
        <f t="shared" si="31"/>
        <v>7.9712479861197172E-2</v>
      </c>
      <c r="Q23" s="8">
        <f t="shared" ref="Q23:R23" si="32">Q15/Q3</f>
        <v>7.9712479861197172E-2</v>
      </c>
      <c r="R23" s="8">
        <f t="shared" si="32"/>
        <v>0.12898929813690255</v>
      </c>
    </row>
    <row r="25" spans="2:34" x14ac:dyDescent="0.2">
      <c r="B25" t="s">
        <v>54</v>
      </c>
      <c r="C25" s="8">
        <f>C14/C13</f>
        <v>-0.42528735632183906</v>
      </c>
      <c r="D25" s="8">
        <f t="shared" ref="D25:R25" si="33">D14/D13</f>
        <v>0.43770491803278688</v>
      </c>
      <c r="E25" s="8">
        <f t="shared" si="33"/>
        <v>0.28537616229923923</v>
      </c>
      <c r="F25" s="8">
        <f t="shared" si="33"/>
        <v>0.26188871634094174</v>
      </c>
      <c r="G25" s="8">
        <f t="shared" si="33"/>
        <v>0.24686054196959684</v>
      </c>
      <c r="H25" s="8">
        <f t="shared" si="33"/>
        <v>0.22749791610965195</v>
      </c>
      <c r="I25" s="8">
        <f t="shared" si="33"/>
        <v>0.22925615537922583</v>
      </c>
      <c r="J25" s="8">
        <f t="shared" si="33"/>
        <v>0.23440850953877956</v>
      </c>
      <c r="K25" s="8">
        <f t="shared" si="33"/>
        <v>0.23119537609247814</v>
      </c>
      <c r="L25" s="8">
        <f t="shared" si="33"/>
        <v>0.2254292188141547</v>
      </c>
      <c r="M25" s="8">
        <f t="shared" si="33"/>
        <v>0.23413325309059907</v>
      </c>
      <c r="N25" s="8">
        <f t="shared" si="33"/>
        <v>0.22699268386599922</v>
      </c>
      <c r="O25" s="8">
        <f t="shared" si="33"/>
        <v>0.2032715900890065</v>
      </c>
      <c r="P25" s="8">
        <f t="shared" si="33"/>
        <v>0.25191905094207956</v>
      </c>
      <c r="Q25" s="8">
        <f t="shared" si="33"/>
        <v>0.25191905094207956</v>
      </c>
      <c r="R25" s="8">
        <f t="shared" si="33"/>
        <v>0.23</v>
      </c>
    </row>
    <row r="26" spans="2:34" x14ac:dyDescent="0.2">
      <c r="AG26" t="s">
        <v>56</v>
      </c>
      <c r="AH26" s="8">
        <v>-0.01</v>
      </c>
    </row>
    <row r="27" spans="2:34" x14ac:dyDescent="0.2">
      <c r="AG27" t="s">
        <v>57</v>
      </c>
      <c r="AH27" s="8">
        <v>0.09</v>
      </c>
    </row>
    <row r="28" spans="2:34" x14ac:dyDescent="0.2">
      <c r="AG28" t="s">
        <v>58</v>
      </c>
      <c r="AH28" s="10">
        <f>NPV(AH27,W15:EH15)</f>
        <v>725406.00063567748</v>
      </c>
    </row>
    <row r="29" spans="2:34" x14ac:dyDescent="0.2">
      <c r="AG29" t="s">
        <v>59</v>
      </c>
      <c r="AH29" s="5">
        <f>AH28/Main!L3</f>
        <v>15.805085313542879</v>
      </c>
    </row>
    <row r="30" spans="2:34" x14ac:dyDescent="0.2">
      <c r="AG30" t="s">
        <v>60</v>
      </c>
      <c r="AH30" s="8">
        <f>AH29/Main!L2-1</f>
        <v>0.41495839870571882</v>
      </c>
    </row>
  </sheetData>
  <hyperlinks>
    <hyperlink ref="A1" location="Main!A1" display="Main" xr:uid="{24E576CE-3B94-2943-BCFA-5A92C166F29A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Garza, Jacob S</dc:creator>
  <cp:lastModifiedBy>Garza, Jacob S</cp:lastModifiedBy>
  <dcterms:created xsi:type="dcterms:W3CDTF">2023-02-06T00:44:38Z</dcterms:created>
  <dcterms:modified xsi:type="dcterms:W3CDTF">2023-02-06T03:42:00Z</dcterms:modified>
</cp:coreProperties>
</file>