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arza/Desktop/Models/"/>
    </mc:Choice>
  </mc:AlternateContent>
  <xr:revisionPtr revIDLastSave="0" documentId="13_ncr:1_{85D2C5F5-34F8-D543-9B3F-9F0F2FB9F2B6}" xr6:coauthVersionLast="47" xr6:coauthVersionMax="47" xr10:uidLastSave="{00000000-0000-0000-0000-000000000000}"/>
  <bookViews>
    <workbookView xWindow="0" yWindow="500" windowWidth="15220" windowHeight="21900" activeTab="1" xr2:uid="{697EF781-8478-334F-9448-258EA3C3201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1" i="2" l="1"/>
  <c r="AA11" i="2"/>
  <c r="AB11" i="2"/>
  <c r="AC11" i="2"/>
  <c r="AD11" i="2"/>
  <c r="AE11" i="2"/>
  <c r="AF11" i="2"/>
  <c r="AG11" i="2"/>
  <c r="P40" i="2"/>
  <c r="O40" i="2"/>
  <c r="M40" i="2"/>
  <c r="L40" i="2"/>
  <c r="K40" i="2"/>
  <c r="I40" i="2"/>
  <c r="H40" i="2"/>
  <c r="G40" i="2"/>
  <c r="P39" i="2"/>
  <c r="O39" i="2"/>
  <c r="M39" i="2"/>
  <c r="L39" i="2"/>
  <c r="K39" i="2"/>
  <c r="I39" i="2"/>
  <c r="H39" i="2"/>
  <c r="G39" i="2"/>
  <c r="P38" i="2"/>
  <c r="O38" i="2"/>
  <c r="M38" i="2"/>
  <c r="L38" i="2"/>
  <c r="K38" i="2"/>
  <c r="I38" i="2"/>
  <c r="H38" i="2"/>
  <c r="G38" i="2"/>
  <c r="P37" i="2"/>
  <c r="O37" i="2"/>
  <c r="M37" i="2"/>
  <c r="L37" i="2"/>
  <c r="K37" i="2"/>
  <c r="Q40" i="2"/>
  <c r="Q39" i="2"/>
  <c r="Q38" i="2"/>
  <c r="Q37" i="2"/>
  <c r="Z1" i="2"/>
  <c r="AA1" i="2" s="1"/>
  <c r="AB1" i="2" s="1"/>
  <c r="AC1" i="2" s="1"/>
  <c r="AD1" i="2" s="1"/>
  <c r="AE1" i="2" s="1"/>
  <c r="AF1" i="2" s="1"/>
  <c r="AG1" i="2" s="1"/>
  <c r="R3" i="2"/>
  <c r="Y3" i="2" s="1"/>
  <c r="R4" i="2"/>
  <c r="Y4" i="2" s="1"/>
  <c r="R5" i="2"/>
  <c r="R45" i="2"/>
  <c r="R44" i="2"/>
  <c r="V27" i="2"/>
  <c r="V3" i="2"/>
  <c r="W27" i="2"/>
  <c r="X27" i="2"/>
  <c r="X17" i="2"/>
  <c r="Y6" i="2"/>
  <c r="Y27" i="2"/>
  <c r="Z27" i="2" s="1"/>
  <c r="AA27" i="2" s="1"/>
  <c r="AB27" i="2" s="1"/>
  <c r="Y17" i="2"/>
  <c r="Y5" i="2"/>
  <c r="Z5" i="2" s="1"/>
  <c r="AA5" i="2" s="1"/>
  <c r="AB5" i="2" s="1"/>
  <c r="P45" i="2"/>
  <c r="M45" i="2"/>
  <c r="L45" i="2"/>
  <c r="I45" i="2"/>
  <c r="H45" i="2"/>
  <c r="E45" i="2"/>
  <c r="D45" i="2"/>
  <c r="P44" i="2"/>
  <c r="M44" i="2"/>
  <c r="L44" i="2"/>
  <c r="I44" i="2"/>
  <c r="H44" i="2"/>
  <c r="E44" i="2"/>
  <c r="D44" i="2"/>
  <c r="P43" i="2"/>
  <c r="M43" i="2"/>
  <c r="L43" i="2"/>
  <c r="I43" i="2"/>
  <c r="H43" i="2"/>
  <c r="E43" i="2"/>
  <c r="D43" i="2"/>
  <c r="P42" i="2"/>
  <c r="M42" i="2"/>
  <c r="L42" i="2"/>
  <c r="I42" i="2"/>
  <c r="H42" i="2"/>
  <c r="G42" i="2"/>
  <c r="Q45" i="2"/>
  <c r="Q44" i="2"/>
  <c r="Q43" i="2"/>
  <c r="Q42" i="2"/>
  <c r="F6" i="2"/>
  <c r="G45" i="2" s="1"/>
  <c r="F5" i="2"/>
  <c r="G44" i="2" s="1"/>
  <c r="F4" i="2"/>
  <c r="G43" i="2" s="1"/>
  <c r="F23" i="2"/>
  <c r="V23" i="2" s="1"/>
  <c r="F21" i="2"/>
  <c r="V21" i="2" s="1"/>
  <c r="F17" i="2"/>
  <c r="F16" i="2"/>
  <c r="V16" i="2" s="1"/>
  <c r="F14" i="2"/>
  <c r="V14" i="2" s="1"/>
  <c r="C11" i="2"/>
  <c r="C20" i="2"/>
  <c r="C18" i="2"/>
  <c r="C13" i="2"/>
  <c r="D20" i="2"/>
  <c r="D18" i="2"/>
  <c r="D11" i="2"/>
  <c r="D13" i="2" s="1"/>
  <c r="E20" i="2"/>
  <c r="E18" i="2"/>
  <c r="E11" i="2"/>
  <c r="E13" i="2" s="1"/>
  <c r="J23" i="2"/>
  <c r="W23" i="2" s="1"/>
  <c r="J21" i="2"/>
  <c r="W21" i="2" s="1"/>
  <c r="J17" i="2"/>
  <c r="W17" i="2" s="1"/>
  <c r="J16" i="2"/>
  <c r="W16" i="2" s="1"/>
  <c r="J14" i="2"/>
  <c r="W14" i="2" s="1"/>
  <c r="J6" i="2"/>
  <c r="J45" i="2" s="1"/>
  <c r="J5" i="2"/>
  <c r="K44" i="2" s="1"/>
  <c r="J4" i="2"/>
  <c r="W4" i="2" s="1"/>
  <c r="J3" i="2"/>
  <c r="W3" i="2" s="1"/>
  <c r="W37" i="2" s="1"/>
  <c r="G20" i="2"/>
  <c r="G18" i="2"/>
  <c r="G11" i="2"/>
  <c r="G13" i="2" s="1"/>
  <c r="H20" i="2"/>
  <c r="H18" i="2"/>
  <c r="H11" i="2"/>
  <c r="H13" i="2" s="1"/>
  <c r="I20" i="2"/>
  <c r="I18" i="2"/>
  <c r="I11" i="2"/>
  <c r="I13" i="2" s="1"/>
  <c r="N21" i="2"/>
  <c r="R21" i="2" s="1"/>
  <c r="Y21" i="2" s="1"/>
  <c r="N23" i="2"/>
  <c r="X23" i="2" s="1"/>
  <c r="N17" i="2"/>
  <c r="N14" i="2"/>
  <c r="X14" i="2" s="1"/>
  <c r="N6" i="2"/>
  <c r="O45" i="2" s="1"/>
  <c r="N5" i="2"/>
  <c r="O44" i="2" s="1"/>
  <c r="N4" i="2"/>
  <c r="X4" i="2" s="1"/>
  <c r="X38" i="2" s="1"/>
  <c r="N3" i="2"/>
  <c r="X3" i="2" s="1"/>
  <c r="K20" i="2"/>
  <c r="O20" i="2"/>
  <c r="K18" i="2"/>
  <c r="K11" i="2"/>
  <c r="K13" i="2" s="1"/>
  <c r="K47" i="2" s="1"/>
  <c r="O18" i="2"/>
  <c r="O11" i="2"/>
  <c r="O13" i="2" s="1"/>
  <c r="O47" i="2" s="1"/>
  <c r="L20" i="2"/>
  <c r="L16" i="2"/>
  <c r="L18" i="2" s="1"/>
  <c r="P20" i="2"/>
  <c r="P16" i="2"/>
  <c r="P18" i="2" s="1"/>
  <c r="L11" i="2"/>
  <c r="L13" i="2" s="1"/>
  <c r="L47" i="2" s="1"/>
  <c r="M20" i="2"/>
  <c r="M16" i="2"/>
  <c r="M18" i="2" s="1"/>
  <c r="M11" i="2"/>
  <c r="M13" i="2" s="1"/>
  <c r="M47" i="2" s="1"/>
  <c r="P11" i="2"/>
  <c r="P13" i="2" s="1"/>
  <c r="P47" i="2" s="1"/>
  <c r="Q20" i="2"/>
  <c r="Q16" i="2"/>
  <c r="Q18" i="2" s="1"/>
  <c r="Q11" i="2"/>
  <c r="Q13" i="2" s="1"/>
  <c r="P8" i="1"/>
  <c r="P6" i="1"/>
  <c r="P5" i="1"/>
  <c r="P9" i="1" l="1"/>
  <c r="Y38" i="2"/>
  <c r="Z4" i="2"/>
  <c r="Y37" i="2"/>
  <c r="Z3" i="2"/>
  <c r="N39" i="2"/>
  <c r="R37" i="2"/>
  <c r="Y39" i="2"/>
  <c r="J40" i="2"/>
  <c r="Z6" i="2"/>
  <c r="O42" i="2"/>
  <c r="X37" i="2"/>
  <c r="R42" i="2"/>
  <c r="F18" i="2"/>
  <c r="R38" i="2"/>
  <c r="R39" i="2"/>
  <c r="J38" i="2"/>
  <c r="N38" i="2"/>
  <c r="R40" i="2"/>
  <c r="J20" i="2"/>
  <c r="W20" i="2" s="1"/>
  <c r="R43" i="2"/>
  <c r="F20" i="2"/>
  <c r="R11" i="2"/>
  <c r="R13" i="2" s="1"/>
  <c r="R15" i="2" s="1"/>
  <c r="R29" i="2" s="1"/>
  <c r="N40" i="2"/>
  <c r="J37" i="2"/>
  <c r="Q19" i="2"/>
  <c r="Q30" i="2" s="1"/>
  <c r="N37" i="2"/>
  <c r="J39" i="2"/>
  <c r="AC27" i="2"/>
  <c r="AC5" i="2"/>
  <c r="AB39" i="2"/>
  <c r="AA39" i="2"/>
  <c r="Z39" i="2"/>
  <c r="X21" i="2"/>
  <c r="W18" i="2"/>
  <c r="N42" i="2"/>
  <c r="Q47" i="2"/>
  <c r="N44" i="2"/>
  <c r="X5" i="2"/>
  <c r="V20" i="2"/>
  <c r="J43" i="2"/>
  <c r="V17" i="2"/>
  <c r="V18" i="2" s="1"/>
  <c r="K43" i="2"/>
  <c r="N16" i="2"/>
  <c r="N18" i="2" s="1"/>
  <c r="J18" i="2"/>
  <c r="N43" i="2"/>
  <c r="O43" i="2"/>
  <c r="F11" i="2"/>
  <c r="F13" i="2" s="1"/>
  <c r="Y16" i="2"/>
  <c r="F44" i="2"/>
  <c r="V5" i="2"/>
  <c r="N20" i="2"/>
  <c r="R20" i="2" s="1"/>
  <c r="Y20" i="2" s="1"/>
  <c r="F45" i="2"/>
  <c r="N11" i="2"/>
  <c r="N13" i="2" s="1"/>
  <c r="N47" i="2" s="1"/>
  <c r="X6" i="2"/>
  <c r="V4" i="2"/>
  <c r="W38" i="2" s="1"/>
  <c r="V6" i="2"/>
  <c r="J11" i="2"/>
  <c r="J13" i="2" s="1"/>
  <c r="J15" i="2" s="1"/>
  <c r="J29" i="2" s="1"/>
  <c r="K45" i="2"/>
  <c r="F43" i="2"/>
  <c r="W6" i="2"/>
  <c r="K42" i="2"/>
  <c r="W5" i="2"/>
  <c r="P33" i="2"/>
  <c r="J44" i="2"/>
  <c r="J42" i="2"/>
  <c r="N45" i="2"/>
  <c r="Y11" i="2"/>
  <c r="Y13" i="2" s="1"/>
  <c r="Y47" i="2" s="1"/>
  <c r="C19" i="2"/>
  <c r="C30" i="2" s="1"/>
  <c r="C15" i="2"/>
  <c r="C29" i="2" s="1"/>
  <c r="C22" i="2"/>
  <c r="D19" i="2"/>
  <c r="D30" i="2" s="1"/>
  <c r="D15" i="2"/>
  <c r="D29" i="2" s="1"/>
  <c r="D22" i="2"/>
  <c r="E19" i="2"/>
  <c r="E15" i="2"/>
  <c r="E29" i="2" s="1"/>
  <c r="G33" i="2"/>
  <c r="G15" i="2"/>
  <c r="G29" i="2" s="1"/>
  <c r="G19" i="2"/>
  <c r="G30" i="2" s="1"/>
  <c r="H33" i="2"/>
  <c r="H15" i="2"/>
  <c r="H29" i="2" s="1"/>
  <c r="H19" i="2"/>
  <c r="H30" i="2" s="1"/>
  <c r="L33" i="2"/>
  <c r="I19" i="2"/>
  <c r="I30" i="2" s="1"/>
  <c r="I15" i="2"/>
  <c r="I29" i="2" s="1"/>
  <c r="I33" i="2"/>
  <c r="I22" i="2"/>
  <c r="M33" i="2"/>
  <c r="K19" i="2"/>
  <c r="K30" i="2" s="1"/>
  <c r="K15" i="2"/>
  <c r="K29" i="2" s="1"/>
  <c r="K33" i="2"/>
  <c r="O19" i="2"/>
  <c r="O30" i="2" s="1"/>
  <c r="O15" i="2"/>
  <c r="O29" i="2" s="1"/>
  <c r="O33" i="2"/>
  <c r="Q15" i="2"/>
  <c r="Q29" i="2" s="1"/>
  <c r="Q33" i="2"/>
  <c r="L19" i="2"/>
  <c r="L30" i="2" s="1"/>
  <c r="L15" i="2"/>
  <c r="L29" i="2" s="1"/>
  <c r="M19" i="2"/>
  <c r="M30" i="2" s="1"/>
  <c r="M15" i="2"/>
  <c r="M29" i="2" s="1"/>
  <c r="P15" i="2"/>
  <c r="P29" i="2" s="1"/>
  <c r="P19" i="2"/>
  <c r="P30" i="2" s="1"/>
  <c r="P22" i="2"/>
  <c r="X39" i="2" l="1"/>
  <c r="R47" i="2"/>
  <c r="Z37" i="2"/>
  <c r="AA3" i="2"/>
  <c r="Z40" i="2"/>
  <c r="Z13" i="2"/>
  <c r="Z47" i="2" s="1"/>
  <c r="AA6" i="2"/>
  <c r="Q22" i="2"/>
  <c r="J33" i="2"/>
  <c r="W39" i="2"/>
  <c r="K22" i="2"/>
  <c r="K35" i="2" s="1"/>
  <c r="X11" i="2"/>
  <c r="X13" i="2" s="1"/>
  <c r="X40" i="2"/>
  <c r="Z38" i="2"/>
  <c r="AA4" i="2"/>
  <c r="W40" i="2"/>
  <c r="Y40" i="2"/>
  <c r="AD27" i="2"/>
  <c r="AD5" i="2"/>
  <c r="AC39" i="2"/>
  <c r="R33" i="2"/>
  <c r="O22" i="2"/>
  <c r="O24" i="2" s="1"/>
  <c r="O31" i="2" s="1"/>
  <c r="F15" i="2"/>
  <c r="F29" i="2" s="1"/>
  <c r="J47" i="2"/>
  <c r="X16" i="2"/>
  <c r="X18" i="2" s="1"/>
  <c r="J19" i="2"/>
  <c r="J30" i="2" s="1"/>
  <c r="F19" i="2"/>
  <c r="N19" i="2"/>
  <c r="N30" i="2" s="1"/>
  <c r="Q24" i="2"/>
  <c r="Q26" i="2" s="1"/>
  <c r="Q35" i="2"/>
  <c r="I24" i="2"/>
  <c r="I26" i="2" s="1"/>
  <c r="I35" i="2"/>
  <c r="C24" i="2"/>
  <c r="C31" i="2" s="1"/>
  <c r="C35" i="2"/>
  <c r="W11" i="2"/>
  <c r="W13" i="2" s="1"/>
  <c r="P24" i="2"/>
  <c r="P31" i="2" s="1"/>
  <c r="P35" i="2"/>
  <c r="N15" i="2"/>
  <c r="N29" i="2" s="1"/>
  <c r="D24" i="2"/>
  <c r="D26" i="2" s="1"/>
  <c r="D35" i="2"/>
  <c r="N33" i="2"/>
  <c r="V11" i="2"/>
  <c r="V13" i="2" s="1"/>
  <c r="V47" i="2" s="1"/>
  <c r="X20" i="2"/>
  <c r="R14" i="2"/>
  <c r="E22" i="2"/>
  <c r="E30" i="2"/>
  <c r="G22" i="2"/>
  <c r="H22" i="2"/>
  <c r="L22" i="2"/>
  <c r="M22" i="2"/>
  <c r="P26" i="2" l="1"/>
  <c r="X15" i="2"/>
  <c r="X29" i="2" s="1"/>
  <c r="X33" i="2"/>
  <c r="X47" i="2"/>
  <c r="AB3" i="2"/>
  <c r="AA37" i="2"/>
  <c r="AB4" i="2"/>
  <c r="AA38" i="2"/>
  <c r="K24" i="2"/>
  <c r="K26" i="2" s="1"/>
  <c r="Y33" i="2"/>
  <c r="N22" i="2"/>
  <c r="N24" i="2" s="1"/>
  <c r="W33" i="2"/>
  <c r="W47" i="2"/>
  <c r="X19" i="2"/>
  <c r="X30" i="2" s="1"/>
  <c r="AA40" i="2"/>
  <c r="AA13" i="2"/>
  <c r="AB6" i="2"/>
  <c r="Z33" i="2"/>
  <c r="Z19" i="2"/>
  <c r="O35" i="2"/>
  <c r="AE27" i="2"/>
  <c r="AE5" i="2"/>
  <c r="AD39" i="2"/>
  <c r="Q31" i="2"/>
  <c r="I31" i="2"/>
  <c r="F30" i="2"/>
  <c r="F22" i="2"/>
  <c r="J22" i="2"/>
  <c r="J24" i="2" s="1"/>
  <c r="K31" i="2"/>
  <c r="M24" i="2"/>
  <c r="M26" i="2" s="1"/>
  <c r="M35" i="2"/>
  <c r="X22" i="2"/>
  <c r="L24" i="2"/>
  <c r="L35" i="2"/>
  <c r="C26" i="2"/>
  <c r="H24" i="2"/>
  <c r="H26" i="2" s="1"/>
  <c r="H35" i="2"/>
  <c r="W15" i="2"/>
  <c r="W29" i="2" s="1"/>
  <c r="W19" i="2"/>
  <c r="G24" i="2"/>
  <c r="G31" i="2" s="1"/>
  <c r="G35" i="2"/>
  <c r="V15" i="2"/>
  <c r="V29" i="2" s="1"/>
  <c r="V19" i="2"/>
  <c r="E24" i="2"/>
  <c r="E31" i="2" s="1"/>
  <c r="E35" i="2"/>
  <c r="D31" i="2"/>
  <c r="O26" i="2"/>
  <c r="Y14" i="2"/>
  <c r="Z14" i="2" s="1"/>
  <c r="AA14" i="2" s="1"/>
  <c r="AB14" i="2" s="1"/>
  <c r="AC14" i="2" s="1"/>
  <c r="AD14" i="2" s="1"/>
  <c r="AE14" i="2" s="1"/>
  <c r="AF14" i="2" s="1"/>
  <c r="AG14" i="2" s="1"/>
  <c r="R18" i="2"/>
  <c r="R19" i="2" s="1"/>
  <c r="N35" i="2" l="1"/>
  <c r="X24" i="2"/>
  <c r="X35" i="2"/>
  <c r="AC4" i="2"/>
  <c r="AB38" i="2"/>
  <c r="AA33" i="2"/>
  <c r="AA15" i="2"/>
  <c r="AA19" i="2"/>
  <c r="AA47" i="2"/>
  <c r="AC3" i="2"/>
  <c r="AB37" i="2"/>
  <c r="J35" i="2"/>
  <c r="Z22" i="2"/>
  <c r="Z30" i="2"/>
  <c r="Z15" i="2"/>
  <c r="AB13" i="2"/>
  <c r="AB40" i="2"/>
  <c r="AC6" i="2"/>
  <c r="AF27" i="2"/>
  <c r="AF5" i="2"/>
  <c r="AE39" i="2"/>
  <c r="E26" i="2"/>
  <c r="M31" i="2"/>
  <c r="F24" i="2"/>
  <c r="F35" i="2"/>
  <c r="H31" i="2"/>
  <c r="W30" i="2"/>
  <c r="W22" i="2"/>
  <c r="J26" i="2"/>
  <c r="J31" i="2"/>
  <c r="V30" i="2"/>
  <c r="V22" i="2"/>
  <c r="V24" i="2" s="1"/>
  <c r="L26" i="2"/>
  <c r="L31" i="2"/>
  <c r="G26" i="2"/>
  <c r="N26" i="2"/>
  <c r="N31" i="2"/>
  <c r="R22" i="2"/>
  <c r="R30" i="2"/>
  <c r="Y18" i="2"/>
  <c r="Y19" i="2" s="1"/>
  <c r="Y15" i="2"/>
  <c r="Y29" i="2" s="1"/>
  <c r="AA30" i="2" l="1"/>
  <c r="AA22" i="2"/>
  <c r="AD3" i="2"/>
  <c r="AC37" i="2"/>
  <c r="AB33" i="2"/>
  <c r="AB19" i="2"/>
  <c r="AB15" i="2"/>
  <c r="AC13" i="2"/>
  <c r="AC40" i="2"/>
  <c r="AD6" i="2"/>
  <c r="Z18" i="2"/>
  <c r="Z29" i="2"/>
  <c r="Z23" i="2"/>
  <c r="Z35" i="2" s="1"/>
  <c r="W24" i="2"/>
  <c r="W35" i="2"/>
  <c r="AB47" i="2"/>
  <c r="AA18" i="2"/>
  <c r="AA29" i="2"/>
  <c r="AC38" i="2"/>
  <c r="AD4" i="2"/>
  <c r="X26" i="2"/>
  <c r="X31" i="2"/>
  <c r="AG27" i="2"/>
  <c r="AG5" i="2"/>
  <c r="AG39" i="2" s="1"/>
  <c r="AF39" i="2"/>
  <c r="F31" i="2"/>
  <c r="F26" i="2"/>
  <c r="V31" i="2"/>
  <c r="V26" i="2"/>
  <c r="W26" i="2"/>
  <c r="W31" i="2"/>
  <c r="Y30" i="2"/>
  <c r="Y22" i="2"/>
  <c r="R23" i="2"/>
  <c r="R24" i="2"/>
  <c r="Z24" i="2" l="1"/>
  <c r="AE3" i="2"/>
  <c r="AD37" i="2"/>
  <c r="AB22" i="2"/>
  <c r="AB30" i="2"/>
  <c r="AD38" i="2"/>
  <c r="AE4" i="2"/>
  <c r="AA23" i="2"/>
  <c r="AA35" i="2" s="1"/>
  <c r="Z26" i="2"/>
  <c r="Z31" i="2"/>
  <c r="AD40" i="2"/>
  <c r="AE6" i="2"/>
  <c r="AD13" i="2"/>
  <c r="AC47" i="2"/>
  <c r="AC15" i="2"/>
  <c r="AC19" i="2"/>
  <c r="AC33" i="2"/>
  <c r="AB29" i="2"/>
  <c r="AB18" i="2"/>
  <c r="R31" i="2"/>
  <c r="R26" i="2"/>
  <c r="Y23" i="2"/>
  <c r="R35" i="2"/>
  <c r="AA24" i="2" l="1"/>
  <c r="AA26" i="2" s="1"/>
  <c r="AD33" i="2"/>
  <c r="AD19" i="2"/>
  <c r="AD15" i="2"/>
  <c r="AF4" i="2"/>
  <c r="AE38" i="2"/>
  <c r="AB23" i="2"/>
  <c r="AB35" i="2" s="1"/>
  <c r="AC18" i="2"/>
  <c r="AC29" i="2"/>
  <c r="AF6" i="2"/>
  <c r="AE40" i="2"/>
  <c r="AE13" i="2"/>
  <c r="Y24" i="2"/>
  <c r="Y31" i="2" s="1"/>
  <c r="Y35" i="2"/>
  <c r="AD47" i="2"/>
  <c r="AC30" i="2"/>
  <c r="AC22" i="2"/>
  <c r="AF3" i="2"/>
  <c r="AE37" i="2"/>
  <c r="AA31" i="2" l="1"/>
  <c r="AE19" i="2"/>
  <c r="AE33" i="2"/>
  <c r="AE15" i="2"/>
  <c r="AF40" i="2"/>
  <c r="AF13" i="2"/>
  <c r="AG6" i="2"/>
  <c r="AB24" i="2"/>
  <c r="Y26" i="2"/>
  <c r="AE47" i="2"/>
  <c r="AG4" i="2"/>
  <c r="AG38" i="2" s="1"/>
  <c r="AF38" i="2"/>
  <c r="AD18" i="2"/>
  <c r="AD29" i="2"/>
  <c r="AG3" i="2"/>
  <c r="AG37" i="2" s="1"/>
  <c r="AF37" i="2"/>
  <c r="AD30" i="2"/>
  <c r="AD22" i="2"/>
  <c r="AC23" i="2"/>
  <c r="AC35" i="2" s="1"/>
  <c r="AC24" i="2"/>
  <c r="AG40" i="2" l="1"/>
  <c r="AG13" i="2"/>
  <c r="AB31" i="2"/>
  <c r="AB26" i="2"/>
  <c r="AF47" i="2"/>
  <c r="AF19" i="2"/>
  <c r="AF33" i="2"/>
  <c r="AF15" i="2"/>
  <c r="AC26" i="2"/>
  <c r="AC31" i="2"/>
  <c r="AE18" i="2"/>
  <c r="AE29" i="2"/>
  <c r="AD23" i="2"/>
  <c r="AD35" i="2" s="1"/>
  <c r="AD24" i="2"/>
  <c r="AE30" i="2"/>
  <c r="AE22" i="2"/>
  <c r="AE23" i="2" s="1"/>
  <c r="AE35" i="2" s="1"/>
  <c r="AD31" i="2" l="1"/>
  <c r="AD26" i="2"/>
  <c r="AF18" i="2"/>
  <c r="AF29" i="2"/>
  <c r="AG47" i="2"/>
  <c r="AG19" i="2"/>
  <c r="AG15" i="2"/>
  <c r="AG33" i="2"/>
  <c r="AF22" i="2"/>
  <c r="AF30" i="2"/>
  <c r="AE24" i="2"/>
  <c r="AE26" i="2" s="1"/>
  <c r="AE31" i="2" l="1"/>
  <c r="AG30" i="2"/>
  <c r="AG22" i="2"/>
  <c r="AF23" i="2"/>
  <c r="AF35" i="2" s="1"/>
  <c r="AG29" i="2"/>
  <c r="AG18" i="2"/>
  <c r="AF24" i="2" l="1"/>
  <c r="AF31" i="2" s="1"/>
  <c r="AF26" i="2"/>
  <c r="AG23" i="2"/>
  <c r="AG35" i="2" s="1"/>
  <c r="AG24" i="2" l="1"/>
  <c r="AG31" i="2" s="1"/>
  <c r="AH24" i="2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X24" i="2" s="1"/>
  <c r="CY24" i="2" s="1"/>
  <c r="CZ24" i="2" s="1"/>
  <c r="DA24" i="2" s="1"/>
  <c r="DB24" i="2" s="1"/>
  <c r="DC24" i="2" s="1"/>
  <c r="DD24" i="2" s="1"/>
  <c r="DE24" i="2" s="1"/>
  <c r="DF24" i="2" s="1"/>
  <c r="DG24" i="2" s="1"/>
  <c r="DH24" i="2" s="1"/>
  <c r="DI24" i="2" s="1"/>
  <c r="DJ24" i="2" s="1"/>
  <c r="DK24" i="2" s="1"/>
  <c r="DL24" i="2" s="1"/>
  <c r="DM24" i="2" s="1"/>
  <c r="DN24" i="2" s="1"/>
  <c r="DO24" i="2" s="1"/>
  <c r="DP24" i="2" s="1"/>
  <c r="DQ24" i="2" s="1"/>
  <c r="DR24" i="2" s="1"/>
  <c r="DS24" i="2" s="1"/>
  <c r="DT24" i="2" s="1"/>
  <c r="DU24" i="2" s="1"/>
  <c r="DV24" i="2" s="1"/>
  <c r="DW24" i="2" s="1"/>
  <c r="DX24" i="2" s="1"/>
  <c r="DY24" i="2" s="1"/>
  <c r="AJ47" i="2" s="1"/>
  <c r="AG26" i="2" l="1"/>
  <c r="AJ48" i="2"/>
  <c r="AJ49" i="2" s="1"/>
  <c r="AJ50" i="2"/>
</calcChain>
</file>

<file path=xl/sharedStrings.xml><?xml version="1.0" encoding="utf-8"?>
<sst xmlns="http://schemas.openxmlformats.org/spreadsheetml/2006/main" count="157" uniqueCount="112">
  <si>
    <t>Price</t>
  </si>
  <si>
    <t>Shares</t>
  </si>
  <si>
    <t>MC</t>
  </si>
  <si>
    <t>Cash</t>
  </si>
  <si>
    <t>Debt</t>
  </si>
  <si>
    <t>EV</t>
  </si>
  <si>
    <t>Model</t>
  </si>
  <si>
    <t>Main</t>
  </si>
  <si>
    <t>Q19</t>
  </si>
  <si>
    <t>Q219</t>
  </si>
  <si>
    <t>Q319</t>
  </si>
  <si>
    <t>Q419</t>
  </si>
  <si>
    <t>Q120</t>
  </si>
  <si>
    <t>Q221</t>
  </si>
  <si>
    <t>Q222</t>
  </si>
  <si>
    <t>Q322</t>
  </si>
  <si>
    <t>Q422</t>
  </si>
  <si>
    <t>Q220</t>
  </si>
  <si>
    <t>Q320</t>
  </si>
  <si>
    <t>Q420</t>
  </si>
  <si>
    <t>Q121</t>
  </si>
  <si>
    <t>Q321</t>
  </si>
  <si>
    <t>Q421</t>
  </si>
  <si>
    <t>Q122</t>
  </si>
  <si>
    <t>TRIKAFTA/KAFTRIO</t>
  </si>
  <si>
    <t>SYMDEKO/SYMKEVI</t>
  </si>
  <si>
    <t>ORKAMBI</t>
  </si>
  <si>
    <t>KAYLDECO</t>
  </si>
  <si>
    <t>Sales</t>
  </si>
  <si>
    <t>Other rev</t>
  </si>
  <si>
    <t>Revenue</t>
  </si>
  <si>
    <t>Cost of sales</t>
  </si>
  <si>
    <t>R&amp;D</t>
  </si>
  <si>
    <t>SG&amp;A</t>
  </si>
  <si>
    <t>Operating Expense</t>
  </si>
  <si>
    <t>Operating Income</t>
  </si>
  <si>
    <t>Net Interest</t>
  </si>
  <si>
    <t>Pretax Income</t>
  </si>
  <si>
    <t>Taxes</t>
  </si>
  <si>
    <t>Net Profit</t>
  </si>
  <si>
    <t>EPS</t>
  </si>
  <si>
    <t>Other income</t>
  </si>
  <si>
    <t>Gross Margin</t>
  </si>
  <si>
    <t>Operating Margin</t>
  </si>
  <si>
    <t>Profit Margin</t>
  </si>
  <si>
    <t>Gross Profit</t>
  </si>
  <si>
    <t>Revenue y/y</t>
  </si>
  <si>
    <t>Name</t>
  </si>
  <si>
    <t>Treatment</t>
  </si>
  <si>
    <t>Stage</t>
  </si>
  <si>
    <t>Approv. Date</t>
  </si>
  <si>
    <t>Cystic Fibrosis</t>
  </si>
  <si>
    <t>Approved</t>
  </si>
  <si>
    <t>VX-121/texacaftor/VX-561</t>
  </si>
  <si>
    <t>Phase 3</t>
  </si>
  <si>
    <t>CTX001</t>
  </si>
  <si>
    <t>Sickle Cell Disease</t>
  </si>
  <si>
    <t>Notes</t>
  </si>
  <si>
    <t>Beta Thalassemia</t>
  </si>
  <si>
    <t>VX-147</t>
  </si>
  <si>
    <t>APOL1-Mediated Kidney Disease</t>
  </si>
  <si>
    <t>Phase 2/3</t>
  </si>
  <si>
    <t>VX-548</t>
  </si>
  <si>
    <t>Pain</t>
  </si>
  <si>
    <t>Phase 2</t>
  </si>
  <si>
    <t>VX-880</t>
  </si>
  <si>
    <t>Type 1 Diabetes</t>
  </si>
  <si>
    <t>Phase 1/2</t>
  </si>
  <si>
    <t>2027 Patent Expiration</t>
  </si>
  <si>
    <t>2030 Patent Expiration</t>
  </si>
  <si>
    <t>2037 Patent Expiration</t>
  </si>
  <si>
    <t>TRIKAFTA/KAFTRIO y/y</t>
  </si>
  <si>
    <t>SYMDEKO/SYMKEVI y/y</t>
  </si>
  <si>
    <t>ORKAMBI y/y</t>
  </si>
  <si>
    <t>KAYLDECO y/y</t>
  </si>
  <si>
    <t>Trifkafta % of sales</t>
  </si>
  <si>
    <t>TRIKAFTA/KAFTRIO q/q</t>
  </si>
  <si>
    <t>SYMDEKO/SYMKEVI q/q</t>
  </si>
  <si>
    <t>ORKAMBI q/q</t>
  </si>
  <si>
    <t>KAYLDECO q/q</t>
  </si>
  <si>
    <t>Tax Rate</t>
  </si>
  <si>
    <t>Terminal</t>
  </si>
  <si>
    <t>Discount</t>
  </si>
  <si>
    <t>NPV</t>
  </si>
  <si>
    <t>Share</t>
  </si>
  <si>
    <t>Upside/Downside</t>
  </si>
  <si>
    <t>Kalydeco (ivacaftor)</t>
  </si>
  <si>
    <t>Orkambi (lumacaftor/ivacaftor)</t>
  </si>
  <si>
    <t xml:space="preserve"> </t>
  </si>
  <si>
    <t>SYMDEKO (tezacaftor/ivacaftor and ivacaftor)</t>
  </si>
  <si>
    <t>SYMKEVI (tezacaftor/ivacaftor) + KALYDECO (ivacaftor)</t>
  </si>
  <si>
    <t>TRIKAFTA (elexacaftor/tezacaftor/ivacaftor and ivacaftor)</t>
  </si>
  <si>
    <t>KAFTRIO (ivacaftor/tezacaftor/elexacaftor)</t>
  </si>
  <si>
    <t>VX-522</t>
  </si>
  <si>
    <t>Phase 1</t>
  </si>
  <si>
    <t>CTX001 (Exa-cel)</t>
  </si>
  <si>
    <t>Gene editing, collaborating with CRISPR</t>
  </si>
  <si>
    <t>VX-864</t>
  </si>
  <si>
    <t>Alpha-1 antitrypsin deficiency</t>
  </si>
  <si>
    <t xml:space="preserve">Phase 2 </t>
  </si>
  <si>
    <t>Encapsulated Islet Cells</t>
  </si>
  <si>
    <t>Research</t>
  </si>
  <si>
    <t>VX-970</t>
  </si>
  <si>
    <t>VX-803</t>
  </si>
  <si>
    <t>VX-984</t>
  </si>
  <si>
    <t>Cancer</t>
  </si>
  <si>
    <t>Out licensed to Merck</t>
  </si>
  <si>
    <t>Duchenne Muscular Dystrophy</t>
  </si>
  <si>
    <t>Additional Small Molecules</t>
  </si>
  <si>
    <t>Small Molecules</t>
  </si>
  <si>
    <t>CRISPR/Cas9</t>
  </si>
  <si>
    <t>Additional mRNA Therapeutics/Genetics Therapies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</si>
</sst>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3" fillId="0" borderId="0" xfId="2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3" fontId="0" fillId="0" borderId="2" xfId="0" applyNumberFormat="1" applyBorder="1"/>
    <xf numFmtId="3" fontId="0" fillId="0" borderId="0" xfId="0" applyNumberFormat="1"/>
    <xf numFmtId="2" fontId="0" fillId="0" borderId="0" xfId="0" applyNumberFormat="1"/>
    <xf numFmtId="3" fontId="2" fillId="0" borderId="0" xfId="0" applyNumberFormat="1" applyFont="1"/>
    <xf numFmtId="9" fontId="0" fillId="0" borderId="0" xfId="0" applyNumberFormat="1"/>
    <xf numFmtId="165" fontId="0" fillId="0" borderId="0" xfId="0" applyNumberFormat="1"/>
    <xf numFmtId="10" fontId="0" fillId="0" borderId="0" xfId="0" applyNumberFormat="1"/>
    <xf numFmtId="1" fontId="0" fillId="0" borderId="0" xfId="0" applyNumberFormat="1"/>
    <xf numFmtId="166" fontId="0" fillId="0" borderId="0" xfId="0" applyNumberFormat="1"/>
    <xf numFmtId="38" fontId="0" fillId="0" borderId="0" xfId="0" applyNumberFormat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812800</xdr:colOff>
      <xdr:row>0</xdr:row>
      <xdr:rowOff>165100</xdr:rowOff>
    </xdr:from>
    <xdr:to>
      <xdr:col>17</xdr:col>
      <xdr:colOff>0</xdr:colOff>
      <xdr:row>85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50F460-69EE-CCAD-AE88-793765157E37}"/>
            </a:ext>
          </a:extLst>
        </xdr:cNvPr>
        <xdr:cNvCxnSpPr/>
      </xdr:nvCxnSpPr>
      <xdr:spPr>
        <a:xfrm flipH="1">
          <a:off x="14084300" y="165100"/>
          <a:ext cx="12700" cy="15557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812800</xdr:colOff>
      <xdr:row>0</xdr:row>
      <xdr:rowOff>165100</xdr:rowOff>
    </xdr:from>
    <xdr:to>
      <xdr:col>25</xdr:col>
      <xdr:colOff>12700</xdr:colOff>
      <xdr:row>72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3DCC116-27CC-9F01-5CE3-02D415CA1957}"/>
            </a:ext>
          </a:extLst>
        </xdr:cNvPr>
        <xdr:cNvCxnSpPr/>
      </xdr:nvCxnSpPr>
      <xdr:spPr>
        <a:xfrm flipH="1">
          <a:off x="20942300" y="165100"/>
          <a:ext cx="25400" cy="13258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D00B-C1A3-0C40-AEB7-9640648B0312}">
  <dimension ref="A1:P39"/>
  <sheetViews>
    <sheetView zoomScale="85" zoomScaleNormal="110" workbookViewId="0"/>
  </sheetViews>
  <sheetFormatPr baseColWidth="10" defaultRowHeight="16" x14ac:dyDescent="0.2"/>
  <cols>
    <col min="2" max="2" width="48.5" bestFit="1" customWidth="1"/>
    <col min="3" max="3" width="29.33203125" bestFit="1" customWidth="1"/>
    <col min="4" max="4" width="9.5" bestFit="1" customWidth="1"/>
    <col min="5" max="5" width="12.5" bestFit="1" customWidth="1"/>
    <col min="6" max="6" width="34.5" bestFit="1" customWidth="1"/>
  </cols>
  <sheetData>
    <row r="1" spans="1:16" x14ac:dyDescent="0.2">
      <c r="A1" s="3" t="s">
        <v>6</v>
      </c>
    </row>
    <row r="3" spans="1:16" ht="17" thickBot="1" x14ac:dyDescent="0.25">
      <c r="O3" t="s">
        <v>0</v>
      </c>
      <c r="P3">
        <v>301</v>
      </c>
    </row>
    <row r="4" spans="1:16" x14ac:dyDescent="0.2">
      <c r="B4" s="22" t="s">
        <v>47</v>
      </c>
      <c r="C4" s="26" t="s">
        <v>48</v>
      </c>
      <c r="D4" s="26" t="s">
        <v>49</v>
      </c>
      <c r="E4" s="26" t="s">
        <v>50</v>
      </c>
      <c r="F4" s="20" t="s">
        <v>57</v>
      </c>
      <c r="O4" t="s">
        <v>1</v>
      </c>
      <c r="P4" s="1">
        <v>256.69099999999997</v>
      </c>
    </row>
    <row r="5" spans="1:16" x14ac:dyDescent="0.2">
      <c r="B5" s="23" t="s">
        <v>86</v>
      </c>
      <c r="C5" s="27" t="s">
        <v>51</v>
      </c>
      <c r="D5" s="27" t="s">
        <v>52</v>
      </c>
      <c r="E5" s="27">
        <v>2012</v>
      </c>
      <c r="F5" s="19" t="s">
        <v>68</v>
      </c>
      <c r="O5" t="s">
        <v>2</v>
      </c>
      <c r="P5" s="2">
        <f>P4*P3</f>
        <v>77263.990999999995</v>
      </c>
    </row>
    <row r="6" spans="1:16" x14ac:dyDescent="0.2">
      <c r="B6" s="23" t="s">
        <v>87</v>
      </c>
      <c r="C6" s="27" t="s">
        <v>51</v>
      </c>
      <c r="D6" s="27" t="s">
        <v>52</v>
      </c>
      <c r="E6" s="27">
        <v>2015</v>
      </c>
      <c r="F6" s="19" t="s">
        <v>69</v>
      </c>
      <c r="O6" t="s">
        <v>3</v>
      </c>
      <c r="P6" s="1">
        <f>9171+599</f>
        <v>9770</v>
      </c>
    </row>
    <row r="7" spans="1:16" x14ac:dyDescent="0.2">
      <c r="B7" s="23" t="s">
        <v>89</v>
      </c>
      <c r="C7" s="27" t="s">
        <v>51</v>
      </c>
      <c r="D7" s="27" t="s">
        <v>52</v>
      </c>
      <c r="E7" s="27">
        <v>2018</v>
      </c>
      <c r="F7" s="19" t="s">
        <v>68</v>
      </c>
      <c r="P7" s="1"/>
    </row>
    <row r="8" spans="1:16" x14ac:dyDescent="0.2">
      <c r="B8" s="23" t="s">
        <v>90</v>
      </c>
      <c r="C8" s="27" t="s">
        <v>51</v>
      </c>
      <c r="D8" s="27" t="s">
        <v>52</v>
      </c>
      <c r="E8" s="27">
        <v>2018</v>
      </c>
      <c r="F8" s="19" t="s">
        <v>68</v>
      </c>
      <c r="O8" t="s">
        <v>4</v>
      </c>
      <c r="P8" s="1">
        <f>442+382+127+115</f>
        <v>1066</v>
      </c>
    </row>
    <row r="9" spans="1:16" x14ac:dyDescent="0.2">
      <c r="B9" s="23" t="s">
        <v>91</v>
      </c>
      <c r="C9" s="27" t="s">
        <v>51</v>
      </c>
      <c r="D9" s="27" t="s">
        <v>52</v>
      </c>
      <c r="E9" s="27">
        <v>2019</v>
      </c>
      <c r="F9" s="19" t="s">
        <v>70</v>
      </c>
      <c r="O9" t="s">
        <v>5</v>
      </c>
      <c r="P9" s="2">
        <f>P5-P6+P8</f>
        <v>68559.990999999995</v>
      </c>
    </row>
    <row r="10" spans="1:16" x14ac:dyDescent="0.2">
      <c r="B10" s="23" t="s">
        <v>92</v>
      </c>
      <c r="C10" s="27" t="s">
        <v>51</v>
      </c>
      <c r="D10" s="27" t="s">
        <v>52</v>
      </c>
      <c r="E10" s="27">
        <v>2019</v>
      </c>
      <c r="F10" s="19" t="s">
        <v>70</v>
      </c>
      <c r="P10" s="2"/>
    </row>
    <row r="11" spans="1:16" x14ac:dyDescent="0.2">
      <c r="A11" t="s">
        <v>88</v>
      </c>
      <c r="B11" s="23" t="s">
        <v>53</v>
      </c>
      <c r="C11" s="27" t="s">
        <v>51</v>
      </c>
      <c r="D11" s="27" t="s">
        <v>54</v>
      </c>
      <c r="E11" s="27"/>
      <c r="F11" s="19"/>
    </row>
    <row r="12" spans="1:16" x14ac:dyDescent="0.2">
      <c r="B12" s="23" t="s">
        <v>93</v>
      </c>
      <c r="C12" s="27" t="s">
        <v>51</v>
      </c>
      <c r="D12" s="27" t="s">
        <v>94</v>
      </c>
      <c r="E12" s="27"/>
      <c r="F12" s="19"/>
    </row>
    <row r="13" spans="1:16" x14ac:dyDescent="0.2">
      <c r="B13" s="23" t="s">
        <v>108</v>
      </c>
      <c r="C13" s="27" t="s">
        <v>51</v>
      </c>
      <c r="D13" s="27" t="s">
        <v>101</v>
      </c>
      <c r="E13" s="27"/>
      <c r="F13" s="19"/>
    </row>
    <row r="14" spans="1:16" x14ac:dyDescent="0.2">
      <c r="B14" s="23" t="s">
        <v>110</v>
      </c>
      <c r="C14" s="27" t="s">
        <v>51</v>
      </c>
      <c r="D14" s="27" t="s">
        <v>101</v>
      </c>
      <c r="E14" s="27"/>
      <c r="F14" s="19"/>
    </row>
    <row r="15" spans="1:16" x14ac:dyDescent="0.2">
      <c r="B15" s="23" t="s">
        <v>111</v>
      </c>
      <c r="C15" s="27" t="s">
        <v>51</v>
      </c>
      <c r="D15" s="27" t="s">
        <v>101</v>
      </c>
      <c r="E15" s="27"/>
      <c r="F15" s="19"/>
    </row>
    <row r="16" spans="1:16" x14ac:dyDescent="0.2">
      <c r="B16" s="24"/>
      <c r="C16" s="28"/>
      <c r="D16" s="28"/>
      <c r="E16" s="28"/>
      <c r="F16" s="21"/>
    </row>
    <row r="17" spans="2:6" x14ac:dyDescent="0.2">
      <c r="B17" s="23" t="s">
        <v>62</v>
      </c>
      <c r="C17" s="27" t="s">
        <v>63</v>
      </c>
      <c r="D17" s="27" t="s">
        <v>64</v>
      </c>
      <c r="E17" s="27"/>
      <c r="F17" s="19"/>
    </row>
    <row r="18" spans="2:6" x14ac:dyDescent="0.2">
      <c r="B18" s="23" t="s">
        <v>109</v>
      </c>
      <c r="C18" s="27" t="s">
        <v>63</v>
      </c>
      <c r="D18" s="27" t="s">
        <v>101</v>
      </c>
      <c r="E18" s="27"/>
      <c r="F18" s="19"/>
    </row>
    <row r="19" spans="2:6" x14ac:dyDescent="0.2">
      <c r="B19" s="24"/>
      <c r="C19" s="28"/>
      <c r="D19" s="28"/>
      <c r="E19" s="28"/>
      <c r="F19" s="21"/>
    </row>
    <row r="20" spans="2:6" x14ac:dyDescent="0.2">
      <c r="B20" s="23" t="s">
        <v>95</v>
      </c>
      <c r="C20" s="27" t="s">
        <v>56</v>
      </c>
      <c r="D20" s="27" t="s">
        <v>54</v>
      </c>
      <c r="E20" s="27"/>
      <c r="F20" s="19" t="s">
        <v>96</v>
      </c>
    </row>
    <row r="21" spans="2:6" x14ac:dyDescent="0.2">
      <c r="B21" s="23" t="s">
        <v>109</v>
      </c>
      <c r="C21" s="27" t="s">
        <v>56</v>
      </c>
      <c r="D21" s="27" t="s">
        <v>101</v>
      </c>
      <c r="E21" s="27"/>
      <c r="F21" s="19"/>
    </row>
    <row r="22" spans="2:6" x14ac:dyDescent="0.2">
      <c r="B22" s="24"/>
      <c r="C22" s="28"/>
      <c r="D22" s="28"/>
      <c r="E22" s="28"/>
      <c r="F22" s="21"/>
    </row>
    <row r="23" spans="2:6" x14ac:dyDescent="0.2">
      <c r="B23" s="23" t="s">
        <v>55</v>
      </c>
      <c r="C23" s="27" t="s">
        <v>58</v>
      </c>
      <c r="D23" s="27" t="s">
        <v>54</v>
      </c>
      <c r="E23" s="27"/>
      <c r="F23" s="19" t="s">
        <v>96</v>
      </c>
    </row>
    <row r="24" spans="2:6" x14ac:dyDescent="0.2">
      <c r="B24" s="23" t="s">
        <v>109</v>
      </c>
      <c r="C24" s="27" t="s">
        <v>58</v>
      </c>
      <c r="D24" s="27" t="s">
        <v>101</v>
      </c>
      <c r="E24" s="27"/>
      <c r="F24" s="19"/>
    </row>
    <row r="25" spans="2:6" x14ac:dyDescent="0.2">
      <c r="B25" s="24"/>
      <c r="C25" s="28"/>
      <c r="D25" s="28"/>
      <c r="E25" s="28"/>
      <c r="F25" s="21"/>
    </row>
    <row r="26" spans="2:6" x14ac:dyDescent="0.2">
      <c r="B26" s="23" t="s">
        <v>97</v>
      </c>
      <c r="C26" s="27" t="s">
        <v>98</v>
      </c>
      <c r="D26" s="27" t="s">
        <v>99</v>
      </c>
      <c r="E26" s="27"/>
      <c r="F26" s="19"/>
    </row>
    <row r="27" spans="2:6" x14ac:dyDescent="0.2">
      <c r="B27" s="23" t="s">
        <v>108</v>
      </c>
      <c r="C27" s="27" t="s">
        <v>98</v>
      </c>
      <c r="D27" s="27" t="s">
        <v>101</v>
      </c>
      <c r="E27" s="27"/>
      <c r="F27" s="19"/>
    </row>
    <row r="28" spans="2:6" x14ac:dyDescent="0.2">
      <c r="B28" s="24"/>
      <c r="C28" s="28"/>
      <c r="D28" s="28"/>
      <c r="E28" s="28"/>
      <c r="F28" s="21"/>
    </row>
    <row r="29" spans="2:6" x14ac:dyDescent="0.2">
      <c r="B29" s="23" t="s">
        <v>59</v>
      </c>
      <c r="C29" s="27" t="s">
        <v>60</v>
      </c>
      <c r="D29" s="27" t="s">
        <v>61</v>
      </c>
      <c r="E29" s="27"/>
      <c r="F29" s="19"/>
    </row>
    <row r="30" spans="2:6" x14ac:dyDescent="0.2">
      <c r="B30" s="23" t="s">
        <v>108</v>
      </c>
      <c r="C30" s="27" t="s">
        <v>60</v>
      </c>
      <c r="D30" s="27" t="s">
        <v>101</v>
      </c>
      <c r="E30" s="27"/>
      <c r="F30" s="19"/>
    </row>
    <row r="31" spans="2:6" x14ac:dyDescent="0.2">
      <c r="B31" s="24"/>
      <c r="C31" s="28"/>
      <c r="D31" s="28"/>
      <c r="E31" s="28"/>
      <c r="F31" s="21"/>
    </row>
    <row r="32" spans="2:6" x14ac:dyDescent="0.2">
      <c r="B32" s="23" t="s">
        <v>65</v>
      </c>
      <c r="C32" s="27" t="s">
        <v>66</v>
      </c>
      <c r="D32" s="27" t="s">
        <v>67</v>
      </c>
      <c r="E32" s="27"/>
      <c r="F32" s="19"/>
    </row>
    <row r="33" spans="2:6" x14ac:dyDescent="0.2">
      <c r="B33" s="23" t="s">
        <v>100</v>
      </c>
      <c r="C33" s="27" t="s">
        <v>66</v>
      </c>
      <c r="D33" s="27" t="s">
        <v>101</v>
      </c>
      <c r="E33" s="27"/>
      <c r="F33" s="19"/>
    </row>
    <row r="34" spans="2:6" x14ac:dyDescent="0.2">
      <c r="B34" s="24"/>
      <c r="C34" s="28"/>
      <c r="D34" s="28"/>
      <c r="E34" s="28"/>
      <c r="F34" s="21"/>
    </row>
    <row r="35" spans="2:6" x14ac:dyDescent="0.2">
      <c r="B35" s="23" t="s">
        <v>107</v>
      </c>
      <c r="C35" s="27" t="s">
        <v>107</v>
      </c>
      <c r="D35" s="27" t="s">
        <v>101</v>
      </c>
      <c r="E35" s="27"/>
      <c r="F35" s="19"/>
    </row>
    <row r="36" spans="2:6" x14ac:dyDescent="0.2">
      <c r="B36" s="24"/>
      <c r="C36" s="28"/>
      <c r="D36" s="28"/>
      <c r="E36" s="28"/>
      <c r="F36" s="21"/>
    </row>
    <row r="37" spans="2:6" x14ac:dyDescent="0.2">
      <c r="B37" s="23" t="s">
        <v>102</v>
      </c>
      <c r="C37" s="27" t="s">
        <v>105</v>
      </c>
      <c r="D37" s="30" t="s">
        <v>106</v>
      </c>
      <c r="E37" s="30"/>
      <c r="F37" s="31"/>
    </row>
    <row r="38" spans="2:6" x14ac:dyDescent="0.2">
      <c r="B38" s="23" t="s">
        <v>103</v>
      </c>
      <c r="C38" s="27" t="s">
        <v>105</v>
      </c>
      <c r="D38" s="30"/>
      <c r="E38" s="30"/>
      <c r="F38" s="31"/>
    </row>
    <row r="39" spans="2:6" ht="17" thickBot="1" x14ac:dyDescent="0.25">
      <c r="B39" s="25" t="s">
        <v>104</v>
      </c>
      <c r="C39" s="29" t="s">
        <v>105</v>
      </c>
      <c r="D39" s="32"/>
      <c r="E39" s="32"/>
      <c r="F39" s="33"/>
    </row>
  </sheetData>
  <mergeCells count="1">
    <mergeCell ref="D37:F39"/>
  </mergeCells>
  <hyperlinks>
    <hyperlink ref="A1" location="Model!A1" display="Model" xr:uid="{13908B86-4111-7740-867A-7E5BF15753C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01CA-C25E-D247-A552-233D8414BFF7}">
  <dimension ref="A1:DY50"/>
  <sheetViews>
    <sheetView tabSelected="1" zoomScale="75" zoomScaleNormal="82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AG11" sqref="AG11"/>
    </sheetView>
  </sheetViews>
  <sheetFormatPr baseColWidth="10" defaultRowHeight="16" x14ac:dyDescent="0.2"/>
  <cols>
    <col min="1" max="1" width="5.1640625" customWidth="1"/>
    <col min="2" max="2" width="20.6640625" style="5" bestFit="1" customWidth="1"/>
    <col min="35" max="35" width="16.1640625" bestFit="1" customWidth="1"/>
    <col min="36" max="36" width="13" bestFit="1" customWidth="1"/>
  </cols>
  <sheetData>
    <row r="1" spans="1:33" x14ac:dyDescent="0.2">
      <c r="A1" s="3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17</v>
      </c>
      <c r="I1" t="s">
        <v>18</v>
      </c>
      <c r="J1" t="s">
        <v>19</v>
      </c>
      <c r="K1" t="s">
        <v>20</v>
      </c>
      <c r="L1" t="s">
        <v>13</v>
      </c>
      <c r="M1" t="s">
        <v>21</v>
      </c>
      <c r="N1" t="s">
        <v>22</v>
      </c>
      <c r="O1" t="s">
        <v>23</v>
      </c>
      <c r="P1" t="s">
        <v>14</v>
      </c>
      <c r="Q1" t="s">
        <v>15</v>
      </c>
      <c r="R1" t="s">
        <v>16</v>
      </c>
      <c r="V1">
        <v>2019</v>
      </c>
      <c r="W1">
        <v>2020</v>
      </c>
      <c r="X1">
        <v>2021</v>
      </c>
      <c r="Y1">
        <v>2022</v>
      </c>
      <c r="Z1">
        <f>Y1+1</f>
        <v>2023</v>
      </c>
      <c r="AA1">
        <f t="shared" ref="AA1:AG1" si="0">Z1+1</f>
        <v>2024</v>
      </c>
      <c r="AB1">
        <f t="shared" si="0"/>
        <v>2025</v>
      </c>
      <c r="AC1">
        <f t="shared" si="0"/>
        <v>2026</v>
      </c>
      <c r="AD1">
        <f t="shared" si="0"/>
        <v>2027</v>
      </c>
      <c r="AE1">
        <f t="shared" si="0"/>
        <v>2028</v>
      </c>
      <c r="AF1">
        <f t="shared" si="0"/>
        <v>2029</v>
      </c>
      <c r="AG1">
        <f t="shared" si="0"/>
        <v>2030</v>
      </c>
    </row>
    <row r="2" spans="1:33" s="7" customFormat="1" x14ac:dyDescent="0.2">
      <c r="B2" s="8"/>
      <c r="Q2" s="9"/>
      <c r="Y2" s="10"/>
    </row>
    <row r="3" spans="1:33" x14ac:dyDescent="0.2">
      <c r="B3" s="5" t="s">
        <v>24</v>
      </c>
      <c r="C3">
        <v>0</v>
      </c>
      <c r="D3">
        <v>0</v>
      </c>
      <c r="E3">
        <v>0</v>
      </c>
      <c r="F3">
        <v>420</v>
      </c>
      <c r="G3">
        <v>895.2</v>
      </c>
      <c r="H3">
        <v>917.7</v>
      </c>
      <c r="I3">
        <v>960.3</v>
      </c>
      <c r="J3">
        <f>3863.8-I3-H3-G3</f>
        <v>1090.5999999999999</v>
      </c>
      <c r="K3" s="10">
        <v>1193.2</v>
      </c>
      <c r="L3" s="10">
        <v>1255.5999999999999</v>
      </c>
      <c r="M3" s="10">
        <v>1555.8</v>
      </c>
      <c r="N3" s="14">
        <f>5697.2-M3-L3-K3</f>
        <v>1692.5999999999997</v>
      </c>
      <c r="O3" s="10">
        <v>1761.6</v>
      </c>
      <c r="P3" s="10">
        <v>1893.2</v>
      </c>
      <c r="Q3" s="10">
        <v>2010.5</v>
      </c>
      <c r="R3" s="11">
        <f>Q3*1.04</f>
        <v>2090.92</v>
      </c>
      <c r="V3">
        <f>SUM(C3:F3)</f>
        <v>420</v>
      </c>
      <c r="W3">
        <f>SUM(G3:J3)</f>
        <v>3863.7999999999997</v>
      </c>
      <c r="X3" s="10">
        <f>SUM(K3:N3)</f>
        <v>5697.2</v>
      </c>
      <c r="Y3" s="10">
        <f>SUM(O3:R3)</f>
        <v>7756.22</v>
      </c>
      <c r="Z3">
        <f>Y3*1.2</f>
        <v>9307.4639999999999</v>
      </c>
      <c r="AA3">
        <f>Z3*1.15</f>
        <v>10703.5836</v>
      </c>
      <c r="AB3">
        <f>AA3*1.1</f>
        <v>11773.94196</v>
      </c>
      <c r="AC3">
        <f>AB3*1.1</f>
        <v>12951.336156000001</v>
      </c>
      <c r="AD3">
        <f>AC3*1.05</f>
        <v>13598.902963800001</v>
      </c>
      <c r="AE3">
        <f>AD3*1.04</f>
        <v>14142.859082352001</v>
      </c>
      <c r="AF3">
        <f>1*AE3</f>
        <v>14142.859082352001</v>
      </c>
      <c r="AG3">
        <f>0.95*AF3</f>
        <v>13435.7161282344</v>
      </c>
    </row>
    <row r="4" spans="1:33" x14ac:dyDescent="0.2">
      <c r="B4" s="5" t="s">
        <v>25</v>
      </c>
      <c r="C4">
        <v>320.2</v>
      </c>
      <c r="D4">
        <v>361.8</v>
      </c>
      <c r="E4">
        <v>403</v>
      </c>
      <c r="F4">
        <f>1417-E4-D4-C4</f>
        <v>332.00000000000006</v>
      </c>
      <c r="G4">
        <v>173.1</v>
      </c>
      <c r="H4">
        <v>171.7</v>
      </c>
      <c r="I4">
        <v>156.1</v>
      </c>
      <c r="J4">
        <f>628.6-I4-H4-G4</f>
        <v>127.70000000000002</v>
      </c>
      <c r="K4" s="10">
        <v>125.1</v>
      </c>
      <c r="L4" s="10">
        <v>133.5</v>
      </c>
      <c r="M4" s="10">
        <v>81.400000000000006</v>
      </c>
      <c r="N4" s="14">
        <f>420.4-M4-L4-K4</f>
        <v>80.400000000000006</v>
      </c>
      <c r="O4" s="10">
        <v>64.8</v>
      </c>
      <c r="P4" s="10">
        <v>42.7</v>
      </c>
      <c r="Q4" s="10">
        <v>38</v>
      </c>
      <c r="R4">
        <f>Q4*0.8</f>
        <v>30.400000000000002</v>
      </c>
      <c r="V4">
        <f t="shared" ref="V4:V6" si="1">SUM(C4:F4)</f>
        <v>1417</v>
      </c>
      <c r="W4">
        <f t="shared" ref="W4:W6" si="2">SUM(G4:J4)</f>
        <v>628.6</v>
      </c>
      <c r="X4" s="10">
        <f>SUM(K4:N4)</f>
        <v>420.4</v>
      </c>
      <c r="Y4" s="10">
        <f>SUM(O4:R4)</f>
        <v>175.9</v>
      </c>
      <c r="Z4" s="17">
        <f>Y4*0.55</f>
        <v>96.745000000000005</v>
      </c>
      <c r="AA4" s="17">
        <f t="shared" ref="AA4:AG4" si="3">Z4*0.55</f>
        <v>53.209750000000007</v>
      </c>
      <c r="AB4" s="17">
        <f t="shared" si="3"/>
        <v>29.265362500000005</v>
      </c>
      <c r="AC4" s="17">
        <f t="shared" si="3"/>
        <v>16.095949375000004</v>
      </c>
      <c r="AD4" s="17">
        <f t="shared" si="3"/>
        <v>8.852772156250003</v>
      </c>
      <c r="AE4" s="17">
        <f t="shared" si="3"/>
        <v>4.8690246859375019</v>
      </c>
      <c r="AF4" s="17">
        <f t="shared" si="3"/>
        <v>2.6779635772656261</v>
      </c>
      <c r="AG4" s="17">
        <f t="shared" si="3"/>
        <v>1.4728799674960944</v>
      </c>
    </row>
    <row r="5" spans="1:33" x14ac:dyDescent="0.2">
      <c r="B5" s="5" t="s">
        <v>26</v>
      </c>
      <c r="C5">
        <v>293</v>
      </c>
      <c r="D5">
        <v>316.39999999999998</v>
      </c>
      <c r="E5">
        <v>296</v>
      </c>
      <c r="F5">
        <f>1262-E5-D5-C5</f>
        <v>356.6</v>
      </c>
      <c r="G5">
        <v>234.1</v>
      </c>
      <c r="H5">
        <v>231.9</v>
      </c>
      <c r="I5">
        <v>225.9</v>
      </c>
      <c r="J5">
        <f>907.5-I5-H5-G5</f>
        <v>215.60000000000005</v>
      </c>
      <c r="K5" s="10">
        <v>218.7</v>
      </c>
      <c r="L5" s="10">
        <v>221</v>
      </c>
      <c r="M5" s="10">
        <v>184.5</v>
      </c>
      <c r="N5" s="14">
        <f>771.6-M5-L5-K5</f>
        <v>147.40000000000003</v>
      </c>
      <c r="O5" s="10">
        <v>132.1</v>
      </c>
      <c r="P5" s="10">
        <v>121.6</v>
      </c>
      <c r="Q5" s="10">
        <v>146.19999999999999</v>
      </c>
      <c r="R5">
        <f>Q5*0.9</f>
        <v>131.57999999999998</v>
      </c>
      <c r="V5">
        <f t="shared" si="1"/>
        <v>1262</v>
      </c>
      <c r="W5">
        <f t="shared" si="2"/>
        <v>907.5</v>
      </c>
      <c r="X5" s="10">
        <f>SUM(K5:N5)</f>
        <v>771.60000000000014</v>
      </c>
      <c r="Y5" s="10">
        <f>SUM(O5:R5)</f>
        <v>531.48</v>
      </c>
      <c r="Z5" s="16">
        <f>Y5*0.7</f>
        <v>372.036</v>
      </c>
      <c r="AA5" s="16">
        <f t="shared" ref="AA5:AG5" si="4">Z5*0.7</f>
        <v>260.42519999999996</v>
      </c>
      <c r="AB5" s="16">
        <f t="shared" si="4"/>
        <v>182.29763999999997</v>
      </c>
      <c r="AC5" s="16">
        <f t="shared" si="4"/>
        <v>127.60834799999998</v>
      </c>
      <c r="AD5" s="16">
        <f t="shared" si="4"/>
        <v>89.325843599999985</v>
      </c>
      <c r="AE5" s="16">
        <f t="shared" si="4"/>
        <v>62.528090519999985</v>
      </c>
      <c r="AF5" s="16">
        <f t="shared" si="4"/>
        <v>43.769663363999989</v>
      </c>
      <c r="AG5" s="16">
        <f t="shared" si="4"/>
        <v>30.638764354799989</v>
      </c>
    </row>
    <row r="6" spans="1:33" x14ac:dyDescent="0.2">
      <c r="B6" s="5" t="s">
        <v>27</v>
      </c>
      <c r="C6">
        <v>243</v>
      </c>
      <c r="D6">
        <v>262.10000000000002</v>
      </c>
      <c r="E6">
        <v>249</v>
      </c>
      <c r="F6">
        <f>1007-E6-D6-C6</f>
        <v>252.89999999999998</v>
      </c>
      <c r="G6">
        <v>212.5</v>
      </c>
      <c r="H6">
        <v>203</v>
      </c>
      <c r="I6">
        <v>193.8</v>
      </c>
      <c r="J6">
        <f>802.9-I6-H6-G6</f>
        <v>193.59999999999991</v>
      </c>
      <c r="K6" s="10">
        <v>186.3</v>
      </c>
      <c r="L6" s="10">
        <v>183.3</v>
      </c>
      <c r="M6" s="10">
        <v>162.4</v>
      </c>
      <c r="N6" s="14">
        <f>684.2-M6-L6-K6</f>
        <v>152.20000000000005</v>
      </c>
      <c r="O6" s="10">
        <v>139</v>
      </c>
      <c r="P6" s="10">
        <v>138.69999999999999</v>
      </c>
      <c r="Q6" s="10">
        <v>139.4</v>
      </c>
      <c r="R6" s="10">
        <v>139.4</v>
      </c>
      <c r="V6">
        <f t="shared" si="1"/>
        <v>1007</v>
      </c>
      <c r="W6">
        <f t="shared" si="2"/>
        <v>802.89999999999986</v>
      </c>
      <c r="X6" s="10">
        <f>SUM(K6:N6)</f>
        <v>684.2</v>
      </c>
      <c r="Y6" s="10">
        <f>SUM(O6:R6)</f>
        <v>556.5</v>
      </c>
      <c r="Z6" s="16">
        <f>Y6*0.8</f>
        <v>445.20000000000005</v>
      </c>
      <c r="AA6" s="16">
        <f t="shared" ref="AA6:AG6" si="5">Z6*0.8</f>
        <v>356.16000000000008</v>
      </c>
      <c r="AB6" s="16">
        <f t="shared" si="5"/>
        <v>284.92800000000005</v>
      </c>
      <c r="AC6" s="16">
        <f t="shared" si="5"/>
        <v>227.94240000000005</v>
      </c>
      <c r="AD6" s="16">
        <f t="shared" si="5"/>
        <v>182.35392000000004</v>
      </c>
      <c r="AE6" s="16">
        <f t="shared" si="5"/>
        <v>145.88313600000004</v>
      </c>
      <c r="AF6" s="16">
        <f t="shared" si="5"/>
        <v>116.70650880000004</v>
      </c>
      <c r="AG6" s="16">
        <f t="shared" si="5"/>
        <v>93.36520704000003</v>
      </c>
    </row>
    <row r="7" spans="1:33" x14ac:dyDescent="0.2">
      <c r="K7" s="10"/>
      <c r="L7" s="10"/>
      <c r="M7" s="10"/>
      <c r="N7" s="14"/>
      <c r="O7" s="10"/>
      <c r="P7" s="10"/>
      <c r="Q7" s="10"/>
      <c r="R7" s="10"/>
      <c r="X7" s="10"/>
      <c r="Y7" s="10"/>
      <c r="Z7" s="16"/>
      <c r="AA7" s="16"/>
      <c r="AB7" s="16"/>
      <c r="AC7" s="16"/>
      <c r="AD7" s="16"/>
      <c r="AE7" s="16"/>
      <c r="AF7" s="16"/>
      <c r="AG7" s="16"/>
    </row>
    <row r="8" spans="1:33" x14ac:dyDescent="0.2">
      <c r="K8" s="10"/>
      <c r="L8" s="10"/>
      <c r="M8" s="10"/>
      <c r="N8" s="14"/>
      <c r="O8" s="10"/>
      <c r="P8" s="10"/>
      <c r="Q8" s="10"/>
      <c r="R8" s="10"/>
      <c r="X8" s="10"/>
      <c r="Y8" s="10"/>
      <c r="Z8" s="16"/>
      <c r="AA8" s="16"/>
      <c r="AB8" s="16"/>
      <c r="AC8" s="16"/>
      <c r="AD8" s="16"/>
      <c r="AE8" s="16"/>
      <c r="AF8" s="16"/>
      <c r="AG8" s="16"/>
    </row>
    <row r="9" spans="1:33" x14ac:dyDescent="0.2">
      <c r="K9" s="10"/>
      <c r="L9" s="10"/>
      <c r="M9" s="10"/>
      <c r="N9" s="14"/>
      <c r="O9" s="10"/>
      <c r="P9" s="10"/>
      <c r="Q9" s="10"/>
      <c r="R9" s="10"/>
      <c r="X9" s="10"/>
      <c r="Y9" s="10"/>
      <c r="Z9" s="16"/>
      <c r="AA9" s="16"/>
      <c r="AB9" s="16"/>
      <c r="AC9" s="16"/>
      <c r="AD9" s="16"/>
      <c r="AE9" s="16"/>
      <c r="AF9" s="16"/>
      <c r="AG9" s="16"/>
    </row>
    <row r="10" spans="1:33" x14ac:dyDescent="0.2">
      <c r="O10" s="10"/>
      <c r="P10" s="10"/>
      <c r="Q10" s="10"/>
    </row>
    <row r="11" spans="1:33" x14ac:dyDescent="0.2">
      <c r="B11" s="5" t="s">
        <v>28</v>
      </c>
      <c r="C11" s="10">
        <f t="shared" ref="C11:R11" si="6">C6+C5+C4+C3</f>
        <v>856.2</v>
      </c>
      <c r="D11" s="10">
        <f t="shared" si="6"/>
        <v>940.3</v>
      </c>
      <c r="E11" s="10">
        <f t="shared" si="6"/>
        <v>948</v>
      </c>
      <c r="F11" s="10">
        <f t="shared" si="6"/>
        <v>1361.5</v>
      </c>
      <c r="G11" s="10">
        <f t="shared" si="6"/>
        <v>1514.9</v>
      </c>
      <c r="H11" s="10">
        <f t="shared" si="6"/>
        <v>1524.3</v>
      </c>
      <c r="I11" s="10">
        <f t="shared" si="6"/>
        <v>1536.1</v>
      </c>
      <c r="J11" s="10">
        <f t="shared" si="6"/>
        <v>1627.5</v>
      </c>
      <c r="K11" s="10">
        <f t="shared" si="6"/>
        <v>1723.3000000000002</v>
      </c>
      <c r="L11" s="10">
        <f t="shared" si="6"/>
        <v>1793.3999999999999</v>
      </c>
      <c r="M11" s="10">
        <f t="shared" si="6"/>
        <v>1984.1</v>
      </c>
      <c r="N11" s="10">
        <f t="shared" si="6"/>
        <v>2072.6</v>
      </c>
      <c r="O11" s="10">
        <f t="shared" si="6"/>
        <v>2097.5</v>
      </c>
      <c r="P11" s="10">
        <f t="shared" si="6"/>
        <v>2196.1999999999998</v>
      </c>
      <c r="Q11" s="10">
        <f t="shared" si="6"/>
        <v>2334.1</v>
      </c>
      <c r="R11" s="10">
        <f t="shared" si="6"/>
        <v>2392.3000000000002</v>
      </c>
      <c r="V11" s="10">
        <f>V6+V5+V4+V3</f>
        <v>4106</v>
      </c>
      <c r="W11" s="10">
        <f>W6+W5+W4+W3</f>
        <v>6202.7999999999993</v>
      </c>
      <c r="X11" s="10">
        <f>X6+X5+X4+X3</f>
        <v>7573.4</v>
      </c>
      <c r="Y11" s="10">
        <f>Y6+Y5+Y4+Y3</f>
        <v>9020.1</v>
      </c>
      <c r="Z11" s="10">
        <f t="shared" ref="Z11:AG11" si="7">Z6+Z5+Z4+Z3</f>
        <v>10221.445</v>
      </c>
      <c r="AA11" s="10">
        <f t="shared" si="7"/>
        <v>11373.378549999999</v>
      </c>
      <c r="AB11" s="10">
        <f t="shared" si="7"/>
        <v>12270.432962500001</v>
      </c>
      <c r="AC11" s="10">
        <f t="shared" si="7"/>
        <v>13322.982853375001</v>
      </c>
      <c r="AD11" s="10">
        <f t="shared" si="7"/>
        <v>13879.435499556252</v>
      </c>
      <c r="AE11" s="10">
        <f t="shared" si="7"/>
        <v>14356.139333557938</v>
      </c>
      <c r="AF11" s="10">
        <f t="shared" si="7"/>
        <v>14306.013218093267</v>
      </c>
      <c r="AG11" s="10">
        <f t="shared" si="7"/>
        <v>13561.192979596697</v>
      </c>
    </row>
    <row r="12" spans="1:33" x14ac:dyDescent="0.2">
      <c r="B12" s="5" t="s">
        <v>29</v>
      </c>
      <c r="C12" s="10">
        <v>1.1000000000000001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s="4" customFormat="1" x14ac:dyDescent="0.2">
      <c r="B13" s="6" t="s">
        <v>30</v>
      </c>
      <c r="C13" s="12">
        <f t="shared" ref="C13:R13" si="8">C11+C12</f>
        <v>857.30000000000007</v>
      </c>
      <c r="D13" s="12">
        <f t="shared" si="8"/>
        <v>940.3</v>
      </c>
      <c r="E13" s="12">
        <f t="shared" si="8"/>
        <v>948</v>
      </c>
      <c r="F13" s="12">
        <f t="shared" si="8"/>
        <v>1362.5</v>
      </c>
      <c r="G13" s="12">
        <f t="shared" si="8"/>
        <v>1514.9</v>
      </c>
      <c r="H13" s="12">
        <f t="shared" si="8"/>
        <v>1524.3</v>
      </c>
      <c r="I13" s="12">
        <f t="shared" si="8"/>
        <v>1536.1</v>
      </c>
      <c r="J13" s="12">
        <f t="shared" si="8"/>
        <v>1627.5</v>
      </c>
      <c r="K13" s="12">
        <f t="shared" si="8"/>
        <v>1723.3000000000002</v>
      </c>
      <c r="L13" s="12">
        <f t="shared" si="8"/>
        <v>1793.3999999999999</v>
      </c>
      <c r="M13" s="12">
        <f t="shared" si="8"/>
        <v>1984.1</v>
      </c>
      <c r="N13" s="12">
        <f t="shared" si="8"/>
        <v>2072.6</v>
      </c>
      <c r="O13" s="12">
        <f t="shared" si="8"/>
        <v>2097.5</v>
      </c>
      <c r="P13" s="12">
        <f t="shared" si="8"/>
        <v>2196.1999999999998</v>
      </c>
      <c r="Q13" s="12">
        <f t="shared" si="8"/>
        <v>2334.1</v>
      </c>
      <c r="R13" s="12">
        <f t="shared" si="8"/>
        <v>2392.3000000000002</v>
      </c>
      <c r="V13" s="12">
        <f>V11+V12</f>
        <v>4106</v>
      </c>
      <c r="W13" s="12">
        <f>W11+W12</f>
        <v>6202.7999999999993</v>
      </c>
      <c r="X13" s="12">
        <f>X11+X12</f>
        <v>7573.4</v>
      </c>
      <c r="Y13" s="12">
        <f>Y11+Y12</f>
        <v>9020.1</v>
      </c>
      <c r="Z13" s="12">
        <f t="shared" ref="Z13:AG13" si="9">Z11+Z12</f>
        <v>10221.445</v>
      </c>
      <c r="AA13" s="12">
        <f t="shared" si="9"/>
        <v>11373.378549999999</v>
      </c>
      <c r="AB13" s="12">
        <f t="shared" si="9"/>
        <v>12270.432962500001</v>
      </c>
      <c r="AC13" s="12">
        <f t="shared" si="9"/>
        <v>13322.982853375001</v>
      </c>
      <c r="AD13" s="12">
        <f t="shared" si="9"/>
        <v>13879.435499556252</v>
      </c>
      <c r="AE13" s="12">
        <f t="shared" si="9"/>
        <v>14356.139333557938</v>
      </c>
      <c r="AF13" s="12">
        <f t="shared" si="9"/>
        <v>14306.013218093267</v>
      </c>
      <c r="AG13" s="12">
        <f t="shared" si="9"/>
        <v>13561.192979596697</v>
      </c>
    </row>
    <row r="14" spans="1:33" x14ac:dyDescent="0.2">
      <c r="B14" s="5" t="s">
        <v>31</v>
      </c>
      <c r="C14" s="10">
        <v>95</v>
      </c>
      <c r="D14" s="10">
        <v>135</v>
      </c>
      <c r="E14" s="10">
        <v>131.9</v>
      </c>
      <c r="F14" s="10">
        <f>547.7-E14-D14-C14</f>
        <v>185.80000000000007</v>
      </c>
      <c r="G14" s="10">
        <v>162.4</v>
      </c>
      <c r="H14" s="10">
        <v>184.5</v>
      </c>
      <c r="I14" s="10">
        <v>186.1</v>
      </c>
      <c r="J14" s="10">
        <f>736.3-I14-H14-G14</f>
        <v>203.29999999999993</v>
      </c>
      <c r="K14" s="10">
        <v>192.3</v>
      </c>
      <c r="L14" s="10">
        <v>228</v>
      </c>
      <c r="M14" s="10">
        <v>236.5</v>
      </c>
      <c r="N14" s="10">
        <f>904.2-M14-L14-K14</f>
        <v>247.40000000000003</v>
      </c>
      <c r="O14" s="10">
        <v>245.8</v>
      </c>
      <c r="P14" s="10">
        <v>261.8</v>
      </c>
      <c r="Q14" s="10">
        <v>289.39999999999998</v>
      </c>
      <c r="R14" s="10">
        <f>R13-R15</f>
        <v>287.07600000000002</v>
      </c>
      <c r="V14">
        <f t="shared" ref="V14:W17" si="10">SUM(F14:I14)</f>
        <v>718.80000000000007</v>
      </c>
      <c r="W14">
        <f t="shared" si="10"/>
        <v>736.3</v>
      </c>
      <c r="X14" s="10">
        <f>SUM(K14:N14)</f>
        <v>904.2</v>
      </c>
      <c r="Y14" s="10">
        <f>SUM(O14:R14)</f>
        <v>1084.076</v>
      </c>
      <c r="Z14" s="16">
        <f>Y14*1.2</f>
        <v>1300.8912</v>
      </c>
      <c r="AA14" s="16">
        <f t="shared" ref="AA14:AG14" si="11">Z14*1.2</f>
        <v>1561.06944</v>
      </c>
      <c r="AB14" s="16">
        <f t="shared" si="11"/>
        <v>1873.283328</v>
      </c>
      <c r="AC14" s="16">
        <f t="shared" si="11"/>
        <v>2247.9399936</v>
      </c>
      <c r="AD14" s="16">
        <f t="shared" si="11"/>
        <v>2697.5279923200001</v>
      </c>
      <c r="AE14" s="16">
        <f t="shared" si="11"/>
        <v>3237.0335907839999</v>
      </c>
      <c r="AF14" s="16">
        <f t="shared" si="11"/>
        <v>3884.4403089407997</v>
      </c>
      <c r="AG14" s="16">
        <f t="shared" si="11"/>
        <v>4661.3283707289593</v>
      </c>
    </row>
    <row r="15" spans="1:33" x14ac:dyDescent="0.2">
      <c r="B15" s="5" t="s">
        <v>45</v>
      </c>
      <c r="C15" s="10">
        <f t="shared" ref="C15:Q15" si="12">C13-C14</f>
        <v>762.30000000000007</v>
      </c>
      <c r="D15" s="10">
        <f t="shared" si="12"/>
        <v>805.3</v>
      </c>
      <c r="E15" s="10">
        <f t="shared" si="12"/>
        <v>816.1</v>
      </c>
      <c r="F15" s="10">
        <f t="shared" si="12"/>
        <v>1176.6999999999998</v>
      </c>
      <c r="G15" s="10">
        <f t="shared" si="12"/>
        <v>1352.5</v>
      </c>
      <c r="H15" s="10">
        <f t="shared" si="12"/>
        <v>1339.8</v>
      </c>
      <c r="I15" s="10">
        <f t="shared" si="12"/>
        <v>1350</v>
      </c>
      <c r="J15" s="10">
        <f t="shared" si="12"/>
        <v>1424.2</v>
      </c>
      <c r="K15" s="10">
        <f t="shared" si="12"/>
        <v>1531.0000000000002</v>
      </c>
      <c r="L15" s="10">
        <f t="shared" si="12"/>
        <v>1565.3999999999999</v>
      </c>
      <c r="M15" s="10">
        <f t="shared" si="12"/>
        <v>1747.6</v>
      </c>
      <c r="N15" s="10">
        <f t="shared" si="12"/>
        <v>1825.1999999999998</v>
      </c>
      <c r="O15" s="10">
        <f t="shared" si="12"/>
        <v>1851.7</v>
      </c>
      <c r="P15" s="10">
        <f t="shared" si="12"/>
        <v>1934.3999999999999</v>
      </c>
      <c r="Q15" s="10">
        <f t="shared" si="12"/>
        <v>2044.6999999999998</v>
      </c>
      <c r="R15" s="10">
        <f>R13*0.88</f>
        <v>2105.2240000000002</v>
      </c>
      <c r="V15" s="10">
        <f>V13-V14</f>
        <v>3387.2</v>
      </c>
      <c r="W15" s="10">
        <f>W13-W14</f>
        <v>5466.4999999999991</v>
      </c>
      <c r="X15" s="10">
        <f>X13-X14</f>
        <v>6669.2</v>
      </c>
      <c r="Y15" s="10">
        <f>Y13-Y14</f>
        <v>7936.0240000000003</v>
      </c>
      <c r="Z15" s="10">
        <f t="shared" ref="Z15:AG15" si="13">Z13-Z14</f>
        <v>8920.5537999999997</v>
      </c>
      <c r="AA15" s="10">
        <f t="shared" si="13"/>
        <v>9812.3091100000001</v>
      </c>
      <c r="AB15" s="10">
        <f t="shared" si="13"/>
        <v>10397.149634500001</v>
      </c>
      <c r="AC15" s="10">
        <f t="shared" si="13"/>
        <v>11075.042859775</v>
      </c>
      <c r="AD15" s="10">
        <f t="shared" si="13"/>
        <v>11181.907507236252</v>
      </c>
      <c r="AE15" s="10">
        <f t="shared" si="13"/>
        <v>11119.105742773938</v>
      </c>
      <c r="AF15" s="10">
        <f t="shared" si="13"/>
        <v>10421.572909152466</v>
      </c>
      <c r="AG15" s="10">
        <f t="shared" si="13"/>
        <v>8899.8646088677378</v>
      </c>
    </row>
    <row r="16" spans="1:33" x14ac:dyDescent="0.2">
      <c r="B16" s="5" t="s">
        <v>32</v>
      </c>
      <c r="C16" s="10">
        <v>339</v>
      </c>
      <c r="D16" s="10">
        <v>379</v>
      </c>
      <c r="E16" s="10">
        <v>555.9</v>
      </c>
      <c r="F16" s="10">
        <f>1754-E16-D16-C16</f>
        <v>480.09999999999991</v>
      </c>
      <c r="G16" s="10">
        <v>448.5</v>
      </c>
      <c r="H16" s="10">
        <v>420.9</v>
      </c>
      <c r="I16" s="10">
        <v>493.4</v>
      </c>
      <c r="J16" s="10">
        <f>1829.5-I16-H16-G16</f>
        <v>466.69999999999993</v>
      </c>
      <c r="K16" s="10">
        <v>456</v>
      </c>
      <c r="L16" s="10">
        <f>448.7+958.4</f>
        <v>1407.1</v>
      </c>
      <c r="M16" s="10">
        <f>467+26.7</f>
        <v>493.7</v>
      </c>
      <c r="N16" s="10">
        <f>3051.1-M16-L16-K16</f>
        <v>694.30000000000018</v>
      </c>
      <c r="O16" s="10">
        <v>603.1</v>
      </c>
      <c r="P16" s="10">
        <f>600.1+61.9</f>
        <v>662</v>
      </c>
      <c r="Q16" s="10">
        <f>645+29</f>
        <v>674</v>
      </c>
      <c r="R16">
        <v>700</v>
      </c>
      <c r="V16">
        <f t="shared" si="10"/>
        <v>1842.9</v>
      </c>
      <c r="W16">
        <f t="shared" ref="W16:W17" si="14">SUM(G16:J16)</f>
        <v>1829.5</v>
      </c>
      <c r="X16" s="10">
        <f t="shared" ref="X16:X17" si="15">SUM(K16:N16)</f>
        <v>3051.1</v>
      </c>
      <c r="Y16" s="10">
        <f>SUM(O16:R16)</f>
        <v>2639.1</v>
      </c>
    </row>
    <row r="17" spans="2:129" x14ac:dyDescent="0.2">
      <c r="B17" s="5" t="s">
        <v>33</v>
      </c>
      <c r="C17" s="10">
        <v>147</v>
      </c>
      <c r="D17" s="10">
        <v>156.5</v>
      </c>
      <c r="E17" s="10">
        <v>159.6</v>
      </c>
      <c r="F17" s="10">
        <f>658.4-E17-D17-C17</f>
        <v>195.29999999999995</v>
      </c>
      <c r="G17" s="10">
        <v>182.2</v>
      </c>
      <c r="H17" s="10">
        <v>191.8</v>
      </c>
      <c r="I17" s="10">
        <v>184.5</v>
      </c>
      <c r="J17" s="10">
        <f>770.5-I17-H17-G17</f>
        <v>212</v>
      </c>
      <c r="K17" s="10">
        <v>192</v>
      </c>
      <c r="L17" s="10">
        <v>194.6</v>
      </c>
      <c r="M17" s="10">
        <v>198.2</v>
      </c>
      <c r="N17" s="10">
        <f>840.1-M17-L17-K17</f>
        <v>255.30000000000007</v>
      </c>
      <c r="O17" s="10">
        <v>215.3</v>
      </c>
      <c r="P17" s="10">
        <v>215.3</v>
      </c>
      <c r="Q17" s="10">
        <v>246.8</v>
      </c>
      <c r="R17" s="10">
        <v>260</v>
      </c>
      <c r="V17">
        <f t="shared" si="10"/>
        <v>753.8</v>
      </c>
      <c r="W17">
        <f t="shared" si="14"/>
        <v>770.5</v>
      </c>
      <c r="X17" s="10">
        <f t="shared" si="15"/>
        <v>840.1</v>
      </c>
      <c r="Y17" s="10">
        <f>SUM(O17:R17)</f>
        <v>937.40000000000009</v>
      </c>
    </row>
    <row r="18" spans="2:129" x14ac:dyDescent="0.2">
      <c r="B18" s="5" t="s">
        <v>34</v>
      </c>
      <c r="C18" s="10">
        <f t="shared" ref="C18:R18" si="16">C17+C16+C14</f>
        <v>581</v>
      </c>
      <c r="D18" s="10">
        <f t="shared" si="16"/>
        <v>670.5</v>
      </c>
      <c r="E18" s="10">
        <f t="shared" si="16"/>
        <v>847.4</v>
      </c>
      <c r="F18" s="10">
        <f t="shared" si="16"/>
        <v>861.19999999999993</v>
      </c>
      <c r="G18" s="10">
        <f t="shared" si="16"/>
        <v>793.1</v>
      </c>
      <c r="H18" s="10">
        <f t="shared" si="16"/>
        <v>797.2</v>
      </c>
      <c r="I18" s="10">
        <f t="shared" si="16"/>
        <v>864</v>
      </c>
      <c r="J18" s="10">
        <f t="shared" si="16"/>
        <v>881.99999999999989</v>
      </c>
      <c r="K18" s="10">
        <f t="shared" si="16"/>
        <v>840.3</v>
      </c>
      <c r="L18" s="10">
        <f t="shared" si="16"/>
        <v>1829.6999999999998</v>
      </c>
      <c r="M18" s="10">
        <f t="shared" si="16"/>
        <v>928.4</v>
      </c>
      <c r="N18" s="10">
        <f t="shared" si="16"/>
        <v>1197.0000000000002</v>
      </c>
      <c r="O18" s="10">
        <f t="shared" si="16"/>
        <v>1064.2</v>
      </c>
      <c r="P18" s="10">
        <f t="shared" si="16"/>
        <v>1139.0999999999999</v>
      </c>
      <c r="Q18" s="10">
        <f t="shared" si="16"/>
        <v>1210.1999999999998</v>
      </c>
      <c r="R18" s="10">
        <f t="shared" si="16"/>
        <v>1247.076</v>
      </c>
      <c r="V18" s="10">
        <f>V17+V16+V14</f>
        <v>3315.5</v>
      </c>
      <c r="W18" s="10">
        <f>W17+W16+W14</f>
        <v>3336.3</v>
      </c>
      <c r="X18" s="10">
        <f>X17+X16+X14</f>
        <v>4795.3999999999996</v>
      </c>
      <c r="Y18" s="10">
        <f>Y17+Y16+Y14</f>
        <v>4660.576</v>
      </c>
      <c r="Z18" s="10">
        <f>Z15-Z19</f>
        <v>3809.8312999999998</v>
      </c>
      <c r="AA18" s="10">
        <f t="shared" ref="AA18:AG18" si="17">AA15-AA19</f>
        <v>4125.6198350000004</v>
      </c>
      <c r="AB18" s="10">
        <f t="shared" si="17"/>
        <v>4261.9331532500009</v>
      </c>
      <c r="AC18" s="10">
        <f t="shared" si="17"/>
        <v>4413.5514330874994</v>
      </c>
      <c r="AD18" s="10">
        <f t="shared" si="17"/>
        <v>4242.1897574581262</v>
      </c>
      <c r="AE18" s="10">
        <f t="shared" si="17"/>
        <v>3941.036075994969</v>
      </c>
      <c r="AF18" s="10">
        <f t="shared" si="17"/>
        <v>3268.5663001058329</v>
      </c>
      <c r="AG18" s="10">
        <f t="shared" si="17"/>
        <v>2119.2681190693893</v>
      </c>
    </row>
    <row r="19" spans="2:129" x14ac:dyDescent="0.2">
      <c r="B19" s="5" t="s">
        <v>35</v>
      </c>
      <c r="C19" s="10">
        <f t="shared" ref="C19:R19" si="18">C13-C18</f>
        <v>276.30000000000007</v>
      </c>
      <c r="D19" s="10">
        <f t="shared" si="18"/>
        <v>269.79999999999995</v>
      </c>
      <c r="E19" s="10">
        <f t="shared" si="18"/>
        <v>100.60000000000002</v>
      </c>
      <c r="F19" s="10">
        <f t="shared" si="18"/>
        <v>501.30000000000007</v>
      </c>
      <c r="G19" s="10">
        <f t="shared" si="18"/>
        <v>721.80000000000007</v>
      </c>
      <c r="H19" s="10">
        <f t="shared" si="18"/>
        <v>727.09999999999991</v>
      </c>
      <c r="I19" s="10">
        <f t="shared" si="18"/>
        <v>672.09999999999991</v>
      </c>
      <c r="J19" s="10">
        <f t="shared" si="18"/>
        <v>745.50000000000011</v>
      </c>
      <c r="K19" s="10">
        <f t="shared" si="18"/>
        <v>883.00000000000023</v>
      </c>
      <c r="L19" s="10">
        <f t="shared" si="18"/>
        <v>-36.299999999999955</v>
      </c>
      <c r="M19" s="10">
        <f t="shared" si="18"/>
        <v>1055.6999999999998</v>
      </c>
      <c r="N19" s="10">
        <f t="shared" si="18"/>
        <v>875.59999999999968</v>
      </c>
      <c r="O19" s="10">
        <f t="shared" si="18"/>
        <v>1033.3</v>
      </c>
      <c r="P19" s="10">
        <f t="shared" si="18"/>
        <v>1057.0999999999999</v>
      </c>
      <c r="Q19" s="10">
        <f t="shared" si="18"/>
        <v>1123.9000000000001</v>
      </c>
      <c r="R19" s="10">
        <f t="shared" si="18"/>
        <v>1145.2240000000002</v>
      </c>
      <c r="V19" s="10">
        <f>V13-V18</f>
        <v>790.5</v>
      </c>
      <c r="W19" s="10">
        <f>W13-W18</f>
        <v>2866.4999999999991</v>
      </c>
      <c r="X19" s="10">
        <f>X13-X18</f>
        <v>2778</v>
      </c>
      <c r="Y19" s="10">
        <f>Y13-Y18</f>
        <v>4359.5240000000003</v>
      </c>
      <c r="Z19" s="10">
        <f>0.5*Z13</f>
        <v>5110.7224999999999</v>
      </c>
      <c r="AA19" s="10">
        <f t="shared" ref="AA19:AG19" si="19">0.5*AA13</f>
        <v>5686.6892749999997</v>
      </c>
      <c r="AB19" s="10">
        <f t="shared" si="19"/>
        <v>6135.2164812500005</v>
      </c>
      <c r="AC19" s="10">
        <f t="shared" si="19"/>
        <v>6661.4914266875003</v>
      </c>
      <c r="AD19" s="10">
        <f t="shared" si="19"/>
        <v>6939.7177497781258</v>
      </c>
      <c r="AE19" s="10">
        <f t="shared" si="19"/>
        <v>7178.0696667789689</v>
      </c>
      <c r="AF19" s="10">
        <f t="shared" si="19"/>
        <v>7153.0066090466335</v>
      </c>
      <c r="AG19" s="10">
        <f t="shared" si="19"/>
        <v>6780.5964897983486</v>
      </c>
    </row>
    <row r="20" spans="2:129" x14ac:dyDescent="0.2">
      <c r="B20" s="5" t="s">
        <v>36</v>
      </c>
      <c r="C20" s="10">
        <f>15.6-14.8</f>
        <v>0.79999999999999893</v>
      </c>
      <c r="D20" s="10">
        <f>18-14</f>
        <v>4</v>
      </c>
      <c r="E20" s="10">
        <f>17.6-14.5</f>
        <v>3.1000000000000014</v>
      </c>
      <c r="F20" s="10">
        <f>63.6-58.5-E20-D20-C20</f>
        <v>-2.7999999999999989</v>
      </c>
      <c r="G20" s="10">
        <f>12.5-14.1</f>
        <v>-1.5999999999999996</v>
      </c>
      <c r="H20" s="10">
        <f>4-13</f>
        <v>-9</v>
      </c>
      <c r="I20" s="10">
        <f>3-13</f>
        <v>-10</v>
      </c>
      <c r="J20" s="10">
        <f>22.2-58.2-I20-H20-G20</f>
        <v>-15.4</v>
      </c>
      <c r="K20" s="10">
        <f>1.5-15.7</f>
        <v>-14.2</v>
      </c>
      <c r="L20" s="10">
        <f>1.1-15.5</f>
        <v>-14.4</v>
      </c>
      <c r="M20" s="10">
        <f>1.1-15.2</f>
        <v>-14.1</v>
      </c>
      <c r="N20" s="10">
        <f>-57-M20-L20-K20</f>
        <v>-14.3</v>
      </c>
      <c r="O20" s="10">
        <f>1.6-14.9</f>
        <v>-13.3</v>
      </c>
      <c r="P20" s="10">
        <f>10.8-14.6</f>
        <v>-3.7999999999999989</v>
      </c>
      <c r="Q20" s="10">
        <f>46.2-13.7</f>
        <v>32.5</v>
      </c>
      <c r="R20" s="10">
        <f>AVERAGE(N20:Q20)</f>
        <v>0.27500000000000036</v>
      </c>
      <c r="V20">
        <f t="shared" ref="V20:V23" si="20">SUM(F20:I20)</f>
        <v>-23.4</v>
      </c>
      <c r="W20">
        <f t="shared" ref="W20:W23" si="21">SUM(G20:J20)</f>
        <v>-36</v>
      </c>
      <c r="X20" s="10">
        <f t="shared" ref="X20:X23" si="22">SUM(K20:N20)</f>
        <v>-57</v>
      </c>
      <c r="Y20" s="10">
        <f>SUM(O20:R20)</f>
        <v>15.674999999999999</v>
      </c>
    </row>
    <row r="21" spans="2:129" x14ac:dyDescent="0.2">
      <c r="B21" s="5" t="s">
        <v>41</v>
      </c>
      <c r="C21" s="10">
        <v>42.6</v>
      </c>
      <c r="D21" s="10">
        <v>54</v>
      </c>
      <c r="E21" s="10">
        <v>-31.7</v>
      </c>
      <c r="F21" s="10">
        <f>192-E21-D21-C21</f>
        <v>127.1</v>
      </c>
      <c r="G21" s="10">
        <v>-61</v>
      </c>
      <c r="H21" s="10">
        <v>116</v>
      </c>
      <c r="I21" s="10">
        <v>84</v>
      </c>
      <c r="J21" s="10">
        <f>296.6-I21-H21-G21</f>
        <v>157.60000000000002</v>
      </c>
      <c r="K21" s="10">
        <v>-52.7</v>
      </c>
      <c r="L21" s="10">
        <v>8.1</v>
      </c>
      <c r="M21" s="10">
        <v>42.4</v>
      </c>
      <c r="N21" s="10">
        <f>4.9-M21-L21-K21</f>
        <v>7.1000000000000014</v>
      </c>
      <c r="O21" s="10">
        <v>-72.8</v>
      </c>
      <c r="P21" s="10">
        <v>-78.099999999999994</v>
      </c>
      <c r="Q21" s="10">
        <v>17.2</v>
      </c>
      <c r="R21" s="10">
        <f>AVERAGE(N21:Q21)</f>
        <v>-31.649999999999995</v>
      </c>
      <c r="V21">
        <f t="shared" si="20"/>
        <v>266.10000000000002</v>
      </c>
      <c r="W21">
        <f t="shared" si="21"/>
        <v>296.60000000000002</v>
      </c>
      <c r="X21" s="10">
        <f t="shared" si="22"/>
        <v>4.8999999999999986</v>
      </c>
      <c r="Y21" s="10">
        <f>SUM(O21:R21)</f>
        <v>-165.35</v>
      </c>
    </row>
    <row r="22" spans="2:129" x14ac:dyDescent="0.2">
      <c r="B22" s="5" t="s">
        <v>37</v>
      </c>
      <c r="C22" s="10">
        <f t="shared" ref="C22:R22" si="23">C21+C20+C19</f>
        <v>319.70000000000005</v>
      </c>
      <c r="D22" s="10">
        <f t="shared" si="23"/>
        <v>327.79999999999995</v>
      </c>
      <c r="E22" s="10">
        <f t="shared" si="23"/>
        <v>72.000000000000028</v>
      </c>
      <c r="F22" s="10">
        <f t="shared" si="23"/>
        <v>625.6</v>
      </c>
      <c r="G22" s="10">
        <f t="shared" si="23"/>
        <v>659.2</v>
      </c>
      <c r="H22" s="10">
        <f t="shared" si="23"/>
        <v>834.09999999999991</v>
      </c>
      <c r="I22" s="10">
        <f t="shared" si="23"/>
        <v>746.09999999999991</v>
      </c>
      <c r="J22" s="10">
        <f t="shared" si="23"/>
        <v>887.70000000000016</v>
      </c>
      <c r="K22" s="10">
        <f t="shared" si="23"/>
        <v>816.10000000000025</v>
      </c>
      <c r="L22" s="10">
        <f t="shared" si="23"/>
        <v>-42.599999999999952</v>
      </c>
      <c r="M22" s="10">
        <f t="shared" si="23"/>
        <v>1083.9999999999998</v>
      </c>
      <c r="N22" s="10">
        <f t="shared" si="23"/>
        <v>868.39999999999964</v>
      </c>
      <c r="O22" s="10">
        <f t="shared" si="23"/>
        <v>947.19999999999993</v>
      </c>
      <c r="P22" s="10">
        <f t="shared" si="23"/>
        <v>975.19999999999993</v>
      </c>
      <c r="Q22" s="10">
        <f t="shared" si="23"/>
        <v>1173.6000000000001</v>
      </c>
      <c r="R22" s="10">
        <f t="shared" si="23"/>
        <v>1113.8490000000002</v>
      </c>
      <c r="V22" s="10">
        <f>V21+V20+V19</f>
        <v>1033.2</v>
      </c>
      <c r="W22" s="10">
        <f>W21+W20+W19</f>
        <v>3127.099999999999</v>
      </c>
      <c r="X22" s="10">
        <f>X21+X20+X19</f>
        <v>2725.9</v>
      </c>
      <c r="Y22" s="10">
        <f>Y21+Y20+Y19</f>
        <v>4209.8490000000002</v>
      </c>
      <c r="Z22" s="10">
        <f t="shared" ref="Z22:AG22" si="24">Z21+Z20+Z19</f>
        <v>5110.7224999999999</v>
      </c>
      <c r="AA22" s="10">
        <f t="shared" si="24"/>
        <v>5686.6892749999997</v>
      </c>
      <c r="AB22" s="10">
        <f t="shared" si="24"/>
        <v>6135.2164812500005</v>
      </c>
      <c r="AC22" s="10">
        <f t="shared" si="24"/>
        <v>6661.4914266875003</v>
      </c>
      <c r="AD22" s="10">
        <f t="shared" si="24"/>
        <v>6939.7177497781258</v>
      </c>
      <c r="AE22" s="10">
        <f t="shared" si="24"/>
        <v>7178.0696667789689</v>
      </c>
      <c r="AF22" s="10">
        <f t="shared" si="24"/>
        <v>7153.0066090466335</v>
      </c>
      <c r="AG22" s="10">
        <f t="shared" si="24"/>
        <v>6780.5964897983486</v>
      </c>
    </row>
    <row r="23" spans="2:129" x14ac:dyDescent="0.2">
      <c r="B23" s="5" t="s">
        <v>38</v>
      </c>
      <c r="C23" s="10">
        <v>51.5</v>
      </c>
      <c r="D23" s="10">
        <v>60</v>
      </c>
      <c r="E23" s="10">
        <v>13.1</v>
      </c>
      <c r="F23" s="10">
        <f>218-E23-D23-C23</f>
        <v>93.4</v>
      </c>
      <c r="G23" s="10">
        <v>54</v>
      </c>
      <c r="H23" s="10">
        <v>-12.5</v>
      </c>
      <c r="I23" s="10">
        <v>78</v>
      </c>
      <c r="J23" s="10">
        <f>405.2-I23-H23-G23</f>
        <v>285.7</v>
      </c>
      <c r="K23" s="10">
        <v>168</v>
      </c>
      <c r="L23" s="10">
        <v>-111</v>
      </c>
      <c r="M23" s="10">
        <v>230.9</v>
      </c>
      <c r="N23" s="10">
        <f>388.3-M23-L23-K23</f>
        <v>100.39999999999998</v>
      </c>
      <c r="O23" s="10">
        <v>192.7</v>
      </c>
      <c r="P23" s="10">
        <v>213.9</v>
      </c>
      <c r="Q23" s="10">
        <v>245.9</v>
      </c>
      <c r="R23" s="16">
        <f>0.2*R22</f>
        <v>222.76980000000003</v>
      </c>
      <c r="V23">
        <f t="shared" si="20"/>
        <v>212.9</v>
      </c>
      <c r="W23">
        <f t="shared" si="21"/>
        <v>405.2</v>
      </c>
      <c r="X23" s="10">
        <f t="shared" si="22"/>
        <v>388.29999999999995</v>
      </c>
      <c r="Y23" s="10">
        <f>SUM(O23:R23)</f>
        <v>875.26980000000003</v>
      </c>
      <c r="Z23" s="16">
        <f>0.2*Z22</f>
        <v>1022.1445</v>
      </c>
      <c r="AA23" s="16">
        <f t="shared" ref="AA23:AG23" si="25">0.2*AA22</f>
        <v>1137.337855</v>
      </c>
      <c r="AB23" s="16">
        <f t="shared" si="25"/>
        <v>1227.0432962500001</v>
      </c>
      <c r="AC23" s="16">
        <f t="shared" si="25"/>
        <v>1332.2982853375001</v>
      </c>
      <c r="AD23" s="16">
        <f t="shared" si="25"/>
        <v>1387.9435499556253</v>
      </c>
      <c r="AE23" s="16">
        <f t="shared" si="25"/>
        <v>1435.613933355794</v>
      </c>
      <c r="AF23" s="16">
        <f t="shared" si="25"/>
        <v>1430.6013218093267</v>
      </c>
      <c r="AG23" s="16">
        <f t="shared" si="25"/>
        <v>1356.1192979596699</v>
      </c>
    </row>
    <row r="24" spans="2:129" x14ac:dyDescent="0.2">
      <c r="B24" s="5" t="s">
        <v>39</v>
      </c>
      <c r="C24" s="10">
        <f t="shared" ref="C24:R24" si="26">C22-C23</f>
        <v>268.20000000000005</v>
      </c>
      <c r="D24" s="10">
        <f t="shared" si="26"/>
        <v>267.79999999999995</v>
      </c>
      <c r="E24" s="10">
        <f t="shared" si="26"/>
        <v>58.900000000000027</v>
      </c>
      <c r="F24" s="10">
        <f t="shared" si="26"/>
        <v>532.20000000000005</v>
      </c>
      <c r="G24" s="10">
        <f t="shared" si="26"/>
        <v>605.20000000000005</v>
      </c>
      <c r="H24" s="10">
        <f t="shared" si="26"/>
        <v>846.59999999999991</v>
      </c>
      <c r="I24" s="10">
        <f t="shared" si="26"/>
        <v>668.09999999999991</v>
      </c>
      <c r="J24" s="10">
        <f t="shared" si="26"/>
        <v>602.00000000000023</v>
      </c>
      <c r="K24" s="10">
        <f t="shared" si="26"/>
        <v>648.10000000000025</v>
      </c>
      <c r="L24" s="10">
        <f t="shared" si="26"/>
        <v>68.400000000000048</v>
      </c>
      <c r="M24" s="10">
        <f t="shared" si="26"/>
        <v>853.0999999999998</v>
      </c>
      <c r="N24" s="10">
        <f t="shared" si="26"/>
        <v>767.99999999999966</v>
      </c>
      <c r="O24" s="10">
        <f t="shared" si="26"/>
        <v>754.5</v>
      </c>
      <c r="P24" s="10">
        <f t="shared" si="26"/>
        <v>761.3</v>
      </c>
      <c r="Q24" s="10">
        <f t="shared" si="26"/>
        <v>927.70000000000016</v>
      </c>
      <c r="R24" s="10">
        <f t="shared" si="26"/>
        <v>891.07920000000013</v>
      </c>
      <c r="V24" s="10">
        <f>V22-V23</f>
        <v>820.30000000000007</v>
      </c>
      <c r="W24" s="10">
        <f>W22-W23</f>
        <v>2721.8999999999992</v>
      </c>
      <c r="X24" s="10">
        <f>X22-X23</f>
        <v>2337.6000000000004</v>
      </c>
      <c r="Y24" s="10">
        <f>Y22-Y23</f>
        <v>3334.5792000000001</v>
      </c>
      <c r="Z24" s="10">
        <f t="shared" ref="Z24:AG24" si="27">Z22-Z23</f>
        <v>4088.578</v>
      </c>
      <c r="AA24" s="10">
        <f t="shared" si="27"/>
        <v>4549.35142</v>
      </c>
      <c r="AB24" s="10">
        <f t="shared" si="27"/>
        <v>4908.1731850000006</v>
      </c>
      <c r="AC24" s="10">
        <f t="shared" si="27"/>
        <v>5329.1931413500006</v>
      </c>
      <c r="AD24" s="10">
        <f t="shared" si="27"/>
        <v>5551.774199822501</v>
      </c>
      <c r="AE24" s="10">
        <f t="shared" si="27"/>
        <v>5742.4557334231749</v>
      </c>
      <c r="AF24" s="10">
        <f t="shared" si="27"/>
        <v>5722.4052872373068</v>
      </c>
      <c r="AG24" s="10">
        <f t="shared" si="27"/>
        <v>5424.4771918386787</v>
      </c>
      <c r="AH24" s="10">
        <f>AG24*(1+$AJ$45)</f>
        <v>5370.2324199202922</v>
      </c>
      <c r="AI24" s="10">
        <f t="shared" ref="AI24:CT24" si="28">AH24*(1+$AJ$45)</f>
        <v>5316.5300957210893</v>
      </c>
      <c r="AJ24" s="10">
        <f t="shared" si="28"/>
        <v>5263.3647947638783</v>
      </c>
      <c r="AK24" s="10">
        <f t="shared" si="28"/>
        <v>5210.7311468162397</v>
      </c>
      <c r="AL24" s="10">
        <f t="shared" si="28"/>
        <v>5158.6238353480776</v>
      </c>
      <c r="AM24" s="10">
        <f t="shared" si="28"/>
        <v>5107.0375969945972</v>
      </c>
      <c r="AN24" s="10">
        <f t="shared" si="28"/>
        <v>5055.9672210246508</v>
      </c>
      <c r="AO24" s="10">
        <f t="shared" si="28"/>
        <v>5005.4075488144044</v>
      </c>
      <c r="AP24" s="10">
        <f t="shared" si="28"/>
        <v>4955.3534733262604</v>
      </c>
      <c r="AQ24" s="10">
        <f t="shared" si="28"/>
        <v>4905.7999385929979</v>
      </c>
      <c r="AR24" s="10">
        <f t="shared" si="28"/>
        <v>4856.7419392070678</v>
      </c>
      <c r="AS24" s="10">
        <f t="shared" si="28"/>
        <v>4808.1745198149974</v>
      </c>
      <c r="AT24" s="10">
        <f t="shared" si="28"/>
        <v>4760.0927746168472</v>
      </c>
      <c r="AU24" s="10">
        <f t="shared" si="28"/>
        <v>4712.4918468706783</v>
      </c>
      <c r="AV24" s="10">
        <f t="shared" si="28"/>
        <v>4665.3669284019716</v>
      </c>
      <c r="AW24" s="10">
        <f t="shared" si="28"/>
        <v>4618.7132591179516</v>
      </c>
      <c r="AX24" s="10">
        <f t="shared" si="28"/>
        <v>4572.5261265267718</v>
      </c>
      <c r="AY24" s="10">
        <f t="shared" si="28"/>
        <v>4526.8008652615044</v>
      </c>
      <c r="AZ24" s="10">
        <f t="shared" si="28"/>
        <v>4481.5328566088892</v>
      </c>
      <c r="BA24" s="10">
        <f t="shared" si="28"/>
        <v>4436.7175280428</v>
      </c>
      <c r="BB24" s="10">
        <f t="shared" si="28"/>
        <v>4392.3503527623716</v>
      </c>
      <c r="BC24" s="10">
        <f t="shared" si="28"/>
        <v>4348.4268492347483</v>
      </c>
      <c r="BD24" s="10">
        <f t="shared" si="28"/>
        <v>4304.9425807424004</v>
      </c>
      <c r="BE24" s="10">
        <f t="shared" si="28"/>
        <v>4261.8931549349763</v>
      </c>
      <c r="BF24" s="10">
        <f t="shared" si="28"/>
        <v>4219.2742233856261</v>
      </c>
      <c r="BG24" s="10">
        <f t="shared" si="28"/>
        <v>4177.0814811517694</v>
      </c>
      <c r="BH24" s="10">
        <f t="shared" si="28"/>
        <v>4135.3106663402514</v>
      </c>
      <c r="BI24" s="10">
        <f t="shared" si="28"/>
        <v>4093.9575596768486</v>
      </c>
      <c r="BJ24" s="10">
        <f t="shared" si="28"/>
        <v>4053.0179840800802</v>
      </c>
      <c r="BK24" s="10">
        <f t="shared" si="28"/>
        <v>4012.4878042392793</v>
      </c>
      <c r="BL24" s="10">
        <f t="shared" si="28"/>
        <v>3972.3629261968863</v>
      </c>
      <c r="BM24" s="10">
        <f t="shared" si="28"/>
        <v>3932.6392969349172</v>
      </c>
      <c r="BN24" s="10">
        <f t="shared" si="28"/>
        <v>3893.3129039655678</v>
      </c>
      <c r="BO24" s="10">
        <f t="shared" si="28"/>
        <v>3854.379774925912</v>
      </c>
      <c r="BP24" s="10">
        <f t="shared" si="28"/>
        <v>3815.8359771766527</v>
      </c>
      <c r="BQ24" s="10">
        <f t="shared" si="28"/>
        <v>3777.677617404886</v>
      </c>
      <c r="BR24" s="10">
        <f t="shared" si="28"/>
        <v>3739.9008412308372</v>
      </c>
      <c r="BS24" s="10">
        <f t="shared" si="28"/>
        <v>3702.5018328185288</v>
      </c>
      <c r="BT24" s="10">
        <f t="shared" si="28"/>
        <v>3665.4768144903433</v>
      </c>
      <c r="BU24" s="10">
        <f t="shared" si="28"/>
        <v>3628.82204634544</v>
      </c>
      <c r="BV24" s="10">
        <f t="shared" si="28"/>
        <v>3592.5338258819856</v>
      </c>
      <c r="BW24" s="10">
        <f t="shared" si="28"/>
        <v>3556.6084876231657</v>
      </c>
      <c r="BX24" s="10">
        <f t="shared" si="28"/>
        <v>3521.0424027469339</v>
      </c>
      <c r="BY24" s="10">
        <f t="shared" si="28"/>
        <v>3485.8319787194646</v>
      </c>
      <c r="BZ24" s="10">
        <f t="shared" si="28"/>
        <v>3450.9736589322697</v>
      </c>
      <c r="CA24" s="10">
        <f t="shared" si="28"/>
        <v>3416.4639223429472</v>
      </c>
      <c r="CB24" s="10">
        <f t="shared" si="28"/>
        <v>3382.2992831195179</v>
      </c>
      <c r="CC24" s="10">
        <f t="shared" si="28"/>
        <v>3348.4762902883226</v>
      </c>
      <c r="CD24" s="10">
        <f t="shared" si="28"/>
        <v>3314.9915273854394</v>
      </c>
      <c r="CE24" s="10">
        <f t="shared" si="28"/>
        <v>3281.8416121115852</v>
      </c>
      <c r="CF24" s="10">
        <f t="shared" si="28"/>
        <v>3249.0231959904695</v>
      </c>
      <c r="CG24" s="10">
        <f t="shared" si="28"/>
        <v>3216.5329640305649</v>
      </c>
      <c r="CH24" s="10">
        <f t="shared" si="28"/>
        <v>3184.3676343902594</v>
      </c>
      <c r="CI24" s="10">
        <f t="shared" si="28"/>
        <v>3152.5239580463567</v>
      </c>
      <c r="CJ24" s="10">
        <f t="shared" si="28"/>
        <v>3120.998718465893</v>
      </c>
      <c r="CK24" s="10">
        <f t="shared" si="28"/>
        <v>3089.788731281234</v>
      </c>
      <c r="CL24" s="10">
        <f t="shared" si="28"/>
        <v>3058.8908439684219</v>
      </c>
      <c r="CM24" s="10">
        <f t="shared" si="28"/>
        <v>3028.3019355287379</v>
      </c>
      <c r="CN24" s="10">
        <f t="shared" si="28"/>
        <v>2998.0189161734506</v>
      </c>
      <c r="CO24" s="10">
        <f t="shared" si="28"/>
        <v>2968.0387270117162</v>
      </c>
      <c r="CP24" s="10">
        <f t="shared" si="28"/>
        <v>2938.3583397415991</v>
      </c>
      <c r="CQ24" s="10">
        <f t="shared" si="28"/>
        <v>2908.9747563441833</v>
      </c>
      <c r="CR24" s="10">
        <f t="shared" si="28"/>
        <v>2879.8850087807414</v>
      </c>
      <c r="CS24" s="10">
        <f t="shared" si="28"/>
        <v>2851.0861586929341</v>
      </c>
      <c r="CT24" s="10">
        <f t="shared" si="28"/>
        <v>2822.5752971060047</v>
      </c>
      <c r="CU24" s="10">
        <f t="shared" ref="CU24:DY24" si="29">CT24*(1+$AJ$45)</f>
        <v>2794.3495441349446</v>
      </c>
      <c r="CV24" s="10">
        <f t="shared" si="29"/>
        <v>2766.406048693595</v>
      </c>
      <c r="CW24" s="10">
        <f t="shared" si="29"/>
        <v>2738.7419882066592</v>
      </c>
      <c r="CX24" s="10">
        <f t="shared" si="29"/>
        <v>2711.3545683245925</v>
      </c>
      <c r="CY24" s="10">
        <f t="shared" si="29"/>
        <v>2684.2410226413467</v>
      </c>
      <c r="CZ24" s="10">
        <f t="shared" si="29"/>
        <v>2657.3986124149333</v>
      </c>
      <c r="DA24" s="10">
        <f t="shared" si="29"/>
        <v>2630.8246262907837</v>
      </c>
      <c r="DB24" s="10">
        <f t="shared" si="29"/>
        <v>2604.516380027876</v>
      </c>
      <c r="DC24" s="10">
        <f t="shared" si="29"/>
        <v>2578.4712162275973</v>
      </c>
      <c r="DD24" s="10">
        <f t="shared" si="29"/>
        <v>2552.6865040653215</v>
      </c>
      <c r="DE24" s="10">
        <f t="shared" si="29"/>
        <v>2527.1596390246682</v>
      </c>
      <c r="DF24" s="10">
        <f t="shared" si="29"/>
        <v>2501.8880426344217</v>
      </c>
      <c r="DG24" s="10">
        <f t="shared" si="29"/>
        <v>2476.8691622080773</v>
      </c>
      <c r="DH24" s="10">
        <f t="shared" si="29"/>
        <v>2452.1004705859964</v>
      </c>
      <c r="DI24" s="10">
        <f t="shared" si="29"/>
        <v>2427.5794658801365</v>
      </c>
      <c r="DJ24" s="10">
        <f t="shared" si="29"/>
        <v>2403.3036712213352</v>
      </c>
      <c r="DK24" s="10">
        <f t="shared" si="29"/>
        <v>2379.2706345091219</v>
      </c>
      <c r="DL24" s="10">
        <f t="shared" si="29"/>
        <v>2355.4779281640308</v>
      </c>
      <c r="DM24" s="10">
        <f t="shared" si="29"/>
        <v>2331.9231488823903</v>
      </c>
      <c r="DN24" s="10">
        <f t="shared" si="29"/>
        <v>2308.6039173935665</v>
      </c>
      <c r="DO24" s="10">
        <f t="shared" si="29"/>
        <v>2285.5178782196308</v>
      </c>
      <c r="DP24" s="10">
        <f t="shared" si="29"/>
        <v>2262.6626994374346</v>
      </c>
      <c r="DQ24" s="10">
        <f t="shared" si="29"/>
        <v>2240.0360724430602</v>
      </c>
      <c r="DR24" s="10">
        <f t="shared" si="29"/>
        <v>2217.6357117186294</v>
      </c>
      <c r="DS24" s="10">
        <f t="shared" si="29"/>
        <v>2195.459354601443</v>
      </c>
      <c r="DT24" s="10">
        <f t="shared" si="29"/>
        <v>2173.5047610554284</v>
      </c>
      <c r="DU24" s="10">
        <f t="shared" si="29"/>
        <v>2151.769713444874</v>
      </c>
      <c r="DV24" s="10">
        <f t="shared" si="29"/>
        <v>2130.2520163104255</v>
      </c>
      <c r="DW24" s="10">
        <f t="shared" si="29"/>
        <v>2108.949496147321</v>
      </c>
      <c r="DX24" s="10">
        <f t="shared" si="29"/>
        <v>2087.860001185848</v>
      </c>
      <c r="DY24" s="10">
        <f t="shared" si="29"/>
        <v>2066.9814011739895</v>
      </c>
    </row>
    <row r="26" spans="2:129" x14ac:dyDescent="0.2">
      <c r="B26" s="5" t="s">
        <v>40</v>
      </c>
      <c r="C26" s="11">
        <f t="shared" ref="C26:P26" si="30">C24/C27</f>
        <v>1.0335260115606939</v>
      </c>
      <c r="D26" s="11">
        <f t="shared" si="30"/>
        <v>1.0319845857418111</v>
      </c>
      <c r="E26" s="11">
        <f t="shared" si="30"/>
        <v>0.22697495183044328</v>
      </c>
      <c r="F26" s="11">
        <f t="shared" si="30"/>
        <v>2.0508670520231216</v>
      </c>
      <c r="G26" s="11">
        <f t="shared" si="30"/>
        <v>2.3011406844106466</v>
      </c>
      <c r="H26" s="11">
        <f t="shared" si="30"/>
        <v>3.219011406844106</v>
      </c>
      <c r="I26" s="11">
        <f t="shared" si="30"/>
        <v>2.5306818181818178</v>
      </c>
      <c r="J26" s="11">
        <f t="shared" si="30"/>
        <v>2.3198458574181124</v>
      </c>
      <c r="K26" s="11">
        <f t="shared" si="30"/>
        <v>2.4746086292478058</v>
      </c>
      <c r="L26" s="11">
        <f t="shared" si="30"/>
        <v>0.26206896551724157</v>
      </c>
      <c r="M26" s="11">
        <f t="shared" si="30"/>
        <v>3.2849441663457828</v>
      </c>
      <c r="N26" s="11">
        <f t="shared" si="30"/>
        <v>2.9595375722543338</v>
      </c>
      <c r="O26" s="11">
        <f t="shared" si="30"/>
        <v>2.9255525397440869</v>
      </c>
      <c r="P26" s="11">
        <f t="shared" si="30"/>
        <v>2.9427908774642444</v>
      </c>
      <c r="Q26" s="11">
        <f>Q24/Q27</f>
        <v>3.5749518304431604</v>
      </c>
      <c r="R26" s="11">
        <f>R24/R27</f>
        <v>3.4338312138728329</v>
      </c>
      <c r="V26" s="11">
        <f>V24/V27</f>
        <v>3.1610789980732181</v>
      </c>
      <c r="W26" s="11">
        <f>W24/W27</f>
        <v>10.374082896617434</v>
      </c>
      <c r="X26" s="11">
        <f>X24/X27</f>
        <v>8.9726513770271588</v>
      </c>
      <c r="Y26" s="11">
        <f>Y24/Y27</f>
        <v>12.879796060254927</v>
      </c>
      <c r="Z26" s="11">
        <f t="shared" ref="Z26:AG26" si="31">Z24/Z27</f>
        <v>15.951629075615172</v>
      </c>
      <c r="AA26" s="11">
        <f t="shared" si="31"/>
        <v>17.928627583858926</v>
      </c>
      <c r="AB26" s="11">
        <f t="shared" si="31"/>
        <v>19.538096225821594</v>
      </c>
      <c r="AC26" s="11">
        <f t="shared" si="31"/>
        <v>21.428345073477775</v>
      </c>
      <c r="AD26" s="11">
        <f t="shared" si="31"/>
        <v>22.548817460753657</v>
      </c>
      <c r="AE26" s="11">
        <f t="shared" si="31"/>
        <v>23.55886904168861</v>
      </c>
      <c r="AF26" s="11">
        <f t="shared" si="31"/>
        <v>23.713748014700602</v>
      </c>
      <c r="AG26" s="11">
        <f t="shared" si="31"/>
        <v>22.706190661378393</v>
      </c>
    </row>
    <row r="27" spans="2:129" x14ac:dyDescent="0.2">
      <c r="B27" s="5" t="s">
        <v>1</v>
      </c>
      <c r="C27">
        <v>259.5</v>
      </c>
      <c r="D27">
        <v>259.5</v>
      </c>
      <c r="E27">
        <v>259.5</v>
      </c>
      <c r="F27">
        <v>259.5</v>
      </c>
      <c r="G27">
        <v>263</v>
      </c>
      <c r="H27">
        <v>263</v>
      </c>
      <c r="I27">
        <v>264</v>
      </c>
      <c r="J27">
        <v>259.5</v>
      </c>
      <c r="K27">
        <v>261.89999999999998</v>
      </c>
      <c r="L27">
        <v>261</v>
      </c>
      <c r="M27">
        <v>259.7</v>
      </c>
      <c r="N27">
        <v>259.5</v>
      </c>
      <c r="O27">
        <v>257.89999999999998</v>
      </c>
      <c r="P27">
        <v>258.7</v>
      </c>
      <c r="Q27">
        <v>259.5</v>
      </c>
      <c r="R27">
        <v>259.5</v>
      </c>
      <c r="V27" s="11">
        <f>AVERAGE(C27:F27)</f>
        <v>259.5</v>
      </c>
      <c r="W27" s="11">
        <f>AVERAGE(G27:J27)</f>
        <v>262.375</v>
      </c>
      <c r="X27" s="11">
        <f>AVERAGE(K27:N27)</f>
        <v>260.52499999999998</v>
      </c>
      <c r="Y27">
        <f>AVERAGE(O27:R27)</f>
        <v>258.89999999999998</v>
      </c>
      <c r="Z27" s="11">
        <f>Y27*0.99</f>
        <v>256.31099999999998</v>
      </c>
      <c r="AA27" s="11">
        <f t="shared" ref="AA27:AG27" si="32">Z27*0.99</f>
        <v>253.74788999999998</v>
      </c>
      <c r="AB27" s="11">
        <f t="shared" si="32"/>
        <v>251.21041109999999</v>
      </c>
      <c r="AC27" s="11">
        <f t="shared" si="32"/>
        <v>248.69830698899997</v>
      </c>
      <c r="AD27" s="11">
        <f t="shared" si="32"/>
        <v>246.21132391910996</v>
      </c>
      <c r="AE27" s="11">
        <f t="shared" si="32"/>
        <v>243.74921067991886</v>
      </c>
      <c r="AF27" s="11">
        <f t="shared" si="32"/>
        <v>241.31171857311966</v>
      </c>
      <c r="AG27" s="11">
        <f t="shared" si="32"/>
        <v>238.89860138738845</v>
      </c>
    </row>
    <row r="29" spans="2:129" x14ac:dyDescent="0.2">
      <c r="B29" s="5" t="s">
        <v>42</v>
      </c>
      <c r="C29" s="13">
        <f t="shared" ref="C29:F29" si="33">C15/C13</f>
        <v>0.88918698238656246</v>
      </c>
      <c r="D29" s="13">
        <f t="shared" si="33"/>
        <v>0.85642879931936611</v>
      </c>
      <c r="E29" s="13">
        <f t="shared" si="33"/>
        <v>0.86086497890295366</v>
      </c>
      <c r="F29" s="13">
        <f t="shared" si="33"/>
        <v>0.86363302752293569</v>
      </c>
      <c r="G29" s="13">
        <f t="shared" ref="G29:P29" si="34">G15/G13</f>
        <v>0.89279820450194725</v>
      </c>
      <c r="H29" s="13">
        <f t="shared" si="34"/>
        <v>0.87896083448140128</v>
      </c>
      <c r="I29" s="13">
        <f t="shared" si="34"/>
        <v>0.87884903326606345</v>
      </c>
      <c r="J29" s="13">
        <f t="shared" si="34"/>
        <v>0.87508448540706607</v>
      </c>
      <c r="K29" s="13">
        <f t="shared" si="34"/>
        <v>0.888411768119306</v>
      </c>
      <c r="L29" s="13">
        <f t="shared" si="34"/>
        <v>0.87286717965874872</v>
      </c>
      <c r="M29" s="13">
        <f t="shared" si="34"/>
        <v>0.88080237891235325</v>
      </c>
      <c r="N29" s="13">
        <f t="shared" si="34"/>
        <v>0.88063302132587085</v>
      </c>
      <c r="O29" s="13">
        <f t="shared" si="34"/>
        <v>0.88281287246722295</v>
      </c>
      <c r="P29" s="13">
        <f t="shared" si="34"/>
        <v>0.88079409889809668</v>
      </c>
      <c r="Q29" s="13">
        <f>Q15/Q13</f>
        <v>0.87601216743070132</v>
      </c>
      <c r="R29" s="13">
        <f>R15/R13</f>
        <v>0.88</v>
      </c>
      <c r="V29" s="13">
        <f t="shared" ref="V29:X29" si="35">V15/V13</f>
        <v>0.82493911349245008</v>
      </c>
      <c r="W29" s="13">
        <f t="shared" si="35"/>
        <v>0.88129554394789444</v>
      </c>
      <c r="X29" s="13">
        <f t="shared" si="35"/>
        <v>0.88060844534819238</v>
      </c>
      <c r="Y29" s="13">
        <f>Y15/Y13</f>
        <v>0.87981552310949984</v>
      </c>
      <c r="Z29" s="13">
        <f t="shared" ref="Z29:AG29" si="36">Z15/Z13</f>
        <v>0.87272922761899119</v>
      </c>
      <c r="AA29" s="13">
        <f t="shared" si="36"/>
        <v>0.86274356092719706</v>
      </c>
      <c r="AB29" s="13">
        <f t="shared" si="36"/>
        <v>0.84733355915598163</v>
      </c>
      <c r="AC29" s="13">
        <f t="shared" si="36"/>
        <v>0.83127352047664393</v>
      </c>
      <c r="AD29" s="13">
        <f t="shared" si="36"/>
        <v>0.80564569845753131</v>
      </c>
      <c r="AE29" s="13">
        <f t="shared" si="36"/>
        <v>0.7745192133084603</v>
      </c>
      <c r="AF29" s="13">
        <f t="shared" si="36"/>
        <v>0.72847499511408065</v>
      </c>
      <c r="AG29" s="13">
        <f t="shared" si="36"/>
        <v>0.65627446068040651</v>
      </c>
    </row>
    <row r="30" spans="2:129" x14ac:dyDescent="0.2">
      <c r="B30" s="5" t="s">
        <v>43</v>
      </c>
      <c r="C30" s="13">
        <f t="shared" ref="C30:F30" si="37">C19/C13</f>
        <v>0.32229091333255577</v>
      </c>
      <c r="D30" s="13">
        <f t="shared" si="37"/>
        <v>0.28692970328618522</v>
      </c>
      <c r="E30" s="13">
        <f t="shared" si="37"/>
        <v>0.10611814345991563</v>
      </c>
      <c r="F30" s="13">
        <f t="shared" si="37"/>
        <v>0.36792660550458722</v>
      </c>
      <c r="G30" s="13">
        <f t="shared" ref="G30:P30" si="38">G19/G13</f>
        <v>0.47646709353752725</v>
      </c>
      <c r="H30" s="13">
        <f t="shared" si="38"/>
        <v>0.47700583874565372</v>
      </c>
      <c r="I30" s="13">
        <f t="shared" si="38"/>
        <v>0.43753661870971938</v>
      </c>
      <c r="J30" s="13">
        <f t="shared" si="38"/>
        <v>0.45806451612903232</v>
      </c>
      <c r="K30" s="13">
        <f>K19/K13</f>
        <v>0.51238902106423734</v>
      </c>
      <c r="L30" s="13">
        <f t="shared" si="38"/>
        <v>-2.0240883238541296E-2</v>
      </c>
      <c r="M30" s="13">
        <f t="shared" si="38"/>
        <v>0.53208003628849343</v>
      </c>
      <c r="N30" s="13">
        <f t="shared" si="38"/>
        <v>0.42246453729614963</v>
      </c>
      <c r="O30" s="13">
        <f t="shared" si="38"/>
        <v>0.49263408820023835</v>
      </c>
      <c r="P30" s="13">
        <f t="shared" si="38"/>
        <v>0.48133139058373553</v>
      </c>
      <c r="Q30" s="13">
        <f>Q19/Q13</f>
        <v>0.48151321708581474</v>
      </c>
      <c r="R30" s="13">
        <f>R19/R13</f>
        <v>0.4787125360531706</v>
      </c>
      <c r="V30" s="13">
        <f t="shared" ref="V30:X30" si="39">V19/V13</f>
        <v>0.19252313687286898</v>
      </c>
      <c r="W30" s="13">
        <f t="shared" si="39"/>
        <v>0.46213000580383046</v>
      </c>
      <c r="X30" s="13">
        <f t="shared" si="39"/>
        <v>0.3668101513190905</v>
      </c>
      <c r="Y30" s="13">
        <f>Y19/Y13</f>
        <v>0.48331215840179159</v>
      </c>
      <c r="Z30" s="13">
        <f>Z19/Z13</f>
        <v>0.5</v>
      </c>
      <c r="AA30" s="13">
        <f t="shared" ref="AA30:AG30" si="40">AA19/AA13</f>
        <v>0.5</v>
      </c>
      <c r="AB30" s="13">
        <f t="shared" si="40"/>
        <v>0.5</v>
      </c>
      <c r="AC30" s="13">
        <f t="shared" si="40"/>
        <v>0.5</v>
      </c>
      <c r="AD30" s="13">
        <f t="shared" si="40"/>
        <v>0.5</v>
      </c>
      <c r="AE30" s="13">
        <f t="shared" si="40"/>
        <v>0.5</v>
      </c>
      <c r="AF30" s="13">
        <f t="shared" si="40"/>
        <v>0.5</v>
      </c>
      <c r="AG30" s="13">
        <f t="shared" si="40"/>
        <v>0.5</v>
      </c>
    </row>
    <row r="31" spans="2:129" x14ac:dyDescent="0.2">
      <c r="B31" s="5" t="s">
        <v>44</v>
      </c>
      <c r="C31" s="13">
        <f t="shared" ref="C31:F31" si="41">C24/C13</f>
        <v>0.31284264551498897</v>
      </c>
      <c r="D31" s="13">
        <f t="shared" si="41"/>
        <v>0.28480272253536104</v>
      </c>
      <c r="E31" s="13">
        <f t="shared" si="41"/>
        <v>6.2130801687763741E-2</v>
      </c>
      <c r="F31" s="13">
        <f t="shared" si="41"/>
        <v>0.39060550458715598</v>
      </c>
      <c r="G31" s="13">
        <f t="shared" ref="G31:P31" si="42">G24/G13</f>
        <v>0.39949831672057562</v>
      </c>
      <c r="H31" s="13">
        <f t="shared" si="42"/>
        <v>0.55540247982680568</v>
      </c>
      <c r="I31" s="13">
        <f t="shared" si="42"/>
        <v>0.43493262157411622</v>
      </c>
      <c r="J31" s="13">
        <f t="shared" si="42"/>
        <v>0.36989247311827972</v>
      </c>
      <c r="K31" s="13">
        <f t="shared" si="42"/>
        <v>0.37608077525677491</v>
      </c>
      <c r="L31" s="13">
        <f t="shared" si="42"/>
        <v>3.8139846102375405E-2</v>
      </c>
      <c r="M31" s="13">
        <f t="shared" si="42"/>
        <v>0.42996824756816682</v>
      </c>
      <c r="N31" s="13">
        <f t="shared" si="42"/>
        <v>0.37054906880247018</v>
      </c>
      <c r="O31" s="13">
        <f t="shared" si="42"/>
        <v>0.35971394517282479</v>
      </c>
      <c r="P31" s="13">
        <f t="shared" si="42"/>
        <v>0.3466442036244422</v>
      </c>
      <c r="Q31" s="13">
        <f>Q24/Q13</f>
        <v>0.39745512188852244</v>
      </c>
      <c r="R31" s="13">
        <f>R24/R13</f>
        <v>0.37247803369142668</v>
      </c>
      <c r="V31" s="13">
        <f t="shared" ref="V31:X31" si="43">V24/V13</f>
        <v>0.19978080857282027</v>
      </c>
      <c r="W31" s="13">
        <f t="shared" si="43"/>
        <v>0.43881795318243366</v>
      </c>
      <c r="X31" s="13">
        <f t="shared" si="43"/>
        <v>0.30865925476008138</v>
      </c>
      <c r="Y31" s="13">
        <f>Y24/Y13</f>
        <v>0.36968317424418801</v>
      </c>
      <c r="Z31" s="13">
        <f t="shared" ref="Z31:AG31" si="44">Z24/Z13</f>
        <v>0.4</v>
      </c>
      <c r="AA31" s="13">
        <f t="shared" si="44"/>
        <v>0.4</v>
      </c>
      <c r="AB31" s="13">
        <f t="shared" si="44"/>
        <v>0.4</v>
      </c>
      <c r="AC31" s="13">
        <f t="shared" si="44"/>
        <v>0.4</v>
      </c>
      <c r="AD31" s="13">
        <f t="shared" si="44"/>
        <v>0.4</v>
      </c>
      <c r="AE31" s="13">
        <f t="shared" si="44"/>
        <v>0.39999999999999997</v>
      </c>
      <c r="AF31" s="13">
        <f t="shared" si="44"/>
        <v>0.4</v>
      </c>
      <c r="AG31" s="13">
        <f t="shared" si="44"/>
        <v>0.39999999999999997</v>
      </c>
    </row>
    <row r="33" spans="2:36" x14ac:dyDescent="0.2">
      <c r="B33" s="5" t="s">
        <v>46</v>
      </c>
      <c r="G33" s="13">
        <f t="shared" ref="G33:P33" si="45">G13/C13-1</f>
        <v>0.76705937244838451</v>
      </c>
      <c r="H33" s="13">
        <f t="shared" si="45"/>
        <v>0.621078379240668</v>
      </c>
      <c r="I33" s="13">
        <f t="shared" si="45"/>
        <v>0.62035864978902944</v>
      </c>
      <c r="J33" s="13">
        <f t="shared" si="45"/>
        <v>0.1944954128440366</v>
      </c>
      <c r="K33" s="13">
        <f t="shared" si="45"/>
        <v>0.1375668360947917</v>
      </c>
      <c r="L33" s="13">
        <f t="shared" si="45"/>
        <v>0.17654005117102933</v>
      </c>
      <c r="M33" s="13">
        <f t="shared" si="45"/>
        <v>0.29164767918755286</v>
      </c>
      <c r="N33" s="13">
        <f t="shared" si="45"/>
        <v>0.27348694316436251</v>
      </c>
      <c r="O33" s="13">
        <f t="shared" si="45"/>
        <v>0.21714153078396081</v>
      </c>
      <c r="P33" s="13">
        <f t="shared" si="45"/>
        <v>0.22460131593621058</v>
      </c>
      <c r="Q33" s="13">
        <f>Q13/M13-1</f>
        <v>0.17640239907262734</v>
      </c>
      <c r="R33" s="13">
        <f>R13/N13-1</f>
        <v>0.15425069960436177</v>
      </c>
      <c r="V33" s="13"/>
      <c r="W33" s="15">
        <f>W13/V13-1</f>
        <v>0.51066731612274707</v>
      </c>
      <c r="X33" s="15">
        <f t="shared" ref="X33:AG33" si="46">X13/W13-1</f>
        <v>0.22096472560779001</v>
      </c>
      <c r="Y33" s="15">
        <f t="shared" si="46"/>
        <v>0.19102384662106853</v>
      </c>
      <c r="Z33" s="15">
        <f t="shared" si="46"/>
        <v>0.13318533053957271</v>
      </c>
      <c r="AA33" s="15">
        <f t="shared" si="46"/>
        <v>0.11269772033210557</v>
      </c>
      <c r="AB33" s="15">
        <f t="shared" si="46"/>
        <v>7.8873169353885775E-2</v>
      </c>
      <c r="AC33" s="15">
        <f t="shared" si="46"/>
        <v>8.5779360360936474E-2</v>
      </c>
      <c r="AD33" s="15">
        <f t="shared" si="46"/>
        <v>4.176637111262882E-2</v>
      </c>
      <c r="AE33" s="15">
        <f t="shared" si="46"/>
        <v>3.4346053484446637E-2</v>
      </c>
      <c r="AF33" s="15">
        <f t="shared" si="46"/>
        <v>-3.4916152804047584E-3</v>
      </c>
      <c r="AG33" s="15">
        <f t="shared" si="46"/>
        <v>-5.2063438439618692E-2</v>
      </c>
    </row>
    <row r="34" spans="2:36" x14ac:dyDescent="0.2">
      <c r="F34" s="10"/>
    </row>
    <row r="35" spans="2:36" x14ac:dyDescent="0.2">
      <c r="B35" s="5" t="s">
        <v>80</v>
      </c>
      <c r="C35" s="15">
        <f t="shared" ref="C35:P35" si="47">C23/C22</f>
        <v>0.16108852048795744</v>
      </c>
      <c r="D35" s="15">
        <f t="shared" si="47"/>
        <v>0.18303843807199516</v>
      </c>
      <c r="E35" s="15">
        <f t="shared" si="47"/>
        <v>0.18194444444444438</v>
      </c>
      <c r="F35" s="15">
        <f t="shared" si="47"/>
        <v>0.14929667519181586</v>
      </c>
      <c r="G35" s="15">
        <f t="shared" si="47"/>
        <v>8.1917475728155331E-2</v>
      </c>
      <c r="H35" s="15">
        <f t="shared" si="47"/>
        <v>-1.4986212684330417E-2</v>
      </c>
      <c r="I35" s="15">
        <f t="shared" si="47"/>
        <v>0.10454362685967029</v>
      </c>
      <c r="J35" s="15">
        <f t="shared" si="47"/>
        <v>0.32184296496564146</v>
      </c>
      <c r="K35" s="15">
        <f t="shared" si="47"/>
        <v>0.2058571253522852</v>
      </c>
      <c r="L35" s="15">
        <f t="shared" si="47"/>
        <v>2.6056338028169042</v>
      </c>
      <c r="M35" s="15">
        <f t="shared" si="47"/>
        <v>0.21300738007380079</v>
      </c>
      <c r="N35" s="15">
        <f t="shared" si="47"/>
        <v>0.11561492399815755</v>
      </c>
      <c r="O35" s="15">
        <f t="shared" si="47"/>
        <v>0.20344172297297297</v>
      </c>
      <c r="P35" s="15">
        <f t="shared" si="47"/>
        <v>0.21933962264150947</v>
      </c>
      <c r="Q35" s="15">
        <f>Q23/Q22</f>
        <v>0.20952624403544648</v>
      </c>
      <c r="R35" s="15">
        <f>R23/R22</f>
        <v>0.2</v>
      </c>
      <c r="W35" s="15">
        <f>W23/W22</f>
        <v>0.12957692430686582</v>
      </c>
      <c r="X35" s="15">
        <f t="shared" ref="X35:AG35" si="48">X23/X22</f>
        <v>0.14244836567739094</v>
      </c>
      <c r="Y35" s="15">
        <f t="shared" si="48"/>
        <v>0.2079100224259825</v>
      </c>
      <c r="Z35" s="15">
        <f t="shared" si="48"/>
        <v>0.2</v>
      </c>
      <c r="AA35" s="15">
        <f t="shared" si="48"/>
        <v>0.2</v>
      </c>
      <c r="AB35" s="15">
        <f t="shared" si="48"/>
        <v>0.2</v>
      </c>
      <c r="AC35" s="15">
        <f t="shared" si="48"/>
        <v>0.2</v>
      </c>
      <c r="AD35" s="15">
        <f t="shared" si="48"/>
        <v>0.2</v>
      </c>
      <c r="AE35" s="15">
        <f t="shared" si="48"/>
        <v>0.20000000000000004</v>
      </c>
      <c r="AF35" s="15">
        <f t="shared" si="48"/>
        <v>0.2</v>
      </c>
      <c r="AG35" s="15">
        <f t="shared" si="48"/>
        <v>0.20000000000000004</v>
      </c>
    </row>
    <row r="36" spans="2:36" x14ac:dyDescent="0.2">
      <c r="J36" s="10"/>
    </row>
    <row r="37" spans="2:36" x14ac:dyDescent="0.2">
      <c r="B37" s="5" t="s">
        <v>71</v>
      </c>
      <c r="G37" s="13"/>
      <c r="H37" s="13"/>
      <c r="I37" s="13"/>
      <c r="J37" s="13">
        <f t="shared" ref="J37:R40" si="49">J3/F3-1</f>
        <v>1.5966666666666662</v>
      </c>
      <c r="K37" s="13">
        <f t="shared" si="49"/>
        <v>0.33288650580875778</v>
      </c>
      <c r="L37" s="13">
        <f t="shared" si="49"/>
        <v>0.3682031164868691</v>
      </c>
      <c r="M37" s="13">
        <f t="shared" si="49"/>
        <v>0.62011871290221809</v>
      </c>
      <c r="N37" s="13">
        <f t="shared" si="49"/>
        <v>0.55198973042361987</v>
      </c>
      <c r="O37" s="13">
        <f t="shared" si="49"/>
        <v>0.47636607442172307</v>
      </c>
      <c r="P37" s="13">
        <f t="shared" si="49"/>
        <v>0.50780503345014361</v>
      </c>
      <c r="Q37" s="13">
        <f t="shared" si="49"/>
        <v>0.29226121609461364</v>
      </c>
      <c r="R37" s="13">
        <f t="shared" si="49"/>
        <v>0.23533026113671296</v>
      </c>
      <c r="W37" s="13">
        <f t="shared" ref="W37:X37" si="50">W3/V3-1</f>
        <v>8.199523809523809</v>
      </c>
      <c r="X37" s="13">
        <f t="shared" si="50"/>
        <v>0.47450696205807752</v>
      </c>
      <c r="Y37" s="13">
        <f>Y3/X3-1</f>
        <v>0.36140911324861347</v>
      </c>
      <c r="Z37" s="13">
        <f t="shared" ref="Z37:AG37" si="51">Z3/Y3-1</f>
        <v>0.19999999999999996</v>
      </c>
      <c r="AA37" s="13">
        <f t="shared" si="51"/>
        <v>0.14999999999999991</v>
      </c>
      <c r="AB37" s="13">
        <f t="shared" si="51"/>
        <v>0.10000000000000009</v>
      </c>
      <c r="AC37" s="13">
        <f t="shared" si="51"/>
        <v>0.10000000000000009</v>
      </c>
      <c r="AD37" s="13">
        <f t="shared" si="51"/>
        <v>5.0000000000000044E-2</v>
      </c>
      <c r="AE37" s="13">
        <f t="shared" si="51"/>
        <v>4.0000000000000036E-2</v>
      </c>
      <c r="AF37" s="13">
        <f t="shared" si="51"/>
        <v>0</v>
      </c>
      <c r="AG37" s="13">
        <f t="shared" si="51"/>
        <v>-5.0000000000000044E-2</v>
      </c>
    </row>
    <row r="38" spans="2:36" x14ac:dyDescent="0.2">
      <c r="B38" s="5" t="s">
        <v>72</v>
      </c>
      <c r="G38" s="13">
        <f t="shared" ref="G38:I40" si="52">G4/C4-1</f>
        <v>-0.45940037476577145</v>
      </c>
      <c r="H38" s="13">
        <f t="shared" si="52"/>
        <v>-0.52542841348811509</v>
      </c>
      <c r="I38" s="13">
        <f t="shared" si="52"/>
        <v>-0.61265508684863523</v>
      </c>
      <c r="J38" s="13">
        <f t="shared" si="49"/>
        <v>-0.61536144578313257</v>
      </c>
      <c r="K38" s="13">
        <f t="shared" si="49"/>
        <v>-0.27729636048526862</v>
      </c>
      <c r="L38" s="13">
        <f t="shared" si="49"/>
        <v>-0.22248107163657538</v>
      </c>
      <c r="M38" s="13">
        <f t="shared" si="49"/>
        <v>-0.47853939782190902</v>
      </c>
      <c r="N38" s="13">
        <f t="shared" si="49"/>
        <v>-0.37039937353171504</v>
      </c>
      <c r="O38" s="13">
        <f t="shared" si="49"/>
        <v>-0.48201438848920863</v>
      </c>
      <c r="P38" s="13">
        <f t="shared" si="49"/>
        <v>-0.68014981273408237</v>
      </c>
      <c r="Q38" s="13">
        <f t="shared" si="49"/>
        <v>-0.53316953316953319</v>
      </c>
      <c r="R38" s="13">
        <f t="shared" si="49"/>
        <v>-0.62189054726368154</v>
      </c>
      <c r="W38" s="13">
        <f t="shared" ref="W38:X40" si="53">W4/V4-1</f>
        <v>-0.55638673253352144</v>
      </c>
      <c r="X38" s="13">
        <f t="shared" si="53"/>
        <v>-0.33121221762647157</v>
      </c>
      <c r="Y38" s="13">
        <f>Y4/X4-1</f>
        <v>-0.5815889628924833</v>
      </c>
      <c r="Z38" s="13">
        <f t="shared" ref="Z38:AG38" si="54">Z4/Y4-1</f>
        <v>-0.44999999999999996</v>
      </c>
      <c r="AA38" s="13">
        <f t="shared" si="54"/>
        <v>-0.44999999999999996</v>
      </c>
      <c r="AB38" s="13">
        <f t="shared" si="54"/>
        <v>-0.44999999999999996</v>
      </c>
      <c r="AC38" s="13">
        <f t="shared" si="54"/>
        <v>-0.44999999999999996</v>
      </c>
      <c r="AD38" s="13">
        <f t="shared" si="54"/>
        <v>-0.44999999999999996</v>
      </c>
      <c r="AE38" s="13">
        <f t="shared" si="54"/>
        <v>-0.44999999999999996</v>
      </c>
      <c r="AF38" s="13">
        <f t="shared" si="54"/>
        <v>-0.44999999999999996</v>
      </c>
      <c r="AG38" s="13">
        <f t="shared" si="54"/>
        <v>-0.44999999999999996</v>
      </c>
    </row>
    <row r="39" spans="2:36" x14ac:dyDescent="0.2">
      <c r="B39" s="5" t="s">
        <v>73</v>
      </c>
      <c r="G39" s="13">
        <f t="shared" si="52"/>
        <v>-0.20102389078498295</v>
      </c>
      <c r="H39" s="13">
        <f t="shared" si="52"/>
        <v>-0.26706700379266746</v>
      </c>
      <c r="I39" s="13">
        <f t="shared" si="52"/>
        <v>-0.23682432432432432</v>
      </c>
      <c r="J39" s="13">
        <f t="shared" si="49"/>
        <v>-0.39540100953449231</v>
      </c>
      <c r="K39" s="13">
        <f t="shared" si="49"/>
        <v>-6.5783853054250385E-2</v>
      </c>
      <c r="L39" s="13">
        <f t="shared" si="49"/>
        <v>-4.7003018542475239E-2</v>
      </c>
      <c r="M39" s="13">
        <f t="shared" si="49"/>
        <v>-0.18326693227091639</v>
      </c>
      <c r="N39" s="13">
        <f t="shared" si="49"/>
        <v>-0.31632653061224492</v>
      </c>
      <c r="O39" s="13">
        <f t="shared" si="49"/>
        <v>-0.39597622313671699</v>
      </c>
      <c r="P39" s="13">
        <f t="shared" si="49"/>
        <v>-0.44977375565610866</v>
      </c>
      <c r="Q39" s="13">
        <f t="shared" si="49"/>
        <v>-0.20758807588075889</v>
      </c>
      <c r="R39" s="13">
        <f t="shared" si="49"/>
        <v>-0.10732700135685247</v>
      </c>
      <c r="W39" s="13">
        <f t="shared" si="53"/>
        <v>-0.28090332805071316</v>
      </c>
      <c r="X39" s="13">
        <f t="shared" si="53"/>
        <v>-0.14975206611570235</v>
      </c>
      <c r="Y39" s="13">
        <f>Y5/X5-1</f>
        <v>-0.31119751166407472</v>
      </c>
      <c r="Z39" s="13">
        <f t="shared" ref="Z39:AG39" si="55">Z5/Y5-1</f>
        <v>-0.30000000000000004</v>
      </c>
      <c r="AA39" s="13">
        <f t="shared" si="55"/>
        <v>-0.30000000000000016</v>
      </c>
      <c r="AB39" s="13">
        <f t="shared" si="55"/>
        <v>-0.30000000000000004</v>
      </c>
      <c r="AC39" s="13">
        <f t="shared" si="55"/>
        <v>-0.30000000000000004</v>
      </c>
      <c r="AD39" s="13">
        <f t="shared" si="55"/>
        <v>-0.30000000000000004</v>
      </c>
      <c r="AE39" s="13">
        <f t="shared" si="55"/>
        <v>-0.30000000000000004</v>
      </c>
      <c r="AF39" s="13">
        <f t="shared" si="55"/>
        <v>-0.30000000000000004</v>
      </c>
      <c r="AG39" s="13">
        <f t="shared" si="55"/>
        <v>-0.30000000000000004</v>
      </c>
    </row>
    <row r="40" spans="2:36" x14ac:dyDescent="0.2">
      <c r="B40" s="5" t="s">
        <v>74</v>
      </c>
      <c r="G40" s="13">
        <f t="shared" si="52"/>
        <v>-0.12551440329218111</v>
      </c>
      <c r="H40" s="13">
        <f t="shared" si="52"/>
        <v>-0.22548645555131641</v>
      </c>
      <c r="I40" s="13">
        <f t="shared" si="52"/>
        <v>-0.22168674698795177</v>
      </c>
      <c r="J40" s="13">
        <f t="shared" si="49"/>
        <v>-0.23448003163305686</v>
      </c>
      <c r="K40" s="13">
        <f t="shared" si="49"/>
        <v>-0.12329411764705878</v>
      </c>
      <c r="L40" s="13">
        <f t="shared" si="49"/>
        <v>-9.7044334975369351E-2</v>
      </c>
      <c r="M40" s="13">
        <f t="shared" si="49"/>
        <v>-0.16202270381836947</v>
      </c>
      <c r="N40" s="13">
        <f t="shared" si="49"/>
        <v>-0.213842975206611</v>
      </c>
      <c r="O40" s="13">
        <f t="shared" si="49"/>
        <v>-0.25389157273215246</v>
      </c>
      <c r="P40" s="13">
        <f t="shared" si="49"/>
        <v>-0.24331696672122216</v>
      </c>
      <c r="Q40" s="13">
        <f t="shared" si="49"/>
        <v>-0.14162561576354682</v>
      </c>
      <c r="R40" s="13">
        <f t="shared" si="49"/>
        <v>-8.4099868593955573E-2</v>
      </c>
      <c r="W40" s="13">
        <f t="shared" si="53"/>
        <v>-0.20268123138033778</v>
      </c>
      <c r="X40" s="13">
        <f t="shared" si="53"/>
        <v>-0.14783908332295403</v>
      </c>
      <c r="Y40" s="13">
        <f>Y6/X6-1</f>
        <v>-0.18664133294358376</v>
      </c>
      <c r="Z40" s="13">
        <f t="shared" ref="Z40:AG40" si="56">Z6/Y6-1</f>
        <v>-0.19999999999999996</v>
      </c>
      <c r="AA40" s="13">
        <f t="shared" si="56"/>
        <v>-0.19999999999999984</v>
      </c>
      <c r="AB40" s="13">
        <f t="shared" si="56"/>
        <v>-0.20000000000000007</v>
      </c>
      <c r="AC40" s="13">
        <f t="shared" si="56"/>
        <v>-0.19999999999999996</v>
      </c>
      <c r="AD40" s="13">
        <f t="shared" si="56"/>
        <v>-0.19999999999999996</v>
      </c>
      <c r="AE40" s="13">
        <f t="shared" si="56"/>
        <v>-0.19999999999999996</v>
      </c>
      <c r="AF40" s="13">
        <f t="shared" si="56"/>
        <v>-0.19999999999999996</v>
      </c>
      <c r="AG40" s="13">
        <f t="shared" si="56"/>
        <v>-0.19999999999999996</v>
      </c>
    </row>
    <row r="42" spans="2:36" x14ac:dyDescent="0.2">
      <c r="B42" s="5" t="s">
        <v>76</v>
      </c>
      <c r="C42" s="13"/>
      <c r="D42" s="13"/>
      <c r="E42" s="13"/>
      <c r="F42" s="13"/>
      <c r="G42" s="13">
        <f t="shared" ref="G42:R42" si="57">G3/F3-1</f>
        <v>1.1314285714285717</v>
      </c>
      <c r="H42" s="13">
        <f t="shared" si="57"/>
        <v>2.5134048257372754E-2</v>
      </c>
      <c r="I42" s="13">
        <f t="shared" si="57"/>
        <v>4.6420398823144637E-2</v>
      </c>
      <c r="J42" s="13">
        <f t="shared" si="57"/>
        <v>0.13568676455274398</v>
      </c>
      <c r="K42" s="13">
        <f t="shared" si="57"/>
        <v>9.4076655052264924E-2</v>
      </c>
      <c r="L42" s="13">
        <f t="shared" si="57"/>
        <v>5.2296345960442414E-2</v>
      </c>
      <c r="M42" s="13">
        <f t="shared" si="57"/>
        <v>0.23908888180949361</v>
      </c>
      <c r="N42" s="13">
        <f t="shared" si="57"/>
        <v>8.7929039722329128E-2</v>
      </c>
      <c r="O42" s="13">
        <f t="shared" si="57"/>
        <v>4.0765685926976492E-2</v>
      </c>
      <c r="P42" s="13">
        <f t="shared" si="57"/>
        <v>7.4704813805631431E-2</v>
      </c>
      <c r="Q42" s="13">
        <f t="shared" si="57"/>
        <v>6.1958588633002298E-2</v>
      </c>
      <c r="R42" s="13">
        <f t="shared" si="57"/>
        <v>4.0000000000000036E-2</v>
      </c>
    </row>
    <row r="43" spans="2:36" x14ac:dyDescent="0.2">
      <c r="B43" s="5" t="s">
        <v>77</v>
      </c>
      <c r="C43" s="13"/>
      <c r="D43" s="13">
        <f t="shared" ref="D43:F44" si="58">D4/C4-1</f>
        <v>0.12991880074953155</v>
      </c>
      <c r="E43" s="13">
        <f t="shared" si="58"/>
        <v>0.11387506909894962</v>
      </c>
      <c r="F43" s="13">
        <f t="shared" si="58"/>
        <v>-0.17617866004962768</v>
      </c>
      <c r="G43" s="13">
        <f t="shared" ref="G43:R43" si="59">G4/F4-1</f>
        <v>-0.47861445783132539</v>
      </c>
      <c r="H43" s="13">
        <f t="shared" si="59"/>
        <v>-8.0878105141537482E-3</v>
      </c>
      <c r="I43" s="13">
        <f t="shared" si="59"/>
        <v>-9.0856144437973185E-2</v>
      </c>
      <c r="J43" s="13">
        <f t="shared" si="59"/>
        <v>-0.18193465727098002</v>
      </c>
      <c r="K43" s="13">
        <f t="shared" si="59"/>
        <v>-2.036021926389997E-2</v>
      </c>
      <c r="L43" s="13">
        <f t="shared" si="59"/>
        <v>6.714628297362113E-2</v>
      </c>
      <c r="M43" s="13">
        <f t="shared" si="59"/>
        <v>-0.3902621722846441</v>
      </c>
      <c r="N43" s="13">
        <f t="shared" si="59"/>
        <v>-1.2285012285012331E-2</v>
      </c>
      <c r="O43" s="13">
        <f t="shared" si="59"/>
        <v>-0.19402985074626877</v>
      </c>
      <c r="P43" s="13">
        <f t="shared" si="59"/>
        <v>-0.34104938271604934</v>
      </c>
      <c r="Q43" s="13">
        <f t="shared" si="59"/>
        <v>-0.11007025761124123</v>
      </c>
      <c r="R43" s="13">
        <f t="shared" si="59"/>
        <v>-0.19999999999999996</v>
      </c>
    </row>
    <row r="44" spans="2:36" x14ac:dyDescent="0.2">
      <c r="B44" s="5" t="s">
        <v>78</v>
      </c>
      <c r="C44" s="13"/>
      <c r="D44" s="13">
        <f t="shared" si="58"/>
        <v>7.9863481228668931E-2</v>
      </c>
      <c r="E44" s="13">
        <f t="shared" si="58"/>
        <v>-6.4475347661188342E-2</v>
      </c>
      <c r="F44" s="13">
        <f t="shared" si="58"/>
        <v>0.20472972972972991</v>
      </c>
      <c r="G44" s="13">
        <f t="shared" ref="G44:R44" si="60">G5/F5-1</f>
        <v>-0.34352215367358385</v>
      </c>
      <c r="H44" s="13">
        <f t="shared" si="60"/>
        <v>-9.3976932934642932E-3</v>
      </c>
      <c r="I44" s="13">
        <f t="shared" si="60"/>
        <v>-2.5873221216041409E-2</v>
      </c>
      <c r="J44" s="13">
        <f t="shared" si="60"/>
        <v>-4.5595396193005566E-2</v>
      </c>
      <c r="K44" s="13">
        <f t="shared" si="60"/>
        <v>1.4378478664192729E-2</v>
      </c>
      <c r="L44" s="13">
        <f t="shared" si="60"/>
        <v>1.0516689529035173E-2</v>
      </c>
      <c r="M44" s="13">
        <f t="shared" si="60"/>
        <v>-0.16515837104072395</v>
      </c>
      <c r="N44" s="13">
        <f t="shared" si="60"/>
        <v>-0.20108401084010818</v>
      </c>
      <c r="O44" s="13">
        <f t="shared" si="60"/>
        <v>-0.10379918588873838</v>
      </c>
      <c r="P44" s="13">
        <f t="shared" si="60"/>
        <v>-7.9485238455715423E-2</v>
      </c>
      <c r="Q44" s="13">
        <f t="shared" si="60"/>
        <v>0.20230263157894735</v>
      </c>
      <c r="R44" s="13">
        <f t="shared" si="60"/>
        <v>-0.10000000000000009</v>
      </c>
    </row>
    <row r="45" spans="2:36" x14ac:dyDescent="0.2">
      <c r="B45" s="5" t="s">
        <v>79</v>
      </c>
      <c r="C45" s="13"/>
      <c r="D45" s="13">
        <f t="shared" ref="D45:P45" si="61">D6/C6-1</f>
        <v>7.8600823045267498E-2</v>
      </c>
      <c r="E45" s="13">
        <f t="shared" si="61"/>
        <v>-4.9980923311713221E-2</v>
      </c>
      <c r="F45" s="13">
        <f t="shared" si="61"/>
        <v>1.5662650602409567E-2</v>
      </c>
      <c r="G45" s="13">
        <f t="shared" si="61"/>
        <v>-0.15974693554764718</v>
      </c>
      <c r="H45" s="13">
        <f t="shared" si="61"/>
        <v>-4.4705882352941151E-2</v>
      </c>
      <c r="I45" s="13">
        <f t="shared" si="61"/>
        <v>-4.5320197044334876E-2</v>
      </c>
      <c r="J45" s="13">
        <f t="shared" si="61"/>
        <v>-1.0319917440665405E-3</v>
      </c>
      <c r="K45" s="13">
        <f t="shared" si="61"/>
        <v>-3.7706611570247461E-2</v>
      </c>
      <c r="L45" s="13">
        <f t="shared" si="61"/>
        <v>-1.6103059581320411E-2</v>
      </c>
      <c r="M45" s="13">
        <f t="shared" si="61"/>
        <v>-0.11402073104200772</v>
      </c>
      <c r="N45" s="13">
        <f t="shared" si="61"/>
        <v>-6.2807881773398799E-2</v>
      </c>
      <c r="O45" s="13">
        <f t="shared" si="61"/>
        <v>-8.6727989487516699E-2</v>
      </c>
      <c r="P45" s="13">
        <f t="shared" si="61"/>
        <v>-2.1582733812950394E-3</v>
      </c>
      <c r="Q45" s="13">
        <f>Q6/P6-1</f>
        <v>5.0468637346792189E-3</v>
      </c>
      <c r="R45" s="13">
        <f>R6/Q6-1</f>
        <v>0</v>
      </c>
      <c r="AI45" t="s">
        <v>81</v>
      </c>
      <c r="AJ45" s="13">
        <v>-0.01</v>
      </c>
    </row>
    <row r="46" spans="2:36" x14ac:dyDescent="0.2">
      <c r="AI46" t="s">
        <v>82</v>
      </c>
      <c r="AJ46" s="13">
        <v>0.08</v>
      </c>
    </row>
    <row r="47" spans="2:36" x14ac:dyDescent="0.2">
      <c r="B47" s="5" t="s">
        <v>75</v>
      </c>
      <c r="J47" s="13">
        <f t="shared" ref="J47:P47" si="62">J3/J13</f>
        <v>0.67010752688172037</v>
      </c>
      <c r="K47" s="13">
        <f t="shared" si="62"/>
        <v>0.69239250275633957</v>
      </c>
      <c r="L47" s="13">
        <f t="shared" si="62"/>
        <v>0.70012267201962752</v>
      </c>
      <c r="M47" s="13">
        <f t="shared" si="62"/>
        <v>0.78413386422055342</v>
      </c>
      <c r="N47" s="13">
        <f t="shared" si="62"/>
        <v>0.81665540866544428</v>
      </c>
      <c r="O47" s="13">
        <f t="shared" si="62"/>
        <v>0.83985697258641234</v>
      </c>
      <c r="P47" s="13">
        <f t="shared" si="62"/>
        <v>0.8620344230944359</v>
      </c>
      <c r="Q47" s="13">
        <f>Q3/Q13</f>
        <v>0.8613598389100724</v>
      </c>
      <c r="R47" s="13">
        <f>R3/R13</f>
        <v>0.87402081678719223</v>
      </c>
      <c r="V47" s="13">
        <f>V3/V13</f>
        <v>0.10228933268387726</v>
      </c>
      <c r="W47" s="13">
        <f t="shared" ref="W47:AG47" si="63">W3/W13</f>
        <v>0.62291223318501321</v>
      </c>
      <c r="X47" s="13">
        <f t="shared" si="63"/>
        <v>0.75226450471386697</v>
      </c>
      <c r="Y47" s="13">
        <f t="shared" si="63"/>
        <v>0.85988181949202336</v>
      </c>
      <c r="Z47" s="13">
        <f t="shared" si="63"/>
        <v>0.91058201653484416</v>
      </c>
      <c r="AA47" s="13">
        <f t="shared" si="63"/>
        <v>0.94110853278509754</v>
      </c>
      <c r="AB47" s="13">
        <f t="shared" si="63"/>
        <v>0.95953761338191246</v>
      </c>
      <c r="AC47" s="13">
        <f t="shared" si="63"/>
        <v>0.97210484307717526</v>
      </c>
      <c r="AD47" s="13">
        <f t="shared" si="63"/>
        <v>0.9797879001804346</v>
      </c>
      <c r="AE47" s="13">
        <f t="shared" si="63"/>
        <v>0.98514362070118755</v>
      </c>
      <c r="AF47" s="13">
        <f t="shared" si="63"/>
        <v>0.98859541556029595</v>
      </c>
      <c r="AG47" s="13">
        <f t="shared" si="63"/>
        <v>0.99074735891222243</v>
      </c>
      <c r="AI47" t="s">
        <v>83</v>
      </c>
      <c r="AJ47" s="18">
        <f>NPV(AJ46,Y24:DY24)</f>
        <v>59935.80450973667</v>
      </c>
    </row>
    <row r="48" spans="2:36" x14ac:dyDescent="0.2">
      <c r="AI48" t="s">
        <v>84</v>
      </c>
      <c r="AJ48" s="16">
        <f>AJ47/Main!P4</f>
        <v>233.49398502377051</v>
      </c>
    </row>
    <row r="49" spans="35:36" x14ac:dyDescent="0.2">
      <c r="AI49" t="s">
        <v>85</v>
      </c>
      <c r="AJ49" s="13">
        <f>AJ48/Main!P3-1</f>
        <v>-0.22427247500408465</v>
      </c>
    </row>
    <row r="50" spans="35:36" x14ac:dyDescent="0.2">
      <c r="AI50" t="s">
        <v>5</v>
      </c>
      <c r="AJ50" s="18">
        <f>AJ47+Main!P6</f>
        <v>69705.80450973667</v>
      </c>
    </row>
  </sheetData>
  <hyperlinks>
    <hyperlink ref="A1" location="Main!A1" display="Main" xr:uid="{7A163988-EB24-8842-A680-96B135A55444}"/>
  </hyperlink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Garza, Jacob S</dc:creator>
  <cp:lastModifiedBy>Garza, Jacob S</cp:lastModifiedBy>
  <dcterms:created xsi:type="dcterms:W3CDTF">2023-01-15T06:03:47Z</dcterms:created>
  <dcterms:modified xsi:type="dcterms:W3CDTF">2023-01-16T00:07:22Z</dcterms:modified>
</cp:coreProperties>
</file>