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"/>
    </mc:Choice>
  </mc:AlternateContent>
  <xr:revisionPtr revIDLastSave="0" documentId="13_ncr:1_{DFAB9956-1BC0-0D4E-8BE8-78B81F78EF4B}" xr6:coauthVersionLast="47" xr6:coauthVersionMax="47" xr10:uidLastSave="{00000000-0000-0000-0000-000000000000}"/>
  <bookViews>
    <workbookView xWindow="19000" yWindow="500" windowWidth="16840" windowHeight="21900" activeTab="1" xr2:uid="{237C90C5-6481-434D-8344-DCBC5C45ED5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2" l="1"/>
  <c r="W17" i="2"/>
  <c r="U20" i="2"/>
  <c r="V20" i="2"/>
  <c r="W20" i="2" s="1"/>
  <c r="X20" i="2" s="1"/>
  <c r="Y20" i="2" s="1"/>
  <c r="Z20" i="2" s="1"/>
  <c r="AA20" i="2" s="1"/>
  <c r="U18" i="2"/>
  <c r="T19" i="2"/>
  <c r="U31" i="2"/>
  <c r="V31" i="2" s="1"/>
  <c r="T31" i="2"/>
  <c r="AA24" i="2"/>
  <c r="Z24" i="2"/>
  <c r="Y24" i="2"/>
  <c r="X24" i="2"/>
  <c r="W24" i="2"/>
  <c r="V24" i="2"/>
  <c r="U24" i="2"/>
  <c r="T24" i="2"/>
  <c r="U23" i="2"/>
  <c r="V23" i="2" s="1"/>
  <c r="T23" i="2"/>
  <c r="U35" i="2"/>
  <c r="T21" i="2"/>
  <c r="T34" i="2" s="1"/>
  <c r="T20" i="2"/>
  <c r="U17" i="2"/>
  <c r="U19" i="2" s="1"/>
  <c r="T33" i="2"/>
  <c r="V18" i="2"/>
  <c r="W18" i="2" s="1"/>
  <c r="X18" i="2" s="1"/>
  <c r="Y18" i="2" s="1"/>
  <c r="Z18" i="2" s="1"/>
  <c r="AA18" i="2" s="1"/>
  <c r="Q28" i="2"/>
  <c r="Q26" i="2"/>
  <c r="Q23" i="2"/>
  <c r="Q22" i="2"/>
  <c r="Q20" i="2"/>
  <c r="Q31" i="2"/>
  <c r="Q24" i="2"/>
  <c r="Q18" i="2"/>
  <c r="Q16" i="2"/>
  <c r="Q14" i="2"/>
  <c r="R28" i="2"/>
  <c r="R26" i="2"/>
  <c r="R23" i="2"/>
  <c r="R35" i="2" s="1"/>
  <c r="R22" i="2"/>
  <c r="R31" i="2"/>
  <c r="R18" i="2"/>
  <c r="S31" i="2"/>
  <c r="S28" i="2"/>
  <c r="S26" i="2"/>
  <c r="S22" i="2"/>
  <c r="S18" i="2"/>
  <c r="R2" i="2"/>
  <c r="S2" i="2" s="1"/>
  <c r="T2" i="2" s="1"/>
  <c r="U2" i="2" s="1"/>
  <c r="V2" i="2" s="1"/>
  <c r="W2" i="2" s="1"/>
  <c r="X2" i="2" s="1"/>
  <c r="Y2" i="2" s="1"/>
  <c r="Z2" i="2" s="1"/>
  <c r="AA2" i="2" s="1"/>
  <c r="O23" i="2"/>
  <c r="O35" i="2" s="1"/>
  <c r="O17" i="2"/>
  <c r="O19" i="2" s="1"/>
  <c r="N23" i="2"/>
  <c r="S23" i="2" s="1"/>
  <c r="L35" i="2"/>
  <c r="K35" i="2"/>
  <c r="J35" i="2"/>
  <c r="I35" i="2"/>
  <c r="H35" i="2"/>
  <c r="G35" i="2"/>
  <c r="M35" i="2"/>
  <c r="N24" i="2"/>
  <c r="N17" i="2"/>
  <c r="N19" i="2" s="1"/>
  <c r="C24" i="2"/>
  <c r="C15" i="2"/>
  <c r="C13" i="2"/>
  <c r="C12" i="2"/>
  <c r="C17" i="2" s="1"/>
  <c r="C19" i="2" s="1"/>
  <c r="D24" i="2"/>
  <c r="D15" i="2"/>
  <c r="D13" i="2"/>
  <c r="D12" i="2"/>
  <c r="D17" i="2" s="1"/>
  <c r="D19" i="2" s="1"/>
  <c r="E24" i="2"/>
  <c r="E15" i="2"/>
  <c r="E13" i="2"/>
  <c r="E12" i="2"/>
  <c r="F24" i="2"/>
  <c r="F19" i="2"/>
  <c r="F21" i="2" s="1"/>
  <c r="F34" i="2" s="1"/>
  <c r="J24" i="2"/>
  <c r="J19" i="2"/>
  <c r="J21" i="2" s="1"/>
  <c r="J34" i="2" s="1"/>
  <c r="G20" i="2"/>
  <c r="R20" i="2" s="1"/>
  <c r="G24" i="2"/>
  <c r="G15" i="2"/>
  <c r="G13" i="2"/>
  <c r="R13" i="2" s="1"/>
  <c r="G12" i="2"/>
  <c r="G17" i="2" s="1"/>
  <c r="G19" i="2" s="1"/>
  <c r="K20" i="2"/>
  <c r="K24" i="2"/>
  <c r="L24" i="2"/>
  <c r="K15" i="2"/>
  <c r="K13" i="2"/>
  <c r="S13" i="2" s="1"/>
  <c r="K12" i="2"/>
  <c r="K17" i="2" s="1"/>
  <c r="K19" i="2" s="1"/>
  <c r="K21" i="2" s="1"/>
  <c r="K34" i="2" s="1"/>
  <c r="H20" i="2"/>
  <c r="H24" i="2"/>
  <c r="H16" i="2"/>
  <c r="R16" i="2" s="1"/>
  <c r="H15" i="2"/>
  <c r="H14" i="2"/>
  <c r="H12" i="2"/>
  <c r="H17" i="2" s="1"/>
  <c r="L16" i="2"/>
  <c r="S16" i="2" s="1"/>
  <c r="L15" i="2"/>
  <c r="L14" i="2"/>
  <c r="L17" i="2" s="1"/>
  <c r="L19" i="2" s="1"/>
  <c r="L21" i="2" s="1"/>
  <c r="L25" i="2" s="1"/>
  <c r="L27" i="2" s="1"/>
  <c r="L29" i="2" s="1"/>
  <c r="L30" i="2" s="1"/>
  <c r="L12" i="2"/>
  <c r="I12" i="2"/>
  <c r="M12" i="2"/>
  <c r="M16" i="2"/>
  <c r="M15" i="2"/>
  <c r="M14" i="2"/>
  <c r="M17" i="2" s="1"/>
  <c r="I16" i="2"/>
  <c r="I15" i="2"/>
  <c r="I14" i="2"/>
  <c r="U33" i="2" l="1"/>
  <c r="U21" i="2"/>
  <c r="V17" i="2"/>
  <c r="T25" i="2"/>
  <c r="T27" i="2" s="1"/>
  <c r="W31" i="2"/>
  <c r="W23" i="2"/>
  <c r="V35" i="2"/>
  <c r="T35" i="2"/>
  <c r="V19" i="2"/>
  <c r="R14" i="2"/>
  <c r="I17" i="2"/>
  <c r="R15" i="2"/>
  <c r="S15" i="2"/>
  <c r="Q13" i="2"/>
  <c r="N35" i="2"/>
  <c r="R24" i="2"/>
  <c r="R12" i="2"/>
  <c r="Q15" i="2"/>
  <c r="S35" i="2"/>
  <c r="S24" i="2"/>
  <c r="E17" i="2"/>
  <c r="E19" i="2" s="1"/>
  <c r="E21" i="2" s="1"/>
  <c r="S12" i="2"/>
  <c r="Q12" i="2"/>
  <c r="Q17" i="2" s="1"/>
  <c r="Q19" i="2" s="1"/>
  <c r="Q21" i="2" s="1"/>
  <c r="Q34" i="2" s="1"/>
  <c r="S14" i="2"/>
  <c r="O33" i="2"/>
  <c r="O21" i="2"/>
  <c r="O20" i="2" s="1"/>
  <c r="O24" i="2"/>
  <c r="N33" i="2"/>
  <c r="N21" i="2"/>
  <c r="N34" i="2" s="1"/>
  <c r="H19" i="2"/>
  <c r="L33" i="2" s="1"/>
  <c r="C21" i="2"/>
  <c r="C34" i="2" s="1"/>
  <c r="G33" i="2"/>
  <c r="D21" i="2"/>
  <c r="F25" i="2"/>
  <c r="F27" i="2" s="1"/>
  <c r="F29" i="2" s="1"/>
  <c r="F30" i="2" s="1"/>
  <c r="J33" i="2"/>
  <c r="J25" i="2"/>
  <c r="J27" i="2" s="1"/>
  <c r="J29" i="2" s="1"/>
  <c r="J30" i="2" s="1"/>
  <c r="K33" i="2"/>
  <c r="G21" i="2"/>
  <c r="K25" i="2"/>
  <c r="K27" i="2" s="1"/>
  <c r="K29" i="2" s="1"/>
  <c r="K30" i="2" s="1"/>
  <c r="L34" i="2"/>
  <c r="V33" i="2" l="1"/>
  <c r="V21" i="2"/>
  <c r="U25" i="2"/>
  <c r="U27" i="2" s="1"/>
  <c r="U34" i="2"/>
  <c r="T28" i="2"/>
  <c r="T29" i="2"/>
  <c r="X31" i="2"/>
  <c r="X23" i="2"/>
  <c r="W35" i="2"/>
  <c r="W19" i="2"/>
  <c r="Q25" i="2"/>
  <c r="Q27" i="2" s="1"/>
  <c r="Q29" i="2" s="1"/>
  <c r="Q30" i="2" s="1"/>
  <c r="R17" i="2"/>
  <c r="R19" i="2" s="1"/>
  <c r="R21" i="2" s="1"/>
  <c r="R34" i="2" s="1"/>
  <c r="S17" i="2"/>
  <c r="S19" i="2" s="1"/>
  <c r="N25" i="2"/>
  <c r="N27" i="2" s="1"/>
  <c r="N29" i="2" s="1"/>
  <c r="N30" i="2" s="1"/>
  <c r="R33" i="2"/>
  <c r="H21" i="2"/>
  <c r="H25" i="2" s="1"/>
  <c r="H27" i="2" s="1"/>
  <c r="H29" i="2" s="1"/>
  <c r="H30" i="2" s="1"/>
  <c r="H33" i="2"/>
  <c r="O34" i="2"/>
  <c r="O25" i="2"/>
  <c r="O27" i="2" s="1"/>
  <c r="O29" i="2" s="1"/>
  <c r="O30" i="2" s="1"/>
  <c r="N20" i="2"/>
  <c r="S20" i="2" s="1"/>
  <c r="C25" i="2"/>
  <c r="C27" i="2" s="1"/>
  <c r="C29" i="2" s="1"/>
  <c r="C30" i="2" s="1"/>
  <c r="D34" i="2"/>
  <c r="D25" i="2"/>
  <c r="D27" i="2" s="1"/>
  <c r="D29" i="2" s="1"/>
  <c r="D30" i="2" s="1"/>
  <c r="E34" i="2"/>
  <c r="E25" i="2"/>
  <c r="E27" i="2" s="1"/>
  <c r="E29" i="2" s="1"/>
  <c r="E30" i="2" s="1"/>
  <c r="G25" i="2"/>
  <c r="G27" i="2" s="1"/>
  <c r="G29" i="2" s="1"/>
  <c r="G30" i="2" s="1"/>
  <c r="G34" i="2"/>
  <c r="W33" i="2" l="1"/>
  <c r="W21" i="2"/>
  <c r="U28" i="2"/>
  <c r="U29" i="2"/>
  <c r="U30" i="2" s="1"/>
  <c r="V25" i="2"/>
  <c r="V27" i="2" s="1"/>
  <c r="V34" i="2"/>
  <c r="T30" i="2"/>
  <c r="Y31" i="2"/>
  <c r="Y23" i="2"/>
  <c r="X35" i="2"/>
  <c r="Y17" i="2"/>
  <c r="X19" i="2"/>
  <c r="R25" i="2"/>
  <c r="R27" i="2" s="1"/>
  <c r="R29" i="2" s="1"/>
  <c r="R30" i="2" s="1"/>
  <c r="S21" i="2"/>
  <c r="S33" i="2"/>
  <c r="H34" i="2"/>
  <c r="X33" i="2" l="1"/>
  <c r="X21" i="2"/>
  <c r="V28" i="2"/>
  <c r="V29" i="2" s="1"/>
  <c r="W34" i="2"/>
  <c r="W25" i="2"/>
  <c r="W27" i="2" s="1"/>
  <c r="Z31" i="2"/>
  <c r="Z23" i="2"/>
  <c r="Y35" i="2"/>
  <c r="Z17" i="2"/>
  <c r="Y19" i="2"/>
  <c r="S34" i="2"/>
  <c r="S25" i="2"/>
  <c r="S27" i="2" s="1"/>
  <c r="S29" i="2" s="1"/>
  <c r="S30" i="2" s="1"/>
  <c r="Y33" i="2" l="1"/>
  <c r="Y21" i="2"/>
  <c r="W28" i="2"/>
  <c r="W29" i="2"/>
  <c r="W30" i="2" s="1"/>
  <c r="V30" i="2"/>
  <c r="X34" i="2"/>
  <c r="X25" i="2"/>
  <c r="X27" i="2" s="1"/>
  <c r="AA31" i="2"/>
  <c r="AA23" i="2"/>
  <c r="AA35" i="2" s="1"/>
  <c r="Z35" i="2"/>
  <c r="AA17" i="2"/>
  <c r="AA19" i="2" s="1"/>
  <c r="AA21" i="2" s="1"/>
  <c r="Z19" i="2"/>
  <c r="AA34" i="2" l="1"/>
  <c r="AA25" i="2"/>
  <c r="AA27" i="2" s="1"/>
  <c r="X28" i="2"/>
  <c r="X29" i="2" s="1"/>
  <c r="Y34" i="2"/>
  <c r="Y25" i="2"/>
  <c r="Y27" i="2" s="1"/>
  <c r="Z33" i="2"/>
  <c r="Z21" i="2"/>
  <c r="AA33" i="2"/>
  <c r="Z34" i="2" l="1"/>
  <c r="Z25" i="2"/>
  <c r="Z27" i="2" s="1"/>
  <c r="Y28" i="2"/>
  <c r="Y29" i="2" s="1"/>
  <c r="X30" i="2"/>
  <c r="AA28" i="2"/>
  <c r="AA29" i="2" s="1"/>
  <c r="AB29" i="2" l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AA30" i="2"/>
  <c r="Y30" i="2"/>
  <c r="Z28" i="2"/>
  <c r="Z29" i="2" s="1"/>
  <c r="Z30" i="2" l="1"/>
  <c r="AD38" i="2"/>
  <c r="AD39" i="2" s="1"/>
  <c r="I24" i="2" l="1"/>
  <c r="M24" i="2"/>
  <c r="I19" i="2" l="1"/>
  <c r="M19" i="2"/>
  <c r="M33" i="2" s="1"/>
  <c r="K6" i="1"/>
  <c r="K5" i="1"/>
  <c r="K4" i="1"/>
  <c r="K7" i="1" s="1"/>
  <c r="I21" i="2" l="1"/>
  <c r="I34" i="2" s="1"/>
  <c r="I33" i="2"/>
  <c r="I25" i="2"/>
  <c r="I27" i="2" s="1"/>
  <c r="I29" i="2" s="1"/>
  <c r="I30" i="2" s="1"/>
  <c r="M21" i="2"/>
  <c r="M25" i="2" l="1"/>
  <c r="M27" i="2" s="1"/>
  <c r="M29" i="2" s="1"/>
  <c r="M30" i="2" s="1"/>
  <c r="M34" i="2"/>
</calcChain>
</file>

<file path=xl/sharedStrings.xml><?xml version="1.0" encoding="utf-8"?>
<sst xmlns="http://schemas.openxmlformats.org/spreadsheetml/2006/main" count="66" uniqueCount="59">
  <si>
    <t>Price</t>
  </si>
  <si>
    <t>Shares</t>
  </si>
  <si>
    <t>MC</t>
  </si>
  <si>
    <t>Cash</t>
  </si>
  <si>
    <t>Debt</t>
  </si>
  <si>
    <t>EV</t>
  </si>
  <si>
    <t>Q322</t>
  </si>
  <si>
    <t>Name</t>
  </si>
  <si>
    <t>Upstream</t>
  </si>
  <si>
    <t>Energy Products</t>
  </si>
  <si>
    <t>Chemical Products</t>
  </si>
  <si>
    <t>Specialty Products</t>
  </si>
  <si>
    <t>Main</t>
  </si>
  <si>
    <t>Model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</si>
  <si>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</si>
  <si>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</si>
  <si>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</si>
  <si>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</si>
  <si>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</si>
  <si>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</si>
  <si>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</si>
  <si>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</si>
  <si>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</si>
  <si>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</si>
  <si>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</si>
  <si>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</si>
  <si>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Royalty</t>
  </si>
  <si>
    <t>COGS</t>
  </si>
  <si>
    <t>Gross Profit</t>
  </si>
  <si>
    <t>SG&amp;A</t>
  </si>
  <si>
    <t>Operating Expenses</t>
  </si>
  <si>
    <t>Operating Income</t>
  </si>
  <si>
    <t>Net Profit</t>
  </si>
  <si>
    <t>EPS</t>
  </si>
  <si>
    <t>Interest</t>
  </si>
  <si>
    <t>Pretax Income</t>
  </si>
  <si>
    <t>Taxes</t>
  </si>
  <si>
    <t>Sales</t>
  </si>
  <si>
    <t xml:space="preserve">Exploration </t>
  </si>
  <si>
    <t>Revenue y/y</t>
  </si>
  <si>
    <t xml:space="preserve">Gross margin </t>
  </si>
  <si>
    <t>Speciality Products</t>
  </si>
  <si>
    <t>US</t>
  </si>
  <si>
    <t>Non-US</t>
  </si>
  <si>
    <t>Canada</t>
  </si>
  <si>
    <t>UK</t>
  </si>
  <si>
    <t>Singapore</t>
  </si>
  <si>
    <t>France</t>
  </si>
  <si>
    <t>Italy</t>
  </si>
  <si>
    <t>Belgium</t>
  </si>
  <si>
    <t>Australia</t>
  </si>
  <si>
    <t>Downstream</t>
  </si>
  <si>
    <t>ESTIMATES</t>
  </si>
  <si>
    <t>SG&amp;A y/y</t>
  </si>
  <si>
    <t>Q123</t>
  </si>
  <si>
    <t>Discount</t>
  </si>
  <si>
    <t>Maturity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</si>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</sst>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3"/>
    <xf numFmtId="9" fontId="0" fillId="0" borderId="6" xfId="2" applyFont="1" applyBorder="1"/>
    <xf numFmtId="10" fontId="0" fillId="0" borderId="6" xfId="2" applyNumberFormat="1" applyFont="1" applyBorder="1"/>
    <xf numFmtId="10" fontId="0" fillId="0" borderId="0" xfId="2" applyNumberFormat="1" applyFont="1" applyBorder="1"/>
    <xf numFmtId="9" fontId="0" fillId="0" borderId="0" xfId="2" applyFont="1" applyBorder="1"/>
    <xf numFmtId="43" fontId="0" fillId="0" borderId="0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 applyFill="1" applyBorder="1"/>
    <xf numFmtId="43" fontId="2" fillId="0" borderId="0" xfId="1" applyFont="1"/>
    <xf numFmtId="43" fontId="2" fillId="0" borderId="0" xfId="1" applyFont="1" applyBorder="1"/>
    <xf numFmtId="43" fontId="2" fillId="0" borderId="6" xfId="1" applyFont="1" applyBorder="1"/>
    <xf numFmtId="43" fontId="4" fillId="0" borderId="0" xfId="1" applyFont="1" applyBorder="1"/>
    <xf numFmtId="43" fontId="4" fillId="0" borderId="0" xfId="1" applyFont="1"/>
    <xf numFmtId="9" fontId="0" fillId="0" borderId="0" xfId="2" applyFont="1"/>
    <xf numFmtId="9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EE82-71E9-F140-A24D-87A37A9F98AE}">
  <dimension ref="A1:L7"/>
  <sheetViews>
    <sheetView topLeftCell="E1" zoomScale="111" workbookViewId="0"/>
  </sheetViews>
  <sheetFormatPr baseColWidth="10" defaultColWidth="15.33203125" defaultRowHeight="16" x14ac:dyDescent="0.2"/>
  <sheetData>
    <row r="1" spans="1:12" x14ac:dyDescent="0.2">
      <c r="A1" s="12" t="s">
        <v>13</v>
      </c>
    </row>
    <row r="2" spans="1:12" x14ac:dyDescent="0.2">
      <c r="B2" s="5" t="s">
        <v>7</v>
      </c>
      <c r="C2" s="6"/>
      <c r="D2" s="6"/>
      <c r="E2" s="6"/>
      <c r="F2" s="6"/>
      <c r="G2" s="7"/>
      <c r="J2" t="s">
        <v>0</v>
      </c>
      <c r="K2" s="1">
        <v>110.5</v>
      </c>
    </row>
    <row r="3" spans="1:12" x14ac:dyDescent="0.2">
      <c r="B3" s="8" t="s">
        <v>8</v>
      </c>
      <c r="C3" s="4"/>
      <c r="D3" s="4"/>
      <c r="E3" s="4"/>
      <c r="F3" s="4"/>
      <c r="G3" s="9"/>
      <c r="J3" t="s">
        <v>1</v>
      </c>
      <c r="K3" s="1">
        <v>4118</v>
      </c>
      <c r="L3" t="s">
        <v>6</v>
      </c>
    </row>
    <row r="4" spans="1:12" x14ac:dyDescent="0.2">
      <c r="B4" s="8" t="s">
        <v>9</v>
      </c>
      <c r="C4" s="4"/>
      <c r="D4" s="4"/>
      <c r="E4" s="4"/>
      <c r="F4" s="4"/>
      <c r="G4" s="9"/>
      <c r="J4" t="s">
        <v>2</v>
      </c>
      <c r="K4" s="1">
        <f>K2*K3</f>
        <v>455039</v>
      </c>
    </row>
    <row r="5" spans="1:12" x14ac:dyDescent="0.2">
      <c r="B5" s="8" t="s">
        <v>10</v>
      </c>
      <c r="C5" s="4"/>
      <c r="D5" s="4"/>
      <c r="E5" s="4"/>
      <c r="F5" s="4"/>
      <c r="G5" s="9"/>
      <c r="J5" t="s">
        <v>3</v>
      </c>
      <c r="K5" s="1">
        <f>30407+41802</f>
        <v>72209</v>
      </c>
      <c r="L5" t="s">
        <v>6</v>
      </c>
    </row>
    <row r="6" spans="1:12" x14ac:dyDescent="0.2">
      <c r="B6" s="10" t="s">
        <v>11</v>
      </c>
      <c r="C6" s="3"/>
      <c r="D6" s="3"/>
      <c r="E6" s="3"/>
      <c r="F6" s="3"/>
      <c r="G6" s="11"/>
      <c r="J6" t="s">
        <v>4</v>
      </c>
      <c r="K6" s="1">
        <f>6182+39246</f>
        <v>45428</v>
      </c>
      <c r="L6" t="s">
        <v>6</v>
      </c>
    </row>
    <row r="7" spans="1:12" x14ac:dyDescent="0.2">
      <c r="J7" t="s">
        <v>5</v>
      </c>
      <c r="K7" s="2">
        <f>K4-K5+K6</f>
        <v>428258</v>
      </c>
    </row>
  </sheetData>
  <hyperlinks>
    <hyperlink ref="A1" location="Model!A1" display="Model" xr:uid="{02B47283-3B27-374C-B095-BC446FF208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ECF6-E523-C141-AC7F-FF69E2B88FD1}">
  <dimension ref="A1:EO39"/>
  <sheetViews>
    <sheetView tabSelected="1" zoomScale="75"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Y18" sqref="Y18"/>
    </sheetView>
  </sheetViews>
  <sheetFormatPr baseColWidth="10" defaultColWidth="13.33203125" defaultRowHeight="16" x14ac:dyDescent="0.2"/>
  <cols>
    <col min="3" max="3" width="13.33203125" style="8"/>
    <col min="13" max="13" width="13.33203125" style="9"/>
    <col min="18" max="18" width="13.33203125" style="9"/>
    <col min="30" max="30" width="15.83203125" customWidth="1"/>
  </cols>
  <sheetData>
    <row r="1" spans="1:27" x14ac:dyDescent="0.2">
      <c r="A1" s="12" t="s">
        <v>12</v>
      </c>
      <c r="N1" t="s">
        <v>52</v>
      </c>
    </row>
    <row r="2" spans="1:27" s="3" customFormat="1" x14ac:dyDescent="0.2">
      <c r="C2" s="10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11" t="s">
        <v>6</v>
      </c>
      <c r="N2" s="3" t="s">
        <v>25</v>
      </c>
      <c r="O2" s="3" t="s">
        <v>54</v>
      </c>
      <c r="Q2" s="3">
        <v>2020</v>
      </c>
      <c r="R2" s="11">
        <f t="shared" ref="R2:AA2" si="0">Q2+1</f>
        <v>2021</v>
      </c>
      <c r="S2" s="3">
        <f t="shared" si="0"/>
        <v>2022</v>
      </c>
      <c r="T2" s="3">
        <f t="shared" si="0"/>
        <v>2023</v>
      </c>
      <c r="U2" s="3">
        <f t="shared" si="0"/>
        <v>2024</v>
      </c>
      <c r="V2" s="3">
        <f t="shared" si="0"/>
        <v>2025</v>
      </c>
      <c r="W2" s="3">
        <f t="shared" si="0"/>
        <v>2026</v>
      </c>
      <c r="X2" s="3">
        <f t="shared" si="0"/>
        <v>2027</v>
      </c>
      <c r="Y2" s="3">
        <f t="shared" si="0"/>
        <v>2028</v>
      </c>
      <c r="Z2" s="3">
        <f t="shared" si="0"/>
        <v>2029</v>
      </c>
      <c r="AA2" s="3">
        <f t="shared" si="0"/>
        <v>2030</v>
      </c>
    </row>
    <row r="3" spans="1:27" s="17" customFormat="1" x14ac:dyDescent="0.2">
      <c r="B3" s="17" t="s">
        <v>42</v>
      </c>
      <c r="C3" s="18"/>
      <c r="I3" s="17">
        <v>27761</v>
      </c>
      <c r="M3" s="19">
        <v>39601</v>
      </c>
      <c r="R3" s="19"/>
    </row>
    <row r="4" spans="1:27" s="17" customFormat="1" x14ac:dyDescent="0.2">
      <c r="B4" s="17" t="s">
        <v>43</v>
      </c>
      <c r="C4" s="18"/>
      <c r="I4" s="17">
        <v>44131</v>
      </c>
      <c r="M4" s="19">
        <v>66911</v>
      </c>
      <c r="R4" s="19"/>
    </row>
    <row r="5" spans="1:27" s="17" customFormat="1" x14ac:dyDescent="0.2">
      <c r="B5" s="17" t="s">
        <v>44</v>
      </c>
      <c r="C5" s="18"/>
      <c r="I5" s="17">
        <v>5837</v>
      </c>
      <c r="M5" s="19">
        <v>8468</v>
      </c>
      <c r="R5" s="19"/>
    </row>
    <row r="6" spans="1:27" s="17" customFormat="1" x14ac:dyDescent="0.2">
      <c r="B6" s="20" t="s">
        <v>45</v>
      </c>
      <c r="C6" s="18"/>
      <c r="I6" s="20">
        <v>3379</v>
      </c>
      <c r="M6" s="19">
        <v>8845</v>
      </c>
      <c r="R6" s="19"/>
    </row>
    <row r="7" spans="1:27" s="17" customFormat="1" x14ac:dyDescent="0.2">
      <c r="B7" s="20" t="s">
        <v>46</v>
      </c>
      <c r="C7" s="18"/>
      <c r="I7" s="20">
        <v>3678</v>
      </c>
      <c r="M7" s="19">
        <v>5262</v>
      </c>
      <c r="R7" s="19"/>
    </row>
    <row r="8" spans="1:27" s="17" customFormat="1" x14ac:dyDescent="0.2">
      <c r="B8" s="20" t="s">
        <v>47</v>
      </c>
      <c r="C8" s="18"/>
      <c r="I8" s="20">
        <v>3513</v>
      </c>
      <c r="M8" s="19">
        <v>4449</v>
      </c>
      <c r="R8" s="19"/>
    </row>
    <row r="9" spans="1:27" s="17" customFormat="1" x14ac:dyDescent="0.2">
      <c r="B9" s="20" t="s">
        <v>48</v>
      </c>
      <c r="C9" s="18"/>
      <c r="I9" s="20">
        <v>2808</v>
      </c>
      <c r="M9" s="19">
        <v>2990</v>
      </c>
      <c r="R9" s="19"/>
    </row>
    <row r="10" spans="1:27" s="17" customFormat="1" x14ac:dyDescent="0.2">
      <c r="B10" s="20" t="s">
        <v>49</v>
      </c>
      <c r="C10" s="18"/>
      <c r="I10" s="20">
        <v>2409</v>
      </c>
      <c r="M10" s="19">
        <v>2755</v>
      </c>
      <c r="R10" s="19"/>
    </row>
    <row r="11" spans="1:27" s="17" customFormat="1" x14ac:dyDescent="0.2">
      <c r="B11" s="20" t="s">
        <v>50</v>
      </c>
      <c r="C11" s="18"/>
      <c r="I11" s="20">
        <v>1751</v>
      </c>
      <c r="M11" s="19">
        <v>2936</v>
      </c>
      <c r="R11" s="19"/>
    </row>
    <row r="12" spans="1:27" s="17" customFormat="1" x14ac:dyDescent="0.2">
      <c r="B12" s="17" t="s">
        <v>8</v>
      </c>
      <c r="C12" s="18">
        <f>1777+2567</f>
        <v>4344</v>
      </c>
      <c r="D12" s="17">
        <f>1081+2022</f>
        <v>3103</v>
      </c>
      <c r="E12" s="17">
        <f>1422+2015</f>
        <v>3437</v>
      </c>
      <c r="G12" s="17">
        <f>1885+3094</f>
        <v>4979</v>
      </c>
      <c r="H12" s="17">
        <f>1726+3792</f>
        <v>5518</v>
      </c>
      <c r="I12" s="17">
        <f>2072+2295</f>
        <v>4367</v>
      </c>
      <c r="K12" s="17">
        <f>2656+6343</f>
        <v>8999</v>
      </c>
      <c r="L12" s="17">
        <f>3958+7101</f>
        <v>11059</v>
      </c>
      <c r="M12" s="19">
        <f>4163+8770</f>
        <v>12933</v>
      </c>
      <c r="N12" s="17">
        <v>10000</v>
      </c>
      <c r="O12" s="17">
        <v>9000</v>
      </c>
      <c r="Q12" s="17">
        <f>SUM(C12:F12)</f>
        <v>10884</v>
      </c>
      <c r="R12" s="19">
        <f>SUM(G12:J12)</f>
        <v>14864</v>
      </c>
      <c r="S12" s="17">
        <f>SUM(K12:N12)</f>
        <v>42991</v>
      </c>
    </row>
    <row r="13" spans="1:27" s="17" customFormat="1" x14ac:dyDescent="0.2">
      <c r="B13" s="20" t="s">
        <v>51</v>
      </c>
      <c r="C13" s="18">
        <f>15384+29304</f>
        <v>44688</v>
      </c>
      <c r="D13" s="17">
        <f>8203+16302</f>
        <v>24505</v>
      </c>
      <c r="E13" s="17">
        <f>12267+23862</f>
        <v>36129</v>
      </c>
      <c r="G13" s="17">
        <f>16078+28613</f>
        <v>44691</v>
      </c>
      <c r="K13" s="17">
        <f>23356+43609</f>
        <v>66965</v>
      </c>
      <c r="M13" s="19"/>
      <c r="Q13" s="17">
        <f>SUM(C13:F13)</f>
        <v>105322</v>
      </c>
      <c r="R13" s="19">
        <f>SUM(G13:J13)</f>
        <v>44691</v>
      </c>
      <c r="S13" s="17">
        <f>SUM(K13:N13)</f>
        <v>66965</v>
      </c>
    </row>
    <row r="14" spans="1:27" s="17" customFormat="1" x14ac:dyDescent="0.2">
      <c r="B14" s="17" t="s">
        <v>9</v>
      </c>
      <c r="C14" s="18"/>
      <c r="G14" s="17">
        <v>0</v>
      </c>
      <c r="H14" s="17">
        <f>18770+29925</f>
        <v>48695</v>
      </c>
      <c r="I14" s="17">
        <f>20988+34305</f>
        <v>55293</v>
      </c>
      <c r="K14" s="17">
        <v>0</v>
      </c>
      <c r="L14" s="17">
        <f>34473+52804</f>
        <v>87277</v>
      </c>
      <c r="M14" s="19">
        <f>31324+50215</f>
        <v>81539</v>
      </c>
      <c r="N14" s="17">
        <v>75000</v>
      </c>
      <c r="Q14" s="17">
        <f>SUM(C14:F14)</f>
        <v>0</v>
      </c>
      <c r="R14" s="19">
        <f>SUM(G14:J14)</f>
        <v>103988</v>
      </c>
      <c r="S14" s="17">
        <f>SUM(K14:N14)</f>
        <v>243816</v>
      </c>
    </row>
    <row r="15" spans="1:27" s="17" customFormat="1" x14ac:dyDescent="0.2">
      <c r="B15" s="17" t="s">
        <v>10</v>
      </c>
      <c r="C15" s="18">
        <f>2296+3800</f>
        <v>6096</v>
      </c>
      <c r="D15" s="17">
        <f>1570+3090</f>
        <v>4660</v>
      </c>
      <c r="E15" s="17">
        <f>2162+3684</f>
        <v>5846</v>
      </c>
      <c r="G15" s="17">
        <f>3091+4887</f>
        <v>7978</v>
      </c>
      <c r="H15" s="17">
        <f>3035+4244</f>
        <v>7279</v>
      </c>
      <c r="I15" s="17">
        <f>3474+4215</f>
        <v>7689</v>
      </c>
      <c r="K15" s="17">
        <f>3982+5781</f>
        <v>9763</v>
      </c>
      <c r="L15" s="17">
        <f>3180+4497</f>
        <v>7677</v>
      </c>
      <c r="M15" s="19">
        <f>2499+4213</f>
        <v>6712</v>
      </c>
      <c r="N15" s="17">
        <v>6000</v>
      </c>
      <c r="O15" s="17">
        <v>6000</v>
      </c>
      <c r="Q15" s="17">
        <f>SUM(C15:F15)</f>
        <v>16602</v>
      </c>
      <c r="R15" s="19">
        <f>SUM(G15:J15)</f>
        <v>22946</v>
      </c>
      <c r="S15" s="17">
        <f>SUM(K15:N15)</f>
        <v>30152</v>
      </c>
    </row>
    <row r="16" spans="1:27" s="17" customFormat="1" x14ac:dyDescent="0.2">
      <c r="B16" s="20" t="s">
        <v>41</v>
      </c>
      <c r="C16" s="18"/>
      <c r="G16" s="17">
        <v>0</v>
      </c>
      <c r="H16" s="17">
        <f>1242+3204</f>
        <v>4446</v>
      </c>
      <c r="I16" s="17">
        <f>1227+3309</f>
        <v>4536</v>
      </c>
      <c r="L16" s="17">
        <f>1653+3591</f>
        <v>5244</v>
      </c>
      <c r="M16" s="19">
        <f>1615+3709</f>
        <v>5324</v>
      </c>
      <c r="N16" s="17">
        <v>5000</v>
      </c>
      <c r="O16" s="17">
        <v>70000</v>
      </c>
      <c r="Q16" s="17">
        <f>SUM(C16:F16)</f>
        <v>0</v>
      </c>
      <c r="R16" s="19">
        <f>SUM(G16:J16)</f>
        <v>8982</v>
      </c>
      <c r="S16" s="17">
        <f>SUM(K16:N16)</f>
        <v>15568</v>
      </c>
    </row>
    <row r="17" spans="2:145" s="1" customFormat="1" x14ac:dyDescent="0.2">
      <c r="B17" s="1" t="s">
        <v>37</v>
      </c>
      <c r="C17" s="17">
        <f>SUM(C12:C16)</f>
        <v>55128</v>
      </c>
      <c r="D17" s="17">
        <f>SUM(D12:D16)</f>
        <v>32268</v>
      </c>
      <c r="E17" s="17">
        <f>SUM(E12:E16)</f>
        <v>45412</v>
      </c>
      <c r="F17" s="1">
        <v>45738</v>
      </c>
      <c r="G17" s="17">
        <f>SUM(G12:G16)</f>
        <v>57648</v>
      </c>
      <c r="H17" s="17">
        <f>SUM(H12:H16)</f>
        <v>65938</v>
      </c>
      <c r="I17" s="17">
        <f>SUM(I12:I16)</f>
        <v>71885</v>
      </c>
      <c r="J17" s="1">
        <v>81305</v>
      </c>
      <c r="K17" s="1">
        <f>SUM(K12:K16)</f>
        <v>85727</v>
      </c>
      <c r="L17" s="17">
        <f>SUM(L12:L16)</f>
        <v>111257</v>
      </c>
      <c r="M17" s="19">
        <f>SUM(M12:M16)</f>
        <v>106508</v>
      </c>
      <c r="N17" s="17">
        <f>SUM(N12:N16)</f>
        <v>96000</v>
      </c>
      <c r="O17" s="17">
        <f>SUM(O12:O16)</f>
        <v>85000</v>
      </c>
      <c r="Q17" s="1">
        <f>SUM(Q12:Q16)+F17</f>
        <v>178546</v>
      </c>
      <c r="R17" s="19">
        <f>SUM(R12:R16)+J17</f>
        <v>276776</v>
      </c>
      <c r="S17" s="1">
        <f>SUM(S12:S16)</f>
        <v>399492</v>
      </c>
      <c r="T17" s="1">
        <v>300000</v>
      </c>
      <c r="U17" s="1">
        <f>T17*0.95</f>
        <v>285000</v>
      </c>
      <c r="V17" s="1">
        <f>U17*1.12</f>
        <v>319200.00000000006</v>
      </c>
      <c r="W17" s="1">
        <f>V17*1.05</f>
        <v>335160.00000000006</v>
      </c>
      <c r="X17" s="1">
        <f>W17*1.05</f>
        <v>351918.00000000006</v>
      </c>
      <c r="Y17" s="1">
        <f t="shared" ref="V17:AA17" si="1">X17*1.01</f>
        <v>355437.18000000005</v>
      </c>
      <c r="Z17" s="1">
        <f t="shared" si="1"/>
        <v>358991.55180000007</v>
      </c>
      <c r="AA17" s="1">
        <f t="shared" si="1"/>
        <v>362581.4673180001</v>
      </c>
    </row>
    <row r="18" spans="2:145" s="1" customFormat="1" x14ac:dyDescent="0.2">
      <c r="B18" s="1" t="s">
        <v>26</v>
      </c>
      <c r="C18" s="17">
        <v>249</v>
      </c>
      <c r="D18" s="17">
        <v>225</v>
      </c>
      <c r="E18" s="17">
        <v>271</v>
      </c>
      <c r="F18" s="17">
        <v>465</v>
      </c>
      <c r="G18" s="17">
        <v>1473</v>
      </c>
      <c r="H18" s="17">
        <v>1436</v>
      </c>
      <c r="I18" s="1">
        <v>1670</v>
      </c>
      <c r="J18" s="1">
        <v>1580</v>
      </c>
      <c r="K18" s="1">
        <v>2538</v>
      </c>
      <c r="L18" s="17">
        <v>3688</v>
      </c>
      <c r="M18" s="19">
        <v>4632</v>
      </c>
      <c r="N18" s="17">
        <v>4000</v>
      </c>
      <c r="O18" s="17">
        <v>3900</v>
      </c>
      <c r="Q18" s="17">
        <f>SUM(C18:F18)</f>
        <v>1210</v>
      </c>
      <c r="R18" s="19">
        <f>SUM(G18:J18)</f>
        <v>6159</v>
      </c>
      <c r="S18" s="1">
        <f>SUM(K18:N18)</f>
        <v>14858</v>
      </c>
      <c r="T18" s="1">
        <v>11000</v>
      </c>
      <c r="U18" s="1">
        <f>T18*1.05</f>
        <v>11550</v>
      </c>
      <c r="V18" s="1">
        <f t="shared" ref="V18:AA18" si="2">U18*1.03</f>
        <v>11896.5</v>
      </c>
      <c r="W18" s="1">
        <f t="shared" si="2"/>
        <v>12253.395</v>
      </c>
      <c r="X18" s="1">
        <f t="shared" si="2"/>
        <v>12620.996850000001</v>
      </c>
      <c r="Y18" s="1">
        <f t="shared" si="2"/>
        <v>12999.626755500001</v>
      </c>
      <c r="Z18" s="1">
        <f t="shared" si="2"/>
        <v>13389.615558165002</v>
      </c>
      <c r="AA18" s="1">
        <f t="shared" si="2"/>
        <v>13791.304024909952</v>
      </c>
    </row>
    <row r="19" spans="2:145" s="1" customFormat="1" x14ac:dyDescent="0.2">
      <c r="B19" s="21" t="s">
        <v>14</v>
      </c>
      <c r="C19" s="22">
        <f>C17+C18</f>
        <v>55377</v>
      </c>
      <c r="D19" s="22">
        <f>D17+D18</f>
        <v>32493</v>
      </c>
      <c r="E19" s="22">
        <f>E17+E18</f>
        <v>45683</v>
      </c>
      <c r="F19" s="22">
        <f>F17+F18</f>
        <v>46203</v>
      </c>
      <c r="G19" s="22">
        <f>G17+G18</f>
        <v>59121</v>
      </c>
      <c r="H19" s="22">
        <f>H17+H18</f>
        <v>67374</v>
      </c>
      <c r="I19" s="21">
        <f>I17+I18</f>
        <v>73555</v>
      </c>
      <c r="J19" s="22">
        <f>J17+J18</f>
        <v>82885</v>
      </c>
      <c r="K19" s="22">
        <f>K17+K18</f>
        <v>88265</v>
      </c>
      <c r="L19" s="22">
        <f>L17+L18</f>
        <v>114945</v>
      </c>
      <c r="M19" s="23">
        <f>M17+M18</f>
        <v>111140</v>
      </c>
      <c r="N19" s="22">
        <f>N17+N18</f>
        <v>100000</v>
      </c>
      <c r="O19" s="22">
        <f>O17+O18</f>
        <v>88900</v>
      </c>
      <c r="Q19" s="21">
        <f>Q17+Q18</f>
        <v>179756</v>
      </c>
      <c r="R19" s="23">
        <f>R17+R18</f>
        <v>282935</v>
      </c>
      <c r="S19" s="21">
        <f>S17+S18</f>
        <v>414350</v>
      </c>
      <c r="T19" s="21">
        <f t="shared" ref="T19:AA19" si="3">T17+T18</f>
        <v>311000</v>
      </c>
      <c r="U19" s="21">
        <f t="shared" si="3"/>
        <v>296550</v>
      </c>
      <c r="V19" s="21">
        <f t="shared" si="3"/>
        <v>331096.50000000006</v>
      </c>
      <c r="W19" s="21">
        <f t="shared" si="3"/>
        <v>347413.39500000008</v>
      </c>
      <c r="X19" s="21">
        <f t="shared" si="3"/>
        <v>364538.99685000005</v>
      </c>
      <c r="Y19" s="21">
        <f t="shared" si="3"/>
        <v>368436.80675550003</v>
      </c>
      <c r="Z19" s="21">
        <f t="shared" si="3"/>
        <v>372381.16735816508</v>
      </c>
      <c r="AA19" s="21">
        <f t="shared" si="3"/>
        <v>376372.77134291007</v>
      </c>
    </row>
    <row r="20" spans="2:145" s="1" customFormat="1" x14ac:dyDescent="0.2">
      <c r="B20" s="1" t="s">
        <v>27</v>
      </c>
      <c r="C20" s="17">
        <v>40380</v>
      </c>
      <c r="D20" s="17">
        <v>20964</v>
      </c>
      <c r="E20" s="17">
        <v>31053</v>
      </c>
      <c r="F20" s="17">
        <v>30230</v>
      </c>
      <c r="G20" s="17">
        <f>32601+8062</f>
        <v>40663</v>
      </c>
      <c r="H20" s="17">
        <f>37329+8471</f>
        <v>45800</v>
      </c>
      <c r="I20" s="1">
        <v>48464</v>
      </c>
      <c r="J20" s="24">
        <v>54009</v>
      </c>
      <c r="K20" s="24">
        <f>52388+10241</f>
        <v>62629</v>
      </c>
      <c r="L20" s="24">
        <v>76299</v>
      </c>
      <c r="M20" s="19">
        <v>71514</v>
      </c>
      <c r="N20" s="17">
        <f>N19-N21</f>
        <v>66000</v>
      </c>
      <c r="O20" s="17">
        <f>O19-O21</f>
        <v>58674</v>
      </c>
      <c r="Q20" s="17">
        <f>SUM(C20:F20)</f>
        <v>122627</v>
      </c>
      <c r="R20" s="19">
        <f>SUM(G20:J20)</f>
        <v>188936</v>
      </c>
      <c r="S20" s="1">
        <f>SUM(K20:N20)</f>
        <v>276442</v>
      </c>
      <c r="T20" s="1">
        <f>S20*1.01</f>
        <v>279206.42</v>
      </c>
      <c r="U20" s="1">
        <f>T20*0.95</f>
        <v>265246.09899999999</v>
      </c>
      <c r="V20" s="1">
        <f t="shared" ref="U20:AA20" si="4">U20*1.01</f>
        <v>267898.55998999998</v>
      </c>
      <c r="W20" s="1">
        <f t="shared" si="4"/>
        <v>270577.54558989999</v>
      </c>
      <c r="X20" s="1">
        <f t="shared" si="4"/>
        <v>273283.32104579901</v>
      </c>
      <c r="Y20" s="1">
        <f t="shared" si="4"/>
        <v>276016.154256257</v>
      </c>
      <c r="Z20" s="1">
        <f t="shared" si="4"/>
        <v>278776.31579881959</v>
      </c>
      <c r="AA20" s="1">
        <f t="shared" si="4"/>
        <v>281564.07895680779</v>
      </c>
    </row>
    <row r="21" spans="2:145" s="1" customFormat="1" x14ac:dyDescent="0.2">
      <c r="B21" s="1" t="s">
        <v>28</v>
      </c>
      <c r="C21" s="17">
        <f>C19-C20</f>
        <v>14997</v>
      </c>
      <c r="D21" s="17">
        <f>D19-D20</f>
        <v>11529</v>
      </c>
      <c r="E21" s="17">
        <f>E19-E20</f>
        <v>14630</v>
      </c>
      <c r="F21" s="17">
        <f>F19-F20</f>
        <v>15973</v>
      </c>
      <c r="G21" s="17">
        <f>G19-G20</f>
        <v>18458</v>
      </c>
      <c r="H21" s="17">
        <f>H19-H20</f>
        <v>21574</v>
      </c>
      <c r="I21" s="1">
        <f>I19-I20</f>
        <v>25091</v>
      </c>
      <c r="J21" s="17">
        <f>J19-J20</f>
        <v>28876</v>
      </c>
      <c r="K21" s="17">
        <f>K19-K20</f>
        <v>25636</v>
      </c>
      <c r="L21" s="17">
        <f>L19-L20</f>
        <v>38646</v>
      </c>
      <c r="M21" s="19">
        <f>M19-M20</f>
        <v>39626</v>
      </c>
      <c r="N21" s="17">
        <f>N19*0.34</f>
        <v>34000</v>
      </c>
      <c r="O21" s="17">
        <f>O19*0.34</f>
        <v>30226.000000000004</v>
      </c>
      <c r="Q21" s="1">
        <f>Q19-Q20</f>
        <v>57129</v>
      </c>
      <c r="R21" s="19">
        <f>R19-R20</f>
        <v>93999</v>
      </c>
      <c r="S21" s="1">
        <f>S19-S20</f>
        <v>137908</v>
      </c>
      <c r="T21" s="1">
        <f>T19-T20</f>
        <v>31793.580000000016</v>
      </c>
      <c r="U21" s="1">
        <f t="shared" ref="U21:AA21" si="5">U19-U20</f>
        <v>31303.901000000013</v>
      </c>
      <c r="V21" s="1">
        <f t="shared" si="5"/>
        <v>63197.940010000078</v>
      </c>
      <c r="W21" s="1">
        <f t="shared" si="5"/>
        <v>76835.849410100083</v>
      </c>
      <c r="X21" s="1">
        <f t="shared" si="5"/>
        <v>91255.675804201048</v>
      </c>
      <c r="Y21" s="1">
        <f t="shared" si="5"/>
        <v>92420.652499243035</v>
      </c>
      <c r="Z21" s="1">
        <f t="shared" si="5"/>
        <v>93604.851559345494</v>
      </c>
      <c r="AA21" s="1">
        <f t="shared" si="5"/>
        <v>94808.692386102281</v>
      </c>
    </row>
    <row r="22" spans="2:145" s="1" customFormat="1" x14ac:dyDescent="0.2">
      <c r="B22" s="1" t="s">
        <v>38</v>
      </c>
      <c r="C22" s="17">
        <v>288</v>
      </c>
      <c r="D22" s="17">
        <v>214</v>
      </c>
      <c r="E22" s="17">
        <v>188</v>
      </c>
      <c r="F22" s="17">
        <v>595</v>
      </c>
      <c r="G22" s="17">
        <v>164</v>
      </c>
      <c r="H22" s="17">
        <v>176</v>
      </c>
      <c r="I22" s="1">
        <v>190</v>
      </c>
      <c r="J22" s="24">
        <v>524</v>
      </c>
      <c r="K22" s="24">
        <v>173</v>
      </c>
      <c r="L22" s="24">
        <v>286</v>
      </c>
      <c r="M22" s="19">
        <v>218</v>
      </c>
      <c r="N22" s="17">
        <v>250</v>
      </c>
      <c r="O22" s="17">
        <v>200</v>
      </c>
      <c r="Q22" s="17">
        <f>SUM(C22:F22)</f>
        <v>1285</v>
      </c>
      <c r="R22" s="19">
        <f>SUM(G22:J22)</f>
        <v>1054</v>
      </c>
      <c r="S22" s="1">
        <f>SUM(K22:N22)</f>
        <v>927</v>
      </c>
    </row>
    <row r="23" spans="2:145" s="1" customFormat="1" x14ac:dyDescent="0.2">
      <c r="B23" s="1" t="s">
        <v>29</v>
      </c>
      <c r="C23" s="17">
        <v>2848</v>
      </c>
      <c r="D23" s="17">
        <v>2680</v>
      </c>
      <c r="E23" s="17">
        <v>2716</v>
      </c>
      <c r="F23" s="17">
        <v>2637</v>
      </c>
      <c r="G23" s="17">
        <v>2428</v>
      </c>
      <c r="H23" s="17">
        <v>2345</v>
      </c>
      <c r="I23" s="1">
        <v>2287</v>
      </c>
      <c r="J23" s="24">
        <v>2103</v>
      </c>
      <c r="K23" s="24">
        <v>2409</v>
      </c>
      <c r="L23" s="24">
        <v>2530</v>
      </c>
      <c r="M23" s="19">
        <v>2324</v>
      </c>
      <c r="N23" s="17">
        <f>J23*1.01</f>
        <v>2124.0300000000002</v>
      </c>
      <c r="O23" s="17">
        <f>K23*1.01</f>
        <v>2433.09</v>
      </c>
      <c r="Q23" s="17">
        <f>SUM(C23:F23)</f>
        <v>10881</v>
      </c>
      <c r="R23" s="19">
        <f>SUM(G23:J23)</f>
        <v>9163</v>
      </c>
      <c r="S23" s="1">
        <f>SUM(K23:N23)</f>
        <v>9387.0300000000007</v>
      </c>
      <c r="T23" s="1">
        <f>S23*1.01</f>
        <v>9480.9003000000012</v>
      </c>
      <c r="U23" s="1">
        <f t="shared" ref="U23:AA23" si="6">T23*1.01</f>
        <v>9575.7093030000015</v>
      </c>
      <c r="V23" s="1">
        <f t="shared" si="6"/>
        <v>9671.4663960300022</v>
      </c>
      <c r="W23" s="1">
        <f t="shared" si="6"/>
        <v>9768.1810599903019</v>
      </c>
      <c r="X23" s="1">
        <f t="shared" si="6"/>
        <v>9865.8628705902047</v>
      </c>
      <c r="Y23" s="1">
        <f t="shared" si="6"/>
        <v>9964.5214992961064</v>
      </c>
      <c r="Z23" s="1">
        <f t="shared" si="6"/>
        <v>10064.166714289067</v>
      </c>
      <c r="AA23" s="1">
        <f t="shared" si="6"/>
        <v>10164.808381431958</v>
      </c>
    </row>
    <row r="24" spans="2:145" s="1" customFormat="1" x14ac:dyDescent="0.2">
      <c r="B24" s="1" t="s">
        <v>30</v>
      </c>
      <c r="C24" s="17">
        <f>+C23+C22</f>
        <v>3136</v>
      </c>
      <c r="D24" s="17">
        <f>+D23+D22</f>
        <v>2894</v>
      </c>
      <c r="E24" s="17">
        <f>+E23+E22</f>
        <v>2904</v>
      </c>
      <c r="F24" s="17">
        <f>+F23+F22</f>
        <v>3232</v>
      </c>
      <c r="G24" s="17">
        <f>+G23+G22</f>
        <v>2592</v>
      </c>
      <c r="H24" s="17">
        <f>+H23+H22</f>
        <v>2521</v>
      </c>
      <c r="I24" s="1">
        <f>+I23+I22</f>
        <v>2477</v>
      </c>
      <c r="J24" s="17">
        <f>+J23+J22</f>
        <v>2627</v>
      </c>
      <c r="K24" s="17">
        <f>+K23+K22</f>
        <v>2582</v>
      </c>
      <c r="L24" s="17">
        <f>+L23+L22</f>
        <v>2816</v>
      </c>
      <c r="M24" s="19">
        <f>+M23+M22</f>
        <v>2542</v>
      </c>
      <c r="N24" s="17">
        <f>+N23+N22</f>
        <v>2374.0300000000002</v>
      </c>
      <c r="O24" s="17">
        <f>+O23+O22</f>
        <v>2633.09</v>
      </c>
      <c r="Q24" s="1">
        <f>Q23+Q22</f>
        <v>12166</v>
      </c>
      <c r="R24" s="19">
        <f>R23+R22</f>
        <v>10217</v>
      </c>
      <c r="S24" s="1">
        <f>S23+S22</f>
        <v>10314.030000000001</v>
      </c>
      <c r="T24" s="1">
        <f t="shared" ref="T24:AA24" si="7">T23+T22</f>
        <v>9480.9003000000012</v>
      </c>
      <c r="U24" s="1">
        <f t="shared" si="7"/>
        <v>9575.7093030000015</v>
      </c>
      <c r="V24" s="1">
        <f t="shared" si="7"/>
        <v>9671.4663960300022</v>
      </c>
      <c r="W24" s="1">
        <f t="shared" si="7"/>
        <v>9768.1810599903019</v>
      </c>
      <c r="X24" s="1">
        <f t="shared" si="7"/>
        <v>9865.8628705902047</v>
      </c>
      <c r="Y24" s="1">
        <f t="shared" si="7"/>
        <v>9964.5214992961064</v>
      </c>
      <c r="Z24" s="1">
        <f t="shared" si="7"/>
        <v>10064.166714289067</v>
      </c>
      <c r="AA24" s="1">
        <f t="shared" si="7"/>
        <v>10164.808381431958</v>
      </c>
    </row>
    <row r="25" spans="2:145" s="1" customFormat="1" x14ac:dyDescent="0.2">
      <c r="B25" s="1" t="s">
        <v>31</v>
      </c>
      <c r="C25" s="17">
        <f>+C21-C24</f>
        <v>11861</v>
      </c>
      <c r="D25" s="17">
        <f>+D21-D24</f>
        <v>8635</v>
      </c>
      <c r="E25" s="17">
        <f>+E21-E24</f>
        <v>11726</v>
      </c>
      <c r="F25" s="17">
        <f>+F21-F24</f>
        <v>12741</v>
      </c>
      <c r="G25" s="17">
        <f>+G21-G24</f>
        <v>15866</v>
      </c>
      <c r="H25" s="17">
        <f>+H21-H24</f>
        <v>19053</v>
      </c>
      <c r="I25" s="1">
        <f>+I21-I24</f>
        <v>22614</v>
      </c>
      <c r="J25" s="17">
        <f>+J21-J24</f>
        <v>26249</v>
      </c>
      <c r="K25" s="17">
        <f>+K21-K24</f>
        <v>23054</v>
      </c>
      <c r="L25" s="17">
        <f>+L21-L24</f>
        <v>35830</v>
      </c>
      <c r="M25" s="19">
        <f>+M21-M24</f>
        <v>37084</v>
      </c>
      <c r="N25" s="17">
        <f>+N21-N24</f>
        <v>31625.97</v>
      </c>
      <c r="O25" s="17">
        <f>+O21-O24</f>
        <v>27592.910000000003</v>
      </c>
      <c r="Q25" s="1">
        <f>Q21-Q24</f>
        <v>44963</v>
      </c>
      <c r="R25" s="19">
        <f>R21-R24</f>
        <v>83782</v>
      </c>
      <c r="S25" s="1">
        <f>S21-S24</f>
        <v>127593.97</v>
      </c>
      <c r="T25" s="1">
        <f t="shared" ref="T25:AA25" si="8">T21-T24</f>
        <v>22312.679700000015</v>
      </c>
      <c r="U25" s="1">
        <f t="shared" si="8"/>
        <v>21728.191697000009</v>
      </c>
      <c r="V25" s="1">
        <f t="shared" si="8"/>
        <v>53526.473613970076</v>
      </c>
      <c r="W25" s="1">
        <f t="shared" si="8"/>
        <v>67067.668350109787</v>
      </c>
      <c r="X25" s="1">
        <f t="shared" si="8"/>
        <v>81389.81293361084</v>
      </c>
      <c r="Y25" s="1">
        <f t="shared" si="8"/>
        <v>82456.130999946923</v>
      </c>
      <c r="Z25" s="1">
        <f t="shared" si="8"/>
        <v>83540.684845056428</v>
      </c>
      <c r="AA25" s="1">
        <f t="shared" si="8"/>
        <v>84643.884004670326</v>
      </c>
    </row>
    <row r="26" spans="2:145" s="1" customFormat="1" x14ac:dyDescent="0.2">
      <c r="B26" s="1" t="s">
        <v>34</v>
      </c>
      <c r="C26" s="17">
        <v>249</v>
      </c>
      <c r="D26" s="17">
        <v>317</v>
      </c>
      <c r="E26" s="17">
        <v>279</v>
      </c>
      <c r="F26" s="17">
        <v>313</v>
      </c>
      <c r="G26" s="17">
        <v>258</v>
      </c>
      <c r="H26" s="17">
        <v>254</v>
      </c>
      <c r="I26" s="1">
        <v>214</v>
      </c>
      <c r="J26" s="24">
        <v>221</v>
      </c>
      <c r="K26" s="24">
        <v>188</v>
      </c>
      <c r="L26" s="24">
        <v>194</v>
      </c>
      <c r="M26" s="19">
        <v>209</v>
      </c>
      <c r="N26" s="17">
        <v>219</v>
      </c>
      <c r="O26" s="17">
        <v>229</v>
      </c>
      <c r="Q26" s="17">
        <f>SUM(C26:F26)</f>
        <v>1158</v>
      </c>
      <c r="R26" s="19">
        <f>SUM(G26:J26)</f>
        <v>947</v>
      </c>
      <c r="S26" s="1">
        <f>SUM(K26:N26)</f>
        <v>810</v>
      </c>
    </row>
    <row r="27" spans="2:145" s="1" customFormat="1" x14ac:dyDescent="0.2">
      <c r="B27" s="1" t="s">
        <v>35</v>
      </c>
      <c r="C27" s="17">
        <f>+C25-C26</f>
        <v>11612</v>
      </c>
      <c r="D27" s="17">
        <f>+D25-D26</f>
        <v>8318</v>
      </c>
      <c r="E27" s="17">
        <f>+E25-E26</f>
        <v>11447</v>
      </c>
      <c r="F27" s="17">
        <f>+F25-F26</f>
        <v>12428</v>
      </c>
      <c r="G27" s="17">
        <f>+G25-G26</f>
        <v>15608</v>
      </c>
      <c r="H27" s="17">
        <f>+H25-H26</f>
        <v>18799</v>
      </c>
      <c r="I27" s="1">
        <f>+I25-I26</f>
        <v>22400</v>
      </c>
      <c r="J27" s="17">
        <f>+J25-J26</f>
        <v>26028</v>
      </c>
      <c r="K27" s="17">
        <f>+K25-K26</f>
        <v>22866</v>
      </c>
      <c r="L27" s="17">
        <f>+L25-L26</f>
        <v>35636</v>
      </c>
      <c r="M27" s="19">
        <f>+M25-M26</f>
        <v>36875</v>
      </c>
      <c r="N27" s="17">
        <f>+N25-N26</f>
        <v>31406.97</v>
      </c>
      <c r="O27" s="17">
        <f>+O25-O26</f>
        <v>27363.910000000003</v>
      </c>
      <c r="Q27" s="1">
        <f>Q25-Q26</f>
        <v>43805</v>
      </c>
      <c r="R27" s="19">
        <f>R25-R26</f>
        <v>82835</v>
      </c>
      <c r="S27" s="1">
        <f>S25-S26</f>
        <v>126783.97</v>
      </c>
      <c r="T27" s="1">
        <f t="shared" ref="T27:AA27" si="9">T25-T26</f>
        <v>22312.679700000015</v>
      </c>
      <c r="U27" s="1">
        <f t="shared" si="9"/>
        <v>21728.191697000009</v>
      </c>
      <c r="V27" s="1">
        <f t="shared" si="9"/>
        <v>53526.473613970076</v>
      </c>
      <c r="W27" s="1">
        <f t="shared" si="9"/>
        <v>67067.668350109787</v>
      </c>
      <c r="X27" s="1">
        <f t="shared" si="9"/>
        <v>81389.81293361084</v>
      </c>
      <c r="Y27" s="1">
        <f t="shared" si="9"/>
        <v>82456.130999946923</v>
      </c>
      <c r="Z27" s="1">
        <f t="shared" si="9"/>
        <v>83540.684845056428</v>
      </c>
      <c r="AA27" s="1">
        <f t="shared" si="9"/>
        <v>84643.884004670326</v>
      </c>
    </row>
    <row r="28" spans="2:145" s="1" customFormat="1" x14ac:dyDescent="0.2">
      <c r="B28" s="1" t="s">
        <v>36</v>
      </c>
      <c r="C28" s="17">
        <v>8079</v>
      </c>
      <c r="D28" s="17">
        <v>5211</v>
      </c>
      <c r="E28" s="17">
        <v>8238</v>
      </c>
      <c r="F28" s="17">
        <v>1334</v>
      </c>
      <c r="G28" s="17">
        <v>8079</v>
      </c>
      <c r="H28" s="17">
        <v>9967</v>
      </c>
      <c r="I28" s="1">
        <v>11236</v>
      </c>
      <c r="J28" s="24">
        <v>11309</v>
      </c>
      <c r="K28" s="24">
        <v>11255</v>
      </c>
      <c r="L28" s="24">
        <v>13227</v>
      </c>
      <c r="M28" s="19">
        <v>12697</v>
      </c>
      <c r="N28" s="17">
        <v>12000</v>
      </c>
      <c r="O28" s="17">
        <v>11500</v>
      </c>
      <c r="Q28" s="17">
        <f>SUM(C28:F28)</f>
        <v>22862</v>
      </c>
      <c r="R28" s="19">
        <f>SUM(G28:J28)</f>
        <v>40591</v>
      </c>
      <c r="S28" s="1">
        <f>SUM(K28:N28)</f>
        <v>49179</v>
      </c>
      <c r="T28" s="1">
        <f>T27*0.27</f>
        <v>6024.4235190000045</v>
      </c>
      <c r="U28" s="1">
        <f t="shared" ref="U28:AA28" si="10">U27*0.27</f>
        <v>5866.6117581900025</v>
      </c>
      <c r="V28" s="1">
        <f t="shared" si="10"/>
        <v>14452.147875771921</v>
      </c>
      <c r="W28" s="1">
        <f t="shared" si="10"/>
        <v>18108.270454529644</v>
      </c>
      <c r="X28" s="1">
        <f t="shared" si="10"/>
        <v>21975.249492074927</v>
      </c>
      <c r="Y28" s="1">
        <f t="shared" si="10"/>
        <v>22263.15536998567</v>
      </c>
      <c r="Z28" s="1">
        <f t="shared" si="10"/>
        <v>22555.984908165236</v>
      </c>
      <c r="AA28" s="1">
        <f t="shared" si="10"/>
        <v>22853.848681260988</v>
      </c>
    </row>
    <row r="29" spans="2:145" s="1" customFormat="1" x14ac:dyDescent="0.2">
      <c r="B29" s="1" t="s">
        <v>32</v>
      </c>
      <c r="C29" s="17">
        <f>+C27-C28</f>
        <v>3533</v>
      </c>
      <c r="D29" s="17">
        <f>+D27-D28</f>
        <v>3107</v>
      </c>
      <c r="E29" s="17">
        <f>+E27-E28</f>
        <v>3209</v>
      </c>
      <c r="F29" s="17">
        <f>+F27-F28</f>
        <v>11094</v>
      </c>
      <c r="G29" s="17">
        <f>+G27-G28</f>
        <v>7529</v>
      </c>
      <c r="H29" s="17">
        <f>+H27-H28</f>
        <v>8832</v>
      </c>
      <c r="I29" s="1">
        <f>+I27-I28</f>
        <v>11164</v>
      </c>
      <c r="J29" s="17">
        <f>+J27-J28</f>
        <v>14719</v>
      </c>
      <c r="K29" s="17">
        <f>+K27-K28</f>
        <v>11611</v>
      </c>
      <c r="L29" s="17">
        <f>+L27-L28</f>
        <v>22409</v>
      </c>
      <c r="M29" s="19">
        <f>+M27-M28</f>
        <v>24178</v>
      </c>
      <c r="N29" s="17">
        <f>+N27-N28</f>
        <v>19406.97</v>
      </c>
      <c r="O29" s="17">
        <f>+O27-O28</f>
        <v>15863.910000000003</v>
      </c>
      <c r="Q29" s="1">
        <f>Q27-Q28</f>
        <v>20943</v>
      </c>
      <c r="R29" s="19">
        <f>R27-R28</f>
        <v>42244</v>
      </c>
      <c r="S29" s="1">
        <f>S27-S28</f>
        <v>77604.97</v>
      </c>
      <c r="T29" s="1">
        <f t="shared" ref="T29:AA29" si="11">T27-T28</f>
        <v>16288.256181000012</v>
      </c>
      <c r="U29" s="1">
        <f t="shared" si="11"/>
        <v>15861.579938810006</v>
      </c>
      <c r="V29" s="1">
        <f t="shared" si="11"/>
        <v>39074.325738198153</v>
      </c>
      <c r="W29" s="1">
        <f t="shared" si="11"/>
        <v>48959.397895580143</v>
      </c>
      <c r="X29" s="1">
        <f t="shared" si="11"/>
        <v>59414.563441535909</v>
      </c>
      <c r="Y29" s="1">
        <f t="shared" si="11"/>
        <v>60192.975629961249</v>
      </c>
      <c r="Z29" s="1">
        <f t="shared" si="11"/>
        <v>60984.699936891193</v>
      </c>
      <c r="AA29" s="1">
        <f t="shared" si="11"/>
        <v>61790.035323409335</v>
      </c>
      <c r="AB29" s="1">
        <f>AA29*(1+$AD$37)</f>
        <v>62407.935676643428</v>
      </c>
      <c r="AC29" s="1">
        <f t="shared" ref="AC29:CN29" si="12">AB29*(1+$AD$37)</f>
        <v>63032.015033409865</v>
      </c>
      <c r="AD29" s="1">
        <f t="shared" si="12"/>
        <v>63662.335183743962</v>
      </c>
      <c r="AE29" s="1">
        <f t="shared" si="12"/>
        <v>64298.958535581405</v>
      </c>
      <c r="AF29" s="1">
        <f t="shared" si="12"/>
        <v>64941.948120937217</v>
      </c>
      <c r="AG29" s="1">
        <f t="shared" si="12"/>
        <v>65591.367602146594</v>
      </c>
      <c r="AH29" s="1">
        <f t="shared" si="12"/>
        <v>66247.281278168055</v>
      </c>
      <c r="AI29" s="1">
        <f t="shared" si="12"/>
        <v>66909.754090949733</v>
      </c>
      <c r="AJ29" s="1">
        <f t="shared" si="12"/>
        <v>67578.85163185923</v>
      </c>
      <c r="AK29" s="1">
        <f t="shared" si="12"/>
        <v>68254.64014817783</v>
      </c>
      <c r="AL29" s="1">
        <f t="shared" si="12"/>
        <v>68937.186549659615</v>
      </c>
      <c r="AM29" s="1">
        <f t="shared" si="12"/>
        <v>69626.558415156207</v>
      </c>
      <c r="AN29" s="1">
        <f t="shared" si="12"/>
        <v>70322.823999307773</v>
      </c>
      <c r="AO29" s="1">
        <f t="shared" si="12"/>
        <v>71026.052239300858</v>
      </c>
      <c r="AP29" s="1">
        <f t="shared" si="12"/>
        <v>71736.312761693873</v>
      </c>
      <c r="AQ29" s="1">
        <f t="shared" si="12"/>
        <v>72453.675889310805</v>
      </c>
      <c r="AR29" s="1">
        <f t="shared" si="12"/>
        <v>73178.212648203917</v>
      </c>
      <c r="AS29" s="1">
        <f t="shared" si="12"/>
        <v>73909.994774685954</v>
      </c>
      <c r="AT29" s="1">
        <f t="shared" si="12"/>
        <v>74649.094722432812</v>
      </c>
      <c r="AU29" s="1">
        <f t="shared" si="12"/>
        <v>75395.585669657143</v>
      </c>
      <c r="AV29" s="1">
        <f t="shared" si="12"/>
        <v>76149.541526353714</v>
      </c>
      <c r="AW29" s="1">
        <f t="shared" si="12"/>
        <v>76911.036941617247</v>
      </c>
      <c r="AX29" s="1">
        <f t="shared" si="12"/>
        <v>77680.147311033419</v>
      </c>
      <c r="AY29" s="1">
        <f t="shared" si="12"/>
        <v>78456.948784143751</v>
      </c>
      <c r="AZ29" s="1">
        <f t="shared" si="12"/>
        <v>79241.518271985187</v>
      </c>
      <c r="BA29" s="1">
        <f t="shared" si="12"/>
        <v>80033.933454705038</v>
      </c>
      <c r="BB29" s="1">
        <f t="shared" si="12"/>
        <v>80834.272789252092</v>
      </c>
      <c r="BC29" s="1">
        <f t="shared" si="12"/>
        <v>81642.615517144615</v>
      </c>
      <c r="BD29" s="1">
        <f t="shared" si="12"/>
        <v>82459.04167231606</v>
      </c>
      <c r="BE29" s="1">
        <f t="shared" si="12"/>
        <v>83283.632089039224</v>
      </c>
      <c r="BF29" s="1">
        <f t="shared" si="12"/>
        <v>84116.468409929614</v>
      </c>
      <c r="BG29" s="1">
        <f t="shared" si="12"/>
        <v>84957.633094028904</v>
      </c>
      <c r="BH29" s="1">
        <f t="shared" si="12"/>
        <v>85807.209424969187</v>
      </c>
      <c r="BI29" s="1">
        <f t="shared" si="12"/>
        <v>86665.281519218886</v>
      </c>
      <c r="BJ29" s="1">
        <f t="shared" si="12"/>
        <v>87531.934334411082</v>
      </c>
      <c r="BK29" s="1">
        <f t="shared" si="12"/>
        <v>88407.253677755187</v>
      </c>
      <c r="BL29" s="1">
        <f t="shared" si="12"/>
        <v>89291.326214532746</v>
      </c>
      <c r="BM29" s="1">
        <f t="shared" si="12"/>
        <v>90184.239476678078</v>
      </c>
      <c r="BN29" s="1">
        <f t="shared" si="12"/>
        <v>91086.081871444854</v>
      </c>
      <c r="BO29" s="1">
        <f t="shared" si="12"/>
        <v>91996.942690159311</v>
      </c>
      <c r="BP29" s="1">
        <f t="shared" si="12"/>
        <v>92916.9121170609</v>
      </c>
      <c r="BQ29" s="1">
        <f t="shared" si="12"/>
        <v>93846.081238231505</v>
      </c>
      <c r="BR29" s="1">
        <f t="shared" si="12"/>
        <v>94784.542050613818</v>
      </c>
      <c r="BS29" s="1">
        <f t="shared" si="12"/>
        <v>95732.387471119961</v>
      </c>
      <c r="BT29" s="1">
        <f t="shared" si="12"/>
        <v>96689.711345831165</v>
      </c>
      <c r="BU29" s="1">
        <f t="shared" si="12"/>
        <v>97656.608459289477</v>
      </c>
      <c r="BV29" s="1">
        <f t="shared" si="12"/>
        <v>98633.174543882371</v>
      </c>
      <c r="BW29" s="1">
        <f t="shared" si="12"/>
        <v>99619.506289321202</v>
      </c>
      <c r="BX29" s="1">
        <f t="shared" si="12"/>
        <v>100615.70135221441</v>
      </c>
      <c r="BY29" s="1">
        <f t="shared" si="12"/>
        <v>101621.85836573655</v>
      </c>
      <c r="BZ29" s="1">
        <f t="shared" si="12"/>
        <v>102638.07694939392</v>
      </c>
      <c r="CA29" s="1">
        <f t="shared" si="12"/>
        <v>103664.45771888786</v>
      </c>
      <c r="CB29" s="1">
        <f t="shared" si="12"/>
        <v>104701.10229607674</v>
      </c>
      <c r="CC29" s="1">
        <f t="shared" si="12"/>
        <v>105748.11331903751</v>
      </c>
      <c r="CD29" s="1">
        <f t="shared" si="12"/>
        <v>106805.59445222789</v>
      </c>
      <c r="CE29" s="1">
        <f t="shared" si="12"/>
        <v>107873.65039675016</v>
      </c>
      <c r="CF29" s="1">
        <f t="shared" si="12"/>
        <v>108952.38690071767</v>
      </c>
      <c r="CG29" s="1">
        <f t="shared" si="12"/>
        <v>110041.91076972484</v>
      </c>
      <c r="CH29" s="1">
        <f t="shared" si="12"/>
        <v>111142.32987742209</v>
      </c>
      <c r="CI29" s="1">
        <f t="shared" si="12"/>
        <v>112253.75317619632</v>
      </c>
      <c r="CJ29" s="1">
        <f t="shared" si="12"/>
        <v>113376.29070795828</v>
      </c>
      <c r="CK29" s="1">
        <f t="shared" si="12"/>
        <v>114510.05361503786</v>
      </c>
      <c r="CL29" s="1">
        <f t="shared" si="12"/>
        <v>115655.15415118824</v>
      </c>
      <c r="CM29" s="1">
        <f t="shared" si="12"/>
        <v>116811.70569270012</v>
      </c>
      <c r="CN29" s="1">
        <f t="shared" si="12"/>
        <v>117979.82274962713</v>
      </c>
      <c r="CO29" s="1">
        <f t="shared" ref="CO29:EO29" si="13">CN29*(1+$AD$37)</f>
        <v>119159.6209771234</v>
      </c>
      <c r="CP29" s="1">
        <f t="shared" si="13"/>
        <v>120351.21718689463</v>
      </c>
      <c r="CQ29" s="1">
        <f t="shared" si="13"/>
        <v>121554.72935876358</v>
      </c>
      <c r="CR29" s="1">
        <f t="shared" si="13"/>
        <v>122770.27665235121</v>
      </c>
      <c r="CS29" s="1">
        <f t="shared" si="13"/>
        <v>123997.97941887472</v>
      </c>
      <c r="CT29" s="1">
        <f t="shared" si="13"/>
        <v>125237.95921306347</v>
      </c>
      <c r="CU29" s="1">
        <f t="shared" si="13"/>
        <v>126490.3388051941</v>
      </c>
      <c r="CV29" s="1">
        <f t="shared" si="13"/>
        <v>127755.24219324604</v>
      </c>
      <c r="CW29" s="1">
        <f t="shared" si="13"/>
        <v>129032.7946151785</v>
      </c>
      <c r="CX29" s="1">
        <f t="shared" si="13"/>
        <v>130323.12256133028</v>
      </c>
      <c r="CY29" s="1">
        <f t="shared" si="13"/>
        <v>131626.3537869436</v>
      </c>
      <c r="CZ29" s="1">
        <f t="shared" si="13"/>
        <v>132942.61732481304</v>
      </c>
      <c r="DA29" s="1">
        <f t="shared" si="13"/>
        <v>134272.04349806116</v>
      </c>
      <c r="DB29" s="1">
        <f t="shared" si="13"/>
        <v>135614.76393304177</v>
      </c>
      <c r="DC29" s="1">
        <f t="shared" si="13"/>
        <v>136970.91157237219</v>
      </c>
      <c r="DD29" s="1">
        <f t="shared" si="13"/>
        <v>138340.62068809592</v>
      </c>
      <c r="DE29" s="1">
        <f t="shared" si="13"/>
        <v>139724.02689497688</v>
      </c>
      <c r="DF29" s="1">
        <f t="shared" si="13"/>
        <v>141121.26716392665</v>
      </c>
      <c r="DG29" s="1">
        <f t="shared" si="13"/>
        <v>142532.47983556593</v>
      </c>
      <c r="DH29" s="1">
        <f t="shared" si="13"/>
        <v>143957.80463392159</v>
      </c>
      <c r="DI29" s="1">
        <f t="shared" si="13"/>
        <v>145397.38268026081</v>
      </c>
      <c r="DJ29" s="1">
        <f t="shared" si="13"/>
        <v>146851.35650706341</v>
      </c>
      <c r="DK29" s="1">
        <f t="shared" si="13"/>
        <v>148319.87007213404</v>
      </c>
      <c r="DL29" s="1">
        <f t="shared" si="13"/>
        <v>149803.06877285539</v>
      </c>
      <c r="DM29" s="1">
        <f t="shared" si="13"/>
        <v>151301.09946058394</v>
      </c>
      <c r="DN29" s="1">
        <f t="shared" si="13"/>
        <v>152814.11045518977</v>
      </c>
      <c r="DO29" s="1">
        <f t="shared" si="13"/>
        <v>154342.25155974168</v>
      </c>
      <c r="DP29" s="1">
        <f t="shared" si="13"/>
        <v>155885.67407533911</v>
      </c>
      <c r="DQ29" s="1">
        <f t="shared" si="13"/>
        <v>157444.53081609251</v>
      </c>
      <c r="DR29" s="1">
        <f t="shared" si="13"/>
        <v>159018.97612425344</v>
      </c>
      <c r="DS29" s="1">
        <f t="shared" si="13"/>
        <v>160609.16588549598</v>
      </c>
      <c r="DT29" s="1">
        <f t="shared" si="13"/>
        <v>162215.25754435096</v>
      </c>
      <c r="DU29" s="1">
        <f t="shared" si="13"/>
        <v>163837.41011979445</v>
      </c>
      <c r="DV29" s="1">
        <f t="shared" si="13"/>
        <v>165475.78422099241</v>
      </c>
      <c r="DW29" s="1">
        <f t="shared" si="13"/>
        <v>167130.54206320233</v>
      </c>
      <c r="DX29" s="1">
        <f t="shared" si="13"/>
        <v>168801.84748383437</v>
      </c>
      <c r="DY29" s="1">
        <f t="shared" si="13"/>
        <v>170489.86595867272</v>
      </c>
      <c r="DZ29" s="1">
        <f t="shared" si="13"/>
        <v>172194.76461825945</v>
      </c>
      <c r="EA29" s="1">
        <f t="shared" si="13"/>
        <v>173916.71226444203</v>
      </c>
      <c r="EB29" s="1">
        <f t="shared" si="13"/>
        <v>175655.87938708646</v>
      </c>
      <c r="EC29" s="1">
        <f t="shared" si="13"/>
        <v>177412.43818095734</v>
      </c>
      <c r="ED29" s="1">
        <f t="shared" si="13"/>
        <v>179186.56256276692</v>
      </c>
      <c r="EE29" s="1">
        <f t="shared" si="13"/>
        <v>180978.42818839458</v>
      </c>
      <c r="EF29" s="1">
        <f t="shared" si="13"/>
        <v>182788.21247027852</v>
      </c>
      <c r="EG29" s="1">
        <f t="shared" si="13"/>
        <v>184616.09459498132</v>
      </c>
      <c r="EH29" s="1">
        <f t="shared" si="13"/>
        <v>186462.25554093113</v>
      </c>
      <c r="EI29" s="1">
        <f t="shared" si="13"/>
        <v>188326.87809634046</v>
      </c>
      <c r="EJ29" s="1">
        <f t="shared" si="13"/>
        <v>190210.14687730387</v>
      </c>
      <c r="EK29" s="1">
        <f t="shared" si="13"/>
        <v>192112.2483460769</v>
      </c>
      <c r="EL29" s="1">
        <f t="shared" si="13"/>
        <v>194033.37082953766</v>
      </c>
      <c r="EM29" s="1">
        <f t="shared" si="13"/>
        <v>195973.70453783302</v>
      </c>
      <c r="EN29" s="1">
        <f t="shared" si="13"/>
        <v>197933.44158321136</v>
      </c>
      <c r="EO29" s="1">
        <f t="shared" si="13"/>
        <v>199912.77599904349</v>
      </c>
    </row>
    <row r="30" spans="2:145" s="1" customFormat="1" x14ac:dyDescent="0.2">
      <c r="B30" s="1" t="s">
        <v>33</v>
      </c>
      <c r="C30" s="17">
        <f>C29/C31</f>
        <v>0.82701310861423216</v>
      </c>
      <c r="D30" s="17">
        <f>D29/D31</f>
        <v>0.72661365762394758</v>
      </c>
      <c r="E30" s="17">
        <f>E29/E31</f>
        <v>0.75134628892531019</v>
      </c>
      <c r="F30" s="17">
        <f>F29/F31</f>
        <v>2.5969101123595504</v>
      </c>
      <c r="G30" s="17">
        <f>G29/G31</f>
        <v>1.760757717492984</v>
      </c>
      <c r="H30" s="17">
        <f>H29/H31</f>
        <v>2.0654817586529468</v>
      </c>
      <c r="I30" s="1">
        <f>I29/I31</f>
        <v>2.6108512628624885</v>
      </c>
      <c r="J30" s="17">
        <f>J29/J31</f>
        <v>3.4430409356725145</v>
      </c>
      <c r="K30" s="17">
        <f>K29/K31</f>
        <v>2.7217533989685889</v>
      </c>
      <c r="L30" s="17">
        <f>L29/L31</f>
        <v>5.2938814079848804</v>
      </c>
      <c r="M30" s="19">
        <f>M29/M31</f>
        <v>5.8708790268200932</v>
      </c>
      <c r="N30" s="17">
        <f>N29/N31</f>
        <v>4.7218905109489056</v>
      </c>
      <c r="O30" s="17">
        <f>O29/O31</f>
        <v>3.85205957905375</v>
      </c>
      <c r="Q30" s="1">
        <f>Q29/Q31</f>
        <v>4.9015271195365981</v>
      </c>
      <c r="R30" s="19">
        <f>R29/R31</f>
        <v>9.8799041103899903</v>
      </c>
      <c r="S30" s="1">
        <f>S29/S31</f>
        <v>18.557687726280637</v>
      </c>
      <c r="T30" s="1">
        <f t="shared" ref="T30:AA30" si="14">T29/T31</f>
        <v>3.8989119738003644</v>
      </c>
      <c r="U30" s="1">
        <f t="shared" si="14"/>
        <v>3.8005792681345789</v>
      </c>
      <c r="V30" s="1">
        <f t="shared" si="14"/>
        <v>9.3719368824823892</v>
      </c>
      <c r="W30" s="1">
        <f t="shared" si="14"/>
        <v>11.7546158991884</v>
      </c>
      <c r="X30" s="1">
        <f t="shared" si="14"/>
        <v>14.279065850253584</v>
      </c>
      <c r="Y30" s="1">
        <f t="shared" si="14"/>
        <v>14.480621799267915</v>
      </c>
      <c r="Z30" s="1">
        <f t="shared" si="14"/>
        <v>14.685772657559712</v>
      </c>
      <c r="AA30" s="1">
        <f t="shared" si="14"/>
        <v>14.894600694209696</v>
      </c>
    </row>
    <row r="31" spans="2:145" s="1" customFormat="1" x14ac:dyDescent="0.2">
      <c r="B31" s="1" t="s">
        <v>1</v>
      </c>
      <c r="C31" s="1">
        <v>4272</v>
      </c>
      <c r="D31" s="1">
        <v>4276</v>
      </c>
      <c r="E31" s="1">
        <v>4271</v>
      </c>
      <c r="F31" s="1">
        <v>4272</v>
      </c>
      <c r="G31" s="1">
        <v>4276</v>
      </c>
      <c r="H31" s="1">
        <v>4276</v>
      </c>
      <c r="I31" s="1">
        <v>4276</v>
      </c>
      <c r="J31" s="1">
        <v>4275</v>
      </c>
      <c r="K31" s="25">
        <v>4266</v>
      </c>
      <c r="L31" s="24">
        <v>4233</v>
      </c>
      <c r="M31" s="19">
        <v>4118.2929999999997</v>
      </c>
      <c r="N31" s="17">
        <v>4110</v>
      </c>
      <c r="O31" s="17">
        <v>4118.2929999999997</v>
      </c>
      <c r="Q31" s="1">
        <f>AVERAGE(C31:F31)</f>
        <v>4272.75</v>
      </c>
      <c r="R31" s="19">
        <f>AVERAGE(G31:J31)</f>
        <v>4275.75</v>
      </c>
      <c r="S31" s="1">
        <f>AVERAGE(K31:N31)</f>
        <v>4181.8232499999995</v>
      </c>
      <c r="T31" s="1">
        <f>S31*0.999</f>
        <v>4177.6414267499995</v>
      </c>
      <c r="U31" s="1">
        <f t="shared" ref="U31:AA31" si="15">T31*0.999</f>
        <v>4173.4637853232498</v>
      </c>
      <c r="V31" s="1">
        <f t="shared" si="15"/>
        <v>4169.2903215379265</v>
      </c>
      <c r="W31" s="1">
        <f t="shared" si="15"/>
        <v>4165.1210312163885</v>
      </c>
      <c r="X31" s="1">
        <f t="shared" si="15"/>
        <v>4160.9559101851719</v>
      </c>
      <c r="Y31" s="1">
        <f t="shared" si="15"/>
        <v>4156.7949542749866</v>
      </c>
      <c r="Z31" s="1">
        <f t="shared" si="15"/>
        <v>4152.6381593207116</v>
      </c>
      <c r="AA31" s="1">
        <f t="shared" si="15"/>
        <v>4148.4855211613913</v>
      </c>
    </row>
    <row r="32" spans="2:145" x14ac:dyDescent="0.2">
      <c r="C32"/>
      <c r="L32" s="4"/>
      <c r="N32" s="4"/>
      <c r="O32" s="4"/>
    </row>
    <row r="33" spans="2:30" x14ac:dyDescent="0.2">
      <c r="B33" t="s">
        <v>39</v>
      </c>
      <c r="C33" s="15"/>
      <c r="D33" s="15"/>
      <c r="E33" s="15"/>
      <c r="F33" s="15"/>
      <c r="G33" s="15">
        <f>+G19/C19-1</f>
        <v>6.7609296278238196E-2</v>
      </c>
      <c r="H33" s="15">
        <f>+H19/D19-1</f>
        <v>1.0734927522851074</v>
      </c>
      <c r="I33" s="15">
        <f>+I19/E19-1</f>
        <v>0.6101175491977322</v>
      </c>
      <c r="J33" s="15">
        <f>+J19/F19-1</f>
        <v>0.79393113001320259</v>
      </c>
      <c r="K33" s="15">
        <f>+K19/G19-1</f>
        <v>0.49295512592818125</v>
      </c>
      <c r="L33" s="15">
        <f>+L19/H19-1</f>
        <v>0.70607355953335116</v>
      </c>
      <c r="M33" s="14">
        <f>+M19/I19-1</f>
        <v>0.51097817959350156</v>
      </c>
      <c r="N33" s="15">
        <f>+N19/J19-1</f>
        <v>0.20649092115581835</v>
      </c>
      <c r="O33" s="15">
        <f>+O19/K19-1</f>
        <v>7.194244604316502E-3</v>
      </c>
      <c r="R33" s="13">
        <f>R19/Q19-1</f>
        <v>0.57399474843676979</v>
      </c>
      <c r="S33" s="26">
        <f>S19/R19-1</f>
        <v>0.46447063813243328</v>
      </c>
      <c r="T33" s="26">
        <f t="shared" ref="T33:AA33" si="16">T19/S19-1</f>
        <v>-0.24942681308072889</v>
      </c>
      <c r="U33" s="26">
        <f t="shared" si="16"/>
        <v>-4.6463022508038576E-2</v>
      </c>
      <c r="V33" s="26">
        <f t="shared" si="16"/>
        <v>0.11649468892261017</v>
      </c>
      <c r="W33" s="26">
        <f t="shared" si="16"/>
        <v>4.9281387752513339E-2</v>
      </c>
      <c r="X33" s="26">
        <f t="shared" si="16"/>
        <v>4.9294592829386863E-2</v>
      </c>
      <c r="Y33" s="26">
        <f t="shared" si="16"/>
        <v>1.0692436033404196E-2</v>
      </c>
      <c r="Z33" s="26">
        <f t="shared" si="16"/>
        <v>1.0705663848841862E-2</v>
      </c>
      <c r="AA33" s="26">
        <f t="shared" si="16"/>
        <v>1.0719134947299258E-2</v>
      </c>
    </row>
    <row r="34" spans="2:30" x14ac:dyDescent="0.2">
      <c r="B34" t="s">
        <v>40</v>
      </c>
      <c r="C34" s="16">
        <f>C21/C19</f>
        <v>0.27081640392220596</v>
      </c>
      <c r="D34" s="16">
        <f>D21/D19</f>
        <v>0.3548148832056135</v>
      </c>
      <c r="E34" s="16">
        <f>E21/E19</f>
        <v>0.32025042138213339</v>
      </c>
      <c r="F34" s="16">
        <f>F21/F19</f>
        <v>0.34571348180854056</v>
      </c>
      <c r="G34" s="16">
        <f>G21/G19</f>
        <v>0.31220716834965578</v>
      </c>
      <c r="H34" s="16">
        <f>H21/H19</f>
        <v>0.32021254489862561</v>
      </c>
      <c r="I34" s="16">
        <f>I21/I19</f>
        <v>0.34111889062606215</v>
      </c>
      <c r="J34" s="16">
        <f>J21/J19</f>
        <v>0.34838631839295409</v>
      </c>
      <c r="K34" s="16">
        <f>K21/K19</f>
        <v>0.29044355067127403</v>
      </c>
      <c r="L34" s="16">
        <f>L21/L19</f>
        <v>0.33621297142111445</v>
      </c>
      <c r="M34" s="13">
        <f>M21/M19</f>
        <v>0.35654129926219186</v>
      </c>
      <c r="N34" s="16">
        <f>N21/N19</f>
        <v>0.34</v>
      </c>
      <c r="O34" s="16">
        <f>O21/O19</f>
        <v>0.34</v>
      </c>
      <c r="Q34" s="26">
        <f>Q21/Q19</f>
        <v>0.31781414806738023</v>
      </c>
      <c r="R34" s="13">
        <f>R21/R19</f>
        <v>0.33222825030484032</v>
      </c>
      <c r="S34" s="26">
        <f>S21/S19</f>
        <v>0.33282973331724386</v>
      </c>
      <c r="T34" s="26">
        <f t="shared" ref="T34:AA34" si="17">T21/T19</f>
        <v>0.10223016077170423</v>
      </c>
      <c r="U34" s="26">
        <f t="shared" si="17"/>
        <v>0.10556027988534822</v>
      </c>
      <c r="V34" s="26">
        <f t="shared" si="17"/>
        <v>0.19087468460101531</v>
      </c>
      <c r="W34" s="26">
        <f t="shared" si="17"/>
        <v>0.22116547754325958</v>
      </c>
      <c r="X34" s="26">
        <f t="shared" si="17"/>
        <v>0.25033172470639897</v>
      </c>
      <c r="Y34" s="26">
        <f t="shared" si="17"/>
        <v>0.25084533033795048</v>
      </c>
      <c r="Z34" s="26">
        <f t="shared" si="17"/>
        <v>0.25136838208929646</v>
      </c>
      <c r="AA34" s="26">
        <f t="shared" si="17"/>
        <v>0.25190103962043225</v>
      </c>
    </row>
    <row r="35" spans="2:30" x14ac:dyDescent="0.2">
      <c r="B35" t="s">
        <v>53</v>
      </c>
      <c r="C35" s="15"/>
      <c r="D35" s="15"/>
      <c r="E35" s="15"/>
      <c r="F35" s="15"/>
      <c r="G35" s="15">
        <f t="shared" ref="G35:L35" si="18">G23/C23-1</f>
        <v>-0.14747191011235961</v>
      </c>
      <c r="H35" s="15">
        <f t="shared" si="18"/>
        <v>-0.125</v>
      </c>
      <c r="I35" s="15">
        <f t="shared" si="18"/>
        <v>-0.15795287187039764</v>
      </c>
      <c r="J35" s="15">
        <f t="shared" si="18"/>
        <v>-0.20250284414106945</v>
      </c>
      <c r="K35" s="15">
        <f t="shared" si="18"/>
        <v>-7.8253706754530805E-3</v>
      </c>
      <c r="L35" s="15">
        <f t="shared" si="18"/>
        <v>7.8891257995735709E-2</v>
      </c>
      <c r="M35" s="15">
        <f>M23/I23-1</f>
        <v>1.617839965019674E-2</v>
      </c>
      <c r="N35" s="15">
        <f>N23/J23-1</f>
        <v>1.0000000000000009E-2</v>
      </c>
      <c r="O35" s="15">
        <f>O23/K23-1</f>
        <v>1.0000000000000009E-2</v>
      </c>
      <c r="Q35" s="26"/>
      <c r="R35" s="13">
        <f>R23/Q23-1</f>
        <v>-0.15788989982538371</v>
      </c>
      <c r="S35" s="26">
        <f>S23/R23-1</f>
        <v>2.4449416130088553E-2</v>
      </c>
      <c r="T35" s="26">
        <f t="shared" ref="T35:AA35" si="19">T23/S23-1</f>
        <v>1.0000000000000009E-2</v>
      </c>
      <c r="U35" s="26">
        <f t="shared" si="19"/>
        <v>1.0000000000000009E-2</v>
      </c>
      <c r="V35" s="26">
        <f t="shared" si="19"/>
        <v>1.0000000000000009E-2</v>
      </c>
      <c r="W35" s="26">
        <f t="shared" si="19"/>
        <v>1.0000000000000009E-2</v>
      </c>
      <c r="X35" s="26">
        <f t="shared" si="19"/>
        <v>1.0000000000000009E-2</v>
      </c>
      <c r="Y35" s="26">
        <f t="shared" si="19"/>
        <v>1.0000000000000009E-2</v>
      </c>
      <c r="Z35" s="26">
        <f t="shared" si="19"/>
        <v>1.0000000000000009E-2</v>
      </c>
      <c r="AA35" s="26">
        <f t="shared" si="19"/>
        <v>1.0000000000000009E-2</v>
      </c>
    </row>
    <row r="36" spans="2:30" x14ac:dyDescent="0.2">
      <c r="AC36" t="s">
        <v>55</v>
      </c>
      <c r="AD36" s="27">
        <v>0.09</v>
      </c>
    </row>
    <row r="37" spans="2:30" x14ac:dyDescent="0.2">
      <c r="AC37" t="s">
        <v>56</v>
      </c>
      <c r="AD37" s="27">
        <v>0.01</v>
      </c>
    </row>
    <row r="38" spans="2:30" x14ac:dyDescent="0.2">
      <c r="AC38" t="s">
        <v>57</v>
      </c>
      <c r="AD38" s="1">
        <f>NPV($AD$36,T29:EO29)</f>
        <v>623484.81324812816</v>
      </c>
    </row>
    <row r="39" spans="2:30" x14ac:dyDescent="0.2">
      <c r="AC39" t="s">
        <v>58</v>
      </c>
      <c r="AD39" s="2">
        <f>AD38/Main!K3</f>
        <v>151.40476280916178</v>
      </c>
    </row>
  </sheetData>
  <hyperlinks>
    <hyperlink ref="A1" location="Main!A1" display="Main" xr:uid="{F1D63220-C08A-F44A-A1F1-15D87D56D027}"/>
  </hyperlinks>
  <pageMargins left="0.7" right="0.7" top="0.75" bottom="0.75" header="0.3" footer="0.3"/>
  <ignoredErrors>
    <ignoredError sqref="S22 S18" formulaRange="1"/>
    <ignoredError sqref="S21 S19 S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Garza, Jacob S</dc:creator>
  <cp:lastModifiedBy>Garza, Jacob S</cp:lastModifiedBy>
  <dcterms:created xsi:type="dcterms:W3CDTF">2023-01-07T06:00:29Z</dcterms:created>
  <dcterms:modified xsi:type="dcterms:W3CDTF">2023-01-07T23:30:52Z</dcterms:modified>
</cp:coreProperties>
</file>