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garza/repos/Stock_Models/"/>
    </mc:Choice>
  </mc:AlternateContent>
  <xr:revisionPtr revIDLastSave="0" documentId="13_ncr:1_{980B78AB-777B-614E-8A46-C80029488F2C}" xr6:coauthVersionLast="47" xr6:coauthVersionMax="47" xr10:uidLastSave="{00000000-0000-0000-0000-000000000000}"/>
  <bookViews>
    <workbookView xWindow="18460" yWindow="500" windowWidth="17380" windowHeight="21900" activeTab="1" xr2:uid="{00000000-000D-0000-FFFF-FFFF00000000}"/>
  </bookViews>
  <sheets>
    <sheet name="Main" sheetId="1" r:id="rId1"/>
    <sheet name="Model" sheetId="2" r:id="rId2"/>
    <sheet name="Key Metric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2" l="1"/>
  <c r="T25" i="2"/>
  <c r="T26" i="2" s="1"/>
  <c r="S25" i="2"/>
  <c r="T21" i="2"/>
  <c r="S21" i="2"/>
  <c r="T19" i="2"/>
  <c r="S19" i="2"/>
  <c r="T15" i="2"/>
  <c r="S15" i="2"/>
  <c r="K30" i="2"/>
  <c r="K28" i="2"/>
  <c r="K27" i="2"/>
  <c r="K24" i="2"/>
  <c r="K23" i="2"/>
  <c r="K22" i="2"/>
  <c r="K20" i="2"/>
  <c r="K17" i="2"/>
  <c r="K13" i="2"/>
  <c r="K12" i="2"/>
  <c r="K11" i="2"/>
  <c r="K10" i="2"/>
  <c r="K7" i="2"/>
  <c r="K6" i="2"/>
  <c r="K5" i="2"/>
  <c r="K4" i="2"/>
  <c r="O30" i="2"/>
  <c r="O28" i="2"/>
  <c r="O27" i="2"/>
  <c r="O24" i="2"/>
  <c r="O23" i="2"/>
  <c r="O22" i="2"/>
  <c r="O25" i="2" s="1"/>
  <c r="O20" i="2"/>
  <c r="O17" i="2"/>
  <c r="O13" i="2"/>
  <c r="O12" i="2"/>
  <c r="O10" i="2"/>
  <c r="O7" i="2"/>
  <c r="O6" i="2"/>
  <c r="O5" i="2"/>
  <c r="O4" i="2"/>
  <c r="H16" i="2"/>
  <c r="H15" i="2"/>
  <c r="L16" i="2"/>
  <c r="L15" i="2"/>
  <c r="I16" i="2"/>
  <c r="I15" i="2"/>
  <c r="M16" i="2"/>
  <c r="M15" i="2"/>
  <c r="G29" i="2"/>
  <c r="F29" i="2"/>
  <c r="E29" i="2"/>
  <c r="D29" i="2"/>
  <c r="P22" i="2"/>
  <c r="P25" i="2"/>
  <c r="P16" i="2"/>
  <c r="P19" i="2" s="1"/>
  <c r="P20" i="2" l="1"/>
  <c r="P21" i="2"/>
  <c r="P36" i="2" s="1"/>
  <c r="P38" i="2"/>
  <c r="P26" i="2"/>
  <c r="P37" i="2" s="1"/>
  <c r="AE25" i="2"/>
  <c r="AD25" i="2"/>
  <c r="AC25" i="2"/>
  <c r="AB25" i="2"/>
  <c r="AA25" i="2"/>
  <c r="Z25" i="2"/>
  <c r="Y25" i="2"/>
  <c r="X25" i="2"/>
  <c r="M19" i="2"/>
  <c r="M21" i="2" s="1"/>
  <c r="M36" i="2" s="1"/>
  <c r="L19" i="2"/>
  <c r="L21" i="2" s="1"/>
  <c r="L36" i="2" s="1"/>
  <c r="I19" i="2"/>
  <c r="I21" i="2" s="1"/>
  <c r="I36" i="2" s="1"/>
  <c r="H19" i="2"/>
  <c r="H21" i="2" s="1"/>
  <c r="G19" i="2"/>
  <c r="F19" i="2"/>
  <c r="E19" i="2"/>
  <c r="D19" i="2"/>
  <c r="J16" i="2"/>
  <c r="J15" i="2"/>
  <c r="J19" i="2" s="1"/>
  <c r="J21" i="2" s="1"/>
  <c r="J36" i="2" s="1"/>
  <c r="N16" i="2"/>
  <c r="N15" i="2"/>
  <c r="N25" i="2"/>
  <c r="W16" i="2"/>
  <c r="V16" i="2"/>
  <c r="U16" i="2"/>
  <c r="W15" i="2"/>
  <c r="V15" i="2"/>
  <c r="U15" i="2"/>
  <c r="U25" i="2"/>
  <c r="V25" i="2"/>
  <c r="W25" i="2"/>
  <c r="D13" i="3"/>
  <c r="C13" i="3"/>
  <c r="D12" i="3"/>
  <c r="C12" i="3"/>
  <c r="B13" i="3"/>
  <c r="B12" i="3"/>
  <c r="J2" i="1"/>
  <c r="J3" i="1" s="1"/>
  <c r="J6" i="1" s="1"/>
  <c r="X1" i="2"/>
  <c r="Y1" i="2" s="1"/>
  <c r="Z1" i="2" s="1"/>
  <c r="AA1" i="2" s="1"/>
  <c r="AB1" i="2" s="1"/>
  <c r="AC1" i="2" s="1"/>
  <c r="AD1" i="2" s="1"/>
  <c r="AE1" i="2" s="1"/>
  <c r="V19" i="2" l="1"/>
  <c r="K15" i="2"/>
  <c r="W19" i="2"/>
  <c r="O15" i="2"/>
  <c r="X15" i="2"/>
  <c r="V42" i="2"/>
  <c r="K16" i="2"/>
  <c r="W42" i="2"/>
  <c r="O16" i="2"/>
  <c r="X16" i="2"/>
  <c r="Y16" i="2" s="1"/>
  <c r="Z16" i="2" s="1"/>
  <c r="AA16" i="2" s="1"/>
  <c r="AB16" i="2" s="1"/>
  <c r="AC16" i="2" s="1"/>
  <c r="AD16" i="2" s="1"/>
  <c r="AE16" i="2" s="1"/>
  <c r="W41" i="2"/>
  <c r="U19" i="2"/>
  <c r="U21" i="2" s="1"/>
  <c r="U36" i="2" s="1"/>
  <c r="V41" i="2"/>
  <c r="N19" i="2"/>
  <c r="N21" i="2" s="1"/>
  <c r="N26" i="2" s="1"/>
  <c r="N29" i="2" s="1"/>
  <c r="N31" i="2" s="1"/>
  <c r="U26" i="2"/>
  <c r="H36" i="2"/>
  <c r="H25" i="2"/>
  <c r="H26" i="2" s="1"/>
  <c r="H29" i="2" s="1"/>
  <c r="L25" i="2"/>
  <c r="L26" i="2" s="1"/>
  <c r="L29" i="2" s="1"/>
  <c r="M25" i="2"/>
  <c r="M26" i="2" s="1"/>
  <c r="I25" i="2"/>
  <c r="I26" i="2" s="1"/>
  <c r="J25" i="2"/>
  <c r="J26" i="2" s="1"/>
  <c r="N36" i="2" l="1"/>
  <c r="N34" i="2"/>
  <c r="N38" i="2"/>
  <c r="U29" i="2"/>
  <c r="U31" i="2" s="1"/>
  <c r="U34" i="2" s="1"/>
  <c r="U37" i="2"/>
  <c r="N37" i="2"/>
  <c r="Y15" i="2"/>
  <c r="X19" i="2"/>
  <c r="X21" i="2" s="1"/>
  <c r="J29" i="2"/>
  <c r="J31" i="2" s="1"/>
  <c r="J34" i="2" s="1"/>
  <c r="O19" i="2"/>
  <c r="O21" i="2" s="1"/>
  <c r="W21" i="2"/>
  <c r="W40" i="2"/>
  <c r="K19" i="2"/>
  <c r="V21" i="2"/>
  <c r="V40" i="2"/>
  <c r="I37" i="2"/>
  <c r="I29" i="2"/>
  <c r="I31" i="2" s="1"/>
  <c r="I34" i="2" s="1"/>
  <c r="M37" i="2"/>
  <c r="M29" i="2"/>
  <c r="M31" i="2"/>
  <c r="M34" i="2" s="1"/>
  <c r="J37" i="2"/>
  <c r="H31" i="2"/>
  <c r="H34" i="2" s="1"/>
  <c r="H37" i="2"/>
  <c r="L31" i="2"/>
  <c r="L34" i="2" s="1"/>
  <c r="L37" i="2"/>
  <c r="X36" i="2" l="1"/>
  <c r="X26" i="2"/>
  <c r="Z15" i="2"/>
  <c r="Y19" i="2"/>
  <c r="Y21" i="2" s="1"/>
  <c r="K21" i="2"/>
  <c r="K25" i="2" s="1"/>
  <c r="K26" i="2" s="1"/>
  <c r="W36" i="2"/>
  <c r="W26" i="2"/>
  <c r="V36" i="2"/>
  <c r="V26" i="2"/>
  <c r="O36" i="2"/>
  <c r="O26" i="2"/>
  <c r="O29" i="2" l="1"/>
  <c r="O31" i="2" s="1"/>
  <c r="O37" i="2"/>
  <c r="V29" i="2"/>
  <c r="V31" i="2" s="1"/>
  <c r="V34" i="2" s="1"/>
  <c r="V37" i="2"/>
  <c r="W29" i="2"/>
  <c r="W31" i="2" s="1"/>
  <c r="W37" i="2"/>
  <c r="K29" i="2"/>
  <c r="K31" i="2" s="1"/>
  <c r="K34" i="2" s="1"/>
  <c r="K37" i="2"/>
  <c r="K36" i="2"/>
  <c r="Y26" i="2"/>
  <c r="Y36" i="2"/>
  <c r="AA15" i="2"/>
  <c r="Z19" i="2"/>
  <c r="Z21" i="2" s="1"/>
  <c r="X37" i="2"/>
  <c r="X29" i="2"/>
  <c r="X31" i="2" s="1"/>
  <c r="X38" i="2" l="1"/>
  <c r="Z36" i="2"/>
  <c r="Z26" i="2"/>
  <c r="Z37" i="2" s="1"/>
  <c r="AB15" i="2"/>
  <c r="AA19" i="2"/>
  <c r="AA21" i="2" s="1"/>
  <c r="Y37" i="2"/>
  <c r="Y29" i="2"/>
  <c r="Y31" i="2" s="1"/>
  <c r="Y38" i="2" s="1"/>
  <c r="W34" i="2"/>
  <c r="W38" i="2"/>
  <c r="O34" i="2"/>
  <c r="O38" i="2"/>
  <c r="Z29" i="2" l="1"/>
  <c r="Z31" i="2" s="1"/>
  <c r="Z38" i="2" s="1"/>
  <c r="AA36" i="2"/>
  <c r="AA26" i="2"/>
  <c r="AA37" i="2" s="1"/>
  <c r="AC15" i="2"/>
  <c r="AB19" i="2"/>
  <c r="AB21" i="2" s="1"/>
  <c r="AA29" i="2" l="1"/>
  <c r="AA31" i="2" s="1"/>
  <c r="AB36" i="2"/>
  <c r="AB26" i="2"/>
  <c r="AB37" i="2" s="1"/>
  <c r="AD15" i="2"/>
  <c r="AC19" i="2"/>
  <c r="AC21" i="2" s="1"/>
  <c r="AB29" i="2" l="1"/>
  <c r="AB31" i="2" s="1"/>
  <c r="AB38" i="2" s="1"/>
  <c r="AC36" i="2"/>
  <c r="AC26" i="2"/>
  <c r="AE15" i="2"/>
  <c r="AE19" i="2" s="1"/>
  <c r="AE21" i="2" s="1"/>
  <c r="AD19" i="2"/>
  <c r="AD21" i="2" s="1"/>
  <c r="AA38" i="2"/>
  <c r="AD36" i="2" l="1"/>
  <c r="AD26" i="2"/>
  <c r="AE36" i="2"/>
  <c r="AE26" i="2"/>
  <c r="AC37" i="2"/>
  <c r="AC29" i="2"/>
  <c r="AC31" i="2" s="1"/>
  <c r="AC38" i="2" l="1"/>
  <c r="AE37" i="2"/>
  <c r="AE29" i="2"/>
  <c r="AE31" i="2" s="1"/>
  <c r="AD37" i="2"/>
  <c r="AD29" i="2"/>
  <c r="AD31" i="2" s="1"/>
  <c r="AD38" i="2" s="1"/>
  <c r="AF31" i="2" l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DT31" i="2" s="1"/>
  <c r="DU31" i="2" s="1"/>
  <c r="DV31" i="2" s="1"/>
  <c r="DW31" i="2" s="1"/>
  <c r="DX31" i="2" s="1"/>
  <c r="DY31" i="2" s="1"/>
  <c r="DZ31" i="2" s="1"/>
  <c r="EA31" i="2" s="1"/>
  <c r="EB31" i="2" s="1"/>
  <c r="EC31" i="2" s="1"/>
  <c r="ED31" i="2" s="1"/>
  <c r="EE31" i="2" s="1"/>
  <c r="EF31" i="2" s="1"/>
  <c r="EG31" i="2" s="1"/>
  <c r="EH31" i="2" s="1"/>
  <c r="EI31" i="2" s="1"/>
  <c r="EJ31" i="2" s="1"/>
  <c r="EK31" i="2" s="1"/>
  <c r="EL31" i="2" s="1"/>
  <c r="EM31" i="2" s="1"/>
  <c r="EN31" i="2" s="1"/>
  <c r="EO31" i="2" s="1"/>
  <c r="EP31" i="2" s="1"/>
  <c r="EQ31" i="2" s="1"/>
  <c r="ER31" i="2" s="1"/>
  <c r="ES31" i="2" s="1"/>
  <c r="ET31" i="2" s="1"/>
  <c r="EU31" i="2" s="1"/>
  <c r="EV31" i="2" s="1"/>
  <c r="EW31" i="2" s="1"/>
  <c r="EX31" i="2" s="1"/>
  <c r="EY31" i="2" s="1"/>
  <c r="EZ31" i="2" s="1"/>
  <c r="FA31" i="2" s="1"/>
  <c r="FB31" i="2" s="1"/>
  <c r="FC31" i="2" s="1"/>
  <c r="FD31" i="2" s="1"/>
  <c r="FE31" i="2" s="1"/>
  <c r="FF31" i="2" s="1"/>
  <c r="FG31" i="2" s="1"/>
  <c r="FH31" i="2" s="1"/>
  <c r="FI31" i="2" s="1"/>
  <c r="FJ31" i="2" s="1"/>
  <c r="FK31" i="2" s="1"/>
  <c r="FL31" i="2" s="1"/>
  <c r="FM31" i="2" s="1"/>
  <c r="FN31" i="2" s="1"/>
  <c r="FO31" i="2" s="1"/>
  <c r="FP31" i="2" s="1"/>
  <c r="FQ31" i="2" s="1"/>
  <c r="FR31" i="2" s="1"/>
  <c r="FS31" i="2" s="1"/>
  <c r="FT31" i="2" s="1"/>
  <c r="FU31" i="2" s="1"/>
  <c r="FV31" i="2" s="1"/>
  <c r="FW31" i="2" s="1"/>
  <c r="FX31" i="2" s="1"/>
  <c r="FY31" i="2" s="1"/>
  <c r="FZ31" i="2" s="1"/>
  <c r="GA31" i="2" s="1"/>
  <c r="GB31" i="2" s="1"/>
  <c r="GC31" i="2" s="1"/>
  <c r="GD31" i="2" s="1"/>
  <c r="GE31" i="2" s="1"/>
  <c r="GF31" i="2" s="1"/>
  <c r="GG31" i="2" s="1"/>
  <c r="GH31" i="2" s="1"/>
  <c r="GI31" i="2" s="1"/>
  <c r="GJ31" i="2" s="1"/>
  <c r="GK31" i="2" s="1"/>
  <c r="GL31" i="2" s="1"/>
  <c r="GM31" i="2" s="1"/>
  <c r="GN31" i="2" s="1"/>
  <c r="GO31" i="2" s="1"/>
  <c r="GP31" i="2" s="1"/>
  <c r="GQ31" i="2" s="1"/>
  <c r="GR31" i="2" s="1"/>
  <c r="GS31" i="2" s="1"/>
  <c r="GT31" i="2" s="1"/>
  <c r="GU31" i="2" s="1"/>
  <c r="GV31" i="2" s="1"/>
  <c r="GW31" i="2" s="1"/>
  <c r="GX31" i="2" s="1"/>
  <c r="GY31" i="2" s="1"/>
  <c r="GZ31" i="2" s="1"/>
  <c r="HA31" i="2" s="1"/>
  <c r="HB31" i="2" s="1"/>
  <c r="HC31" i="2" s="1"/>
  <c r="HD31" i="2" s="1"/>
  <c r="HE31" i="2" s="1"/>
  <c r="HF31" i="2" s="1"/>
  <c r="HG31" i="2" s="1"/>
  <c r="HH31" i="2" s="1"/>
  <c r="AE38" i="2"/>
  <c r="AH36" i="2" l="1"/>
  <c r="AH37" i="2" s="1"/>
  <c r="AH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tc={03271829-BED3-704F-A038-7613BAC59E5A}</author>
  </authors>
  <commentList>
    <comment ref="B1" authorId="0" shapeId="0" xr:uid="{03271829-BED3-704F-A038-7613BAC59E5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Crypto Asset impairment, restructuring, and other operating expense</t>
      </text>
    </comment>
  </commentList>
</comments>
</file>

<file path=xl/sharedStrings.xml><?xml version="1.0" encoding="utf-8"?>
<sst xmlns="http://schemas.openxmlformats.org/spreadsheetml/2006/main" count="69" uniqueCount="68">
  <si>
    <t>Main</t>
  </si>
  <si>
    <t>Model</t>
  </si>
  <si>
    <t>Price</t>
  </si>
  <si>
    <t>Shares</t>
  </si>
  <si>
    <t>MC</t>
  </si>
  <si>
    <t>Cash</t>
  </si>
  <si>
    <t>Debt</t>
  </si>
  <si>
    <t>EV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</si>
  <si>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</si>
  <si>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</si>
  <si>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</si>
  <si>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</si>
  <si>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</si>
  <si>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</si>
  <si>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</si>
  <si>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</si>
  <si>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</si>
  <si>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</si>
  <si>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</si>
  <si>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</si>
  <si>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</si>
  <si>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Revenue</t>
  </si>
  <si>
    <t>Transaction Expense</t>
  </si>
  <si>
    <t>T&amp;D</t>
  </si>
  <si>
    <t>S&amp;M</t>
  </si>
  <si>
    <t>G&amp;A</t>
  </si>
  <si>
    <t>Operating Expense</t>
  </si>
  <si>
    <t>Operating Income</t>
  </si>
  <si>
    <t>Pretax Income</t>
  </si>
  <si>
    <t>Taxes</t>
  </si>
  <si>
    <t>Net Income</t>
  </si>
  <si>
    <t>Interest Expense</t>
  </si>
  <si>
    <t>EPS</t>
  </si>
  <si>
    <t>Gross Margin</t>
  </si>
  <si>
    <t>Operating Margin</t>
  </si>
  <si>
    <t>Profit Margin</t>
  </si>
  <si>
    <t>Rev y/y</t>
  </si>
  <si>
    <t>Gross Profit</t>
  </si>
  <si>
    <t>Monthly Transacting Users (Millions)</t>
  </si>
  <si>
    <t>Trading Volume (Billions)</t>
  </si>
  <si>
    <t>Institutional Volume</t>
  </si>
  <si>
    <t>Consumer Volume</t>
  </si>
  <si>
    <t>Volume mix (Institutional)</t>
  </si>
  <si>
    <t>Volume mix (Consumer)</t>
  </si>
  <si>
    <t>Transaction Revenue</t>
  </si>
  <si>
    <t>Subs and services</t>
  </si>
  <si>
    <t>Other</t>
  </si>
  <si>
    <t>Other (Income)</t>
  </si>
  <si>
    <t>Notes</t>
  </si>
  <si>
    <t>BTC/USD</t>
  </si>
  <si>
    <t>Consumer Revenue</t>
  </si>
  <si>
    <t>Institutional Revenue</t>
  </si>
  <si>
    <t>Stablecoin Rev</t>
  </si>
  <si>
    <t>Blockchain Rev</t>
  </si>
  <si>
    <t>Interest income</t>
  </si>
  <si>
    <t>Custodial fee revenue</t>
  </si>
  <si>
    <t>Other revenue</t>
  </si>
  <si>
    <t>Institutional Volume (Billions)</t>
  </si>
  <si>
    <t>Consumer Volume (Billions)</t>
  </si>
  <si>
    <t>Transaction Rev y/y</t>
  </si>
  <si>
    <t>Subs and services y/y</t>
  </si>
  <si>
    <t>Discount</t>
  </si>
  <si>
    <t>Maturity</t>
  </si>
  <si>
    <t>NPV</t>
  </si>
  <si>
    <t>FVE</t>
  </si>
  <si>
    <t>Value?</t>
  </si>
  <si>
    <t>Q124</t>
  </si>
  <si>
    <t>**Not Accurate**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</si>
</sst>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3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'Key Metrics'!$A$3</c:f>
              <c:strCache>
                <c:ptCount val="1"/>
                <c:pt idx="0">
                  <c:v>Trading Volume (Billions)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Metrics'!$B$3:$D$3</c:f>
              <c:numCache>
                <c:formatCode>General</c:formatCode>
                <c:ptCount val="3"/>
                <c:pt idx="0">
                  <c:v>1671</c:v>
                </c:pt>
                <c:pt idx="1">
                  <c:v>830</c:v>
                </c:pt>
                <c:pt idx="2">
                  <c:v>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940560"/>
        <c:axId val="1068949728"/>
      </c:lineChart>
      <c:lineChart>
        <c:grouping val="standard"/>
        <c:varyColors val="0"/>
        <c:ser>
          <c:idx val="0"/>
          <c:order val="0"/>
          <c:tx>
            <c:strRef>
              <c:f>'Key Metrics'!$A$2</c:f>
              <c:strCache>
                <c:ptCount val="1"/>
                <c:pt idx="0">
                  <c:v>Monthly Transacting Users (Millions)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'Key Metrics'!$B$1:$D$1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'Key Metrics'!$B$2:$D$2</c:f>
              <c:numCache>
                <c:formatCode>General</c:formatCode>
                <c:ptCount val="3"/>
                <c:pt idx="0">
                  <c:v>11.2</c:v>
                </c:pt>
                <c:pt idx="1">
                  <c:v>8.3000000000000007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184B-92B3-FBFA8F4B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23327"/>
        <c:axId val="1240817647"/>
      </c:lineChart>
      <c:catAx>
        <c:axId val="10689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9728"/>
        <c:crosses val="autoZero"/>
        <c:auto val="1"/>
        <c:lblAlgn val="ctr"/>
        <c:lblOffset val="100"/>
        <c:noMultiLvlLbl val="0"/>
      </c:catAx>
      <c:valAx>
        <c:axId val="10689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40560"/>
        <c:crosses val="autoZero"/>
        <c:crossBetween val="between"/>
      </c:valAx>
      <c:valAx>
        <c:axId val="12408176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823327"/>
        <c:crosses val="max"/>
        <c:crossBetween val="between"/>
      </c:valAx>
      <c:catAx>
        <c:axId val="1240823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817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4</xdr:row>
      <xdr:rowOff>182880</xdr:rowOff>
    </xdr:from>
    <xdr:to>
      <xdr:col>23</xdr:col>
      <xdr:colOff>330200</xdr:colOff>
      <xdr:row>4</xdr:row>
      <xdr:rowOff>182880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112A1C1-83DB-E5E9-3700-71A53744CBA8}"/>
            </a:ext>
          </a:extLst>
        </xdr:cNvPr>
        <xdr:cNvCxnSpPr/>
      </xdr:nvCxnSpPr>
      <xdr:spPr>
        <a:xfrm>
          <a:off x="355600" y="955040"/>
          <a:ext cx="143002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71120</xdr:rowOff>
    </xdr:from>
    <xdr:to>
      <xdr:col>15</xdr:col>
      <xdr:colOff>0</xdr:colOff>
      <xdr:row>44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3B5E98-4635-AA99-D619-EB71677C3C8E}"/>
            </a:ext>
          </a:extLst>
        </xdr:cNvPr>
        <xdr:cNvCxnSpPr/>
      </xdr:nvCxnSpPr>
      <xdr:spPr>
        <a:xfrm>
          <a:off x="10972800" y="711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20320</xdr:rowOff>
    </xdr:from>
    <xdr:to>
      <xdr:col>23</xdr:col>
      <xdr:colOff>0</xdr:colOff>
      <xdr:row>44</xdr:row>
      <xdr:rowOff>10160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11571DCF-30AC-0649-8869-F40B2D0F6D4F}"/>
            </a:ext>
          </a:extLst>
        </xdr:cNvPr>
        <xdr:cNvCxnSpPr/>
      </xdr:nvCxnSpPr>
      <xdr:spPr>
        <a:xfrm>
          <a:off x="14325600" y="20320"/>
          <a:ext cx="0" cy="8483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16</xdr:row>
      <xdr:rowOff>25400</xdr:rowOff>
    </xdr:from>
    <xdr:to>
      <xdr:col>7</xdr:col>
      <xdr:colOff>273050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DC036-DE41-57CD-D080-D0D61A37A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za, Jacob S" id="{E588B327-89F0-964B-963F-09B59D151706}" userId="S::jgarza25@illinois.edu::9792bea3-4872-461e-a1cc-52c9d9b6c15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2-16T05:16:25.49" personId="{E588B327-89F0-964B-963F-09B59D151706}" id="{03271829-BED3-704F-A038-7613BAC59E5A}">
    <text>Excludes Crypto Asset impairment, restructuring, and other operating expense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opLeftCell="D1" workbookViewId="0">
      <selection activeCell="J3" sqref="J3"/>
    </sheetView>
  </sheetViews>
  <sheetFormatPr baseColWidth="10" defaultColWidth="8.83203125" defaultRowHeight="15" x14ac:dyDescent="0.2"/>
  <cols>
    <col min="1" max="1" width="6.6640625" bestFit="1" customWidth="1"/>
    <col min="10" max="10" width="13.83203125" bestFit="1" customWidth="1"/>
  </cols>
  <sheetData>
    <row r="1" spans="1:10" x14ac:dyDescent="0.2">
      <c r="A1" s="1" t="s">
        <v>1</v>
      </c>
      <c r="I1" t="s">
        <v>2</v>
      </c>
      <c r="J1" s="2">
        <v>190</v>
      </c>
    </row>
    <row r="2" spans="1:10" x14ac:dyDescent="0.2">
      <c r="I2" t="s">
        <v>3</v>
      </c>
      <c r="J2">
        <f>195.5+46.7</f>
        <v>242.2</v>
      </c>
    </row>
    <row r="3" spans="1:10" x14ac:dyDescent="0.2">
      <c r="I3" t="s">
        <v>4</v>
      </c>
      <c r="J3" s="2">
        <f>J1*J2</f>
        <v>46018</v>
      </c>
    </row>
    <row r="4" spans="1:10" x14ac:dyDescent="0.2">
      <c r="I4" t="s">
        <v>5</v>
      </c>
      <c r="J4" s="2">
        <v>5100</v>
      </c>
    </row>
    <row r="5" spans="1:10" x14ac:dyDescent="0.2">
      <c r="I5" t="s">
        <v>6</v>
      </c>
      <c r="J5" s="2">
        <v>3395</v>
      </c>
    </row>
    <row r="6" spans="1:10" x14ac:dyDescent="0.2">
      <c r="I6" t="s">
        <v>7</v>
      </c>
      <c r="J6" s="2">
        <f>J3-J4+J5</f>
        <v>44313</v>
      </c>
    </row>
  </sheetData>
  <hyperlinks>
    <hyperlink ref="A1" location="Model!A1" display="Model" xr:uid="{59E38B96-A887-486C-B1DE-F8D064B90A7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8549-ACF3-45F2-9BB5-01980EBA453A}">
  <dimension ref="A1:HH42"/>
  <sheetViews>
    <sheetView tabSelected="1"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S34" sqref="S34"/>
    </sheetView>
  </sheetViews>
  <sheetFormatPr baseColWidth="10" defaultColWidth="8.83203125" defaultRowHeight="15" x14ac:dyDescent="0.2"/>
  <cols>
    <col min="1" max="1" width="5.5" bestFit="1" customWidth="1"/>
    <col min="2" max="2" width="24.1640625" bestFit="1" customWidth="1"/>
    <col min="34" max="34" width="10.6640625" bestFit="1" customWidth="1"/>
  </cols>
  <sheetData>
    <row r="1" spans="1:31" x14ac:dyDescent="0.2">
      <c r="A1" s="1" t="s">
        <v>0</v>
      </c>
      <c r="B1" t="s">
        <v>48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66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f>W1+1</f>
        <v>2024</v>
      </c>
      <c r="Y1">
        <f t="shared" ref="Y1:AE1" si="0">X1+1</f>
        <v>2025</v>
      </c>
      <c r="Z1">
        <f t="shared" si="0"/>
        <v>2026</v>
      </c>
      <c r="AA1">
        <f t="shared" si="0"/>
        <v>2027</v>
      </c>
      <c r="AB1">
        <f t="shared" si="0"/>
        <v>2028</v>
      </c>
      <c r="AC1">
        <f t="shared" si="0"/>
        <v>2029</v>
      </c>
      <c r="AD1">
        <f t="shared" si="0"/>
        <v>2030</v>
      </c>
      <c r="AE1">
        <f t="shared" si="0"/>
        <v>2031</v>
      </c>
    </row>
    <row r="2" spans="1:31" x14ac:dyDescent="0.2">
      <c r="A2" s="1"/>
      <c r="B2" t="s">
        <v>49</v>
      </c>
      <c r="U2" s="2">
        <v>47733</v>
      </c>
      <c r="V2" s="2">
        <v>16529</v>
      </c>
      <c r="W2" s="2">
        <v>42141</v>
      </c>
    </row>
    <row r="3" spans="1:31" x14ac:dyDescent="0.2">
      <c r="A3" s="1"/>
      <c r="U3" s="2"/>
      <c r="V3" s="2"/>
      <c r="W3" s="2"/>
    </row>
    <row r="4" spans="1:31" x14ac:dyDescent="0.2">
      <c r="A4" s="1"/>
      <c r="B4" t="s">
        <v>58</v>
      </c>
      <c r="H4">
        <v>74</v>
      </c>
      <c r="I4">
        <v>46</v>
      </c>
      <c r="J4">
        <v>26</v>
      </c>
      <c r="K4" s="2">
        <f>V4-J4-I4-H4</f>
        <v>21</v>
      </c>
      <c r="L4">
        <v>21</v>
      </c>
      <c r="M4">
        <v>14</v>
      </c>
      <c r="N4">
        <v>11</v>
      </c>
      <c r="O4" s="2">
        <f>W4-N4-M4-L4</f>
        <v>29</v>
      </c>
      <c r="S4">
        <v>35</v>
      </c>
      <c r="T4">
        <v>73</v>
      </c>
      <c r="U4" s="2">
        <v>535</v>
      </c>
      <c r="V4" s="2">
        <v>167</v>
      </c>
      <c r="W4" s="2">
        <v>75</v>
      </c>
    </row>
    <row r="5" spans="1:31" x14ac:dyDescent="0.2">
      <c r="B5" t="s">
        <v>57</v>
      </c>
      <c r="H5">
        <v>235</v>
      </c>
      <c r="I5">
        <v>171</v>
      </c>
      <c r="J5">
        <v>133</v>
      </c>
      <c r="K5" s="2">
        <f>V5-J5-I5-H5</f>
        <v>124</v>
      </c>
      <c r="L5">
        <v>124</v>
      </c>
      <c r="M5">
        <v>78</v>
      </c>
      <c r="N5">
        <v>65</v>
      </c>
      <c r="O5" s="2">
        <f>W5-N5-M5-L5</f>
        <v>126</v>
      </c>
      <c r="S5">
        <v>45</v>
      </c>
      <c r="T5">
        <v>120</v>
      </c>
      <c r="U5" s="2">
        <v>1136</v>
      </c>
      <c r="V5" s="2">
        <v>663</v>
      </c>
      <c r="W5" s="2">
        <v>393</v>
      </c>
    </row>
    <row r="6" spans="1:31" x14ac:dyDescent="0.2">
      <c r="B6" t="s">
        <v>50</v>
      </c>
      <c r="H6">
        <v>965</v>
      </c>
      <c r="I6">
        <v>616</v>
      </c>
      <c r="J6">
        <v>346</v>
      </c>
      <c r="K6" s="2">
        <f>V6-J6-I6-H6</f>
        <v>309.90000000000009</v>
      </c>
      <c r="L6">
        <v>352</v>
      </c>
      <c r="M6">
        <v>310</v>
      </c>
      <c r="N6">
        <v>274.5</v>
      </c>
      <c r="O6" s="2">
        <f>W6-N6-M6-L6</f>
        <v>492.90000000000009</v>
      </c>
      <c r="S6" s="2">
        <v>432.9</v>
      </c>
      <c r="T6" s="2">
        <v>1040</v>
      </c>
      <c r="U6" s="2">
        <v>6490.9</v>
      </c>
      <c r="V6" s="2">
        <v>2236.9</v>
      </c>
      <c r="W6" s="2">
        <v>1429.4</v>
      </c>
    </row>
    <row r="7" spans="1:31" x14ac:dyDescent="0.2">
      <c r="A7" s="1"/>
      <c r="B7" t="s">
        <v>51</v>
      </c>
      <c r="H7">
        <v>47</v>
      </c>
      <c r="I7">
        <v>39</v>
      </c>
      <c r="J7">
        <v>19.7</v>
      </c>
      <c r="K7" s="2">
        <f>V7-J7-I7-H7</f>
        <v>13.599999999999994</v>
      </c>
      <c r="L7">
        <v>22</v>
      </c>
      <c r="M7">
        <v>17</v>
      </c>
      <c r="N7">
        <v>14</v>
      </c>
      <c r="O7" s="2">
        <f>W7-N7-M7-L7</f>
        <v>37.159999999999997</v>
      </c>
      <c r="S7" s="2">
        <v>30</v>
      </c>
      <c r="T7" s="2">
        <v>55.9</v>
      </c>
      <c r="U7" s="2">
        <v>346.2</v>
      </c>
      <c r="V7" s="2">
        <v>119.3</v>
      </c>
      <c r="W7" s="2">
        <v>90.16</v>
      </c>
    </row>
    <row r="8" spans="1:31" x14ac:dyDescent="0.2">
      <c r="A8" s="1"/>
    </row>
    <row r="9" spans="1:31" x14ac:dyDescent="0.2">
      <c r="A9" s="1"/>
      <c r="B9" t="s">
        <v>52</v>
      </c>
      <c r="J9">
        <v>76.8</v>
      </c>
      <c r="N9">
        <v>172</v>
      </c>
      <c r="U9" s="2">
        <v>9.8000000000000007</v>
      </c>
      <c r="V9" s="2">
        <v>245.7</v>
      </c>
      <c r="W9" s="2">
        <v>694.2</v>
      </c>
    </row>
    <row r="10" spans="1:31" x14ac:dyDescent="0.2">
      <c r="A10" s="1"/>
      <c r="B10" t="s">
        <v>53</v>
      </c>
      <c r="H10">
        <v>81.8</v>
      </c>
      <c r="I10">
        <v>68.400000000000006</v>
      </c>
      <c r="J10">
        <v>62.7</v>
      </c>
      <c r="K10" s="2">
        <f>V10-J10-I10-H10</f>
        <v>62.600000000000009</v>
      </c>
      <c r="L10">
        <v>73.7</v>
      </c>
      <c r="M10">
        <v>87.6</v>
      </c>
      <c r="N10">
        <v>74</v>
      </c>
      <c r="O10" s="2">
        <f>W10-N10-M10-L10</f>
        <v>95.500000000000014</v>
      </c>
      <c r="U10" s="2">
        <v>223</v>
      </c>
      <c r="V10" s="2">
        <v>275.5</v>
      </c>
      <c r="W10" s="2">
        <v>330.8</v>
      </c>
    </row>
    <row r="11" spans="1:31" x14ac:dyDescent="0.2">
      <c r="A11" s="1"/>
      <c r="B11" t="s">
        <v>54</v>
      </c>
      <c r="H11">
        <v>10.4</v>
      </c>
      <c r="I11">
        <v>32.5</v>
      </c>
      <c r="J11">
        <v>24.9</v>
      </c>
      <c r="K11" s="2">
        <f>V11-J11-I11-H11</f>
        <v>13.400000000000004</v>
      </c>
      <c r="L11">
        <v>240.8</v>
      </c>
      <c r="M11">
        <v>201.36</v>
      </c>
      <c r="N11">
        <v>39</v>
      </c>
      <c r="U11" s="2">
        <v>15.9</v>
      </c>
      <c r="V11" s="2">
        <v>81.2</v>
      </c>
      <c r="W11" s="2">
        <v>173.9</v>
      </c>
    </row>
    <row r="12" spans="1:31" x14ac:dyDescent="0.2">
      <c r="A12" s="1"/>
      <c r="B12" t="s">
        <v>55</v>
      </c>
      <c r="H12">
        <v>31.6</v>
      </c>
      <c r="I12">
        <v>22.17</v>
      </c>
      <c r="J12">
        <v>14.5</v>
      </c>
      <c r="K12" s="2">
        <f>V12-J12-I12-H12</f>
        <v>11.57</v>
      </c>
      <c r="L12">
        <v>17</v>
      </c>
      <c r="M12">
        <v>16.899999999999999</v>
      </c>
      <c r="N12">
        <v>15.8</v>
      </c>
      <c r="O12" s="2">
        <f t="shared" ref="O12:O17" si="1">W12-N12-M12-L12</f>
        <v>19.800000000000004</v>
      </c>
      <c r="U12" s="2">
        <v>136.19999999999999</v>
      </c>
      <c r="V12" s="2">
        <v>79.84</v>
      </c>
      <c r="W12" s="2">
        <v>69.5</v>
      </c>
    </row>
    <row r="13" spans="1:31" x14ac:dyDescent="0.2">
      <c r="A13" s="1"/>
      <c r="B13" t="s">
        <v>56</v>
      </c>
      <c r="H13">
        <v>27.8</v>
      </c>
      <c r="I13">
        <v>24.2</v>
      </c>
      <c r="J13">
        <v>31.4</v>
      </c>
      <c r="K13" s="2">
        <f>V13-J13-I13-H13</f>
        <v>26.800000000000008</v>
      </c>
      <c r="L13">
        <v>30</v>
      </c>
      <c r="M13">
        <v>29.4</v>
      </c>
      <c r="N13">
        <v>32</v>
      </c>
      <c r="O13" s="2">
        <f t="shared" si="1"/>
        <v>46.930000000000007</v>
      </c>
      <c r="U13" s="2">
        <v>132.30000000000001</v>
      </c>
      <c r="V13" s="2">
        <v>110.2</v>
      </c>
      <c r="W13" s="2">
        <v>138.33000000000001</v>
      </c>
    </row>
    <row r="14" spans="1:31" x14ac:dyDescent="0.2">
      <c r="A14" s="1"/>
    </row>
    <row r="15" spans="1:31" x14ac:dyDescent="0.2">
      <c r="A15" s="1"/>
      <c r="B15" t="s">
        <v>44</v>
      </c>
      <c r="H15" s="2">
        <f>SUM(H6:H7)</f>
        <v>1012</v>
      </c>
      <c r="I15" s="2">
        <f>SUM(I6:I7)</f>
        <v>655</v>
      </c>
      <c r="J15" s="2">
        <f>SUM(J6:J7)</f>
        <v>365.7</v>
      </c>
      <c r="K15" s="2">
        <f t="shared" ref="K15:K17" si="2">V15-J15-I15-H15</f>
        <v>323.50000000000023</v>
      </c>
      <c r="L15" s="2">
        <f>SUM(L6:L7)</f>
        <v>374</v>
      </c>
      <c r="M15" s="2">
        <f>SUM(M6:M7)</f>
        <v>327</v>
      </c>
      <c r="N15" s="2">
        <f>SUM(N6:N7)</f>
        <v>288.5</v>
      </c>
      <c r="O15" s="2">
        <f t="shared" si="1"/>
        <v>530.06000000000017</v>
      </c>
      <c r="P15">
        <v>640</v>
      </c>
      <c r="S15" s="2">
        <f t="shared" ref="S15:U15" si="3">SUM(S6:S7)</f>
        <v>462.9</v>
      </c>
      <c r="T15" s="2">
        <f t="shared" si="3"/>
        <v>1095.9000000000001</v>
      </c>
      <c r="U15" s="2">
        <f>SUM(U6:U7)</f>
        <v>6837.0999999999995</v>
      </c>
      <c r="V15" s="2">
        <f t="shared" ref="V15:W15" si="4">SUM(V6:V7)</f>
        <v>2356.2000000000003</v>
      </c>
      <c r="W15" s="2">
        <f t="shared" si="4"/>
        <v>1519.5600000000002</v>
      </c>
      <c r="X15">
        <f>W15*0.95</f>
        <v>1443.5820000000001</v>
      </c>
      <c r="Y15">
        <f t="shared" ref="Y15:AE15" si="5">X15*0.95</f>
        <v>1371.4029</v>
      </c>
      <c r="Z15">
        <f t="shared" si="5"/>
        <v>1302.8327549999999</v>
      </c>
      <c r="AA15">
        <f t="shared" si="5"/>
        <v>1237.6911172499999</v>
      </c>
      <c r="AB15">
        <f t="shared" si="5"/>
        <v>1175.8065613874999</v>
      </c>
      <c r="AC15">
        <f t="shared" si="5"/>
        <v>1117.0162333181249</v>
      </c>
      <c r="AD15">
        <f t="shared" si="5"/>
        <v>1061.1654216522186</v>
      </c>
      <c r="AE15">
        <f t="shared" si="5"/>
        <v>1008.1071505696076</v>
      </c>
    </row>
    <row r="16" spans="1:31" x14ac:dyDescent="0.2">
      <c r="A16" s="1"/>
      <c r="B16" t="s">
        <v>45</v>
      </c>
      <c r="H16" s="2">
        <f>SUM(H9:H13)</f>
        <v>151.60000000000002</v>
      </c>
      <c r="I16" s="2">
        <f>SUM(I9:I13)</f>
        <v>147.27000000000001</v>
      </c>
      <c r="J16" s="2">
        <f>SUM(J9:J13)</f>
        <v>210.3</v>
      </c>
      <c r="K16" s="2">
        <f t="shared" si="2"/>
        <v>283.2700000000001</v>
      </c>
      <c r="L16" s="2">
        <f>SUM(L9:L13)</f>
        <v>361.5</v>
      </c>
      <c r="M16" s="2">
        <f>SUM(M9:M13)</f>
        <v>335.26</v>
      </c>
      <c r="N16" s="2">
        <f>SUM(N9:N13)</f>
        <v>332.8</v>
      </c>
      <c r="O16" s="2">
        <f t="shared" si="1"/>
        <v>377.17000000000007</v>
      </c>
      <c r="P16">
        <f>(410+480)/2</f>
        <v>445</v>
      </c>
      <c r="S16" s="2">
        <v>20</v>
      </c>
      <c r="T16" s="2">
        <v>45</v>
      </c>
      <c r="U16" s="2">
        <f>SUM(U9:U13)</f>
        <v>517.20000000000005</v>
      </c>
      <c r="V16" s="2">
        <f>SUM(V9:V13)</f>
        <v>792.44000000000017</v>
      </c>
      <c r="W16" s="2">
        <f>SUM(W9:W13)</f>
        <v>1406.73</v>
      </c>
      <c r="X16">
        <f>W16*1.1</f>
        <v>1547.4030000000002</v>
      </c>
      <c r="Y16">
        <f t="shared" ref="Y16:AE16" si="6">X16*1.1</f>
        <v>1702.1433000000004</v>
      </c>
      <c r="Z16">
        <f t="shared" si="6"/>
        <v>1872.3576300000007</v>
      </c>
      <c r="AA16">
        <f t="shared" si="6"/>
        <v>2059.593393000001</v>
      </c>
      <c r="AB16">
        <f t="shared" si="6"/>
        <v>2265.5527323000015</v>
      </c>
      <c r="AC16">
        <f t="shared" si="6"/>
        <v>2492.1080055300017</v>
      </c>
      <c r="AD16">
        <f t="shared" si="6"/>
        <v>2741.3188060830021</v>
      </c>
      <c r="AE16">
        <f t="shared" si="6"/>
        <v>3015.4506866913025</v>
      </c>
    </row>
    <row r="17" spans="1:216" x14ac:dyDescent="0.2">
      <c r="A17" s="1"/>
      <c r="B17" t="s">
        <v>46</v>
      </c>
      <c r="H17">
        <v>1.5</v>
      </c>
      <c r="I17">
        <v>5.7</v>
      </c>
      <c r="J17">
        <v>13.9</v>
      </c>
      <c r="K17" s="2">
        <f t="shared" si="2"/>
        <v>24.290000000000003</v>
      </c>
      <c r="L17" s="2">
        <v>36</v>
      </c>
      <c r="M17" s="2">
        <v>45.4</v>
      </c>
      <c r="N17" s="2">
        <v>51</v>
      </c>
      <c r="O17" s="2">
        <f t="shared" si="1"/>
        <v>49.400000000000006</v>
      </c>
      <c r="S17" s="4">
        <v>39.799999999999997</v>
      </c>
      <c r="T17">
        <v>133</v>
      </c>
      <c r="U17" s="2">
        <v>484.69</v>
      </c>
      <c r="V17" s="2">
        <v>45.39</v>
      </c>
      <c r="W17" s="2">
        <v>181.8</v>
      </c>
    </row>
    <row r="18" spans="1:216" x14ac:dyDescent="0.2">
      <c r="A18" s="1"/>
      <c r="U18" s="2"/>
      <c r="V18" s="2"/>
      <c r="W18" s="2"/>
    </row>
    <row r="19" spans="1:216" x14ac:dyDescent="0.2">
      <c r="B19" t="s">
        <v>21</v>
      </c>
      <c r="D19" s="2">
        <f t="shared" ref="D19:M19" si="7">SUM(D15:D17)</f>
        <v>0</v>
      </c>
      <c r="E19" s="2">
        <f t="shared" si="7"/>
        <v>0</v>
      </c>
      <c r="F19" s="2">
        <f t="shared" si="7"/>
        <v>0</v>
      </c>
      <c r="G19" s="2">
        <f t="shared" si="7"/>
        <v>0</v>
      </c>
      <c r="H19" s="2">
        <f t="shared" si="7"/>
        <v>1165.0999999999999</v>
      </c>
      <c r="I19" s="2">
        <f t="shared" si="7"/>
        <v>807.97</v>
      </c>
      <c r="J19" s="2">
        <f t="shared" si="7"/>
        <v>589.9</v>
      </c>
      <c r="K19" s="2">
        <f t="shared" si="7"/>
        <v>631.06000000000029</v>
      </c>
      <c r="L19" s="2">
        <f t="shared" si="7"/>
        <v>771.5</v>
      </c>
      <c r="M19" s="2">
        <f t="shared" si="7"/>
        <v>707.66</v>
      </c>
      <c r="N19" s="2">
        <f>SUM(N15:N17)</f>
        <v>672.3</v>
      </c>
      <c r="O19" s="2">
        <f>SUM(O15:O17)</f>
        <v>956.63000000000022</v>
      </c>
      <c r="P19" s="2">
        <f>P15+P16</f>
        <v>1085</v>
      </c>
      <c r="Q19" s="2"/>
      <c r="R19" s="2"/>
      <c r="S19" s="2">
        <f t="shared" ref="S19:U19" si="8">SUM(S15:S17)</f>
        <v>522.69999999999993</v>
      </c>
      <c r="T19" s="2">
        <f t="shared" si="8"/>
        <v>1273.9000000000001</v>
      </c>
      <c r="U19" s="2">
        <f>SUM(U15:U17)</f>
        <v>7838.9899999999989</v>
      </c>
      <c r="V19" s="2">
        <f>SUM(V15:V17)</f>
        <v>3194.03</v>
      </c>
      <c r="W19" s="2">
        <f>SUM(W15:W17)</f>
        <v>3108.09</v>
      </c>
      <c r="X19" s="2">
        <f t="shared" ref="X19:AE19" si="9">SUM(X15:X17)</f>
        <v>2990.9850000000006</v>
      </c>
      <c r="Y19" s="2">
        <f t="shared" si="9"/>
        <v>3073.5462000000007</v>
      </c>
      <c r="Z19" s="2">
        <f t="shared" si="9"/>
        <v>3175.1903850000008</v>
      </c>
      <c r="AA19" s="2">
        <f t="shared" si="9"/>
        <v>3297.2845102500009</v>
      </c>
      <c r="AB19" s="2">
        <f t="shared" si="9"/>
        <v>3441.3592936875011</v>
      </c>
      <c r="AC19" s="2">
        <f t="shared" si="9"/>
        <v>3609.1242388481269</v>
      </c>
      <c r="AD19" s="2">
        <f t="shared" si="9"/>
        <v>3802.4842277352209</v>
      </c>
      <c r="AE19" s="2">
        <f t="shared" si="9"/>
        <v>4023.5578372609102</v>
      </c>
    </row>
    <row r="20" spans="1:216" x14ac:dyDescent="0.2">
      <c r="B20" t="s">
        <v>22</v>
      </c>
      <c r="H20" s="4">
        <v>277.82</v>
      </c>
      <c r="I20" s="4">
        <v>167</v>
      </c>
      <c r="J20" s="4">
        <v>101</v>
      </c>
      <c r="K20" s="2">
        <f t="shared" ref="K20:K24" si="10">V20-J20-I20-H20</f>
        <v>83.979999999999961</v>
      </c>
      <c r="L20" s="4">
        <v>96.36</v>
      </c>
      <c r="M20" s="4">
        <v>108</v>
      </c>
      <c r="N20" s="2">
        <v>90.5</v>
      </c>
      <c r="O20" s="2">
        <f t="shared" ref="O20:O24" si="11">W20-N20-M20-L20</f>
        <v>125.83999999999999</v>
      </c>
      <c r="P20">
        <f>P19*0.14</f>
        <v>151.9</v>
      </c>
      <c r="S20">
        <v>82</v>
      </c>
      <c r="T20">
        <v>135</v>
      </c>
      <c r="U20" s="2">
        <v>1267.9000000000001</v>
      </c>
      <c r="V20" s="2">
        <v>629.79999999999995</v>
      </c>
      <c r="W20" s="2">
        <v>420.7</v>
      </c>
    </row>
    <row r="21" spans="1:216" s="6" customFormat="1" x14ac:dyDescent="0.2">
      <c r="B21" s="6" t="s">
        <v>37</v>
      </c>
      <c r="H21" s="7">
        <f>H19-H20</f>
        <v>887.28</v>
      </c>
      <c r="I21" s="7">
        <f t="shared" ref="I21:M21" si="12">I19-I20</f>
        <v>640.97</v>
      </c>
      <c r="J21" s="7">
        <f t="shared" si="12"/>
        <v>488.9</v>
      </c>
      <c r="K21" s="7">
        <f t="shared" si="12"/>
        <v>547.08000000000038</v>
      </c>
      <c r="L21" s="7">
        <f t="shared" si="12"/>
        <v>675.14</v>
      </c>
      <c r="M21" s="7">
        <f t="shared" si="12"/>
        <v>599.66</v>
      </c>
      <c r="N21" s="8">
        <f>N19-N20</f>
        <v>581.79999999999995</v>
      </c>
      <c r="O21" s="8">
        <f>O19-O20</f>
        <v>830.79000000000019</v>
      </c>
      <c r="P21" s="8">
        <f>P19-P20</f>
        <v>933.1</v>
      </c>
      <c r="Q21" s="8"/>
      <c r="R21" s="8"/>
      <c r="S21" s="8">
        <f t="shared" ref="S21:T21" si="13">S19-S20</f>
        <v>440.69999999999993</v>
      </c>
      <c r="T21" s="8">
        <f t="shared" si="13"/>
        <v>1138.9000000000001</v>
      </c>
      <c r="U21" s="8">
        <f>U19-U20</f>
        <v>6571.0899999999983</v>
      </c>
      <c r="V21" s="8">
        <f>V19-V20</f>
        <v>2564.2300000000005</v>
      </c>
      <c r="W21" s="8">
        <f>W19-W20</f>
        <v>2687.3900000000003</v>
      </c>
      <c r="X21" s="6">
        <f>X19*0.85</f>
        <v>2542.3372500000005</v>
      </c>
      <c r="Y21" s="6">
        <f t="shared" ref="Y21:AE21" si="14">Y19*0.85</f>
        <v>2612.5142700000006</v>
      </c>
      <c r="Z21" s="6">
        <f t="shared" si="14"/>
        <v>2698.9118272500004</v>
      </c>
      <c r="AA21" s="6">
        <f t="shared" si="14"/>
        <v>2802.6918337125007</v>
      </c>
      <c r="AB21" s="6">
        <f t="shared" si="14"/>
        <v>2925.155399634376</v>
      </c>
      <c r="AC21" s="6">
        <f t="shared" si="14"/>
        <v>3067.755603020908</v>
      </c>
      <c r="AD21" s="6">
        <f t="shared" si="14"/>
        <v>3232.1115935749376</v>
      </c>
      <c r="AE21" s="6">
        <f t="shared" si="14"/>
        <v>3420.0241616717735</v>
      </c>
    </row>
    <row r="22" spans="1:216" x14ac:dyDescent="0.2">
      <c r="B22" t="s">
        <v>23</v>
      </c>
      <c r="H22" s="4">
        <v>570.66</v>
      </c>
      <c r="I22" s="4">
        <v>609</v>
      </c>
      <c r="J22" s="4">
        <v>556</v>
      </c>
      <c r="K22" s="2">
        <f t="shared" si="10"/>
        <v>590.68999999999994</v>
      </c>
      <c r="L22" s="4">
        <v>358.03</v>
      </c>
      <c r="M22" s="4">
        <v>320</v>
      </c>
      <c r="N22" s="2">
        <v>322.7</v>
      </c>
      <c r="O22" s="2">
        <f t="shared" si="11"/>
        <v>323.77</v>
      </c>
      <c r="P22">
        <f>625-255</f>
        <v>370</v>
      </c>
      <c r="S22">
        <v>185</v>
      </c>
      <c r="T22">
        <v>271</v>
      </c>
      <c r="U22" s="2">
        <v>1291</v>
      </c>
      <c r="V22" s="2">
        <v>2326.35</v>
      </c>
      <c r="W22" s="2">
        <v>1324.5</v>
      </c>
      <c r="X22" s="2">
        <v>1324.5</v>
      </c>
      <c r="Y22" s="2">
        <v>1324.5</v>
      </c>
      <c r="Z22" s="2">
        <v>1324.5</v>
      </c>
      <c r="AA22" s="2">
        <v>1324.5</v>
      </c>
      <c r="AB22" s="2">
        <v>1324.5</v>
      </c>
      <c r="AC22" s="2">
        <v>1324.5</v>
      </c>
      <c r="AD22" s="2">
        <v>1324.5</v>
      </c>
      <c r="AE22" s="2">
        <v>1324.5</v>
      </c>
    </row>
    <row r="23" spans="1:216" x14ac:dyDescent="0.2">
      <c r="B23" t="s">
        <v>24</v>
      </c>
      <c r="H23" s="4">
        <v>200.2</v>
      </c>
      <c r="I23" s="4">
        <v>140</v>
      </c>
      <c r="J23" s="4">
        <v>75</v>
      </c>
      <c r="K23" s="2">
        <f t="shared" si="10"/>
        <v>94.800000000000011</v>
      </c>
      <c r="L23" s="4">
        <v>63.97</v>
      </c>
      <c r="M23" s="4">
        <v>83</v>
      </c>
      <c r="N23" s="2">
        <v>78.17</v>
      </c>
      <c r="O23" s="2">
        <f t="shared" si="11"/>
        <v>107.16</v>
      </c>
      <c r="P23">
        <v>90</v>
      </c>
      <c r="S23">
        <v>24</v>
      </c>
      <c r="T23">
        <v>57</v>
      </c>
      <c r="U23" s="2">
        <v>663</v>
      </c>
      <c r="V23" s="2">
        <v>510</v>
      </c>
      <c r="W23" s="2">
        <v>332.3</v>
      </c>
      <c r="X23" s="2">
        <v>332.3</v>
      </c>
      <c r="Y23" s="2">
        <v>332.3</v>
      </c>
      <c r="Z23" s="2">
        <v>332.3</v>
      </c>
      <c r="AA23" s="2">
        <v>332.3</v>
      </c>
      <c r="AB23" s="2">
        <v>332.3</v>
      </c>
      <c r="AC23" s="2">
        <v>332.3</v>
      </c>
      <c r="AD23" s="2">
        <v>332.3</v>
      </c>
      <c r="AE23" s="2">
        <v>332.3</v>
      </c>
    </row>
    <row r="24" spans="1:216" x14ac:dyDescent="0.2">
      <c r="B24" t="s">
        <v>25</v>
      </c>
      <c r="H24" s="4">
        <v>413.57799999999997</v>
      </c>
      <c r="I24" s="4">
        <v>470</v>
      </c>
      <c r="J24" s="4">
        <v>339</v>
      </c>
      <c r="K24" s="2">
        <f t="shared" si="10"/>
        <v>378.02199999999993</v>
      </c>
      <c r="L24" s="4">
        <v>248.76</v>
      </c>
      <c r="M24" s="4">
        <v>258</v>
      </c>
      <c r="N24" s="2">
        <v>252.63</v>
      </c>
      <c r="O24" s="2">
        <f t="shared" si="11"/>
        <v>281.90999999999997</v>
      </c>
      <c r="P24">
        <v>255</v>
      </c>
      <c r="S24">
        <v>232</v>
      </c>
      <c r="T24">
        <v>280</v>
      </c>
      <c r="U24" s="2">
        <v>909</v>
      </c>
      <c r="V24" s="2">
        <v>1600.6</v>
      </c>
      <c r="W24" s="2">
        <v>1041.3</v>
      </c>
      <c r="X24" s="2">
        <v>1041.3</v>
      </c>
      <c r="Y24" s="2">
        <v>1041.3</v>
      </c>
      <c r="Z24" s="2">
        <v>1041.3</v>
      </c>
      <c r="AA24" s="2">
        <v>1041.3</v>
      </c>
      <c r="AB24" s="2">
        <v>1041.3</v>
      </c>
      <c r="AC24" s="2">
        <v>1041.3</v>
      </c>
      <c r="AD24" s="2">
        <v>1041.3</v>
      </c>
      <c r="AE24" s="2">
        <v>1041.3</v>
      </c>
    </row>
    <row r="25" spans="1:216" x14ac:dyDescent="0.2">
      <c r="B25" t="s">
        <v>26</v>
      </c>
      <c r="H25" s="4">
        <f>SUM(H20:H24)</f>
        <v>2349.5379999999996</v>
      </c>
      <c r="I25" s="4">
        <f>SUM(I20:I24)</f>
        <v>2026.97</v>
      </c>
      <c r="J25" s="4">
        <f>SUM(J20:J24)</f>
        <v>1559.9</v>
      </c>
      <c r="K25" s="4">
        <f>SUM(K20:K24)</f>
        <v>1694.5720000000003</v>
      </c>
      <c r="L25" s="4">
        <f>SUM(L20:L24)</f>
        <v>1442.26</v>
      </c>
      <c r="M25" s="4">
        <f>SUM(M20:M24)</f>
        <v>1368.6599999999999</v>
      </c>
      <c r="N25" s="2">
        <f>SUM(N22:N24)</f>
        <v>653.5</v>
      </c>
      <c r="O25" s="2">
        <f>SUM(O22:O24)</f>
        <v>712.83999999999992</v>
      </c>
      <c r="P25" s="2">
        <f>SUM(P22:P24)</f>
        <v>715</v>
      </c>
      <c r="Q25" s="2"/>
      <c r="R25" s="2"/>
      <c r="S25" s="2">
        <f t="shared" ref="S25:T25" si="15">SUM(S22:S24)</f>
        <v>441</v>
      </c>
      <c r="T25" s="2">
        <f t="shared" si="15"/>
        <v>608</v>
      </c>
      <c r="U25" s="2">
        <f>SUM(U22:U24)</f>
        <v>2863</v>
      </c>
      <c r="V25" s="2">
        <f>SUM(V22:V24)</f>
        <v>4436.95</v>
      </c>
      <c r="W25" s="2">
        <f>SUM(W22:W24)</f>
        <v>2698.1</v>
      </c>
      <c r="X25" s="2">
        <f t="shared" ref="X25:AE25" si="16">SUM(X22:X24)</f>
        <v>2698.1</v>
      </c>
      <c r="Y25" s="2">
        <f t="shared" si="16"/>
        <v>2698.1</v>
      </c>
      <c r="Z25" s="2">
        <f t="shared" si="16"/>
        <v>2698.1</v>
      </c>
      <c r="AA25" s="2">
        <f t="shared" si="16"/>
        <v>2698.1</v>
      </c>
      <c r="AB25" s="2">
        <f t="shared" si="16"/>
        <v>2698.1</v>
      </c>
      <c r="AC25" s="2">
        <f t="shared" si="16"/>
        <v>2698.1</v>
      </c>
      <c r="AD25" s="2">
        <f t="shared" si="16"/>
        <v>2698.1</v>
      </c>
      <c r="AE25" s="2">
        <f t="shared" si="16"/>
        <v>2698.1</v>
      </c>
    </row>
    <row r="26" spans="1:216" x14ac:dyDescent="0.2">
      <c r="B26" t="s">
        <v>27</v>
      </c>
      <c r="H26" s="4">
        <f>H19-H25</f>
        <v>-1184.4379999999996</v>
      </c>
      <c r="I26" s="4">
        <f>I19-I25</f>
        <v>-1219</v>
      </c>
      <c r="J26" s="4">
        <f>J19-J25</f>
        <v>-970.00000000000011</v>
      </c>
      <c r="K26" s="4">
        <f>K19-K25</f>
        <v>-1063.5120000000002</v>
      </c>
      <c r="L26" s="4">
        <f>L19-L25</f>
        <v>-670.76</v>
      </c>
      <c r="M26" s="4">
        <f>M19-M25</f>
        <v>-660.99999999999989</v>
      </c>
      <c r="N26" s="2">
        <f>N21-N25</f>
        <v>-71.700000000000045</v>
      </c>
      <c r="O26" s="2">
        <f>O21-O25</f>
        <v>117.95000000000027</v>
      </c>
      <c r="P26" s="2">
        <f>P21-P25</f>
        <v>218.10000000000002</v>
      </c>
      <c r="Q26" s="2"/>
      <c r="R26" s="2"/>
      <c r="S26" s="2">
        <f>S21-S25</f>
        <v>-0.30000000000006821</v>
      </c>
      <c r="T26" s="2">
        <f t="shared" ref="S26:T26" si="17">T21-T25</f>
        <v>530.90000000000009</v>
      </c>
      <c r="U26" s="2">
        <f>U21-U25</f>
        <v>3708.0899999999983</v>
      </c>
      <c r="V26" s="2">
        <f>V21-V25</f>
        <v>-1872.7199999999993</v>
      </c>
      <c r="W26" s="2">
        <f>W21-W25</f>
        <v>-10.709999999999582</v>
      </c>
      <c r="X26" s="2">
        <f>X21*0.2</f>
        <v>508.4674500000001</v>
      </c>
      <c r="Y26" s="2">
        <f t="shared" ref="Y26:AE26" si="18">Y21*0.2</f>
        <v>522.50285400000018</v>
      </c>
      <c r="Z26" s="2">
        <f t="shared" si="18"/>
        <v>539.78236545000016</v>
      </c>
      <c r="AA26" s="2">
        <f t="shared" si="18"/>
        <v>560.53836674250022</v>
      </c>
      <c r="AB26" s="2">
        <f t="shared" si="18"/>
        <v>585.03107992687524</v>
      </c>
      <c r="AC26" s="2">
        <f t="shared" si="18"/>
        <v>613.55112060418162</v>
      </c>
      <c r="AD26" s="2">
        <f t="shared" si="18"/>
        <v>646.42231871498757</v>
      </c>
      <c r="AE26" s="2">
        <f t="shared" si="18"/>
        <v>684.00483233435477</v>
      </c>
    </row>
    <row r="27" spans="1:216" x14ac:dyDescent="0.2">
      <c r="B27" t="s">
        <v>31</v>
      </c>
      <c r="H27" s="4">
        <v>22</v>
      </c>
      <c r="I27" s="4">
        <v>23.6</v>
      </c>
      <c r="J27" s="4">
        <v>21</v>
      </c>
      <c r="K27" s="2">
        <f t="shared" ref="K27:K30" si="19">V27-J27-I27-H27</f>
        <v>22.300000000000004</v>
      </c>
      <c r="L27" s="4">
        <v>21</v>
      </c>
      <c r="M27" s="4">
        <v>21.6</v>
      </c>
      <c r="N27" s="2">
        <v>20.8</v>
      </c>
      <c r="O27" s="2">
        <f t="shared" ref="O27:O30" si="20">W27-N27-M27-L27</f>
        <v>19.300000000000004</v>
      </c>
      <c r="U27" s="2">
        <v>29.1</v>
      </c>
      <c r="V27" s="2">
        <v>88.9</v>
      </c>
      <c r="W27" s="2">
        <v>82.7</v>
      </c>
    </row>
    <row r="28" spans="1:216" x14ac:dyDescent="0.2">
      <c r="B28" t="s">
        <v>47</v>
      </c>
      <c r="H28" s="4">
        <v>-32</v>
      </c>
      <c r="I28" s="4">
        <v>-172</v>
      </c>
      <c r="J28" s="4">
        <v>-65.599999999999994</v>
      </c>
      <c r="K28" s="2">
        <f t="shared" si="19"/>
        <v>4.2000000000000171</v>
      </c>
      <c r="L28" s="4">
        <v>-20</v>
      </c>
      <c r="M28" s="4">
        <v>16.5</v>
      </c>
      <c r="N28" s="2">
        <v>135</v>
      </c>
      <c r="O28" s="2">
        <f t="shared" si="20"/>
        <v>36</v>
      </c>
      <c r="U28" s="2">
        <v>-20.399999999999999</v>
      </c>
      <c r="V28" s="2">
        <v>-265.39999999999998</v>
      </c>
      <c r="W28" s="2">
        <v>167.5</v>
      </c>
    </row>
    <row r="29" spans="1:216" x14ac:dyDescent="0.2">
      <c r="B29" t="s">
        <v>28</v>
      </c>
      <c r="D29" s="2">
        <f t="shared" ref="D29:M29" si="21">D26-D27+D28</f>
        <v>0</v>
      </c>
      <c r="E29" s="2">
        <f t="shared" si="21"/>
        <v>0</v>
      </c>
      <c r="F29" s="2">
        <f t="shared" si="21"/>
        <v>0</v>
      </c>
      <c r="G29" s="2">
        <f t="shared" si="21"/>
        <v>0</v>
      </c>
      <c r="H29" s="2">
        <f t="shared" si="21"/>
        <v>-1238.4379999999996</v>
      </c>
      <c r="I29" s="2">
        <f t="shared" si="21"/>
        <v>-1414.6</v>
      </c>
      <c r="J29" s="2">
        <f t="shared" si="21"/>
        <v>-1056.6000000000001</v>
      </c>
      <c r="K29" s="2">
        <f t="shared" si="21"/>
        <v>-1081.6120000000001</v>
      </c>
      <c r="L29" s="2">
        <f t="shared" si="21"/>
        <v>-711.76</v>
      </c>
      <c r="M29" s="2">
        <f t="shared" si="21"/>
        <v>-666.09999999999991</v>
      </c>
      <c r="N29" s="2">
        <f>N26-N27+N28</f>
        <v>42.499999999999957</v>
      </c>
      <c r="O29" s="2">
        <f>O26-O27+O28</f>
        <v>134.65000000000026</v>
      </c>
      <c r="U29" s="2">
        <f>U26-U27+U28</f>
        <v>3658.5899999999983</v>
      </c>
      <c r="V29" s="2">
        <f>V26-V27+V28</f>
        <v>-2227.0199999999995</v>
      </c>
      <c r="W29" s="2">
        <f>W26-W27+W28</f>
        <v>74.090000000000416</v>
      </c>
      <c r="X29" s="2">
        <f t="shared" ref="X29:AE29" si="22">X26-X27+X28</f>
        <v>508.4674500000001</v>
      </c>
      <c r="Y29" s="2">
        <f t="shared" si="22"/>
        <v>522.50285400000018</v>
      </c>
      <c r="Z29" s="2">
        <f t="shared" si="22"/>
        <v>539.78236545000016</v>
      </c>
      <c r="AA29" s="2">
        <f t="shared" si="22"/>
        <v>560.53836674250022</v>
      </c>
      <c r="AB29" s="2">
        <f t="shared" si="22"/>
        <v>585.03107992687524</v>
      </c>
      <c r="AC29" s="2">
        <f t="shared" si="22"/>
        <v>613.55112060418162</v>
      </c>
      <c r="AD29" s="2">
        <f t="shared" si="22"/>
        <v>646.42231871498757</v>
      </c>
      <c r="AE29" s="2">
        <f t="shared" si="22"/>
        <v>684.00483233435477</v>
      </c>
    </row>
    <row r="30" spans="1:216" x14ac:dyDescent="0.2">
      <c r="B30" t="s">
        <v>29</v>
      </c>
      <c r="H30" s="4">
        <v>-180</v>
      </c>
      <c r="I30" s="4">
        <v>-146</v>
      </c>
      <c r="J30" s="4">
        <v>-99</v>
      </c>
      <c r="K30" s="2">
        <f t="shared" si="19"/>
        <v>-14.600000000000023</v>
      </c>
      <c r="L30" s="4">
        <v>-86.78</v>
      </c>
      <c r="M30" s="4">
        <v>18</v>
      </c>
      <c r="N30" s="2">
        <v>36.9</v>
      </c>
      <c r="O30" s="2">
        <f t="shared" si="20"/>
        <v>-139.82</v>
      </c>
      <c r="U30" s="2">
        <v>-597</v>
      </c>
      <c r="V30" s="2">
        <v>-439.6</v>
      </c>
      <c r="W30" s="2">
        <v>-171.7</v>
      </c>
    </row>
    <row r="31" spans="1:216" s="6" customFormat="1" x14ac:dyDescent="0.2">
      <c r="B31" s="6" t="s">
        <v>30</v>
      </c>
      <c r="H31" s="7">
        <f>H29-H30</f>
        <v>-1058.4379999999996</v>
      </c>
      <c r="I31" s="7">
        <f>I29-I30</f>
        <v>-1268.5999999999999</v>
      </c>
      <c r="J31" s="7">
        <f>J29-J30</f>
        <v>-957.60000000000014</v>
      </c>
      <c r="K31" s="7">
        <f>K29-K30</f>
        <v>-1067.0120000000002</v>
      </c>
      <c r="L31" s="7">
        <f>L29-L30</f>
        <v>-624.98</v>
      </c>
      <c r="M31" s="7">
        <f>M29-M30</f>
        <v>-684.09999999999991</v>
      </c>
      <c r="N31" s="8">
        <f>N29-N30</f>
        <v>5.5999999999999588</v>
      </c>
      <c r="O31" s="8">
        <f>O29-O30</f>
        <v>274.47000000000025</v>
      </c>
      <c r="U31" s="8">
        <f>U29-U30</f>
        <v>4255.5899999999983</v>
      </c>
      <c r="V31" s="8">
        <f>V29-V30</f>
        <v>-1787.4199999999996</v>
      </c>
      <c r="W31" s="8">
        <f>W29-W30</f>
        <v>245.79000000000042</v>
      </c>
      <c r="X31" s="8">
        <f t="shared" ref="X31:AE31" si="23">X29-X30</f>
        <v>508.4674500000001</v>
      </c>
      <c r="Y31" s="8">
        <f t="shared" si="23"/>
        <v>522.50285400000018</v>
      </c>
      <c r="Z31" s="8">
        <f t="shared" si="23"/>
        <v>539.78236545000016</v>
      </c>
      <c r="AA31" s="8">
        <f t="shared" si="23"/>
        <v>560.53836674250022</v>
      </c>
      <c r="AB31" s="8">
        <f t="shared" si="23"/>
        <v>585.03107992687524</v>
      </c>
      <c r="AC31" s="8">
        <f t="shared" si="23"/>
        <v>613.55112060418162</v>
      </c>
      <c r="AD31" s="8">
        <f t="shared" si="23"/>
        <v>646.42231871498757</v>
      </c>
      <c r="AE31" s="8">
        <f t="shared" si="23"/>
        <v>684.00483233435477</v>
      </c>
      <c r="AF31" s="6">
        <f>AE31*(1+$AH$35)</f>
        <v>677.16478401101119</v>
      </c>
      <c r="AG31" s="6">
        <f>AF31*(1+$AH$35)</f>
        <v>670.39313617090113</v>
      </c>
      <c r="AH31" s="6">
        <f t="shared" ref="AH31:CS31" si="24">AG31*(1+$AH$35)</f>
        <v>663.68920480919212</v>
      </c>
      <c r="AI31" s="6">
        <f t="shared" si="24"/>
        <v>657.05231276110021</v>
      </c>
      <c r="AJ31" s="6">
        <f t="shared" si="24"/>
        <v>650.48178963348926</v>
      </c>
      <c r="AK31" s="6">
        <f t="shared" si="24"/>
        <v>643.97697173715437</v>
      </c>
      <c r="AL31" s="6">
        <f t="shared" si="24"/>
        <v>637.53720201978285</v>
      </c>
      <c r="AM31" s="6">
        <f t="shared" si="24"/>
        <v>631.16182999958505</v>
      </c>
      <c r="AN31" s="6">
        <f t="shared" si="24"/>
        <v>624.85021169958918</v>
      </c>
      <c r="AO31" s="6">
        <f t="shared" si="24"/>
        <v>618.60170958259323</v>
      </c>
      <c r="AP31" s="6">
        <f t="shared" si="24"/>
        <v>612.41569248676728</v>
      </c>
      <c r="AQ31" s="6">
        <f t="shared" si="24"/>
        <v>606.29153556189965</v>
      </c>
      <c r="AR31" s="6">
        <f t="shared" si="24"/>
        <v>600.22862020628065</v>
      </c>
      <c r="AS31" s="6">
        <f t="shared" si="24"/>
        <v>594.22633400421785</v>
      </c>
      <c r="AT31" s="6">
        <f t="shared" si="24"/>
        <v>588.28407066417572</v>
      </c>
      <c r="AU31" s="6">
        <f t="shared" si="24"/>
        <v>582.40122995753393</v>
      </c>
      <c r="AV31" s="6">
        <f t="shared" si="24"/>
        <v>576.57721765795861</v>
      </c>
      <c r="AW31" s="6">
        <f t="shared" si="24"/>
        <v>570.811445481379</v>
      </c>
      <c r="AX31" s="6">
        <f t="shared" si="24"/>
        <v>565.10333102656523</v>
      </c>
      <c r="AY31" s="6">
        <f t="shared" si="24"/>
        <v>559.45229771629954</v>
      </c>
      <c r="AZ31" s="6">
        <f t="shared" si="24"/>
        <v>553.85777473913652</v>
      </c>
      <c r="BA31" s="6">
        <f t="shared" si="24"/>
        <v>548.31919699174512</v>
      </c>
      <c r="BB31" s="6">
        <f t="shared" si="24"/>
        <v>542.83600502182765</v>
      </c>
      <c r="BC31" s="6">
        <f t="shared" si="24"/>
        <v>537.40764497160933</v>
      </c>
      <c r="BD31" s="6">
        <f t="shared" si="24"/>
        <v>532.03356852189324</v>
      </c>
      <c r="BE31" s="6">
        <f t="shared" si="24"/>
        <v>526.71323283667425</v>
      </c>
      <c r="BF31" s="6">
        <f t="shared" si="24"/>
        <v>521.4461005083075</v>
      </c>
      <c r="BG31" s="6">
        <f t="shared" si="24"/>
        <v>516.23163950322441</v>
      </c>
      <c r="BH31" s="6">
        <f t="shared" si="24"/>
        <v>511.06932310819218</v>
      </c>
      <c r="BI31" s="6">
        <f t="shared" si="24"/>
        <v>505.95862987711024</v>
      </c>
      <c r="BJ31" s="6">
        <f t="shared" si="24"/>
        <v>500.89904357833916</v>
      </c>
      <c r="BK31" s="6">
        <f t="shared" si="24"/>
        <v>495.89005314255576</v>
      </c>
      <c r="BL31" s="6">
        <f t="shared" si="24"/>
        <v>490.93115261113019</v>
      </c>
      <c r="BM31" s="6">
        <f t="shared" si="24"/>
        <v>486.02184108501888</v>
      </c>
      <c r="BN31" s="6">
        <f t="shared" si="24"/>
        <v>481.16162267416871</v>
      </c>
      <c r="BO31" s="6">
        <f t="shared" si="24"/>
        <v>476.35000644742701</v>
      </c>
      <c r="BP31" s="6">
        <f t="shared" si="24"/>
        <v>471.58650638295273</v>
      </c>
      <c r="BQ31" s="6">
        <f t="shared" si="24"/>
        <v>466.87064131912319</v>
      </c>
      <c r="BR31" s="6">
        <f t="shared" si="24"/>
        <v>462.20193490593198</v>
      </c>
      <c r="BS31" s="6">
        <f t="shared" si="24"/>
        <v>457.57991555687266</v>
      </c>
      <c r="BT31" s="6">
        <f t="shared" si="24"/>
        <v>453.00411640130392</v>
      </c>
      <c r="BU31" s="6">
        <f t="shared" si="24"/>
        <v>448.47407523729089</v>
      </c>
      <c r="BV31" s="6">
        <f t="shared" si="24"/>
        <v>443.989334484918</v>
      </c>
      <c r="BW31" s="6">
        <f t="shared" si="24"/>
        <v>439.54944114006884</v>
      </c>
      <c r="BX31" s="6">
        <f t="shared" si="24"/>
        <v>435.15394672866813</v>
      </c>
      <c r="BY31" s="6">
        <f t="shared" si="24"/>
        <v>430.80240726138146</v>
      </c>
      <c r="BZ31" s="6">
        <f t="shared" si="24"/>
        <v>426.49438318876764</v>
      </c>
      <c r="CA31" s="6">
        <f t="shared" si="24"/>
        <v>422.22943935687994</v>
      </c>
      <c r="CB31" s="6">
        <f t="shared" si="24"/>
        <v>418.00714496331113</v>
      </c>
      <c r="CC31" s="6">
        <f t="shared" si="24"/>
        <v>413.82707351367804</v>
      </c>
      <c r="CD31" s="6">
        <f t="shared" si="24"/>
        <v>409.68880277854129</v>
      </c>
      <c r="CE31" s="6">
        <f t="shared" si="24"/>
        <v>405.59191475075585</v>
      </c>
      <c r="CF31" s="6">
        <f t="shared" si="24"/>
        <v>401.5359956032483</v>
      </c>
      <c r="CG31" s="6">
        <f t="shared" si="24"/>
        <v>397.52063564721578</v>
      </c>
      <c r="CH31" s="6">
        <f t="shared" si="24"/>
        <v>393.54542929074364</v>
      </c>
      <c r="CI31" s="6">
        <f t="shared" si="24"/>
        <v>389.60997499783622</v>
      </c>
      <c r="CJ31" s="6">
        <f t="shared" si="24"/>
        <v>385.71387524785786</v>
      </c>
      <c r="CK31" s="6">
        <f t="shared" si="24"/>
        <v>381.85673649537927</v>
      </c>
      <c r="CL31" s="6">
        <f t="shared" si="24"/>
        <v>378.03816913042544</v>
      </c>
      <c r="CM31" s="6">
        <f t="shared" si="24"/>
        <v>374.25778743912116</v>
      </c>
      <c r="CN31" s="6">
        <f t="shared" si="24"/>
        <v>370.51520956472996</v>
      </c>
      <c r="CO31" s="6">
        <f t="shared" si="24"/>
        <v>366.81005746908266</v>
      </c>
      <c r="CP31" s="6">
        <f t="shared" si="24"/>
        <v>363.14195689439185</v>
      </c>
      <c r="CQ31" s="6">
        <f t="shared" si="24"/>
        <v>359.51053732544796</v>
      </c>
      <c r="CR31" s="6">
        <f t="shared" si="24"/>
        <v>355.9154319521935</v>
      </c>
      <c r="CS31" s="6">
        <f t="shared" si="24"/>
        <v>352.35627763267155</v>
      </c>
      <c r="CT31" s="6">
        <f t="shared" ref="CT31:FE31" si="25">CS31*(1+$AH$35)</f>
        <v>348.83271485634481</v>
      </c>
      <c r="CU31" s="6">
        <f t="shared" si="25"/>
        <v>345.34438770778138</v>
      </c>
      <c r="CV31" s="6">
        <f t="shared" si="25"/>
        <v>341.89094383070358</v>
      </c>
      <c r="CW31" s="6">
        <f t="shared" si="25"/>
        <v>338.47203439239655</v>
      </c>
      <c r="CX31" s="6">
        <f t="shared" si="25"/>
        <v>335.08731404847259</v>
      </c>
      <c r="CY31" s="6">
        <f t="shared" si="25"/>
        <v>331.73644090798786</v>
      </c>
      <c r="CZ31" s="6">
        <f t="shared" si="25"/>
        <v>328.419076498908</v>
      </c>
      <c r="DA31" s="6">
        <f t="shared" si="25"/>
        <v>325.13488573391891</v>
      </c>
      <c r="DB31" s="6">
        <f t="shared" si="25"/>
        <v>321.88353687657974</v>
      </c>
      <c r="DC31" s="6">
        <f t="shared" si="25"/>
        <v>318.66470150781396</v>
      </c>
      <c r="DD31" s="6">
        <f t="shared" si="25"/>
        <v>315.47805449273579</v>
      </c>
      <c r="DE31" s="6">
        <f t="shared" si="25"/>
        <v>312.32327394780845</v>
      </c>
      <c r="DF31" s="6">
        <f t="shared" si="25"/>
        <v>309.20004120833033</v>
      </c>
      <c r="DG31" s="6">
        <f t="shared" si="25"/>
        <v>306.10804079624705</v>
      </c>
      <c r="DH31" s="6">
        <f t="shared" si="25"/>
        <v>303.04696038828456</v>
      </c>
      <c r="DI31" s="6">
        <f t="shared" si="25"/>
        <v>300.0164907844017</v>
      </c>
      <c r="DJ31" s="6">
        <f t="shared" si="25"/>
        <v>297.01632587655769</v>
      </c>
      <c r="DK31" s="6">
        <f t="shared" si="25"/>
        <v>294.04616261779211</v>
      </c>
      <c r="DL31" s="6">
        <f t="shared" si="25"/>
        <v>291.10570099161419</v>
      </c>
      <c r="DM31" s="6">
        <f t="shared" si="25"/>
        <v>288.19464398169805</v>
      </c>
      <c r="DN31" s="6">
        <f t="shared" si="25"/>
        <v>285.31269754188105</v>
      </c>
      <c r="DO31" s="6">
        <f t="shared" si="25"/>
        <v>282.45957056646222</v>
      </c>
      <c r="DP31" s="6">
        <f t="shared" si="25"/>
        <v>279.63497486079757</v>
      </c>
      <c r="DQ31" s="6">
        <f t="shared" si="25"/>
        <v>276.83862511218962</v>
      </c>
      <c r="DR31" s="6">
        <f t="shared" si="25"/>
        <v>274.07023886106771</v>
      </c>
      <c r="DS31" s="6">
        <f t="shared" si="25"/>
        <v>271.32953647245705</v>
      </c>
      <c r="DT31" s="6">
        <f t="shared" si="25"/>
        <v>268.61624110773249</v>
      </c>
      <c r="DU31" s="6">
        <f t="shared" si="25"/>
        <v>265.93007869665519</v>
      </c>
      <c r="DV31" s="6">
        <f t="shared" si="25"/>
        <v>263.2707779096886</v>
      </c>
      <c r="DW31" s="6">
        <f t="shared" si="25"/>
        <v>260.6380701305917</v>
      </c>
      <c r="DX31" s="6">
        <f t="shared" si="25"/>
        <v>258.03168942928579</v>
      </c>
      <c r="DY31" s="6">
        <f t="shared" si="25"/>
        <v>255.45137253499294</v>
      </c>
      <c r="DZ31" s="6">
        <f t="shared" si="25"/>
        <v>252.89685880964302</v>
      </c>
      <c r="EA31" s="6">
        <f t="shared" si="25"/>
        <v>250.36789022154659</v>
      </c>
      <c r="EB31" s="6">
        <f t="shared" si="25"/>
        <v>247.86421131933113</v>
      </c>
      <c r="EC31" s="6">
        <f t="shared" si="25"/>
        <v>245.38556920613783</v>
      </c>
      <c r="ED31" s="6">
        <f t="shared" si="25"/>
        <v>242.93171351407645</v>
      </c>
      <c r="EE31" s="6">
        <f t="shared" si="25"/>
        <v>240.50239637893569</v>
      </c>
      <c r="EF31" s="6">
        <f t="shared" si="25"/>
        <v>238.09737241514634</v>
      </c>
      <c r="EG31" s="6">
        <f t="shared" si="25"/>
        <v>235.71639869099488</v>
      </c>
      <c r="EH31" s="6">
        <f t="shared" si="25"/>
        <v>233.35923470408494</v>
      </c>
      <c r="EI31" s="6">
        <f t="shared" si="25"/>
        <v>231.02564235704409</v>
      </c>
      <c r="EJ31" s="6">
        <f t="shared" si="25"/>
        <v>228.71538593347364</v>
      </c>
      <c r="EK31" s="6">
        <f t="shared" si="25"/>
        <v>226.42823207413889</v>
      </c>
      <c r="EL31" s="6">
        <f t="shared" si="25"/>
        <v>224.1639497533975</v>
      </c>
      <c r="EM31" s="6">
        <f t="shared" si="25"/>
        <v>221.92231025586352</v>
      </c>
      <c r="EN31" s="6">
        <f t="shared" si="25"/>
        <v>219.70308715330489</v>
      </c>
      <c r="EO31" s="6">
        <f t="shared" si="25"/>
        <v>217.50605628177183</v>
      </c>
      <c r="EP31" s="6">
        <f t="shared" si="25"/>
        <v>215.33099571895411</v>
      </c>
      <c r="EQ31" s="6">
        <f t="shared" si="25"/>
        <v>213.17768576176456</v>
      </c>
      <c r="ER31" s="6">
        <f t="shared" si="25"/>
        <v>211.04590890414693</v>
      </c>
      <c r="ES31" s="6">
        <f t="shared" si="25"/>
        <v>208.93544981510544</v>
      </c>
      <c r="ET31" s="6">
        <f t="shared" si="25"/>
        <v>206.84609531695438</v>
      </c>
      <c r="EU31" s="6">
        <f t="shared" si="25"/>
        <v>204.77763436378484</v>
      </c>
      <c r="EV31" s="6">
        <f t="shared" si="25"/>
        <v>202.72985802014699</v>
      </c>
      <c r="EW31" s="6">
        <f t="shared" si="25"/>
        <v>200.70255943994553</v>
      </c>
      <c r="EX31" s="6">
        <f t="shared" si="25"/>
        <v>198.69553384554607</v>
      </c>
      <c r="EY31" s="6">
        <f t="shared" si="25"/>
        <v>196.70857850709061</v>
      </c>
      <c r="EZ31" s="6">
        <f t="shared" si="25"/>
        <v>194.7414927220197</v>
      </c>
      <c r="FA31" s="6">
        <f t="shared" si="25"/>
        <v>192.79407779479951</v>
      </c>
      <c r="FB31" s="6">
        <f t="shared" si="25"/>
        <v>190.8661370168515</v>
      </c>
      <c r="FC31" s="6">
        <f t="shared" si="25"/>
        <v>188.95747564668298</v>
      </c>
      <c r="FD31" s="6">
        <f t="shared" si="25"/>
        <v>187.06790089021615</v>
      </c>
      <c r="FE31" s="6">
        <f t="shared" si="25"/>
        <v>185.19722188131399</v>
      </c>
      <c r="FF31" s="6">
        <f t="shared" ref="FF31:HH31" si="26">FE31*(1+$AH$35)</f>
        <v>183.34524966250086</v>
      </c>
      <c r="FG31" s="6">
        <f t="shared" si="26"/>
        <v>181.51179716587586</v>
      </c>
      <c r="FH31" s="6">
        <f t="shared" si="26"/>
        <v>179.6966791942171</v>
      </c>
      <c r="FI31" s="6">
        <f t="shared" si="26"/>
        <v>177.89971240227493</v>
      </c>
      <c r="FJ31" s="6">
        <f t="shared" si="26"/>
        <v>176.12071527825219</v>
      </c>
      <c r="FK31" s="6">
        <f t="shared" si="26"/>
        <v>174.35950812546966</v>
      </c>
      <c r="FL31" s="6">
        <f t="shared" si="26"/>
        <v>172.61591304421495</v>
      </c>
      <c r="FM31" s="6">
        <f t="shared" si="26"/>
        <v>170.88975391377281</v>
      </c>
      <c r="FN31" s="6">
        <f t="shared" si="26"/>
        <v>169.18085637463508</v>
      </c>
      <c r="FO31" s="6">
        <f t="shared" si="26"/>
        <v>167.48904781088874</v>
      </c>
      <c r="FP31" s="6">
        <f t="shared" si="26"/>
        <v>165.81415733277984</v>
      </c>
      <c r="FQ31" s="6">
        <f t="shared" si="26"/>
        <v>164.15601575945203</v>
      </c>
      <c r="FR31" s="6">
        <f t="shared" si="26"/>
        <v>162.51445560185752</v>
      </c>
      <c r="FS31" s="6">
        <f t="shared" si="26"/>
        <v>160.88931104583895</v>
      </c>
      <c r="FT31" s="6">
        <f t="shared" si="26"/>
        <v>159.28041793538057</v>
      </c>
      <c r="FU31" s="6">
        <f t="shared" si="26"/>
        <v>157.68761375602676</v>
      </c>
      <c r="FV31" s="6">
        <f t="shared" si="26"/>
        <v>156.11073761846649</v>
      </c>
      <c r="FW31" s="6">
        <f t="shared" si="26"/>
        <v>154.54963024228181</v>
      </c>
      <c r="FX31" s="6">
        <f t="shared" si="26"/>
        <v>153.00413393985897</v>
      </c>
      <c r="FY31" s="6">
        <f t="shared" si="26"/>
        <v>151.47409260046038</v>
      </c>
      <c r="FZ31" s="6">
        <f t="shared" si="26"/>
        <v>149.95935167445577</v>
      </c>
      <c r="GA31" s="6">
        <f t="shared" si="26"/>
        <v>148.45975815771121</v>
      </c>
      <c r="GB31" s="6">
        <f t="shared" si="26"/>
        <v>146.9751605761341</v>
      </c>
      <c r="GC31" s="6">
        <f t="shared" si="26"/>
        <v>145.50540897037277</v>
      </c>
      <c r="GD31" s="6">
        <f t="shared" si="26"/>
        <v>144.05035488066903</v>
      </c>
      <c r="GE31" s="6">
        <f t="shared" si="26"/>
        <v>142.60985133186233</v>
      </c>
      <c r="GF31" s="6">
        <f t="shared" si="26"/>
        <v>141.1837528185437</v>
      </c>
      <c r="GG31" s="6">
        <f t="shared" si="26"/>
        <v>139.77191529035827</v>
      </c>
      <c r="GH31" s="6">
        <f t="shared" si="26"/>
        <v>138.37419613745467</v>
      </c>
      <c r="GI31" s="6">
        <f t="shared" si="26"/>
        <v>136.99045417608014</v>
      </c>
      <c r="GJ31" s="6">
        <f t="shared" si="26"/>
        <v>135.62054963431933</v>
      </c>
      <c r="GK31" s="6">
        <f t="shared" si="26"/>
        <v>134.26434413797614</v>
      </c>
      <c r="GL31" s="6">
        <f t="shared" si="26"/>
        <v>132.92170069659639</v>
      </c>
      <c r="GM31" s="6">
        <f t="shared" si="26"/>
        <v>131.59248368963043</v>
      </c>
      <c r="GN31" s="6">
        <f t="shared" si="26"/>
        <v>130.27655885273413</v>
      </c>
      <c r="GO31" s="6">
        <f t="shared" si="26"/>
        <v>128.97379326420679</v>
      </c>
      <c r="GP31" s="6">
        <f t="shared" si="26"/>
        <v>127.68405533156472</v>
      </c>
      <c r="GQ31" s="6">
        <f t="shared" si="26"/>
        <v>126.40721477824907</v>
      </c>
      <c r="GR31" s="6">
        <f t="shared" si="26"/>
        <v>125.14314263046658</v>
      </c>
      <c r="GS31" s="6">
        <f t="shared" si="26"/>
        <v>123.89171120416192</v>
      </c>
      <c r="GT31" s="6">
        <f t="shared" si="26"/>
        <v>122.6527940921203</v>
      </c>
      <c r="GU31" s="6">
        <f t="shared" si="26"/>
        <v>121.4262661511991</v>
      </c>
      <c r="GV31" s="6">
        <f t="shared" si="26"/>
        <v>120.21200348968711</v>
      </c>
      <c r="GW31" s="6">
        <f t="shared" si="26"/>
        <v>119.00988345479023</v>
      </c>
      <c r="GX31" s="6">
        <f t="shared" si="26"/>
        <v>117.81978462024233</v>
      </c>
      <c r="GY31" s="6">
        <f t="shared" si="26"/>
        <v>116.64158677403991</v>
      </c>
      <c r="GZ31" s="6">
        <f t="shared" si="26"/>
        <v>115.47517090629951</v>
      </c>
      <c r="HA31" s="6">
        <f t="shared" si="26"/>
        <v>114.32041919723652</v>
      </c>
      <c r="HB31" s="6">
        <f t="shared" si="26"/>
        <v>113.17721500526415</v>
      </c>
      <c r="HC31" s="6">
        <f t="shared" si="26"/>
        <v>112.0454428552115</v>
      </c>
      <c r="HD31" s="6">
        <f t="shared" si="26"/>
        <v>110.92498842665938</v>
      </c>
      <c r="HE31" s="6">
        <f t="shared" si="26"/>
        <v>109.81573854239279</v>
      </c>
      <c r="HF31" s="6">
        <f t="shared" si="26"/>
        <v>108.71758115696886</v>
      </c>
      <c r="HG31" s="6">
        <f t="shared" si="26"/>
        <v>107.63040534539917</v>
      </c>
      <c r="HH31" s="6">
        <f t="shared" si="26"/>
        <v>106.55410129194517</v>
      </c>
    </row>
    <row r="32" spans="1:216" x14ac:dyDescent="0.2">
      <c r="H32" s="4"/>
      <c r="I32" s="4"/>
      <c r="J32" s="4"/>
      <c r="L32" s="4"/>
      <c r="M32" s="4"/>
      <c r="N32" s="4"/>
    </row>
    <row r="33" spans="2:36" x14ac:dyDescent="0.2">
      <c r="B33" t="s">
        <v>3</v>
      </c>
      <c r="H33" s="4">
        <v>231.48</v>
      </c>
      <c r="I33" s="4">
        <v>221</v>
      </c>
      <c r="J33" s="4">
        <v>223</v>
      </c>
      <c r="K33" s="4">
        <v>226</v>
      </c>
      <c r="L33" s="4">
        <v>231.48</v>
      </c>
      <c r="M33" s="4">
        <v>234</v>
      </c>
      <c r="N33" s="4">
        <v>237</v>
      </c>
      <c r="O33" s="4">
        <v>242.2</v>
      </c>
      <c r="U33">
        <v>242.2</v>
      </c>
      <c r="V33">
        <v>226</v>
      </c>
      <c r="W33">
        <v>242.2</v>
      </c>
    </row>
    <row r="34" spans="2:36" x14ac:dyDescent="0.2">
      <c r="B34" t="s">
        <v>32</v>
      </c>
      <c r="H34" s="3">
        <f>H31/H33</f>
        <v>-4.5724814238811113</v>
      </c>
      <c r="I34" s="3">
        <f>I31/I33</f>
        <v>-5.7402714932126688</v>
      </c>
      <c r="J34" s="3">
        <f>J31/J33</f>
        <v>-4.2941704035874446</v>
      </c>
      <c r="K34" s="3">
        <f>K31/K33</f>
        <v>-4.7212920353982311</v>
      </c>
      <c r="L34" s="3">
        <f>L31/L33</f>
        <v>-2.6999308795576296</v>
      </c>
      <c r="M34" s="3">
        <f>M31/M33</f>
        <v>-2.9235042735042733</v>
      </c>
      <c r="N34" s="3">
        <f>N31/N33</f>
        <v>2.3628691983122188E-2</v>
      </c>
      <c r="O34" s="3">
        <f>O31/O33</f>
        <v>1.1332369942196543</v>
      </c>
      <c r="U34" s="3">
        <f>U31/U33</f>
        <v>17.570561519405445</v>
      </c>
      <c r="V34" s="3">
        <f>V31/V33</f>
        <v>-7.9089380530973434</v>
      </c>
      <c r="W34" s="3">
        <f>W31/W33</f>
        <v>1.0148224607762197</v>
      </c>
      <c r="AG34" t="s">
        <v>61</v>
      </c>
      <c r="AH34" s="5">
        <v>0.11</v>
      </c>
    </row>
    <row r="35" spans="2:36" x14ac:dyDescent="0.2">
      <c r="AG35" t="s">
        <v>62</v>
      </c>
      <c r="AH35" s="5">
        <v>-0.01</v>
      </c>
    </row>
    <row r="36" spans="2:36" x14ac:dyDescent="0.2">
      <c r="B36" t="s">
        <v>33</v>
      </c>
      <c r="H36" s="5">
        <f>H21/H19</f>
        <v>0.7615483649472149</v>
      </c>
      <c r="I36" s="5">
        <f t="shared" ref="I36:P36" si="27">I21/I19</f>
        <v>0.79330915751822473</v>
      </c>
      <c r="J36" s="5">
        <f t="shared" si="27"/>
        <v>0.82878453975250044</v>
      </c>
      <c r="K36" s="5">
        <f t="shared" si="27"/>
        <v>0.86692232117389811</v>
      </c>
      <c r="L36" s="5">
        <f t="shared" si="27"/>
        <v>0.87510045366169797</v>
      </c>
      <c r="M36" s="5">
        <f t="shared" si="27"/>
        <v>0.847384337111042</v>
      </c>
      <c r="N36" s="5">
        <f t="shared" si="27"/>
        <v>0.86538747582924291</v>
      </c>
      <c r="O36" s="5">
        <f t="shared" si="27"/>
        <v>0.86845488851489083</v>
      </c>
      <c r="P36" s="5">
        <f t="shared" si="27"/>
        <v>0.86</v>
      </c>
      <c r="Q36" s="5"/>
      <c r="R36" s="5"/>
      <c r="S36" s="5"/>
      <c r="U36" s="5">
        <f t="shared" ref="U36:V36" si="28">U21/U19</f>
        <v>0.83825722446386575</v>
      </c>
      <c r="V36" s="5">
        <f t="shared" si="28"/>
        <v>0.80281963538226009</v>
      </c>
      <c r="W36" s="5">
        <f>W21/W19</f>
        <v>0.86464355922769298</v>
      </c>
      <c r="X36" s="5">
        <f t="shared" ref="X36:AE36" si="29">X21/X19</f>
        <v>0.85</v>
      </c>
      <c r="Y36" s="5">
        <f t="shared" si="29"/>
        <v>0.85</v>
      </c>
      <c r="Z36" s="5">
        <f t="shared" si="29"/>
        <v>0.85</v>
      </c>
      <c r="AA36" s="5">
        <f t="shared" si="29"/>
        <v>0.85</v>
      </c>
      <c r="AB36" s="5">
        <f t="shared" si="29"/>
        <v>0.85</v>
      </c>
      <c r="AC36" s="5">
        <f t="shared" si="29"/>
        <v>0.85000000000000009</v>
      </c>
      <c r="AD36" s="5">
        <f t="shared" si="29"/>
        <v>0.85</v>
      </c>
      <c r="AE36" s="5">
        <f t="shared" si="29"/>
        <v>0.85</v>
      </c>
      <c r="AG36" t="s">
        <v>63</v>
      </c>
      <c r="AH36" s="9">
        <f>NPV(AH34,X31:HH31)</f>
        <v>5378.1260581526622</v>
      </c>
      <c r="AJ36" t="s">
        <v>67</v>
      </c>
    </row>
    <row r="37" spans="2:36" x14ac:dyDescent="0.2">
      <c r="B37" t="s">
        <v>34</v>
      </c>
      <c r="H37" s="5">
        <f>H26/H19</f>
        <v>-1.0165977169341684</v>
      </c>
      <c r="I37" s="5">
        <f t="shared" ref="I37:W37" si="30">I26/I19</f>
        <v>-1.5087193831454138</v>
      </c>
      <c r="J37" s="5">
        <f t="shared" si="30"/>
        <v>-1.6443464994066794</v>
      </c>
      <c r="K37" s="5">
        <f t="shared" si="30"/>
        <v>-1.6852787373625324</v>
      </c>
      <c r="L37" s="5">
        <f t="shared" si="30"/>
        <v>-0.86942320155541153</v>
      </c>
      <c r="M37" s="5">
        <f t="shared" si="30"/>
        <v>-0.93406438120001123</v>
      </c>
      <c r="N37" s="5">
        <f t="shared" si="30"/>
        <v>-0.10664881749219106</v>
      </c>
      <c r="O37" s="5">
        <f t="shared" si="30"/>
        <v>0.12329740861148014</v>
      </c>
      <c r="P37" s="5">
        <f t="shared" si="30"/>
        <v>0.20101382488479264</v>
      </c>
      <c r="Q37" s="5"/>
      <c r="R37" s="5"/>
      <c r="S37" s="5"/>
      <c r="U37" s="5">
        <f t="shared" si="30"/>
        <v>0.47303160228549834</v>
      </c>
      <c r="V37" s="5">
        <f t="shared" si="30"/>
        <v>-0.58631885110659554</v>
      </c>
      <c r="W37" s="5">
        <f t="shared" si="30"/>
        <v>-3.44584616275577E-3</v>
      </c>
      <c r="X37" s="5">
        <f t="shared" ref="X37:AE37" si="31">X26/X19</f>
        <v>0.17</v>
      </c>
      <c r="Y37" s="5">
        <f t="shared" si="31"/>
        <v>0.17</v>
      </c>
      <c r="Z37" s="5">
        <f t="shared" si="31"/>
        <v>0.17</v>
      </c>
      <c r="AA37" s="5">
        <f t="shared" si="31"/>
        <v>0.17</v>
      </c>
      <c r="AB37" s="5">
        <f t="shared" si="31"/>
        <v>0.17</v>
      </c>
      <c r="AC37" s="5">
        <f t="shared" si="31"/>
        <v>0.17</v>
      </c>
      <c r="AD37" s="5">
        <f t="shared" si="31"/>
        <v>0.17</v>
      </c>
      <c r="AE37" s="5">
        <f t="shared" si="31"/>
        <v>0.17</v>
      </c>
      <c r="AG37" t="s">
        <v>64</v>
      </c>
      <c r="AH37" s="3">
        <f>AH36/Main!J2</f>
        <v>22.205309901538655</v>
      </c>
    </row>
    <row r="38" spans="2:36" x14ac:dyDescent="0.2">
      <c r="B38" t="s">
        <v>35</v>
      </c>
      <c r="N38" s="5">
        <f>N31/N19</f>
        <v>8.3296147553175055E-3</v>
      </c>
      <c r="O38" s="5">
        <f t="shared" ref="O38:P38" si="32">O31/O19</f>
        <v>0.28691343570659522</v>
      </c>
      <c r="P38" s="5">
        <f t="shared" si="32"/>
        <v>0</v>
      </c>
      <c r="Q38" s="5"/>
      <c r="R38" s="5"/>
      <c r="S38" s="5"/>
      <c r="W38" s="5">
        <f t="shared" ref="W38:AE38" si="33">W31/W19</f>
        <v>7.9080721600725976E-2</v>
      </c>
      <c r="X38" s="5">
        <f t="shared" si="33"/>
        <v>0.17</v>
      </c>
      <c r="Y38" s="5">
        <f t="shared" si="33"/>
        <v>0.17</v>
      </c>
      <c r="Z38" s="5">
        <f t="shared" si="33"/>
        <v>0.17</v>
      </c>
      <c r="AA38" s="5">
        <f t="shared" si="33"/>
        <v>0.17</v>
      </c>
      <c r="AB38" s="5">
        <f t="shared" si="33"/>
        <v>0.17</v>
      </c>
      <c r="AC38" s="5">
        <f t="shared" si="33"/>
        <v>0.17</v>
      </c>
      <c r="AD38" s="5">
        <f t="shared" si="33"/>
        <v>0.17</v>
      </c>
      <c r="AE38" s="5">
        <f t="shared" si="33"/>
        <v>0.17</v>
      </c>
      <c r="AG38" t="s">
        <v>65</v>
      </c>
      <c r="AH38" s="5">
        <f>AH37/Main!J1-1</f>
        <v>-0.88312994788663868</v>
      </c>
    </row>
    <row r="40" spans="2:36" x14ac:dyDescent="0.2">
      <c r="B40" t="s">
        <v>36</v>
      </c>
      <c r="V40" s="5">
        <f>V19/U19-1</f>
        <v>-0.5925457233648721</v>
      </c>
      <c r="W40" s="5">
        <f>W19/V19-1</f>
        <v>-2.6906447340820261E-2</v>
      </c>
    </row>
    <row r="41" spans="2:36" x14ac:dyDescent="0.2">
      <c r="B41" t="s">
        <v>59</v>
      </c>
      <c r="V41" s="5">
        <f>V15/U15-1</f>
        <v>-0.65538020505769978</v>
      </c>
      <c r="W41" s="5">
        <f>W15/V15-1</f>
        <v>-0.35508021390374334</v>
      </c>
    </row>
    <row r="42" spans="2:36" x14ac:dyDescent="0.2">
      <c r="B42" t="s">
        <v>60</v>
      </c>
      <c r="V42" s="5">
        <f>V16/U16-1</f>
        <v>0.53217324052590897</v>
      </c>
      <c r="W42" s="5">
        <f>W16/V16-1</f>
        <v>0.77518802685376786</v>
      </c>
    </row>
  </sheetData>
  <hyperlinks>
    <hyperlink ref="A1" location="Main!A1" display="Main" xr:uid="{8B9102C8-9E8F-4C74-A5EE-F35151A03FDC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0F2F-DA8C-4E4A-B331-D13F4FE9D4BD}">
  <dimension ref="A1:D13"/>
  <sheetViews>
    <sheetView workbookViewId="0">
      <selection activeCell="A5" sqref="A5:D6"/>
    </sheetView>
  </sheetViews>
  <sheetFormatPr baseColWidth="10" defaultRowHeight="15" x14ac:dyDescent="0.2"/>
  <cols>
    <col min="1" max="1" width="29" bestFit="1" customWidth="1"/>
  </cols>
  <sheetData>
    <row r="1" spans="1:4" x14ac:dyDescent="0.2">
      <c r="B1">
        <v>2021</v>
      </c>
      <c r="C1">
        <v>2022</v>
      </c>
      <c r="D1">
        <v>2023</v>
      </c>
    </row>
    <row r="2" spans="1:4" x14ac:dyDescent="0.2">
      <c r="A2" t="s">
        <v>38</v>
      </c>
      <c r="B2">
        <v>11.2</v>
      </c>
      <c r="C2">
        <v>8.3000000000000007</v>
      </c>
      <c r="D2">
        <v>7</v>
      </c>
    </row>
    <row r="3" spans="1:4" x14ac:dyDescent="0.2">
      <c r="A3" t="s">
        <v>39</v>
      </c>
      <c r="B3">
        <v>1671</v>
      </c>
      <c r="C3">
        <v>830</v>
      </c>
      <c r="D3">
        <v>468</v>
      </c>
    </row>
    <row r="5" spans="1:4" x14ac:dyDescent="0.2">
      <c r="A5" t="s">
        <v>40</v>
      </c>
      <c r="B5">
        <v>535</v>
      </c>
      <c r="C5">
        <v>167</v>
      </c>
      <c r="D5">
        <v>75</v>
      </c>
    </row>
    <row r="6" spans="1:4" x14ac:dyDescent="0.2">
      <c r="A6" t="s">
        <v>41</v>
      </c>
      <c r="B6">
        <v>1136</v>
      </c>
      <c r="C6">
        <v>663</v>
      </c>
      <c r="D6">
        <v>393</v>
      </c>
    </row>
    <row r="12" spans="1:4" x14ac:dyDescent="0.2">
      <c r="A12" t="s">
        <v>42</v>
      </c>
      <c r="B12" s="5">
        <f>B5/B3</f>
        <v>0.32016756433273491</v>
      </c>
      <c r="C12" s="5">
        <f t="shared" ref="C12:D12" si="0">C5/C3</f>
        <v>0.20120481927710843</v>
      </c>
      <c r="D12" s="5">
        <f t="shared" si="0"/>
        <v>0.16025641025641027</v>
      </c>
    </row>
    <row r="13" spans="1:4" x14ac:dyDescent="0.2">
      <c r="A13" t="s">
        <v>43</v>
      </c>
      <c r="B13" s="5">
        <f>B6/B3</f>
        <v>0.67983243566726514</v>
      </c>
      <c r="C13" s="5">
        <f t="shared" ref="C13:D13" si="1">C6/C3</f>
        <v>0.79879518072289157</v>
      </c>
      <c r="D13" s="5">
        <f t="shared" si="1"/>
        <v>0.83974358974358976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Key Metrics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Garza, Jacob S</cp:lastModifiedBy>
  <cp:revision/>
  <dcterms:created xsi:type="dcterms:W3CDTF">2023-07-09T00:01:17Z</dcterms:created>
  <dcterms:modified xsi:type="dcterms:W3CDTF">2024-02-16T18:04:57Z</dcterms:modified>
  <cp:category/>
  <cp:contentStatus/>
</cp:coreProperties>
</file>