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"/>
    </mc:Choice>
  </mc:AlternateContent>
  <xr:revisionPtr revIDLastSave="0" documentId="13_ncr:1_{3580E08D-6BDD-4D48-9385-5EE14D2BD571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Optimization0" sheetId="5" r:id="rId1"/>
    <sheet name="Optimization1" sheetId="2" r:id="rId2"/>
    <sheet name="Optimization2" sheetId="3" r:id="rId3"/>
    <sheet name="Appendix &gt;&gt;" sheetId="10" r:id="rId4"/>
    <sheet name="Optimization0.1" sheetId="7" r:id="rId5"/>
    <sheet name="Optimization0.2" sheetId="8" r:id="rId6"/>
    <sheet name="Optimization0.3" sheetId="9" r:id="rId7"/>
  </sheets>
  <definedNames>
    <definedName name="solver_adj" localSheetId="0" hidden="1">Optimization0!$B$16</definedName>
    <definedName name="solver_adj" localSheetId="4" hidden="1">Optimization0.1!$B$16:$B$19,Optimization0.1!$B$15</definedName>
    <definedName name="solver_adj" localSheetId="5" hidden="1">Optimization0.2!$B$16</definedName>
    <definedName name="solver_adj" localSheetId="6" hidden="1">Optimization0.3!$C$3:$C$12,Optimization0.3!$B$15</definedName>
    <definedName name="solver_adj" localSheetId="1" hidden="1">Optimization1!$B$16,Optimization1!$B$15</definedName>
    <definedName name="solver_adj" localSheetId="2" hidden="1">Optimization2!$B$16,Optimization2!$B$17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itr" localSheetId="2" hidden="1">2147483647</definedName>
    <definedName name="solver_lhs1" localSheetId="0" hidden="1">Optimization0!$B$16</definedName>
    <definedName name="solver_lhs1" localSheetId="4" hidden="1">Optimization0.1!$B$16:$B$19</definedName>
    <definedName name="solver_lhs1" localSheetId="5" hidden="1">Optimization0.2!$B$16</definedName>
    <definedName name="solver_lhs1" localSheetId="6" hidden="1">Optimization0.3!$C$3:$C$12</definedName>
    <definedName name="solver_lhs1" localSheetId="1" hidden="1">Optimization1!$B$16</definedName>
    <definedName name="solver_lhs1" localSheetId="2" hidden="1">Optimization2!$B$16</definedName>
    <definedName name="solver_lhs2" localSheetId="0" hidden="1">Optimization0!$B$16</definedName>
    <definedName name="solver_lhs2" localSheetId="4" hidden="1">Optimization0.1!$B$16:$B$19</definedName>
    <definedName name="solver_lhs2" localSheetId="5" hidden="1">Optimization0.2!$B$16</definedName>
    <definedName name="solver_lhs2" localSheetId="6" hidden="1">Optimization0.3!$C$3:$C$12</definedName>
    <definedName name="solver_lhs2" localSheetId="1" hidden="1">Optimization1!$B$16</definedName>
    <definedName name="solver_lhs2" localSheetId="2" hidden="1">Optimization2!$B$16</definedName>
    <definedName name="solver_lhs3" localSheetId="4" hidden="1">Optimization0.1!$B$20</definedName>
    <definedName name="solver_lhs3" localSheetId="5" hidden="1">Optimization0.2!$D$3:$D$12</definedName>
    <definedName name="solver_lhs3" localSheetId="6" hidden="1">Optimization0.3!$D$3:$D$12</definedName>
    <definedName name="solver_lhs3" localSheetId="2" hidden="1">Optimization2!$B$17</definedName>
    <definedName name="solver_lhs4" localSheetId="4" hidden="1">Optimization0.1!$B$20</definedName>
    <definedName name="solver_lhs4" localSheetId="5" hidden="1">Optimization0.2!$D$3:$D$12</definedName>
    <definedName name="solver_lhs4" localSheetId="6" hidden="1">Optimization0.3!$D$3:$D$12</definedName>
    <definedName name="solver_lhs4" localSheetId="2" hidden="1">Optimization2!$B$17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1" hidden="1">2</definedName>
    <definedName name="solver_num" localSheetId="2" hidden="1">3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nwt" localSheetId="2" hidden="1">1</definedName>
    <definedName name="solver_opt" localSheetId="0" hidden="1">Optimization0!$B$14</definedName>
    <definedName name="solver_opt" localSheetId="4" hidden="1">Optimization0.1!$B$14</definedName>
    <definedName name="solver_opt" localSheetId="5" hidden="1">Optimization0.2!$B$14</definedName>
    <definedName name="solver_opt" localSheetId="6" hidden="1">Optimization0.3!$B$14</definedName>
    <definedName name="solver_opt" localSheetId="1" hidden="1">Optimization1!$B$14</definedName>
    <definedName name="solver_opt" localSheetId="2" hidden="1">Optimization2!$B$14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1" hidden="1">3</definedName>
    <definedName name="solver_rel2" localSheetId="2" hidden="1">3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2" hidden="1">5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4" localSheetId="2" hidden="1">4</definedName>
    <definedName name="solver_rhs1" localSheetId="0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1" hidden="1">1</definedName>
    <definedName name="solver_rhs1" localSheetId="2" hidden="1">1</definedName>
    <definedName name="solver_rhs2" localSheetId="0" hidden="1">0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2" localSheetId="1" hidden="1">0</definedName>
    <definedName name="solver_rhs2" localSheetId="2" hidden="1">0</definedName>
    <definedName name="solver_rhs3" localSheetId="4" hidden="1">1</definedName>
    <definedName name="solver_rhs3" localSheetId="5" hidden="1">1</definedName>
    <definedName name="solver_rhs3" localSheetId="6" hidden="1">1</definedName>
    <definedName name="solver_rhs3" localSheetId="2" hidden="1">"binary"</definedName>
    <definedName name="solver_rhs4" localSheetId="4" hidden="1">0</definedName>
    <definedName name="solver_rhs4" localSheetId="5" hidden="1">0</definedName>
    <definedName name="solver_rhs4" localSheetId="6" hidden="1">0</definedName>
    <definedName name="solver_rhs4" localSheetId="2" hidden="1">"integer"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1" hidden="1">3</definedName>
    <definedName name="solver_ver" localSheetId="2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I9YqrF0oUVO+nMIXy2V8z/8XSNw=="/>
    </ext>
  </extLst>
</workbook>
</file>

<file path=xl/calcChain.xml><?xml version="1.0" encoding="utf-8"?>
<calcChain xmlns="http://schemas.openxmlformats.org/spreadsheetml/2006/main">
  <c r="B9" i="3" l="1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N12" i="9"/>
  <c r="D12" i="9"/>
  <c r="N11" i="9"/>
  <c r="D11" i="9"/>
  <c r="N10" i="9"/>
  <c r="N9" i="9"/>
  <c r="N8" i="9"/>
  <c r="D8" i="9"/>
  <c r="N7" i="9"/>
  <c r="D7" i="9"/>
  <c r="N6" i="9"/>
  <c r="D6" i="9"/>
  <c r="N5" i="9"/>
  <c r="D5" i="9"/>
  <c r="N4" i="9"/>
  <c r="N3" i="9"/>
  <c r="C12" i="8"/>
  <c r="D12" i="8" s="1"/>
  <c r="C11" i="8"/>
  <c r="D11" i="8" s="1"/>
  <c r="O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C3" i="8"/>
  <c r="D3" i="8" s="1"/>
  <c r="N12" i="8"/>
  <c r="N11" i="8"/>
  <c r="N10" i="8"/>
  <c r="N9" i="8"/>
  <c r="N8" i="8"/>
  <c r="N7" i="8"/>
  <c r="N6" i="8"/>
  <c r="N5" i="8"/>
  <c r="N4" i="8"/>
  <c r="N3" i="8"/>
  <c r="B20" i="7"/>
  <c r="F12" i="7"/>
  <c r="F11" i="7"/>
  <c r="F10" i="7"/>
  <c r="F9" i="7"/>
  <c r="F8" i="7"/>
  <c r="F7" i="7"/>
  <c r="F6" i="7"/>
  <c r="F5" i="7"/>
  <c r="F4" i="7"/>
  <c r="F3" i="7"/>
  <c r="E12" i="7"/>
  <c r="E11" i="7"/>
  <c r="E10" i="7"/>
  <c r="E9" i="7"/>
  <c r="E8" i="7"/>
  <c r="E7" i="7"/>
  <c r="E6" i="7"/>
  <c r="E5" i="7"/>
  <c r="E4" i="7"/>
  <c r="E3" i="7"/>
  <c r="D12" i="7"/>
  <c r="D11" i="7"/>
  <c r="D10" i="7"/>
  <c r="D9" i="7"/>
  <c r="D8" i="7"/>
  <c r="D7" i="7"/>
  <c r="D6" i="7"/>
  <c r="D5" i="7"/>
  <c r="D4" i="7"/>
  <c r="D3" i="7"/>
  <c r="C12" i="7"/>
  <c r="C11" i="7"/>
  <c r="C10" i="7"/>
  <c r="C9" i="7"/>
  <c r="C8" i="7"/>
  <c r="C7" i="7"/>
  <c r="C6" i="7"/>
  <c r="C5" i="7"/>
  <c r="C4" i="7"/>
  <c r="C3" i="7"/>
  <c r="N12" i="7"/>
  <c r="N11" i="7"/>
  <c r="N10" i="7"/>
  <c r="N9" i="7"/>
  <c r="N8" i="7"/>
  <c r="N7" i="7"/>
  <c r="N6" i="7"/>
  <c r="N5" i="7"/>
  <c r="N4" i="7"/>
  <c r="N3" i="7"/>
  <c r="D12" i="3"/>
  <c r="D11" i="3"/>
  <c r="D10" i="3"/>
  <c r="D9" i="3"/>
  <c r="D8" i="3"/>
  <c r="D7" i="3"/>
  <c r="D6" i="3"/>
  <c r="D5" i="3"/>
  <c r="D4" i="3"/>
  <c r="D3" i="3"/>
  <c r="C12" i="3"/>
  <c r="C11" i="3"/>
  <c r="C10" i="3"/>
  <c r="C9" i="3"/>
  <c r="C8" i="3"/>
  <c r="C7" i="3"/>
  <c r="C6" i="3"/>
  <c r="C5" i="3"/>
  <c r="C4" i="3"/>
  <c r="C3" i="3"/>
  <c r="N12" i="5"/>
  <c r="N11" i="5"/>
  <c r="N10" i="5"/>
  <c r="N9" i="5"/>
  <c r="N8" i="5"/>
  <c r="N7" i="5"/>
  <c r="N6" i="5"/>
  <c r="N5" i="5"/>
  <c r="N4" i="5"/>
  <c r="N3" i="5"/>
  <c r="Q4" i="3"/>
  <c r="Q5" i="3"/>
  <c r="Q6" i="3"/>
  <c r="Q7" i="3"/>
  <c r="Q8" i="3"/>
  <c r="Q9" i="3"/>
  <c r="Q10" i="3"/>
  <c r="Q11" i="3"/>
  <c r="Q12" i="3"/>
  <c r="Q3" i="3"/>
  <c r="O4" i="8" l="1"/>
  <c r="G4" i="8" s="1"/>
  <c r="B4" i="8" s="1"/>
  <c r="O5" i="9"/>
  <c r="G5" i="9" s="1"/>
  <c r="B5" i="9" s="1"/>
  <c r="T5" i="9" s="1"/>
  <c r="O11" i="9"/>
  <c r="G11" i="9" s="1"/>
  <c r="B11" i="9" s="1"/>
  <c r="T11" i="9" s="1"/>
  <c r="O7" i="9"/>
  <c r="Q7" i="9" s="1"/>
  <c r="O6" i="9"/>
  <c r="O12" i="9"/>
  <c r="D4" i="9"/>
  <c r="O4" i="9" s="1"/>
  <c r="D3" i="9"/>
  <c r="O3" i="9" s="1"/>
  <c r="D9" i="9"/>
  <c r="D10" i="9"/>
  <c r="O10" i="9" s="1"/>
  <c r="O8" i="9"/>
  <c r="T4" i="8"/>
  <c r="Q11" i="8"/>
  <c r="G11" i="8"/>
  <c r="B11" i="8" s="1"/>
  <c r="O8" i="8"/>
  <c r="O12" i="8"/>
  <c r="Q4" i="8"/>
  <c r="S4" i="8"/>
  <c r="S11" i="8"/>
  <c r="T11" i="8"/>
  <c r="O10" i="8"/>
  <c r="O7" i="8"/>
  <c r="O6" i="8"/>
  <c r="O5" i="8"/>
  <c r="O4" i="7"/>
  <c r="G4" i="7" s="1"/>
  <c r="B4" i="7" s="1"/>
  <c r="T4" i="7" s="1"/>
  <c r="O11" i="7"/>
  <c r="O12" i="7"/>
  <c r="O10" i="7"/>
  <c r="Q10" i="7" s="1"/>
  <c r="O5" i="7"/>
  <c r="O6" i="7"/>
  <c r="O9" i="7"/>
  <c r="O8" i="5"/>
  <c r="Q8" i="5" s="1"/>
  <c r="O3" i="5"/>
  <c r="Q3" i="5" s="1"/>
  <c r="O5" i="5"/>
  <c r="Q5" i="5" s="1"/>
  <c r="O6" i="5"/>
  <c r="Q6" i="5" s="1"/>
  <c r="O7" i="5"/>
  <c r="Q7" i="5" s="1"/>
  <c r="O4" i="5"/>
  <c r="Q4" i="5" s="1"/>
  <c r="O9" i="5"/>
  <c r="Q9" i="5" s="1"/>
  <c r="U4" i="8" l="1"/>
  <c r="Q5" i="9"/>
  <c r="Q11" i="9"/>
  <c r="G7" i="9"/>
  <c r="S5" i="9"/>
  <c r="U5" i="9" s="1"/>
  <c r="S11" i="9"/>
  <c r="U11" i="9" s="1"/>
  <c r="Q10" i="9"/>
  <c r="G10" i="9"/>
  <c r="B10" i="9" s="1"/>
  <c r="T10" i="9" s="1"/>
  <c r="G6" i="9"/>
  <c r="Q6" i="9"/>
  <c r="S10" i="9"/>
  <c r="Q4" i="9"/>
  <c r="G4" i="9"/>
  <c r="B4" i="9" s="1"/>
  <c r="T4" i="9" s="1"/>
  <c r="O9" i="9"/>
  <c r="G12" i="9"/>
  <c r="Q12" i="9"/>
  <c r="Q3" i="9"/>
  <c r="G3" i="9"/>
  <c r="S7" i="9"/>
  <c r="B7" i="9"/>
  <c r="T7" i="9" s="1"/>
  <c r="Q8" i="9"/>
  <c r="G8" i="9"/>
  <c r="Q7" i="8"/>
  <c r="G7" i="8"/>
  <c r="Q8" i="8"/>
  <c r="G8" i="8"/>
  <c r="O3" i="8"/>
  <c r="Q6" i="8"/>
  <c r="G6" i="8"/>
  <c r="U11" i="8"/>
  <c r="G10" i="8"/>
  <c r="Q10" i="8"/>
  <c r="Q5" i="8"/>
  <c r="G5" i="8"/>
  <c r="G12" i="8"/>
  <c r="Q12" i="8"/>
  <c r="O9" i="8"/>
  <c r="Q4" i="7"/>
  <c r="Q5" i="7"/>
  <c r="G5" i="7"/>
  <c r="B5" i="7" s="1"/>
  <c r="T5" i="7" s="1"/>
  <c r="G10" i="7"/>
  <c r="B10" i="7" s="1"/>
  <c r="T10" i="7" s="1"/>
  <c r="G6" i="7"/>
  <c r="Q6" i="7"/>
  <c r="O3" i="7"/>
  <c r="Q11" i="7"/>
  <c r="G11" i="7"/>
  <c r="Q12" i="7"/>
  <c r="G12" i="7"/>
  <c r="O8" i="7"/>
  <c r="Q9" i="7"/>
  <c r="G9" i="7"/>
  <c r="O7" i="7"/>
  <c r="S4" i="7"/>
  <c r="U4" i="7" s="1"/>
  <c r="G3" i="5"/>
  <c r="S3" i="5" s="1"/>
  <c r="O10" i="5"/>
  <c r="Q10" i="5" s="1"/>
  <c r="G5" i="5"/>
  <c r="O11" i="5"/>
  <c r="Q11" i="5" s="1"/>
  <c r="G4" i="5"/>
  <c r="G6" i="5"/>
  <c r="G9" i="5"/>
  <c r="G7" i="5"/>
  <c r="O12" i="5"/>
  <c r="Q12" i="5" s="1"/>
  <c r="G8" i="5"/>
  <c r="B3" i="5" l="1"/>
  <c r="Q9" i="9"/>
  <c r="G9" i="9"/>
  <c r="U10" i="9"/>
  <c r="B8" i="9"/>
  <c r="T8" i="9" s="1"/>
  <c r="S8" i="9"/>
  <c r="U7" i="9"/>
  <c r="B3" i="9"/>
  <c r="B17" i="9"/>
  <c r="S3" i="9"/>
  <c r="B6" i="9"/>
  <c r="T6" i="9" s="1"/>
  <c r="S6" i="9"/>
  <c r="B16" i="9"/>
  <c r="B14" i="9"/>
  <c r="S4" i="9"/>
  <c r="U4" i="9" s="1"/>
  <c r="B12" i="9"/>
  <c r="T12" i="9" s="1"/>
  <c r="S12" i="9"/>
  <c r="G3" i="8"/>
  <c r="B17" i="8"/>
  <c r="Q3" i="8"/>
  <c r="S6" i="8"/>
  <c r="B6" i="8"/>
  <c r="T6" i="8" s="1"/>
  <c r="B8" i="8"/>
  <c r="T8" i="8" s="1"/>
  <c r="S8" i="8"/>
  <c r="B10" i="8"/>
  <c r="T10" i="8" s="1"/>
  <c r="S10" i="8"/>
  <c r="G9" i="8"/>
  <c r="Q9" i="8"/>
  <c r="B7" i="8"/>
  <c r="T7" i="8" s="1"/>
  <c r="S7" i="8"/>
  <c r="B12" i="8"/>
  <c r="T12" i="8" s="1"/>
  <c r="S12" i="8"/>
  <c r="B5" i="8"/>
  <c r="T5" i="8" s="1"/>
  <c r="S5" i="8"/>
  <c r="S10" i="7"/>
  <c r="U10" i="7" s="1"/>
  <c r="S5" i="7"/>
  <c r="U5" i="7" s="1"/>
  <c r="B22" i="7"/>
  <c r="G3" i="7"/>
  <c r="Q3" i="7"/>
  <c r="B9" i="7"/>
  <c r="T9" i="7" s="1"/>
  <c r="S9" i="7"/>
  <c r="Q8" i="7"/>
  <c r="G8" i="7"/>
  <c r="B12" i="7"/>
  <c r="T12" i="7" s="1"/>
  <c r="S12" i="7"/>
  <c r="B11" i="7"/>
  <c r="T11" i="7" s="1"/>
  <c r="S11" i="7"/>
  <c r="G7" i="7"/>
  <c r="Q7" i="7"/>
  <c r="B6" i="7"/>
  <c r="T6" i="7" s="1"/>
  <c r="S6" i="7"/>
  <c r="G12" i="5"/>
  <c r="B6" i="5"/>
  <c r="T6" i="5" s="1"/>
  <c r="S6" i="5"/>
  <c r="B4" i="5"/>
  <c r="T4" i="5" s="1"/>
  <c r="S4" i="5"/>
  <c r="G11" i="5"/>
  <c r="B9" i="5"/>
  <c r="T9" i="5" s="1"/>
  <c r="S9" i="5"/>
  <c r="B7" i="5"/>
  <c r="T7" i="5" s="1"/>
  <c r="S7" i="5"/>
  <c r="B5" i="5"/>
  <c r="T5" i="5" s="1"/>
  <c r="S5" i="5"/>
  <c r="T3" i="5"/>
  <c r="U3" i="5" s="1"/>
  <c r="B8" i="5"/>
  <c r="T8" i="5" s="1"/>
  <c r="S8" i="5"/>
  <c r="G10" i="5"/>
  <c r="B17" i="5"/>
  <c r="O12" i="2"/>
  <c r="G12" i="2"/>
  <c r="C12" i="2" s="1"/>
  <c r="O11" i="2"/>
  <c r="G11" i="2"/>
  <c r="C11" i="2" s="1"/>
  <c r="G4" i="2"/>
  <c r="D4" i="2" s="1"/>
  <c r="G5" i="2"/>
  <c r="D5" i="2" s="1"/>
  <c r="G6" i="2"/>
  <c r="D6" i="2" s="1"/>
  <c r="G7" i="2"/>
  <c r="D7" i="2" s="1"/>
  <c r="G8" i="2"/>
  <c r="D8" i="2" s="1"/>
  <c r="G9" i="2"/>
  <c r="D9" i="2" s="1"/>
  <c r="G10" i="2"/>
  <c r="C10" i="2" s="1"/>
  <c r="G3" i="2"/>
  <c r="D3" i="2" s="1"/>
  <c r="O4" i="2"/>
  <c r="O5" i="2"/>
  <c r="O6" i="2"/>
  <c r="O7" i="2"/>
  <c r="O8" i="2"/>
  <c r="O9" i="2"/>
  <c r="O10" i="2"/>
  <c r="O3" i="2"/>
  <c r="U6" i="9" l="1"/>
  <c r="B9" i="9"/>
  <c r="T9" i="9" s="1"/>
  <c r="S9" i="9"/>
  <c r="B20" i="9"/>
  <c r="B21" i="9"/>
  <c r="T3" i="9"/>
  <c r="U3" i="9" s="1"/>
  <c r="U12" i="9"/>
  <c r="U8" i="9"/>
  <c r="U5" i="8"/>
  <c r="U10" i="8"/>
  <c r="U6" i="8"/>
  <c r="B9" i="8"/>
  <c r="T9" i="8" s="1"/>
  <c r="S9" i="8"/>
  <c r="U8" i="8"/>
  <c r="U12" i="8"/>
  <c r="B14" i="8"/>
  <c r="U7" i="8"/>
  <c r="B18" i="8"/>
  <c r="B3" i="8"/>
  <c r="B21" i="8"/>
  <c r="S3" i="8"/>
  <c r="U11" i="7"/>
  <c r="U12" i="7"/>
  <c r="U9" i="7"/>
  <c r="B14" i="7"/>
  <c r="B7" i="7"/>
  <c r="T7" i="7" s="1"/>
  <c r="S7" i="7"/>
  <c r="B23" i="7"/>
  <c r="B3" i="7"/>
  <c r="B26" i="7"/>
  <c r="S3" i="7"/>
  <c r="B8" i="7"/>
  <c r="T8" i="7" s="1"/>
  <c r="S8" i="7"/>
  <c r="U6" i="7"/>
  <c r="U8" i="5"/>
  <c r="B21" i="5"/>
  <c r="B14" i="5"/>
  <c r="U4" i="5"/>
  <c r="U5" i="5"/>
  <c r="U9" i="5"/>
  <c r="B10" i="5"/>
  <c r="T10" i="5" s="1"/>
  <c r="S10" i="5"/>
  <c r="B11" i="5"/>
  <c r="T11" i="5" s="1"/>
  <c r="S11" i="5"/>
  <c r="U6" i="5"/>
  <c r="B18" i="5"/>
  <c r="B12" i="5"/>
  <c r="T12" i="5" s="1"/>
  <c r="S12" i="5"/>
  <c r="U7" i="5"/>
  <c r="R7" i="3"/>
  <c r="R4" i="3"/>
  <c r="R6" i="3"/>
  <c r="R10" i="3"/>
  <c r="R8" i="3"/>
  <c r="R3" i="3"/>
  <c r="R5" i="3"/>
  <c r="R12" i="3"/>
  <c r="R9" i="3"/>
  <c r="R11" i="3"/>
  <c r="D12" i="2"/>
  <c r="P12" i="2" s="1"/>
  <c r="D11" i="2"/>
  <c r="P11" i="2" s="1"/>
  <c r="C8" i="2"/>
  <c r="C9" i="2"/>
  <c r="D10" i="2"/>
  <c r="P10" i="2" s="1"/>
  <c r="C7" i="2"/>
  <c r="C6" i="2"/>
  <c r="C5" i="2"/>
  <c r="C4" i="2"/>
  <c r="C3" i="2"/>
  <c r="U9" i="9" l="1"/>
  <c r="B23" i="9" s="1"/>
  <c r="U9" i="8"/>
  <c r="B22" i="8"/>
  <c r="T3" i="8"/>
  <c r="U3" i="8" s="1"/>
  <c r="B24" i="8" s="1"/>
  <c r="U7" i="7"/>
  <c r="U8" i="7"/>
  <c r="B27" i="7"/>
  <c r="T3" i="7"/>
  <c r="U3" i="7" s="1"/>
  <c r="B29" i="7" s="1"/>
  <c r="U10" i="5"/>
  <c r="U11" i="5"/>
  <c r="U12" i="5"/>
  <c r="B24" i="5" s="1"/>
  <c r="B22" i="5"/>
  <c r="P8" i="2"/>
  <c r="P9" i="2"/>
  <c r="R9" i="2" s="1"/>
  <c r="P3" i="2"/>
  <c r="P4" i="2"/>
  <c r="R4" i="2" s="1"/>
  <c r="T6" i="3"/>
  <c r="G7" i="3"/>
  <c r="B7" i="3" s="1"/>
  <c r="W7" i="3" s="1"/>
  <c r="T7" i="3"/>
  <c r="G3" i="3"/>
  <c r="B3" i="3" s="1"/>
  <c r="T3" i="3"/>
  <c r="G8" i="3"/>
  <c r="B8" i="3" s="1"/>
  <c r="W8" i="3" s="1"/>
  <c r="T8" i="3"/>
  <c r="T10" i="3"/>
  <c r="G10" i="3"/>
  <c r="B10" i="3" s="1"/>
  <c r="W10" i="3" s="1"/>
  <c r="G4" i="3"/>
  <c r="B4" i="3" s="1"/>
  <c r="W4" i="3" s="1"/>
  <c r="T4" i="3"/>
  <c r="G12" i="3"/>
  <c r="B12" i="3" s="1"/>
  <c r="W12" i="3" s="1"/>
  <c r="T12" i="3"/>
  <c r="T5" i="3"/>
  <c r="G5" i="3"/>
  <c r="B5" i="3" s="1"/>
  <c r="W5" i="3" s="1"/>
  <c r="T11" i="3"/>
  <c r="G11" i="3"/>
  <c r="B11" i="3" s="1"/>
  <c r="W11" i="3" s="1"/>
  <c r="T9" i="3"/>
  <c r="G9" i="3"/>
  <c r="W9" i="3" s="1"/>
  <c r="H12" i="2"/>
  <c r="R12" i="2"/>
  <c r="H11" i="2"/>
  <c r="B11" i="2" s="1"/>
  <c r="U11" i="2" s="1"/>
  <c r="R11" i="2"/>
  <c r="R8" i="2"/>
  <c r="H8" i="2"/>
  <c r="B8" i="2" s="1"/>
  <c r="U8" i="2" s="1"/>
  <c r="R10" i="2"/>
  <c r="H10" i="2"/>
  <c r="B10" i="2" s="1"/>
  <c r="U10" i="2" s="1"/>
  <c r="P5" i="2"/>
  <c r="P6" i="2"/>
  <c r="P7" i="2"/>
  <c r="T10" i="2" l="1"/>
  <c r="T11" i="2"/>
  <c r="V10" i="2"/>
  <c r="T8" i="2"/>
  <c r="V8" i="2" s="1"/>
  <c r="H9" i="2"/>
  <c r="B12" i="2"/>
  <c r="U12" i="2" s="1"/>
  <c r="T12" i="2"/>
  <c r="V12" i="2" s="1"/>
  <c r="V11" i="2"/>
  <c r="H4" i="2"/>
  <c r="W3" i="3"/>
  <c r="V3" i="3"/>
  <c r="X3" i="3" s="1"/>
  <c r="V12" i="3"/>
  <c r="V5" i="3"/>
  <c r="V7" i="3"/>
  <c r="V4" i="3"/>
  <c r="V8" i="3"/>
  <c r="V10" i="3"/>
  <c r="V9" i="3"/>
  <c r="V11" i="3"/>
  <c r="B18" i="3"/>
  <c r="B14" i="3"/>
  <c r="G6" i="3"/>
  <c r="B6" i="3" s="1"/>
  <c r="W6" i="3" s="1"/>
  <c r="B17" i="2"/>
  <c r="R3" i="2"/>
  <c r="H3" i="2"/>
  <c r="R5" i="2"/>
  <c r="H5" i="2"/>
  <c r="R6" i="2"/>
  <c r="H6" i="2"/>
  <c r="R7" i="2"/>
  <c r="H7" i="2"/>
  <c r="B3" i="2" l="1"/>
  <c r="T3" i="2"/>
  <c r="B4" i="2"/>
  <c r="U4" i="2" s="1"/>
  <c r="T4" i="2"/>
  <c r="V4" i="2" s="1"/>
  <c r="B7" i="2"/>
  <c r="U7" i="2" s="1"/>
  <c r="T7" i="2"/>
  <c r="B6" i="2"/>
  <c r="U6" i="2" s="1"/>
  <c r="T6" i="2"/>
  <c r="B9" i="2"/>
  <c r="U9" i="2" s="1"/>
  <c r="T9" i="2"/>
  <c r="B5" i="2"/>
  <c r="U5" i="2" s="1"/>
  <c r="T5" i="2"/>
  <c r="B22" i="3"/>
  <c r="X7" i="3"/>
  <c r="X5" i="3"/>
  <c r="X8" i="3"/>
  <c r="X4" i="3"/>
  <c r="X11" i="3"/>
  <c r="X9" i="3"/>
  <c r="X12" i="3"/>
  <c r="X10" i="3"/>
  <c r="B21" i="2"/>
  <c r="B19" i="3"/>
  <c r="V6" i="3"/>
  <c r="X6" i="3" s="1"/>
  <c r="B21" i="3"/>
  <c r="B18" i="2"/>
  <c r="B14" i="2"/>
  <c r="V5" i="2" l="1"/>
  <c r="V9" i="2"/>
  <c r="V7" i="2"/>
  <c r="V6" i="2"/>
  <c r="B22" i="2"/>
  <c r="U3" i="2"/>
  <c r="V3" i="2" s="1"/>
  <c r="B24" i="2" s="1"/>
  <c r="B24" i="3"/>
</calcChain>
</file>

<file path=xl/sharedStrings.xml><?xml version="1.0" encoding="utf-8"?>
<sst xmlns="http://schemas.openxmlformats.org/spreadsheetml/2006/main" count="248" uniqueCount="53">
  <si>
    <t>kre0</t>
  </si>
  <si>
    <t>kff0</t>
  </si>
  <si>
    <t>kf0</t>
  </si>
  <si>
    <t>k0</t>
  </si>
  <si>
    <t>efflabtot</t>
  </si>
  <si>
    <t>ben</t>
  </si>
  <si>
    <t>bkf</t>
  </si>
  <si>
    <t>bk</t>
  </si>
  <si>
    <t>blab</t>
  </si>
  <si>
    <t>Barbados</t>
  </si>
  <si>
    <t>Country</t>
  </si>
  <si>
    <t>total value added(y)</t>
  </si>
  <si>
    <t>Argentina</t>
  </si>
  <si>
    <t>Botswana</t>
  </si>
  <si>
    <t>Democratic Republic of the Congo</t>
  </si>
  <si>
    <t>Egypt</t>
  </si>
  <si>
    <t>Ghana</t>
  </si>
  <si>
    <t>Indonesia</t>
  </si>
  <si>
    <t>Mozambique</t>
  </si>
  <si>
    <t>Nigeria</t>
  </si>
  <si>
    <t>South Africa</t>
  </si>
  <si>
    <t>value add est (y)</t>
  </si>
  <si>
    <t>difference</t>
  </si>
  <si>
    <t>Sum of resid sq</t>
  </si>
  <si>
    <t>split</t>
  </si>
  <si>
    <t>efflabtot scaling</t>
  </si>
  <si>
    <t>scaled efflabtot</t>
  </si>
  <si>
    <t>tfp (original)</t>
  </si>
  <si>
    <t>tfp (estimated)</t>
  </si>
  <si>
    <t>correlation between est y and y</t>
  </si>
  <si>
    <t>reutil</t>
  </si>
  <si>
    <t>ffutil</t>
  </si>
  <si>
    <t>ben (estimated)</t>
  </si>
  <si>
    <t>bk (estimated)</t>
  </si>
  <si>
    <t>unemployment</t>
  </si>
  <si>
    <t>cali check 1</t>
  </si>
  <si>
    <t>cali check 2</t>
  </si>
  <si>
    <t>unemployment toggle</t>
  </si>
  <si>
    <t>working</t>
  </si>
  <si>
    <t>tfp (raw)</t>
  </si>
  <si>
    <t>average raw tfp</t>
  </si>
  <si>
    <t>tfp (processed)</t>
  </si>
  <si>
    <t>average processed tfp</t>
  </si>
  <si>
    <t>includes efflabtot scaling and unemployment</t>
  </si>
  <si>
    <t>includes efflabtot scaling</t>
  </si>
  <si>
    <t>correlation between est tfp and original tfp</t>
  </si>
  <si>
    <t>sum of coef</t>
  </si>
  <si>
    <t>Let the algorithm assign uniform coefficients and change effective labor scaling</t>
  </si>
  <si>
    <t>Let the algorithm choose a uniform ben</t>
  </si>
  <si>
    <t>Let the algorithm decide a uniform effective labor scaling factor and choose ben and bk individually for each country</t>
  </si>
  <si>
    <t>Let the algorithm decide how to split among ben and bk, no effective labor scaling</t>
  </si>
  <si>
    <t>Let the algorithm decide how to split among ben and bk, with effective labor scaling</t>
  </si>
  <si>
    <t>Let the algorithm decide how to split among ben and bk, with utilization rates, unemployment rate, and effective labor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</si>
</sst>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1">
    <xf numFmtId="0" fontId="0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164" fontId="7" fillId="0" borderId="0" xfId="0" applyNumberFormat="1" applyFont="1" applyFill="1"/>
    <xf numFmtId="164" fontId="8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/>
    <xf numFmtId="164" fontId="3" fillId="0" borderId="0" xfId="0" applyNumberFormat="1" applyFont="1" applyFill="1"/>
    <xf numFmtId="164" fontId="8" fillId="2" borderId="0" xfId="0" applyNumberFormat="1" applyFont="1" applyFill="1"/>
    <xf numFmtId="0" fontId="6" fillId="0" borderId="0" xfId="0" applyFont="1" applyFill="1"/>
    <xf numFmtId="164" fontId="5" fillId="0" borderId="0" xfId="0" applyNumberFormat="1" applyFont="1" applyFill="1"/>
    <xf numFmtId="164" fontId="4" fillId="0" borderId="0" xfId="0" applyNumberFormat="1" applyFont="1" applyFill="1"/>
    <xf numFmtId="0" fontId="2" fillId="0" borderId="0" xfId="0" applyFont="1" applyFill="1"/>
    <xf numFmtId="164" fontId="7" fillId="0" borderId="0" xfId="0" applyNumberFormat="1" applyFont="1" applyFill="1" applyAlignment="1"/>
    <xf numFmtId="0" fontId="2" fillId="0" borderId="0" xfId="0" applyFont="1" applyFill="1" applyAlignment="1"/>
    <xf numFmtId="164" fontId="8" fillId="4" borderId="0" xfId="0" applyNumberFormat="1" applyFont="1" applyFill="1"/>
    <xf numFmtId="0" fontId="2" fillId="4" borderId="0" xfId="0" applyFont="1" applyFill="1"/>
    <xf numFmtId="9" fontId="10" fillId="0" borderId="0" xfId="1" applyFont="1" applyFill="1"/>
    <xf numFmtId="164" fontId="8" fillId="3" borderId="0" xfId="0" applyNumberFormat="1" applyFont="1" applyFill="1" applyBorder="1"/>
    <xf numFmtId="0" fontId="4" fillId="0" borderId="1" xfId="0" applyFont="1" applyFill="1" applyBorder="1"/>
    <xf numFmtId="164" fontId="8" fillId="3" borderId="2" xfId="0" applyNumberFormat="1" applyFont="1" applyFill="1" applyBorder="1"/>
    <xf numFmtId="0" fontId="4" fillId="0" borderId="3" xfId="0" applyFont="1" applyFill="1" applyBorder="1"/>
    <xf numFmtId="164" fontId="8" fillId="3" borderId="4" xfId="0" applyNumberFormat="1" applyFont="1" applyFill="1" applyBorder="1"/>
    <xf numFmtId="164" fontId="8" fillId="3" borderId="5" xfId="0" applyNumberFormat="1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164" fontId="0" fillId="0" borderId="0" xfId="0" applyNumberFormat="1" applyFont="1" applyFill="1" applyAlignment="1"/>
    <xf numFmtId="0" fontId="1" fillId="0" borderId="0" xfId="0" applyFont="1" applyFill="1"/>
    <xf numFmtId="0" fontId="1" fillId="0" borderId="0" xfId="0" applyFont="1" applyFill="1" applyBorder="1"/>
    <xf numFmtId="0" fontId="11" fillId="0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8D58-B749-44D7-A433-5CC03F8019E5}">
  <sheetPr codeName="Sheet1">
    <outlinePr summaryBelow="0" summaryRight="0"/>
  </sheetPr>
  <dimension ref="A1:U24"/>
  <sheetViews>
    <sheetView workbookViewId="0">
      <selection activeCell="G18" sqref="G18"/>
    </sheetView>
  </sheetViews>
  <sheetFormatPr defaultColWidth="14.44140625" defaultRowHeight="15" customHeight="1" x14ac:dyDescent="0.3"/>
  <cols>
    <col min="1" max="1" width="40.77734375" style="2" customWidth="1"/>
    <col min="2" max="16" width="15.77734375" style="2" customWidth="1"/>
    <col min="17" max="16384" width="14.44140625" style="2"/>
  </cols>
  <sheetData>
    <row r="1" spans="1:21" ht="15" customHeight="1" thickBot="1" x14ac:dyDescent="0.35">
      <c r="A1" s="30" t="s">
        <v>50</v>
      </c>
    </row>
    <row r="2" spans="1:21" ht="15" customHeight="1" x14ac:dyDescent="0.3">
      <c r="A2" s="24" t="s">
        <v>10</v>
      </c>
      <c r="B2" s="25" t="s">
        <v>28</v>
      </c>
      <c r="C2" s="25" t="s">
        <v>5</v>
      </c>
      <c r="D2" s="26" t="s">
        <v>7</v>
      </c>
      <c r="E2" s="1" t="s">
        <v>6</v>
      </c>
      <c r="F2" s="1" t="s">
        <v>8</v>
      </c>
      <c r="G2" s="12" t="s">
        <v>39</v>
      </c>
      <c r="H2" s="5" t="s">
        <v>27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5" t="s">
        <v>26</v>
      </c>
      <c r="O2" s="5" t="s">
        <v>21</v>
      </c>
      <c r="P2" s="1" t="s">
        <v>11</v>
      </c>
      <c r="Q2" s="6" t="s">
        <v>22</v>
      </c>
      <c r="S2" s="14" t="s">
        <v>35</v>
      </c>
      <c r="T2" s="14" t="s">
        <v>36</v>
      </c>
      <c r="U2" s="14" t="s">
        <v>38</v>
      </c>
    </row>
    <row r="3" spans="1:21" ht="15" customHeight="1" x14ac:dyDescent="0.3">
      <c r="A3" s="19" t="s">
        <v>12</v>
      </c>
      <c r="B3" s="18">
        <f>G3*($B$15)^F3</f>
        <v>1.5483328821615816</v>
      </c>
      <c r="C3" s="18">
        <f>(1-E3-F3)*$B$16</f>
        <v>0.23120573103504574</v>
      </c>
      <c r="D3" s="20">
        <f>(1-E3-F3)*(1-$B$16)</f>
        <v>0.17436426896495424</v>
      </c>
      <c r="E3" s="3">
        <v>0.06</v>
      </c>
      <c r="F3" s="3">
        <v>0.53442999999999996</v>
      </c>
      <c r="G3" s="15">
        <f t="shared" ref="G3:G12" si="0">P3/O3</f>
        <v>1.5483328821615816</v>
      </c>
      <c r="H3" s="3">
        <v>0.81218433380126998</v>
      </c>
      <c r="I3" s="3">
        <v>65.294229000000001</v>
      </c>
      <c r="J3" s="3">
        <v>104.43883599999999</v>
      </c>
      <c r="K3" s="3">
        <v>211.67599999999999</v>
      </c>
      <c r="L3" s="3">
        <v>3017.7409349999998</v>
      </c>
      <c r="M3" s="3">
        <v>93.811000000000007</v>
      </c>
      <c r="N3" s="4">
        <f t="shared" ref="N3:N12" si="1">M3*$B$15</f>
        <v>93.811000000000007</v>
      </c>
      <c r="O3" s="4">
        <f>(I3+J3)^C3*(K3)^E3*(L3)^D3*(N3)^F3</f>
        <v>206.93733898661898</v>
      </c>
      <c r="P3" s="3">
        <v>320.40788650000002</v>
      </c>
      <c r="Q3" s="7">
        <f t="shared" ref="Q3:Q11" si="2">(P3-O3)^2</f>
        <v>12875.565152986463</v>
      </c>
      <c r="S3" s="4">
        <f>(I3+J3)^C3*(K3)^E3*(L3)^D3*(N3)^F3*G3</f>
        <v>320.40788650000002</v>
      </c>
      <c r="T3" s="4">
        <f>(I3+J3)^C3*(K3)^E3*(L3)^D3*(M3)^F3*B3</f>
        <v>320.40788650000002</v>
      </c>
      <c r="U3" s="2" t="b">
        <f t="shared" ref="U3:U12" si="3">IF(AND(P3=S3,S3=T3),TRUE, FALSE)</f>
        <v>1</v>
      </c>
    </row>
    <row r="4" spans="1:21" ht="15" customHeight="1" x14ac:dyDescent="0.3">
      <c r="A4" s="19" t="s">
        <v>9</v>
      </c>
      <c r="B4" s="18">
        <f>G4*($B$15)^F4</f>
        <v>2.7411442183001893</v>
      </c>
      <c r="C4" s="18">
        <f t="shared" ref="C4:C12" si="4">(1-E4-F4)*$B$16</f>
        <v>0.16308734752202059</v>
      </c>
      <c r="D4" s="20">
        <f t="shared" ref="D4:D12" si="5">(1-E4-F4)*(1-$B$16)</f>
        <v>0.12299265247797941</v>
      </c>
      <c r="E4" s="3">
        <v>0.13</v>
      </c>
      <c r="F4" s="3">
        <v>0.58391999999999999</v>
      </c>
      <c r="G4" s="15">
        <f t="shared" si="0"/>
        <v>2.7411442183001893</v>
      </c>
      <c r="H4" s="3">
        <v>0.36648318171501199</v>
      </c>
      <c r="I4" s="3">
        <v>7.6700000000000004E-2</v>
      </c>
      <c r="J4" s="3">
        <v>0.98149200000000003</v>
      </c>
      <c r="K4" s="3">
        <v>4.3997044939999999</v>
      </c>
      <c r="L4" s="3">
        <v>28.52167773</v>
      </c>
      <c r="M4" s="3">
        <v>0.622</v>
      </c>
      <c r="N4" s="4">
        <f t="shared" si="1"/>
        <v>0.622</v>
      </c>
      <c r="O4" s="4">
        <f>(I4+J4)^C4*(K4)^E4*(L4)^D4*(N4)^F4</f>
        <v>1.4002872480676056</v>
      </c>
      <c r="P4" s="3">
        <v>3.8383892940000002</v>
      </c>
      <c r="Q4" s="7">
        <f t="shared" si="2"/>
        <v>5.9443415863797284</v>
      </c>
      <c r="S4" s="4">
        <f>(I4+J4)^C4*(K4)^E4*(L4)^D4*(N4)^F4*G4</f>
        <v>3.8383892940000002</v>
      </c>
      <c r="T4" s="4">
        <f>(I4+J4)^C4*(K4)^E4*(L4)^D4*(M4)^F4*B4</f>
        <v>3.8383892940000002</v>
      </c>
      <c r="U4" s="2" t="b">
        <f t="shared" si="3"/>
        <v>1</v>
      </c>
    </row>
    <row r="5" spans="1:21" ht="15" customHeight="1" x14ac:dyDescent="0.3">
      <c r="A5" s="19" t="s">
        <v>13</v>
      </c>
      <c r="B5" s="18">
        <f>G5*($B$15)^F5</f>
        <v>1.5405410498506715</v>
      </c>
      <c r="C5" s="18">
        <f t="shared" si="4"/>
        <v>0.2644069583829291</v>
      </c>
      <c r="D5" s="20">
        <f t="shared" si="5"/>
        <v>0.19940304161707084</v>
      </c>
      <c r="E5" s="3">
        <v>0.06</v>
      </c>
      <c r="F5" s="3">
        <v>0.47619</v>
      </c>
      <c r="G5" s="15">
        <f t="shared" si="0"/>
        <v>1.5405410498506715</v>
      </c>
      <c r="H5" s="3">
        <v>0.62282443046569802</v>
      </c>
      <c r="I5" s="3">
        <v>9.0150000000000004E-3</v>
      </c>
      <c r="J5" s="3">
        <v>3.370892</v>
      </c>
      <c r="K5" s="3">
        <v>11.984056580000001</v>
      </c>
      <c r="L5" s="3">
        <v>170.47203640000001</v>
      </c>
      <c r="M5" s="3">
        <v>4.6139999999999999</v>
      </c>
      <c r="N5" s="4">
        <f t="shared" si="1"/>
        <v>4.6139999999999999</v>
      </c>
      <c r="O5" s="4">
        <f>(I5+J5)^C5*(K5)^E5*(L5)^D5*(N5)^F5</f>
        <v>9.2424659838698631</v>
      </c>
      <c r="P5" s="3">
        <v>14.238398249999999</v>
      </c>
      <c r="Q5" s="7">
        <f t="shared" si="2"/>
        <v>24.959339207760202</v>
      </c>
      <c r="S5" s="4">
        <f>(I5+J5)^C5*(K5)^E5*(L5)^D5*(N5)^F5*G5</f>
        <v>14.238398249999999</v>
      </c>
      <c r="T5" s="4">
        <f>(I5+J5)^C5*(K5)^E5*(L5)^D5*(M5)^F5*B5</f>
        <v>14.238398249999999</v>
      </c>
      <c r="U5" s="2" t="b">
        <f t="shared" si="3"/>
        <v>1</v>
      </c>
    </row>
    <row r="6" spans="1:21" ht="15" customHeight="1" x14ac:dyDescent="0.3">
      <c r="A6" s="19" t="s">
        <v>14</v>
      </c>
      <c r="B6" s="18">
        <f>G6*($B$15)^F6</f>
        <v>0.64319424959898563</v>
      </c>
      <c r="C6" s="18">
        <f t="shared" si="4"/>
        <v>0.29181051261735153</v>
      </c>
      <c r="D6" s="20">
        <f t="shared" si="5"/>
        <v>0.22006948738264862</v>
      </c>
      <c r="E6" s="3">
        <v>0.09</v>
      </c>
      <c r="F6" s="3">
        <v>0.39811999999999997</v>
      </c>
      <c r="G6" s="15">
        <f t="shared" si="0"/>
        <v>0.64319424959898563</v>
      </c>
      <c r="H6" s="3">
        <v>0.3</v>
      </c>
      <c r="I6" s="3">
        <v>14.741268</v>
      </c>
      <c r="J6" s="3">
        <v>0.106604</v>
      </c>
      <c r="K6" s="3">
        <v>24.950894779999999</v>
      </c>
      <c r="L6" s="3">
        <v>229.81223320000001</v>
      </c>
      <c r="M6" s="3">
        <v>137.09299999999999</v>
      </c>
      <c r="N6" s="4">
        <f t="shared" si="1"/>
        <v>137.09299999999999</v>
      </c>
      <c r="O6" s="4">
        <f>(I6+J6)^C6*(K6)^E6*(L6)^D6*(N6)^F6</f>
        <v>68.880515206132642</v>
      </c>
      <c r="P6" s="3">
        <v>44.303551290000001</v>
      </c>
      <c r="Q6" s="7">
        <f t="shared" si="2"/>
        <v>604.02715533488583</v>
      </c>
      <c r="S6" s="4">
        <f>(I6+J6)^C6*(K6)^E6*(L6)^D6*(N6)^F6*G6</f>
        <v>44.303551290000001</v>
      </c>
      <c r="T6" s="4">
        <f>(I6+J6)^C6*(K6)^E6*(L6)^D6*(M6)^F6*B6</f>
        <v>44.303551290000001</v>
      </c>
      <c r="U6" s="2" t="b">
        <f t="shared" si="3"/>
        <v>1</v>
      </c>
    </row>
    <row r="7" spans="1:21" ht="15" customHeight="1" x14ac:dyDescent="0.3">
      <c r="A7" s="19" t="s">
        <v>15</v>
      </c>
      <c r="B7" s="18">
        <f>G7*($B$15)^F7</f>
        <v>1.156559589438954</v>
      </c>
      <c r="C7" s="18">
        <f t="shared" si="4"/>
        <v>0.27518709590264884</v>
      </c>
      <c r="D7" s="20">
        <f t="shared" si="5"/>
        <v>0.20753290409735117</v>
      </c>
      <c r="E7" s="3">
        <v>0.09</v>
      </c>
      <c r="F7" s="3">
        <v>0.42727999999999999</v>
      </c>
      <c r="G7" s="15">
        <f t="shared" si="0"/>
        <v>1.156559589438954</v>
      </c>
      <c r="H7" s="3">
        <v>1.1712350845336901</v>
      </c>
      <c r="I7" s="3">
        <v>26.681745222222226</v>
      </c>
      <c r="J7" s="3">
        <v>196.47852399999999</v>
      </c>
      <c r="K7" s="3">
        <v>168.94399999999999</v>
      </c>
      <c r="L7" s="3">
        <v>1445.5457309999999</v>
      </c>
      <c r="M7" s="3">
        <v>195.71799999999999</v>
      </c>
      <c r="N7" s="4">
        <f t="shared" si="1"/>
        <v>195.71799999999999</v>
      </c>
      <c r="O7" s="4">
        <f>(I7+J7)^C7*(K7)^E7*(L7)^D7*(N7)^F7</f>
        <v>303.238602232446</v>
      </c>
      <c r="P7" s="3">
        <v>350.71351329999999</v>
      </c>
      <c r="Q7" s="7">
        <f t="shared" si="2"/>
        <v>2253.8671808721601</v>
      </c>
      <c r="S7" s="4">
        <f>(I7+J7)^C7*(K7)^E7*(L7)^D7*(N7)^F7*G7</f>
        <v>350.71351330000005</v>
      </c>
      <c r="T7" s="4">
        <f>(I7+J7)^C7*(K7)^E7*(L7)^D7*(M7)^F7*B7</f>
        <v>350.71351330000005</v>
      </c>
      <c r="U7" s="2" t="b">
        <f t="shared" si="3"/>
        <v>1</v>
      </c>
    </row>
    <row r="8" spans="1:21" ht="15" customHeight="1" x14ac:dyDescent="0.3">
      <c r="A8" s="19" t="s">
        <v>16</v>
      </c>
      <c r="B8" s="18">
        <f>G8*($B$15)^F8</f>
        <v>1.0607844053747184</v>
      </c>
      <c r="C8" s="18">
        <f t="shared" si="4"/>
        <v>0.26852860800046346</v>
      </c>
      <c r="D8" s="20">
        <f t="shared" si="5"/>
        <v>0.20251139199953658</v>
      </c>
      <c r="E8" s="3">
        <v>0.11</v>
      </c>
      <c r="F8" s="3">
        <v>0.41896</v>
      </c>
      <c r="G8" s="15">
        <f t="shared" si="0"/>
        <v>1.0607844053747184</v>
      </c>
      <c r="H8" s="3">
        <v>0.5</v>
      </c>
      <c r="I8" s="3">
        <v>8.80858615</v>
      </c>
      <c r="J8" s="3">
        <v>13.47254</v>
      </c>
      <c r="K8" s="3">
        <v>45.723372210000001</v>
      </c>
      <c r="L8" s="3">
        <v>355.20250160000001</v>
      </c>
      <c r="M8" s="3">
        <v>52.981999999999999</v>
      </c>
      <c r="N8" s="4">
        <f t="shared" si="1"/>
        <v>52.981999999999999</v>
      </c>
      <c r="O8" s="4">
        <f>(I8+J8)^C8*(K8)^E8*(L8)^D8*(N8)^F8</f>
        <v>60.731799848851175</v>
      </c>
      <c r="P8" s="3">
        <v>64.423346190000004</v>
      </c>
      <c r="Q8" s="7">
        <f t="shared" si="2"/>
        <v>13.627514388849306</v>
      </c>
      <c r="S8" s="4">
        <f>(I8+J8)^C8*(K8)^E8*(L8)^D8*(N8)^F8*G8</f>
        <v>64.423346190000004</v>
      </c>
      <c r="T8" s="4">
        <f>(I8+J8)^C8*(K8)^E8*(L8)^D8*(M8)^F8*B8</f>
        <v>64.423346190000004</v>
      </c>
      <c r="U8" s="2" t="b">
        <f t="shared" si="3"/>
        <v>1</v>
      </c>
    </row>
    <row r="9" spans="1:21" ht="15" customHeight="1" x14ac:dyDescent="0.3">
      <c r="A9" s="19" t="s">
        <v>17</v>
      </c>
      <c r="B9" s="18">
        <f>G9*($B$15)^F9</f>
        <v>0.96437146973333499</v>
      </c>
      <c r="C9" s="18">
        <f t="shared" si="4"/>
        <v>0.29105231151205124</v>
      </c>
      <c r="D9" s="20">
        <f t="shared" si="5"/>
        <v>0.21949768848794882</v>
      </c>
      <c r="E9" s="3">
        <v>0.09</v>
      </c>
      <c r="F9" s="3">
        <v>0.39945000000000003</v>
      </c>
      <c r="G9" s="15">
        <f t="shared" si="0"/>
        <v>0.96437146973333499</v>
      </c>
      <c r="H9" s="3">
        <v>0.44486066699027998</v>
      </c>
      <c r="I9" s="3">
        <v>43.670473125000001</v>
      </c>
      <c r="J9" s="3">
        <v>219.94610800000001</v>
      </c>
      <c r="K9" s="3">
        <v>1656.89</v>
      </c>
      <c r="L9" s="3">
        <v>15865.29342</v>
      </c>
      <c r="M9" s="3">
        <v>593.95699999999999</v>
      </c>
      <c r="N9" s="4">
        <f t="shared" si="1"/>
        <v>593.95699999999999</v>
      </c>
      <c r="O9" s="4">
        <f>(I9+J9)^C9*(K9)^E9*(L9)^D9*(N9)^F9</f>
        <v>1057.6238244397994</v>
      </c>
      <c r="P9" s="3">
        <v>1019.942242</v>
      </c>
      <c r="Q9" s="7">
        <f t="shared" si="2"/>
        <v>1419.9016551673985</v>
      </c>
      <c r="S9" s="4">
        <f>(I9+J9)^C9*(K9)^E9*(L9)^D9*(N9)^F9*G9</f>
        <v>1019.942242</v>
      </c>
      <c r="T9" s="4">
        <f>(I9+J9)^C9*(K9)^E9*(L9)^D9*(M9)^F9*B9</f>
        <v>1019.942242</v>
      </c>
      <c r="U9" s="2" t="b">
        <f t="shared" si="3"/>
        <v>1</v>
      </c>
    </row>
    <row r="10" spans="1:21" ht="15" customHeight="1" x14ac:dyDescent="0.3">
      <c r="A10" s="19" t="s">
        <v>18</v>
      </c>
      <c r="B10" s="18">
        <f>G10*($B$15)^F10</f>
        <v>0.37595688404037308</v>
      </c>
      <c r="C10" s="18">
        <f t="shared" si="4"/>
        <v>0.18099343527952436</v>
      </c>
      <c r="D10" s="20">
        <f t="shared" si="5"/>
        <v>0.13649656472047569</v>
      </c>
      <c r="E10" s="3">
        <v>0.1</v>
      </c>
      <c r="F10" s="3">
        <v>0.58250999999999997</v>
      </c>
      <c r="G10" s="15">
        <f t="shared" si="0"/>
        <v>0.37595688404037308</v>
      </c>
      <c r="H10" s="3">
        <v>0.28394982218742398</v>
      </c>
      <c r="I10" s="3">
        <v>12.295908000000001</v>
      </c>
      <c r="J10" s="3">
        <v>2.212952</v>
      </c>
      <c r="K10" s="3">
        <v>11.63448475</v>
      </c>
      <c r="L10" s="3">
        <v>91.199655250000006</v>
      </c>
      <c r="M10" s="3">
        <v>40.465000000000003</v>
      </c>
      <c r="N10" s="4">
        <f t="shared" si="1"/>
        <v>40.465000000000003</v>
      </c>
      <c r="O10" s="4">
        <f>(I10+J10)^C10*(K10)^E10*(L10)^D10*(N10)^F10</f>
        <v>33.15087218528388</v>
      </c>
      <c r="P10" s="3">
        <v>12.463298610000001</v>
      </c>
      <c r="Q10" s="7">
        <f t="shared" si="2"/>
        <v>427.97570043278375</v>
      </c>
      <c r="S10" s="4">
        <f>(I10+J10)^C10*(K10)^E10*(L10)^D10*(N10)^F10*G10</f>
        <v>12.463298610000001</v>
      </c>
      <c r="T10" s="4">
        <f>(I10+J10)^C10*(K10)^E10*(L10)^D10*(M10)^F10*B10</f>
        <v>12.463298610000001</v>
      </c>
      <c r="U10" s="2" t="b">
        <f t="shared" si="3"/>
        <v>1</v>
      </c>
    </row>
    <row r="11" spans="1:21" ht="15" customHeight="1" x14ac:dyDescent="0.3">
      <c r="A11" s="19" t="s">
        <v>20</v>
      </c>
      <c r="B11" s="18">
        <f>G11*($B$15)^F11</f>
        <v>1.1733772783364189</v>
      </c>
      <c r="C11" s="18">
        <f t="shared" si="4"/>
        <v>0.20167009248947854</v>
      </c>
      <c r="D11" s="20">
        <f t="shared" si="5"/>
        <v>0.15208990751052154</v>
      </c>
      <c r="E11" s="3">
        <v>0.09</v>
      </c>
      <c r="F11" s="3">
        <v>0.55623999999999996</v>
      </c>
      <c r="G11" s="15">
        <f t="shared" si="0"/>
        <v>1.1733772783364189</v>
      </c>
      <c r="H11" s="3">
        <v>0.54299837350845304</v>
      </c>
      <c r="I11" s="3">
        <v>20.846993999999999</v>
      </c>
      <c r="J11" s="3">
        <v>175.70544799999999</v>
      </c>
      <c r="K11" s="3">
        <v>258.94900000000001</v>
      </c>
      <c r="L11" s="3">
        <v>2437.3085580000002</v>
      </c>
      <c r="M11" s="3">
        <v>124.596</v>
      </c>
      <c r="N11" s="4">
        <f t="shared" si="1"/>
        <v>124.596</v>
      </c>
      <c r="O11" s="4">
        <f>(I11+J11)^C11*(K11)^E11*(L11)^D11*(N11)^F11</f>
        <v>229.31549363345854</v>
      </c>
      <c r="P11" s="3">
        <v>269.07358979999998</v>
      </c>
      <c r="Q11" s="7">
        <f t="shared" si="2"/>
        <v>1580.7062107879567</v>
      </c>
      <c r="S11" s="4">
        <f>(I11+J11)^C11*(K11)^E11*(L11)^D11*(N11)^F11*G11</f>
        <v>269.07358979999998</v>
      </c>
      <c r="T11" s="4">
        <f>(I11+J11)^C11*(K11)^E11*(L11)^D11*(M11)^F11*B11</f>
        <v>269.07358979999998</v>
      </c>
      <c r="U11" s="2" t="b">
        <f t="shared" si="3"/>
        <v>1</v>
      </c>
    </row>
    <row r="12" spans="1:21" ht="15" customHeight="1" thickBot="1" x14ac:dyDescent="0.35">
      <c r="A12" s="21" t="s">
        <v>19</v>
      </c>
      <c r="B12" s="22">
        <f>G12*($B$15)^F12</f>
        <v>2.3418570142599684</v>
      </c>
      <c r="C12" s="22">
        <f t="shared" si="4"/>
        <v>0.12225850303961316</v>
      </c>
      <c r="D12" s="23">
        <f t="shared" si="5"/>
        <v>9.220149696038682E-2</v>
      </c>
      <c r="E12" s="3">
        <v>0.13</v>
      </c>
      <c r="F12" s="3">
        <v>0.65554000000000001</v>
      </c>
      <c r="G12" s="15">
        <f t="shared" si="0"/>
        <v>2.3418570142599684</v>
      </c>
      <c r="H12" s="3">
        <v>0.51462882757186901</v>
      </c>
      <c r="I12" s="3">
        <v>11.445347999999999</v>
      </c>
      <c r="J12" s="3">
        <v>40.443351999999997</v>
      </c>
      <c r="K12" s="3">
        <v>397.77300000000002</v>
      </c>
      <c r="L12" s="3">
        <v>2665.7782999999999</v>
      </c>
      <c r="M12" s="3">
        <v>134.20699999999999</v>
      </c>
      <c r="N12" s="4">
        <f t="shared" si="1"/>
        <v>134.20699999999999</v>
      </c>
      <c r="O12" s="4">
        <f>(I12+J12)^C12*(K12)^E12*(L12)^D12*(N12)^F12</f>
        <v>181.27698053937368</v>
      </c>
      <c r="P12" s="3">
        <v>424.52476840000003</v>
      </c>
      <c r="Q12" s="7">
        <f>(P12-O12)^2</f>
        <v>59169.486299088276</v>
      </c>
      <c r="S12" s="4">
        <f>(I12+J12)^C12*(K12)^E12*(L12)^D12*(N12)^F12*G12</f>
        <v>424.52476840000003</v>
      </c>
      <c r="T12" s="4">
        <f>(I12+J12)^C12*(K12)^E12*(L12)^D12*(M12)^F12*B12</f>
        <v>424.52476840000003</v>
      </c>
      <c r="U12" s="2" t="b">
        <f t="shared" si="3"/>
        <v>1</v>
      </c>
    </row>
    <row r="13" spans="1:21" ht="15" customHeight="1" x14ac:dyDescent="0.3">
      <c r="A13" s="1"/>
      <c r="B13" s="11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4"/>
      <c r="O13" s="3"/>
      <c r="P13" s="7"/>
    </row>
    <row r="14" spans="1:21" ht="15" customHeight="1" x14ac:dyDescent="0.3">
      <c r="A14" s="9" t="s">
        <v>23</v>
      </c>
      <c r="B14" s="8">
        <f>SUM(Q3:Q12)</f>
        <v>78376.060549852918</v>
      </c>
      <c r="C14" s="4"/>
      <c r="D14" s="4"/>
      <c r="E14" s="3"/>
      <c r="F14" s="3"/>
      <c r="H14" s="3"/>
      <c r="I14" s="3"/>
      <c r="J14" s="3"/>
      <c r="K14" s="3"/>
      <c r="L14" s="3"/>
      <c r="M14" s="3"/>
      <c r="O14" s="3"/>
      <c r="P14" s="7"/>
    </row>
    <row r="15" spans="1:21" ht="15" customHeight="1" x14ac:dyDescent="0.3">
      <c r="A15" s="5" t="s">
        <v>25</v>
      </c>
      <c r="B15" s="3">
        <v>1</v>
      </c>
      <c r="C15" s="4"/>
      <c r="D15" s="4"/>
      <c r="E15" s="3"/>
      <c r="F15" s="3"/>
      <c r="H15" s="3"/>
      <c r="I15" s="3"/>
      <c r="J15" s="3"/>
      <c r="K15" s="3"/>
      <c r="L15" s="3"/>
      <c r="M15" s="3"/>
      <c r="N15" s="4"/>
      <c r="O15" s="3"/>
      <c r="P15" s="7"/>
    </row>
    <row r="16" spans="1:21" ht="15" customHeight="1" x14ac:dyDescent="0.3">
      <c r="A16" s="5" t="s">
        <v>24</v>
      </c>
      <c r="B16" s="10">
        <v>0.57007601902272298</v>
      </c>
      <c r="C16" s="4"/>
      <c r="D16" s="4"/>
      <c r="E16" s="3"/>
      <c r="F16" s="3"/>
      <c r="H16" s="3"/>
      <c r="I16" s="3"/>
      <c r="J16" s="3"/>
      <c r="K16" s="3"/>
      <c r="L16" s="3"/>
      <c r="M16" s="3"/>
      <c r="N16" s="4"/>
      <c r="O16" s="3"/>
      <c r="P16" s="7"/>
    </row>
    <row r="17" spans="1:16" ht="15" customHeight="1" x14ac:dyDescent="0.3">
      <c r="A17" s="5" t="s">
        <v>29</v>
      </c>
      <c r="B17" s="4">
        <f>CORREL(O3:O12,P3:P12)</f>
        <v>0.96361485640976241</v>
      </c>
      <c r="C17" s="4"/>
      <c r="D17" s="4"/>
      <c r="E17" s="3"/>
      <c r="F17" s="3"/>
      <c r="H17" s="3"/>
      <c r="I17" s="3"/>
      <c r="J17" s="3"/>
      <c r="K17" s="3"/>
      <c r="L17" s="3"/>
      <c r="M17" s="3"/>
      <c r="N17" s="4"/>
      <c r="O17" s="3"/>
      <c r="P17" s="7"/>
    </row>
    <row r="18" spans="1:16" ht="15" customHeight="1" x14ac:dyDescent="0.3">
      <c r="A18" s="12" t="s">
        <v>45</v>
      </c>
      <c r="B18" s="4">
        <f>CORREL(G3:G12,H3:H12)</f>
        <v>8.4349253185432627E-2</v>
      </c>
      <c r="C18" s="4"/>
      <c r="D18" s="4"/>
      <c r="E18" s="3"/>
      <c r="F18" s="3"/>
      <c r="H18" s="3"/>
      <c r="I18" s="3"/>
      <c r="J18" s="3"/>
      <c r="K18" s="3"/>
      <c r="L18" s="3"/>
      <c r="M18" s="3"/>
      <c r="N18" s="4"/>
      <c r="O18" s="3"/>
      <c r="P18" s="7"/>
    </row>
    <row r="19" spans="1:16" ht="15" customHeight="1" x14ac:dyDescent="0.3">
      <c r="A19" s="5"/>
      <c r="B19" s="4"/>
      <c r="C19" s="4"/>
      <c r="D19" s="4"/>
      <c r="E19" s="3"/>
      <c r="F19" s="3"/>
      <c r="H19" s="3"/>
      <c r="I19" s="3"/>
      <c r="J19" s="3"/>
      <c r="K19" s="3"/>
      <c r="L19" s="3"/>
      <c r="M19" s="3"/>
      <c r="N19" s="4"/>
      <c r="O19" s="3"/>
      <c r="P19" s="7"/>
    </row>
    <row r="20" spans="1:16" ht="15" customHeight="1" x14ac:dyDescent="0.3">
      <c r="A20" s="5"/>
      <c r="B20" s="4"/>
      <c r="C20" s="4"/>
      <c r="D20" s="4"/>
      <c r="E20" s="3"/>
      <c r="F20" s="3"/>
      <c r="H20" s="3"/>
      <c r="I20" s="3"/>
      <c r="J20" s="3"/>
      <c r="K20" s="3"/>
      <c r="L20" s="3"/>
      <c r="M20" s="3"/>
      <c r="N20" s="4"/>
      <c r="O20" s="3"/>
      <c r="P20" s="7"/>
    </row>
    <row r="21" spans="1:16" ht="15" customHeight="1" x14ac:dyDescent="0.3">
      <c r="A21" s="12" t="s">
        <v>40</v>
      </c>
      <c r="B21" s="4">
        <f>AVERAGE(G3:G12)</f>
        <v>1.3546119041095195</v>
      </c>
      <c r="C21" s="4"/>
      <c r="D21" s="4"/>
      <c r="E21" s="3"/>
      <c r="F21" s="3"/>
      <c r="H21" s="3"/>
      <c r="I21" s="3"/>
      <c r="J21" s="3"/>
      <c r="K21" s="3"/>
      <c r="L21" s="3"/>
      <c r="M21" s="3"/>
      <c r="N21" s="4"/>
      <c r="O21" s="3"/>
      <c r="P21" s="7"/>
    </row>
    <row r="22" spans="1:16" ht="15" customHeight="1" x14ac:dyDescent="0.3">
      <c r="A22" s="14" t="s">
        <v>42</v>
      </c>
      <c r="B22" s="27">
        <f>AVERAGE(B3:B12)</f>
        <v>1.3546119041095195</v>
      </c>
      <c r="C22" s="14" t="s">
        <v>44</v>
      </c>
    </row>
    <row r="24" spans="1:16" ht="15" customHeight="1" x14ac:dyDescent="0.3">
      <c r="A24" s="14" t="s">
        <v>38</v>
      </c>
      <c r="B24" s="17">
        <f>COUNTIF(U3:U12,"="&amp;TRUE)/10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 summaryRight="0"/>
  </sheetPr>
  <dimension ref="A1:V24"/>
  <sheetViews>
    <sheetView workbookViewId="0">
      <selection activeCell="H9" sqref="H9"/>
    </sheetView>
  </sheetViews>
  <sheetFormatPr defaultColWidth="14.44140625" defaultRowHeight="15" customHeight="1" x14ac:dyDescent="0.3"/>
  <cols>
    <col min="1" max="1" width="40.77734375" style="2" customWidth="1"/>
    <col min="2" max="17" width="15.77734375" style="2" customWidth="1"/>
    <col min="18" max="16384" width="14.44140625" style="2"/>
  </cols>
  <sheetData>
    <row r="1" spans="1:22" ht="15" customHeight="1" thickBot="1" x14ac:dyDescent="0.35">
      <c r="A1" s="30" t="s">
        <v>51</v>
      </c>
    </row>
    <row r="2" spans="1:22" ht="15" customHeight="1" x14ac:dyDescent="0.3">
      <c r="A2" s="24" t="s">
        <v>10</v>
      </c>
      <c r="B2" s="25" t="s">
        <v>28</v>
      </c>
      <c r="C2" s="25" t="s">
        <v>5</v>
      </c>
      <c r="D2" s="26" t="s">
        <v>7</v>
      </c>
      <c r="E2" s="1" t="s">
        <v>6</v>
      </c>
      <c r="F2" s="1" t="s">
        <v>8</v>
      </c>
      <c r="G2" s="5" t="s">
        <v>24</v>
      </c>
      <c r="H2" s="12" t="s">
        <v>39</v>
      </c>
      <c r="I2" s="5" t="s">
        <v>27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5" t="s">
        <v>26</v>
      </c>
      <c r="P2" s="5" t="s">
        <v>21</v>
      </c>
      <c r="Q2" s="1" t="s">
        <v>11</v>
      </c>
      <c r="R2" s="6" t="s">
        <v>22</v>
      </c>
      <c r="T2" s="14" t="s">
        <v>35</v>
      </c>
      <c r="U2" s="14" t="s">
        <v>36</v>
      </c>
      <c r="V2" s="14" t="s">
        <v>38</v>
      </c>
    </row>
    <row r="3" spans="1:22" ht="15" customHeight="1" x14ac:dyDescent="0.3">
      <c r="A3" s="19" t="s">
        <v>12</v>
      </c>
      <c r="B3" s="18">
        <f>H3*($B$15)^F3</f>
        <v>2.0670752616071613</v>
      </c>
      <c r="C3" s="18">
        <f t="shared" ref="C3:C12" si="0">(1-E3-F3)*G3</f>
        <v>0.33160607998383557</v>
      </c>
      <c r="D3" s="20">
        <f t="shared" ref="D3:D12" si="1">(1-E3-F3)*(1-G3)</f>
        <v>7.3963920016164406E-2</v>
      </c>
      <c r="E3" s="3">
        <v>0.06</v>
      </c>
      <c r="F3" s="3">
        <v>0.53442999999999996</v>
      </c>
      <c r="G3" s="4">
        <f t="shared" ref="G3:G12" si="2">$B$16</f>
        <v>0.81762970629937026</v>
      </c>
      <c r="H3" s="15">
        <f t="shared" ref="H3:H12" si="3">Q3/P3</f>
        <v>1.0953206951498253</v>
      </c>
      <c r="I3" s="3">
        <v>0.81218433380126998</v>
      </c>
      <c r="J3" s="3">
        <v>65.294229000000001</v>
      </c>
      <c r="K3" s="3">
        <v>104.43883599999999</v>
      </c>
      <c r="L3" s="3">
        <v>211.67599999999999</v>
      </c>
      <c r="M3" s="3">
        <v>3017.7409349999998</v>
      </c>
      <c r="N3" s="3">
        <v>93.811000000000007</v>
      </c>
      <c r="O3" s="4">
        <f t="shared" ref="O3:O12" si="4">N3*$B$15</f>
        <v>307.85461550057312</v>
      </c>
      <c r="P3" s="4">
        <f t="shared" ref="P3:P12" si="5">(J3+K3)^C3*(L3)^E3*(M3)^D3*(O3)^F3</f>
        <v>292.52426975843133</v>
      </c>
      <c r="Q3" s="3">
        <v>320.40788650000002</v>
      </c>
      <c r="R3" s="7">
        <f>(Q3-P3)^2</f>
        <v>777.49608259068953</v>
      </c>
      <c r="T3" s="4">
        <f t="shared" ref="T3:T12" si="6">(J3+K3)^C3*(L3)^E3*(M3)^D3*(O3)^F3*H3</f>
        <v>320.40788650000002</v>
      </c>
      <c r="U3" s="4">
        <f t="shared" ref="U3:U12" si="7">(J3+K3)^C3*(L3)^E3*(M3)^D3*(N3)^F3*B3</f>
        <v>320.4078864999999</v>
      </c>
      <c r="V3" s="2" t="b">
        <f t="shared" ref="V3:V12" si="8">IF(AND(Q3=T3,T3=U3),TRUE, FALSE)</f>
        <v>1</v>
      </c>
    </row>
    <row r="4" spans="1:22" ht="15" customHeight="1" x14ac:dyDescent="0.3">
      <c r="A4" s="19" t="s">
        <v>9</v>
      </c>
      <c r="B4" s="18">
        <f t="shared" ref="B4:B12" si="9">H4*($B$15)^F4</f>
        <v>3.4613694397849302</v>
      </c>
      <c r="C4" s="18">
        <f t="shared" si="0"/>
        <v>0.23390750637812385</v>
      </c>
      <c r="D4" s="20">
        <f t="shared" si="1"/>
        <v>5.2172493621876155E-2</v>
      </c>
      <c r="E4" s="3">
        <v>0.13</v>
      </c>
      <c r="F4" s="3">
        <v>0.58391999999999999</v>
      </c>
      <c r="G4" s="4">
        <f t="shared" si="2"/>
        <v>0.81762970629937026</v>
      </c>
      <c r="H4" s="15">
        <f t="shared" si="3"/>
        <v>1.7293845334992821</v>
      </c>
      <c r="I4" s="3">
        <v>0.36648318171501199</v>
      </c>
      <c r="J4" s="3">
        <v>7.6700000000000004E-2</v>
      </c>
      <c r="K4" s="3">
        <v>0.98149200000000003</v>
      </c>
      <c r="L4" s="3">
        <v>4.3997044939999999</v>
      </c>
      <c r="M4" s="3">
        <v>28.52167773</v>
      </c>
      <c r="N4" s="3">
        <v>0.622</v>
      </c>
      <c r="O4" s="4">
        <f t="shared" si="4"/>
        <v>2.0411846248452363</v>
      </c>
      <c r="P4" s="4">
        <f t="shared" si="5"/>
        <v>2.219511750942575</v>
      </c>
      <c r="Q4" s="3">
        <v>3.8383892940000002</v>
      </c>
      <c r="R4" s="7">
        <f t="shared" ref="R4:R12" si="10">(Q4-P4)^2</f>
        <v>2.6207644994156456</v>
      </c>
      <c r="T4" s="4">
        <f t="shared" si="6"/>
        <v>3.8383892939999997</v>
      </c>
      <c r="U4" s="4">
        <f t="shared" si="7"/>
        <v>3.8383892940000006</v>
      </c>
      <c r="V4" s="2" t="b">
        <f t="shared" si="8"/>
        <v>1</v>
      </c>
    </row>
    <row r="5" spans="1:22" ht="15" customHeight="1" x14ac:dyDescent="0.3">
      <c r="A5" s="19" t="s">
        <v>13</v>
      </c>
      <c r="B5" s="18">
        <f t="shared" si="9"/>
        <v>2.4164578775803101</v>
      </c>
      <c r="C5" s="18">
        <f t="shared" si="0"/>
        <v>0.37922483407871088</v>
      </c>
      <c r="D5" s="20">
        <f t="shared" si="1"/>
        <v>8.4585165921289063E-2</v>
      </c>
      <c r="E5" s="3">
        <v>0.06</v>
      </c>
      <c r="F5" s="3">
        <v>0.47619</v>
      </c>
      <c r="G5" s="4">
        <f t="shared" si="2"/>
        <v>0.81762970629937026</v>
      </c>
      <c r="H5" s="15">
        <f t="shared" si="3"/>
        <v>1.3722126718150247</v>
      </c>
      <c r="I5" s="3">
        <v>0.62282443046569802</v>
      </c>
      <c r="J5" s="3">
        <v>9.0150000000000004E-3</v>
      </c>
      <c r="K5" s="3">
        <v>3.370892</v>
      </c>
      <c r="L5" s="3">
        <v>11.984056580000001</v>
      </c>
      <c r="M5" s="3">
        <v>170.47203640000001</v>
      </c>
      <c r="N5" s="3">
        <v>4.6139999999999999</v>
      </c>
      <c r="O5" s="4">
        <f t="shared" si="4"/>
        <v>15.141520673691192</v>
      </c>
      <c r="P5" s="4">
        <f t="shared" si="5"/>
        <v>10.376232884635062</v>
      </c>
      <c r="Q5" s="3">
        <v>14.238398249999999</v>
      </c>
      <c r="R5" s="7">
        <f t="shared" si="10"/>
        <v>14.916321309424481</v>
      </c>
      <c r="T5" s="4">
        <f t="shared" si="6"/>
        <v>14.238398249999999</v>
      </c>
      <c r="U5" s="4">
        <f t="shared" si="7"/>
        <v>14.238398249999998</v>
      </c>
      <c r="V5" s="2" t="b">
        <f t="shared" si="8"/>
        <v>1</v>
      </c>
    </row>
    <row r="6" spans="1:22" ht="15" customHeight="1" x14ac:dyDescent="0.3">
      <c r="A6" s="19" t="s">
        <v>14</v>
      </c>
      <c r="B6" s="18">
        <f t="shared" si="9"/>
        <v>0.91012161527428825</v>
      </c>
      <c r="C6" s="18">
        <f t="shared" si="0"/>
        <v>0.41852829406052172</v>
      </c>
      <c r="D6" s="20">
        <f t="shared" si="1"/>
        <v>9.3351705939478377E-2</v>
      </c>
      <c r="E6" s="3">
        <v>0.09</v>
      </c>
      <c r="F6" s="3">
        <v>0.39811999999999997</v>
      </c>
      <c r="G6" s="4">
        <f t="shared" si="2"/>
        <v>0.81762970629937026</v>
      </c>
      <c r="H6" s="15">
        <f t="shared" si="3"/>
        <v>0.56706510100273277</v>
      </c>
      <c r="I6" s="3">
        <v>0.3</v>
      </c>
      <c r="J6" s="3">
        <v>14.741268</v>
      </c>
      <c r="K6" s="3">
        <v>0.106604</v>
      </c>
      <c r="L6" s="3">
        <v>24.950894779999999</v>
      </c>
      <c r="M6" s="3">
        <v>229.81223320000001</v>
      </c>
      <c r="N6" s="3">
        <v>137.09299999999999</v>
      </c>
      <c r="O6" s="4">
        <f t="shared" si="4"/>
        <v>449.89087423457875</v>
      </c>
      <c r="P6" s="4">
        <f t="shared" si="5"/>
        <v>78.127804394343244</v>
      </c>
      <c r="Q6" s="3">
        <v>44.303551290000001</v>
      </c>
      <c r="R6" s="7">
        <f t="shared" si="10"/>
        <v>1144.0800980666734</v>
      </c>
      <c r="T6" s="4">
        <f t="shared" si="6"/>
        <v>44.303551290000001</v>
      </c>
      <c r="U6" s="4">
        <f t="shared" si="7"/>
        <v>44.303551289999987</v>
      </c>
      <c r="V6" s="2" t="b">
        <f t="shared" si="8"/>
        <v>1</v>
      </c>
    </row>
    <row r="7" spans="1:22" ht="15" customHeight="1" x14ac:dyDescent="0.3">
      <c r="A7" s="19" t="s">
        <v>15</v>
      </c>
      <c r="B7" s="18">
        <f t="shared" si="9"/>
        <v>1.4458771156667036</v>
      </c>
      <c r="C7" s="18">
        <f t="shared" si="0"/>
        <v>0.39468621182483205</v>
      </c>
      <c r="D7" s="20">
        <f t="shared" si="1"/>
        <v>8.8033788175167993E-2</v>
      </c>
      <c r="E7" s="3">
        <v>0.09</v>
      </c>
      <c r="F7" s="3">
        <v>0.42727999999999999</v>
      </c>
      <c r="G7" s="4">
        <f t="shared" si="2"/>
        <v>0.81762970629937026</v>
      </c>
      <c r="H7" s="15">
        <f t="shared" si="3"/>
        <v>0.87019310027334007</v>
      </c>
      <c r="I7" s="3">
        <v>1.1712350845336901</v>
      </c>
      <c r="J7" s="3">
        <v>26.681745222222226</v>
      </c>
      <c r="K7" s="3">
        <v>196.47852399999999</v>
      </c>
      <c r="L7" s="3">
        <v>168.94399999999999</v>
      </c>
      <c r="M7" s="3">
        <v>1445.5457309999999</v>
      </c>
      <c r="N7" s="3">
        <v>195.71799999999999</v>
      </c>
      <c r="O7" s="4">
        <f t="shared" si="4"/>
        <v>642.27744759720258</v>
      </c>
      <c r="P7" s="4">
        <f t="shared" si="5"/>
        <v>403.02952665314842</v>
      </c>
      <c r="Q7" s="3">
        <v>350.71351329999999</v>
      </c>
      <c r="R7" s="7">
        <f t="shared" si="10"/>
        <v>2736.9652531668053</v>
      </c>
      <c r="T7" s="4">
        <f t="shared" si="6"/>
        <v>350.71351329999999</v>
      </c>
      <c r="U7" s="4">
        <f t="shared" si="7"/>
        <v>350.71351329999999</v>
      </c>
      <c r="V7" s="2" t="b">
        <f t="shared" si="8"/>
        <v>1</v>
      </c>
    </row>
    <row r="8" spans="1:22" ht="15" customHeight="1" x14ac:dyDescent="0.3">
      <c r="A8" s="19" t="s">
        <v>16</v>
      </c>
      <c r="B8" s="18">
        <f t="shared" si="9"/>
        <v>1.4650498620457966</v>
      </c>
      <c r="C8" s="18">
        <f t="shared" si="0"/>
        <v>0.38513629685525536</v>
      </c>
      <c r="D8" s="20">
        <f t="shared" si="1"/>
        <v>8.5903703144744631E-2</v>
      </c>
      <c r="E8" s="3">
        <v>0.11</v>
      </c>
      <c r="F8" s="3">
        <v>0.41896</v>
      </c>
      <c r="G8" s="4">
        <f t="shared" si="2"/>
        <v>0.81762970629937026</v>
      </c>
      <c r="H8" s="15">
        <f t="shared" si="3"/>
        <v>0.89049306563947994</v>
      </c>
      <c r="I8" s="3">
        <v>0.5</v>
      </c>
      <c r="J8" s="3">
        <v>8.80858615</v>
      </c>
      <c r="K8" s="3">
        <v>13.47254</v>
      </c>
      <c r="L8" s="3">
        <v>45.723372210000001</v>
      </c>
      <c r="M8" s="3">
        <v>355.20250160000001</v>
      </c>
      <c r="N8" s="3">
        <v>52.981999999999999</v>
      </c>
      <c r="O8" s="4">
        <f t="shared" si="4"/>
        <v>173.86823761020952</v>
      </c>
      <c r="P8" s="4">
        <f t="shared" si="5"/>
        <v>72.34570225848573</v>
      </c>
      <c r="Q8" s="3">
        <v>64.423346190000004</v>
      </c>
      <c r="R8" s="7">
        <f t="shared" si="10"/>
        <v>62.763725675872614</v>
      </c>
      <c r="T8" s="4">
        <f t="shared" si="6"/>
        <v>64.423346190000004</v>
      </c>
      <c r="U8" s="4">
        <f t="shared" si="7"/>
        <v>64.42334618999999</v>
      </c>
      <c r="V8" s="2" t="b">
        <f t="shared" si="8"/>
        <v>1</v>
      </c>
    </row>
    <row r="9" spans="1:22" ht="15" customHeight="1" x14ac:dyDescent="0.3">
      <c r="A9" s="19" t="s">
        <v>17</v>
      </c>
      <c r="B9" s="18">
        <f t="shared" si="9"/>
        <v>1.61863765997179</v>
      </c>
      <c r="C9" s="18">
        <f t="shared" si="0"/>
        <v>0.41744084655114355</v>
      </c>
      <c r="D9" s="20">
        <f t="shared" si="1"/>
        <v>9.3109153448856521E-2</v>
      </c>
      <c r="E9" s="3">
        <v>0.09</v>
      </c>
      <c r="F9" s="3">
        <v>0.39945000000000003</v>
      </c>
      <c r="G9" s="4">
        <f t="shared" si="2"/>
        <v>0.81762970629937026</v>
      </c>
      <c r="H9" s="15">
        <f t="shared" si="3"/>
        <v>1.0069240866511118</v>
      </c>
      <c r="I9" s="3">
        <v>0.44486066699027998</v>
      </c>
      <c r="J9" s="3">
        <v>43.670473125000001</v>
      </c>
      <c r="K9" s="3">
        <v>219.94610800000001</v>
      </c>
      <c r="L9" s="3">
        <v>1656.89</v>
      </c>
      <c r="M9" s="3">
        <v>15865.29342</v>
      </c>
      <c r="N9" s="3">
        <v>593.95699999999999</v>
      </c>
      <c r="O9" s="4">
        <f t="shared" si="4"/>
        <v>1949.1573894199391</v>
      </c>
      <c r="P9" s="4">
        <f t="shared" si="5"/>
        <v>1012.9286363505165</v>
      </c>
      <c r="Q9" s="3">
        <v>1019.942242</v>
      </c>
      <c r="R9" s="7">
        <f t="shared" si="10"/>
        <v>49.190664206466195</v>
      </c>
      <c r="T9" s="4">
        <f t="shared" si="6"/>
        <v>1019.942242</v>
      </c>
      <c r="U9" s="4">
        <f t="shared" si="7"/>
        <v>1019.9422419999995</v>
      </c>
      <c r="V9" s="2" t="b">
        <f t="shared" si="8"/>
        <v>1</v>
      </c>
    </row>
    <row r="10" spans="1:22" ht="15" customHeight="1" x14ac:dyDescent="0.3">
      <c r="A10" s="19" t="s">
        <v>18</v>
      </c>
      <c r="B10" s="18">
        <f t="shared" si="9"/>
        <v>0.43439597558559884</v>
      </c>
      <c r="C10" s="18">
        <f t="shared" si="0"/>
        <v>0.25958925545298711</v>
      </c>
      <c r="D10" s="20">
        <f t="shared" si="1"/>
        <v>5.7900744547012946E-2</v>
      </c>
      <c r="E10" s="3">
        <v>0.1</v>
      </c>
      <c r="F10" s="3">
        <v>0.58250999999999997</v>
      </c>
      <c r="G10" s="4">
        <f t="shared" si="2"/>
        <v>0.81762970629937026</v>
      </c>
      <c r="H10" s="15">
        <f t="shared" si="3"/>
        <v>0.21739877786573725</v>
      </c>
      <c r="I10" s="3">
        <v>0.28394982218742398</v>
      </c>
      <c r="J10" s="3">
        <v>12.295908000000001</v>
      </c>
      <c r="K10" s="3">
        <v>2.212952</v>
      </c>
      <c r="L10" s="3">
        <v>11.63448475</v>
      </c>
      <c r="M10" s="3">
        <v>91.199655250000006</v>
      </c>
      <c r="N10" s="3">
        <v>40.465000000000003</v>
      </c>
      <c r="O10" s="4">
        <f t="shared" si="4"/>
        <v>132.79185827067926</v>
      </c>
      <c r="P10" s="4">
        <f t="shared" si="5"/>
        <v>57.329202732212124</v>
      </c>
      <c r="Q10" s="3">
        <v>12.463298610000001</v>
      </c>
      <c r="R10" s="7">
        <f t="shared" si="10"/>
        <v>2012.9493527035306</v>
      </c>
      <c r="T10" s="4">
        <f t="shared" si="6"/>
        <v>12.463298610000001</v>
      </c>
      <c r="U10" s="4">
        <f t="shared" si="7"/>
        <v>12.463298610000008</v>
      </c>
      <c r="V10" s="2" t="b">
        <f t="shared" si="8"/>
        <v>1</v>
      </c>
    </row>
    <row r="11" spans="1:22" ht="15" customHeight="1" x14ac:dyDescent="0.3">
      <c r="A11" s="19" t="s">
        <v>20</v>
      </c>
      <c r="B11" s="18">
        <f t="shared" si="9"/>
        <v>1.4628323025696626</v>
      </c>
      <c r="C11" s="18">
        <f t="shared" si="0"/>
        <v>0.28924468490046529</v>
      </c>
      <c r="D11" s="20">
        <f t="shared" si="1"/>
        <v>6.4515315099534787E-2</v>
      </c>
      <c r="E11" s="3">
        <v>0.09</v>
      </c>
      <c r="F11" s="3">
        <v>0.55623999999999996</v>
      </c>
      <c r="G11" s="4">
        <f t="shared" si="2"/>
        <v>0.81762970629937026</v>
      </c>
      <c r="H11" s="15">
        <f t="shared" si="3"/>
        <v>0.75530712487866702</v>
      </c>
      <c r="I11" s="3">
        <v>0.54299837350845304</v>
      </c>
      <c r="J11" s="3">
        <v>20.846993999999999</v>
      </c>
      <c r="K11" s="3">
        <v>175.70544799999999</v>
      </c>
      <c r="L11" s="3">
        <v>258.94900000000001</v>
      </c>
      <c r="M11" s="3">
        <v>2437.3085580000002</v>
      </c>
      <c r="N11" s="3">
        <v>124.596</v>
      </c>
      <c r="O11" s="4">
        <f t="shared" si="4"/>
        <v>408.88012784118501</v>
      </c>
      <c r="P11" s="4">
        <f t="shared" si="5"/>
        <v>356.24394492932146</v>
      </c>
      <c r="Q11" s="3">
        <v>269.07358979999998</v>
      </c>
      <c r="R11" s="7">
        <f t="shared" si="10"/>
        <v>7598.6708133720231</v>
      </c>
      <c r="T11" s="4">
        <f t="shared" si="6"/>
        <v>269.07358979999998</v>
      </c>
      <c r="U11" s="4">
        <f t="shared" si="7"/>
        <v>269.07358979999987</v>
      </c>
      <c r="V11" s="2" t="b">
        <f t="shared" si="8"/>
        <v>1</v>
      </c>
    </row>
    <row r="12" spans="1:22" ht="15" customHeight="1" thickBot="1" x14ac:dyDescent="0.35">
      <c r="A12" s="21" t="s">
        <v>19</v>
      </c>
      <c r="B12" s="22">
        <f t="shared" si="9"/>
        <v>2.8865878585612528</v>
      </c>
      <c r="C12" s="22">
        <f t="shared" si="0"/>
        <v>0.17534886681296294</v>
      </c>
      <c r="D12" s="23">
        <f t="shared" si="1"/>
        <v>3.9111133187037052E-2</v>
      </c>
      <c r="E12" s="3">
        <v>0.13</v>
      </c>
      <c r="F12" s="3">
        <v>0.65554000000000001</v>
      </c>
      <c r="G12" s="4">
        <f t="shared" si="2"/>
        <v>0.81762970629937026</v>
      </c>
      <c r="H12" s="15">
        <f t="shared" si="3"/>
        <v>1.3245424883408754</v>
      </c>
      <c r="I12" s="3">
        <v>0.51462882757186901</v>
      </c>
      <c r="J12" s="3">
        <v>11.445347999999999</v>
      </c>
      <c r="K12" s="3">
        <v>40.443351999999997</v>
      </c>
      <c r="L12" s="3">
        <v>397.77300000000002</v>
      </c>
      <c r="M12" s="3">
        <v>2665.7782999999999</v>
      </c>
      <c r="N12" s="3">
        <v>134.20699999999999</v>
      </c>
      <c r="O12" s="4">
        <f t="shared" si="4"/>
        <v>440.42004010708143</v>
      </c>
      <c r="P12" s="4">
        <f t="shared" si="5"/>
        <v>320.50671997072789</v>
      </c>
      <c r="Q12" s="3">
        <v>424.52476840000003</v>
      </c>
      <c r="R12" s="7">
        <f t="shared" si="10"/>
        <v>10819.754399034404</v>
      </c>
      <c r="T12" s="4">
        <f t="shared" si="6"/>
        <v>424.52476840000008</v>
      </c>
      <c r="U12" s="4">
        <f t="shared" si="7"/>
        <v>424.52476839999986</v>
      </c>
      <c r="V12" s="2" t="b">
        <f t="shared" si="8"/>
        <v>1</v>
      </c>
    </row>
    <row r="13" spans="1:22" ht="15" customHeight="1" x14ac:dyDescent="0.3">
      <c r="A13" s="1"/>
      <c r="B13" s="11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7"/>
    </row>
    <row r="14" spans="1:22" ht="15" customHeight="1" x14ac:dyDescent="0.3">
      <c r="A14" s="9" t="s">
        <v>23</v>
      </c>
      <c r="B14" s="8">
        <f>SUM(R3:R12)</f>
        <v>25219.407474625303</v>
      </c>
      <c r="C14" s="4"/>
      <c r="D14" s="4"/>
      <c r="E14" s="3"/>
      <c r="F14" s="3"/>
      <c r="G14" s="3"/>
      <c r="I14" s="3"/>
      <c r="J14" s="3"/>
      <c r="K14" s="3"/>
      <c r="L14" s="3"/>
      <c r="M14" s="3"/>
      <c r="N14" s="3"/>
      <c r="P14" s="3"/>
      <c r="Q14" s="7"/>
    </row>
    <row r="15" spans="1:22" ht="15" customHeight="1" x14ac:dyDescent="0.3">
      <c r="A15" s="5" t="s">
        <v>25</v>
      </c>
      <c r="B15" s="10">
        <v>3.2816473068251391</v>
      </c>
      <c r="C15" s="4"/>
      <c r="D15" s="4"/>
      <c r="E15" s="3"/>
      <c r="F15" s="3"/>
      <c r="G15" s="3"/>
      <c r="I15" s="3"/>
      <c r="J15" s="3"/>
      <c r="K15" s="3"/>
      <c r="L15" s="3"/>
      <c r="M15" s="3"/>
      <c r="N15" s="3"/>
      <c r="O15" s="4"/>
      <c r="P15" s="3"/>
      <c r="Q15" s="7"/>
    </row>
    <row r="16" spans="1:22" ht="15" customHeight="1" x14ac:dyDescent="0.3">
      <c r="A16" s="5" t="s">
        <v>24</v>
      </c>
      <c r="B16" s="10">
        <v>0.81762970629937026</v>
      </c>
      <c r="C16" s="4"/>
      <c r="D16" s="4"/>
      <c r="E16" s="3"/>
      <c r="F16" s="3"/>
      <c r="G16" s="3"/>
      <c r="I16" s="3"/>
      <c r="J16" s="3"/>
      <c r="K16" s="3"/>
      <c r="L16" s="3"/>
      <c r="M16" s="3"/>
      <c r="N16" s="3"/>
      <c r="O16" s="4"/>
      <c r="P16" s="3"/>
      <c r="Q16" s="7"/>
    </row>
    <row r="17" spans="1:17" ht="15" customHeight="1" x14ac:dyDescent="0.3">
      <c r="A17" s="5" t="s">
        <v>29</v>
      </c>
      <c r="B17" s="4">
        <f>CORREL(P3:P12,Q3:Q12)</f>
        <v>0.98617733510582894</v>
      </c>
      <c r="C17" s="4"/>
      <c r="D17" s="4"/>
      <c r="E17" s="3"/>
      <c r="F17" s="3"/>
      <c r="G17" s="3"/>
      <c r="I17" s="3"/>
      <c r="J17" s="3"/>
      <c r="K17" s="3"/>
      <c r="L17" s="3"/>
      <c r="M17" s="3"/>
      <c r="N17" s="3"/>
      <c r="O17" s="4"/>
      <c r="P17" s="3"/>
      <c r="Q17" s="7"/>
    </row>
    <row r="18" spans="1:17" ht="15" customHeight="1" x14ac:dyDescent="0.3">
      <c r="A18" s="12" t="s">
        <v>45</v>
      </c>
      <c r="B18" s="4">
        <f>CORREL(H3:H12,I3:I12)</f>
        <v>0.14493884119873185</v>
      </c>
      <c r="C18" s="4"/>
      <c r="D18" s="4"/>
      <c r="E18" s="3"/>
      <c r="F18" s="3"/>
      <c r="G18" s="3"/>
      <c r="I18" s="3"/>
      <c r="J18" s="3"/>
      <c r="K18" s="3"/>
      <c r="L18" s="3"/>
      <c r="M18" s="3"/>
      <c r="N18" s="3"/>
      <c r="O18" s="4"/>
      <c r="P18" s="3"/>
      <c r="Q18" s="7"/>
    </row>
    <row r="19" spans="1:17" ht="15" customHeight="1" x14ac:dyDescent="0.3">
      <c r="A19" s="5"/>
      <c r="B19" s="4"/>
      <c r="C19" s="4"/>
      <c r="D19" s="4"/>
      <c r="E19" s="3"/>
      <c r="F19" s="3"/>
      <c r="G19" s="3"/>
      <c r="I19" s="3"/>
      <c r="J19" s="3"/>
      <c r="K19" s="3"/>
      <c r="L19" s="3"/>
      <c r="M19" s="3"/>
      <c r="N19" s="3"/>
      <c r="O19" s="4"/>
      <c r="P19" s="3"/>
      <c r="Q19" s="7"/>
    </row>
    <row r="20" spans="1:17" ht="15" customHeight="1" x14ac:dyDescent="0.3">
      <c r="A20" s="5"/>
      <c r="B20" s="4"/>
      <c r="C20" s="4"/>
      <c r="D20" s="4"/>
      <c r="E20" s="3"/>
      <c r="F20" s="3"/>
      <c r="G20" s="3"/>
      <c r="I20" s="3"/>
      <c r="J20" s="3"/>
      <c r="K20" s="3"/>
      <c r="L20" s="3"/>
      <c r="M20" s="3"/>
      <c r="N20" s="3"/>
      <c r="O20" s="4"/>
      <c r="P20" s="3"/>
      <c r="Q20" s="7"/>
    </row>
    <row r="21" spans="1:17" ht="15" customHeight="1" x14ac:dyDescent="0.3">
      <c r="A21" s="12" t="s">
        <v>40</v>
      </c>
      <c r="B21" s="4">
        <f>AVERAGE(H3:H12)</f>
        <v>0.98288416451160787</v>
      </c>
      <c r="C21" s="4"/>
      <c r="D21" s="4"/>
      <c r="E21" s="3"/>
      <c r="F21" s="3"/>
      <c r="G21" s="3"/>
      <c r="I21" s="3"/>
      <c r="J21" s="3"/>
      <c r="K21" s="3"/>
      <c r="L21" s="3"/>
      <c r="M21" s="3"/>
      <c r="N21" s="3"/>
      <c r="O21" s="4"/>
      <c r="P21" s="3"/>
      <c r="Q21" s="7"/>
    </row>
    <row r="22" spans="1:17" ht="15" customHeight="1" x14ac:dyDescent="0.3">
      <c r="A22" s="14" t="s">
        <v>42</v>
      </c>
      <c r="B22" s="27">
        <f>AVERAGE(B3:B12)</f>
        <v>1.8168404968647494</v>
      </c>
      <c r="C22" s="14" t="s">
        <v>44</v>
      </c>
    </row>
    <row r="24" spans="1:17" ht="15" customHeight="1" x14ac:dyDescent="0.3">
      <c r="A24" s="14" t="s">
        <v>38</v>
      </c>
      <c r="B24" s="17">
        <f>COUNTIF(V3:V12,"="&amp;TRUE)/10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6139-F2D2-4356-BE10-E1AE17EF2E28}">
  <sheetPr codeName="Sheet4">
    <outlinePr summaryBelow="0" summaryRight="0"/>
  </sheetPr>
  <dimension ref="A1:X27"/>
  <sheetViews>
    <sheetView tabSelected="1" workbookViewId="0">
      <selection activeCell="C13" sqref="C13"/>
    </sheetView>
  </sheetViews>
  <sheetFormatPr defaultColWidth="14.44140625" defaultRowHeight="15" customHeight="1" x14ac:dyDescent="0.3"/>
  <cols>
    <col min="1" max="1" width="40.77734375" style="2" customWidth="1"/>
    <col min="2" max="20" width="15.77734375" style="2" customWidth="1"/>
    <col min="21" max="16384" width="14.44140625" style="2"/>
  </cols>
  <sheetData>
    <row r="1" spans="1:24" ht="15" customHeight="1" thickBot="1" x14ac:dyDescent="0.35">
      <c r="A1" s="30" t="s">
        <v>52</v>
      </c>
    </row>
    <row r="2" spans="1:24" ht="15" customHeight="1" x14ac:dyDescent="0.3">
      <c r="A2" s="24" t="s">
        <v>10</v>
      </c>
      <c r="B2" s="25" t="s">
        <v>41</v>
      </c>
      <c r="C2" s="25" t="s">
        <v>32</v>
      </c>
      <c r="D2" s="26" t="s">
        <v>33</v>
      </c>
      <c r="E2" s="1" t="s">
        <v>6</v>
      </c>
      <c r="F2" s="1" t="s">
        <v>8</v>
      </c>
      <c r="G2" s="12" t="s">
        <v>39</v>
      </c>
      <c r="H2" s="5" t="s">
        <v>27</v>
      </c>
      <c r="I2" s="1" t="s">
        <v>0</v>
      </c>
      <c r="J2" s="1" t="s">
        <v>1</v>
      </c>
      <c r="K2" s="16" t="s">
        <v>30</v>
      </c>
      <c r="L2" s="16" t="s">
        <v>31</v>
      </c>
      <c r="M2" s="1" t="s">
        <v>2</v>
      </c>
      <c r="N2" s="1" t="s">
        <v>3</v>
      </c>
      <c r="O2" s="1" t="s">
        <v>4</v>
      </c>
      <c r="P2" s="12" t="s">
        <v>34</v>
      </c>
      <c r="Q2" s="5" t="s">
        <v>26</v>
      </c>
      <c r="R2" s="5" t="s">
        <v>21</v>
      </c>
      <c r="S2" s="1" t="s">
        <v>11</v>
      </c>
      <c r="T2" s="6" t="s">
        <v>22</v>
      </c>
      <c r="V2" s="14" t="s">
        <v>35</v>
      </c>
      <c r="W2" s="14" t="s">
        <v>36</v>
      </c>
      <c r="X2" s="14" t="s">
        <v>38</v>
      </c>
    </row>
    <row r="3" spans="1:24" ht="15" customHeight="1" x14ac:dyDescent="0.3">
      <c r="A3" s="19" t="s">
        <v>12</v>
      </c>
      <c r="B3" s="18">
        <f>G3*((1-P3)*$B$15)^F3</f>
        <v>3.197336165001456</v>
      </c>
      <c r="C3" s="18">
        <f>(1-E3-F3)*$B$16</f>
        <v>0.35514785081606554</v>
      </c>
      <c r="D3" s="20">
        <f>(1-E3-F3)*(1-$B$16)</f>
        <v>5.042214918393443E-2</v>
      </c>
      <c r="E3" s="3">
        <v>0.06</v>
      </c>
      <c r="F3" s="3">
        <v>0.53442999999999996</v>
      </c>
      <c r="G3" s="15">
        <f>S3/R3</f>
        <v>0.99344804310258572</v>
      </c>
      <c r="H3" s="3">
        <v>0.81218433380126998</v>
      </c>
      <c r="I3" s="3">
        <v>65.294229000000001</v>
      </c>
      <c r="J3" s="3">
        <v>104.43883599999999</v>
      </c>
      <c r="K3" s="3">
        <v>0.34649999999999997</v>
      </c>
      <c r="L3" s="3">
        <v>0.35930000000000001</v>
      </c>
      <c r="M3" s="3">
        <v>211.67599999999999</v>
      </c>
      <c r="N3" s="3">
        <v>3017.7409349999998</v>
      </c>
      <c r="O3" s="3">
        <v>93.811000000000007</v>
      </c>
      <c r="P3" s="3">
        <v>0.109</v>
      </c>
      <c r="Q3" s="4">
        <f t="shared" ref="Q3:Q12" si="0">O3*$B$15*(1-P3*$B$17)</f>
        <v>835.85601000000008</v>
      </c>
      <c r="R3" s="4">
        <f>(I3*K3+J3*L3)^C3*(M3)^E3*(N3)^D3*(Q3)^F3</f>
        <v>322.52103038962247</v>
      </c>
      <c r="S3" s="3">
        <v>320.40788650000002</v>
      </c>
      <c r="T3" s="7">
        <f>(S3-R3)^2</f>
        <v>4.4653770982486947</v>
      </c>
      <c r="V3" s="4">
        <f>G3*(I3*K3+J3*L3)^C3*(M3)^E3*(N3)^D3*(Q3)^F3</f>
        <v>320.40788650000007</v>
      </c>
      <c r="W3" s="4">
        <f>B3*(I3*K3+J3*L3)^C3*(M3)^E3*(N3)^D3*(O3)^F3</f>
        <v>320.4078864999999</v>
      </c>
      <c r="X3" s="2" t="b">
        <f>IF(AND(S3=V3,V3=W3),TRUE, FALSE)</f>
        <v>1</v>
      </c>
    </row>
    <row r="4" spans="1:24" ht="15" customHeight="1" x14ac:dyDescent="0.3">
      <c r="A4" s="19" t="s">
        <v>9</v>
      </c>
      <c r="B4" s="18">
        <f>G4*((1-P4)*$B$15)^F4</f>
        <v>4.4617295722088564</v>
      </c>
      <c r="C4" s="18">
        <f t="shared" ref="C4:C12" si="1">(1-E4-F4)*$B$16</f>
        <v>0.25051334458036845</v>
      </c>
      <c r="D4" s="20">
        <f t="shared" ref="D4:D12" si="2">(1-E4-F4)*(1-$B$16)</f>
        <v>3.556665541963154E-2</v>
      </c>
      <c r="E4" s="3">
        <v>0.13</v>
      </c>
      <c r="F4" s="3">
        <v>0.58391999999999999</v>
      </c>
      <c r="G4" s="15">
        <f t="shared" ref="G4:G12" si="3">S4/R4</f>
        <v>1.2401089884371326</v>
      </c>
      <c r="H4" s="3">
        <v>0.36648318171501199</v>
      </c>
      <c r="I4" s="3">
        <v>7.6700000000000004E-2</v>
      </c>
      <c r="J4" s="3">
        <v>0.98149200000000003</v>
      </c>
      <c r="K4" s="3">
        <v>0.1004</v>
      </c>
      <c r="L4" s="3">
        <v>0.47899999999999998</v>
      </c>
      <c r="M4" s="3">
        <v>4.3997044939999999</v>
      </c>
      <c r="N4" s="3">
        <v>28.52167773</v>
      </c>
      <c r="O4" s="3">
        <v>0.622</v>
      </c>
      <c r="P4" s="3">
        <v>0.1041</v>
      </c>
      <c r="Q4" s="4">
        <f t="shared" si="0"/>
        <v>5.5724980000000004</v>
      </c>
      <c r="R4" s="4">
        <f>(I4*K4+J4*L4)^C4*(M4)^E4*(N4)^D4*(Q4)^F4</f>
        <v>3.0952031876144952</v>
      </c>
      <c r="S4" s="3">
        <v>3.8383892940000002</v>
      </c>
      <c r="T4" s="7">
        <f t="shared" ref="T4:T12" si="4">(S4-R4)^2</f>
        <v>0.55232558872444715</v>
      </c>
      <c r="V4" s="4">
        <f>G4*(I4*K4+J4*L4)^C4*(M4)^E4*(N4)^D4*(Q4)^F4</f>
        <v>3.8383892940000002</v>
      </c>
      <c r="W4" s="4">
        <f>B4*(I4*K4+J4*L4)^C4*(M4)^E4*(N4)^D4*(O4)^F4</f>
        <v>3.8383892939999997</v>
      </c>
      <c r="X4" s="2" t="b">
        <f t="shared" ref="X4:X12" si="5">IF(AND(S4=V4,V4=W4),TRUE, FALSE)</f>
        <v>1</v>
      </c>
    </row>
    <row r="5" spans="1:24" ht="15" customHeight="1" x14ac:dyDescent="0.3">
      <c r="A5" s="19" t="s">
        <v>13</v>
      </c>
      <c r="B5" s="18">
        <f>G5*((1-P5)*$B$15)^F5</f>
        <v>3.8459338599676451</v>
      </c>
      <c r="C5" s="18">
        <f t="shared" si="1"/>
        <v>0.40614721179327701</v>
      </c>
      <c r="D5" s="20">
        <f t="shared" si="2"/>
        <v>5.7662788206722951E-2</v>
      </c>
      <c r="E5" s="3">
        <v>0.06</v>
      </c>
      <c r="F5" s="3">
        <v>0.47619</v>
      </c>
      <c r="G5" s="15">
        <f t="shared" si="3"/>
        <v>1.4577099120251724</v>
      </c>
      <c r="H5" s="3">
        <v>0.62282443046569802</v>
      </c>
      <c r="I5" s="3">
        <v>9.0150000000000004E-3</v>
      </c>
      <c r="J5" s="3">
        <v>3.370892</v>
      </c>
      <c r="K5" s="3">
        <v>0.11409999999999999</v>
      </c>
      <c r="L5" s="3">
        <v>0.4138</v>
      </c>
      <c r="M5" s="3">
        <v>11.984056580000001</v>
      </c>
      <c r="N5" s="3">
        <v>170.47203640000001</v>
      </c>
      <c r="O5" s="3">
        <v>4.6139999999999999</v>
      </c>
      <c r="P5" s="3">
        <v>0.23300000000000001</v>
      </c>
      <c r="Q5" s="4">
        <f t="shared" si="0"/>
        <v>35.389380000000003</v>
      </c>
      <c r="R5" s="4">
        <f>(I5*K5+J5*L5)^C5*(M5)^E5*(N5)^D5*(Q5)^F5</f>
        <v>9.7676486470609412</v>
      </c>
      <c r="S5" s="3">
        <v>14.238398249999999</v>
      </c>
      <c r="T5" s="7">
        <f t="shared" si="4"/>
        <v>19.987602012179746</v>
      </c>
      <c r="V5" s="4">
        <f>G5*(I5*K5+J5*L5)^C5*(M5)^E5*(N5)^D5*(Q5)^F5</f>
        <v>14.238398249999999</v>
      </c>
      <c r="W5" s="4">
        <f>B5*(I5*K5+J5*L5)^C5*(M5)^E5*(N5)^D5*(O5)^F5</f>
        <v>14.238398249999994</v>
      </c>
      <c r="X5" s="2" t="b">
        <f t="shared" si="5"/>
        <v>1</v>
      </c>
    </row>
    <row r="6" spans="1:24" ht="15" customHeight="1" x14ac:dyDescent="0.3">
      <c r="A6" s="19" t="s">
        <v>14</v>
      </c>
      <c r="B6" s="18">
        <f>G6*((1-P6)*$B$15)^F6</f>
        <v>1.4777020577307953</v>
      </c>
      <c r="C6" s="18">
        <f t="shared" si="1"/>
        <v>0.4482409494679776</v>
      </c>
      <c r="D6" s="20">
        <f t="shared" si="2"/>
        <v>6.3639050532022498E-2</v>
      </c>
      <c r="E6" s="3">
        <v>0.09</v>
      </c>
      <c r="F6" s="3">
        <v>0.39811999999999997</v>
      </c>
      <c r="G6" s="15">
        <f t="shared" si="3"/>
        <v>0.60411544453609567</v>
      </c>
      <c r="H6" s="3">
        <v>0.3</v>
      </c>
      <c r="I6" s="3">
        <v>14.741268</v>
      </c>
      <c r="J6" s="3">
        <v>0.106604</v>
      </c>
      <c r="K6" s="3">
        <v>0.40660000000000002</v>
      </c>
      <c r="L6" s="3">
        <v>0.4209</v>
      </c>
      <c r="M6" s="3">
        <v>24.950894779999999</v>
      </c>
      <c r="N6" s="3">
        <v>229.81223320000001</v>
      </c>
      <c r="O6" s="3">
        <v>137.09299999999999</v>
      </c>
      <c r="P6" s="3">
        <v>5.4300000000000001E-2</v>
      </c>
      <c r="Q6" s="4">
        <f t="shared" si="0"/>
        <v>1296.4885009999998</v>
      </c>
      <c r="R6" s="4">
        <f>(I6*K6+J6*L6)^C6*(M6)^E6*(N6)^D6*(Q6)^F6</f>
        <v>73.336233481037709</v>
      </c>
      <c r="S6" s="3">
        <v>44.303551290000001</v>
      </c>
      <c r="T6" s="7">
        <f t="shared" si="4"/>
        <v>842.89663520579802</v>
      </c>
      <c r="V6" s="4">
        <f>G6*(I6*K6+J6*L6)^C6*(M6)^E6*(N6)^D6*(Q6)^F6</f>
        <v>44.303551290000009</v>
      </c>
      <c r="W6" s="4">
        <f>B6*(I6*K6+J6*L6)^C6*(M6)^E6*(N6)^D6*(O6)^F6</f>
        <v>44.303551290000001</v>
      </c>
      <c r="X6" s="2" t="b">
        <f t="shared" si="5"/>
        <v>1</v>
      </c>
    </row>
    <row r="7" spans="1:24" ht="15" customHeight="1" x14ac:dyDescent="0.3">
      <c r="A7" s="19" t="s">
        <v>15</v>
      </c>
      <c r="B7" s="18">
        <f>G7*((1-P7)*$B$15)^F7</f>
        <v>2.2851856448272163</v>
      </c>
      <c r="C7" s="18">
        <f t="shared" si="1"/>
        <v>0.42270624194573364</v>
      </c>
      <c r="D7" s="20">
        <f t="shared" si="2"/>
        <v>6.0013758054266418E-2</v>
      </c>
      <c r="E7" s="3">
        <v>0.09</v>
      </c>
      <c r="F7" s="3">
        <v>0.42727999999999999</v>
      </c>
      <c r="G7" s="15">
        <f t="shared" si="3"/>
        <v>0.88207921360116393</v>
      </c>
      <c r="H7" s="3">
        <v>1.1712350845336901</v>
      </c>
      <c r="I7" s="3">
        <v>26.681745222222226</v>
      </c>
      <c r="J7" s="3">
        <v>196.47852399999999</v>
      </c>
      <c r="K7" s="3">
        <v>0.34329999999999999</v>
      </c>
      <c r="L7" s="3">
        <v>0.38869999999999999</v>
      </c>
      <c r="M7" s="3">
        <v>168.94399999999999</v>
      </c>
      <c r="N7" s="3">
        <v>1445.5457309999999</v>
      </c>
      <c r="O7" s="3">
        <v>195.71799999999999</v>
      </c>
      <c r="P7" s="3">
        <v>7.1999999999999995E-2</v>
      </c>
      <c r="Q7" s="4">
        <f t="shared" si="0"/>
        <v>1816.26304</v>
      </c>
      <c r="R7" s="4">
        <f>(I7*K7+J7*L7)^C7*(M7)^E7*(N7)^D7*(Q7)^F7</f>
        <v>397.59865995275192</v>
      </c>
      <c r="S7" s="3">
        <v>350.71351329999999</v>
      </c>
      <c r="T7" s="7">
        <f t="shared" si="4"/>
        <v>2198.2169766500551</v>
      </c>
      <c r="V7" s="4">
        <f>G7*(I7*K7+J7*L7)^C7*(M7)^E7*(N7)^D7*(Q7)^F7</f>
        <v>350.71351329999999</v>
      </c>
      <c r="W7" s="4">
        <f>B7*(I7*K7+J7*L7)^C7*(M7)^E7*(N7)^D7*(O7)^F7</f>
        <v>350.71351330000005</v>
      </c>
      <c r="X7" s="2" t="b">
        <f t="shared" si="5"/>
        <v>1</v>
      </c>
    </row>
    <row r="8" spans="1:24" ht="15" customHeight="1" x14ac:dyDescent="0.3">
      <c r="A8" s="19" t="s">
        <v>16</v>
      </c>
      <c r="B8" s="18">
        <f>G8*((1-P8)*$B$15)^F8</f>
        <v>2.3016772933729475</v>
      </c>
      <c r="C8" s="18">
        <f t="shared" si="1"/>
        <v>0.41247834812338074</v>
      </c>
      <c r="D8" s="20">
        <f t="shared" si="2"/>
        <v>5.856165187661927E-2</v>
      </c>
      <c r="E8" s="3">
        <v>0.11</v>
      </c>
      <c r="F8" s="3">
        <v>0.41896</v>
      </c>
      <c r="G8" s="15">
        <f t="shared" si="3"/>
        <v>0.894256737216094</v>
      </c>
      <c r="H8" s="3">
        <v>0.5</v>
      </c>
      <c r="I8" s="3">
        <v>8.80858615</v>
      </c>
      <c r="J8" s="3">
        <v>13.47254</v>
      </c>
      <c r="K8" s="3">
        <v>0.49830000000000002</v>
      </c>
      <c r="L8" s="3">
        <v>0.33879999999999999</v>
      </c>
      <c r="M8" s="3">
        <v>45.723372210000001</v>
      </c>
      <c r="N8" s="3">
        <v>355.20250160000001</v>
      </c>
      <c r="O8" s="3">
        <v>52.981999999999999</v>
      </c>
      <c r="P8" s="3">
        <v>4.4999999999999998E-2</v>
      </c>
      <c r="Q8" s="4">
        <f t="shared" si="0"/>
        <v>505.97809999999993</v>
      </c>
      <c r="R8" s="4">
        <f>(I8*K8+J8*L8)^C8*(M8)^E8*(N8)^D8*(Q8)^F8</f>
        <v>72.041219829728078</v>
      </c>
      <c r="S8" s="3">
        <v>64.423346190000004</v>
      </c>
      <c r="T8" s="7">
        <f t="shared" si="4"/>
        <v>58.031998790863859</v>
      </c>
      <c r="V8" s="4">
        <f>G8*(I8*K8+J8*L8)^C8*(M8)^E8*(N8)^D8*(Q8)^F8</f>
        <v>64.42334618999999</v>
      </c>
      <c r="W8" s="4">
        <f>B8*(I8*K8+J8*L8)^C8*(M8)^E8*(N8)^D8*(O8)^F8</f>
        <v>64.42334618999999</v>
      </c>
      <c r="X8" s="2" t="b">
        <f t="shared" si="5"/>
        <v>1</v>
      </c>
    </row>
    <row r="9" spans="1:24" ht="15" customHeight="1" x14ac:dyDescent="0.3">
      <c r="A9" s="19" t="s">
        <v>17</v>
      </c>
      <c r="B9" s="18">
        <f>G9*((1-P9)*$B$15)^F9</f>
        <v>2.5414456169435033</v>
      </c>
      <c r="C9" s="18">
        <f t="shared" si="1"/>
        <v>0.44707630059950759</v>
      </c>
      <c r="D9" s="20">
        <f t="shared" si="2"/>
        <v>6.3473699400492467E-2</v>
      </c>
      <c r="E9" s="3">
        <v>0.09</v>
      </c>
      <c r="F9" s="3">
        <v>0.39945000000000003</v>
      </c>
      <c r="G9" s="15">
        <f t="shared" si="3"/>
        <v>1.0314663470507353</v>
      </c>
      <c r="H9" s="3">
        <v>0.44486066699027998</v>
      </c>
      <c r="I9" s="3">
        <v>43.670473125000001</v>
      </c>
      <c r="J9" s="3">
        <v>219.94610800000001</v>
      </c>
      <c r="K9" s="3">
        <v>0.5141</v>
      </c>
      <c r="L9" s="3">
        <v>0.47120000000000001</v>
      </c>
      <c r="M9" s="3">
        <v>1656.89</v>
      </c>
      <c r="N9" s="3">
        <v>15865.29342</v>
      </c>
      <c r="O9" s="3">
        <v>593.95699999999999</v>
      </c>
      <c r="P9" s="13">
        <v>4.41E-2</v>
      </c>
      <c r="Q9" s="4">
        <f t="shared" si="0"/>
        <v>5677.6349629999995</v>
      </c>
      <c r="R9" s="4">
        <f>(I9*K9+J9*L9)^C9*(M9)^E9*(N9)^D9*(Q9)^F9</f>
        <v>988.82745415428622</v>
      </c>
      <c r="S9" s="3">
        <v>1019.942242</v>
      </c>
      <c r="T9" s="7">
        <f t="shared" si="4"/>
        <v>968.13002268377602</v>
      </c>
      <c r="V9" s="4">
        <f>G9*(I9*K9+J9*L9)^C9*(M9)^E9*(N9)^D9*(Q9)^F9</f>
        <v>1019.9422420000001</v>
      </c>
      <c r="W9" s="4">
        <f>B9*(I9*K9+J9*L9)^C9*(M9)^E9*(N9)^D9*(O9)^F9</f>
        <v>1019.9422419999999</v>
      </c>
      <c r="X9" s="2" t="b">
        <f t="shared" si="5"/>
        <v>1</v>
      </c>
    </row>
    <row r="10" spans="1:24" ht="15" customHeight="1" x14ac:dyDescent="0.3">
      <c r="A10" s="19" t="s">
        <v>18</v>
      </c>
      <c r="B10" s="18">
        <f>G10*((1-P10)*$B$15)^F10</f>
        <v>0.50806196264562964</v>
      </c>
      <c r="C10" s="18">
        <f t="shared" si="1"/>
        <v>0.2780183227447609</v>
      </c>
      <c r="D10" s="20">
        <f t="shared" si="2"/>
        <v>3.947167725523916E-2</v>
      </c>
      <c r="E10" s="3">
        <v>0.1</v>
      </c>
      <c r="F10" s="3">
        <v>0.58250999999999997</v>
      </c>
      <c r="G10" s="15">
        <f t="shared" si="3"/>
        <v>0.15715192462592548</v>
      </c>
      <c r="H10" s="3">
        <v>0.28394982218742398</v>
      </c>
      <c r="I10" s="3">
        <v>12.295908000000001</v>
      </c>
      <c r="J10" s="3">
        <v>2.212952</v>
      </c>
      <c r="K10" s="3">
        <v>0.73450000000000004</v>
      </c>
      <c r="L10" s="3">
        <v>0.13469999999999999</v>
      </c>
      <c r="M10" s="3">
        <v>11.63448475</v>
      </c>
      <c r="N10" s="3">
        <v>91.199655250000006</v>
      </c>
      <c r="O10" s="3">
        <v>40.465000000000003</v>
      </c>
      <c r="P10" s="3">
        <v>0.25040000000000001</v>
      </c>
      <c r="Q10" s="4">
        <f t="shared" si="0"/>
        <v>303.32564000000002</v>
      </c>
      <c r="R10" s="4">
        <f>(I10*K10+J10*L10)^C10*(M10)^E10*(N10)^D10*(Q10)^F10</f>
        <v>79.30732404115858</v>
      </c>
      <c r="S10" s="3">
        <v>12.463298610000001</v>
      </c>
      <c r="T10" s="7">
        <f t="shared" si="4"/>
        <v>4468.1237358413755</v>
      </c>
      <c r="V10" s="4">
        <f>G10*(I10*K10+J10*L10)^C10*(M10)^E10*(N10)^D10*(Q10)^F10</f>
        <v>12.463298610000001</v>
      </c>
      <c r="W10" s="4">
        <f>B10*(I10*K10+J10*L10)^C10*(M10)^E10*(N10)^D10*(O10)^F10</f>
        <v>12.463298610000008</v>
      </c>
      <c r="X10" s="2" t="b">
        <f t="shared" si="5"/>
        <v>1</v>
      </c>
    </row>
    <row r="11" spans="1:24" ht="15" customHeight="1" x14ac:dyDescent="0.3">
      <c r="A11" s="19" t="s">
        <v>20</v>
      </c>
      <c r="B11" s="18">
        <f>G11*((1-P11)*$B$15)^F11</f>
        <v>1.9477739649845116</v>
      </c>
      <c r="C11" s="18">
        <f t="shared" si="1"/>
        <v>0.30977908549619393</v>
      </c>
      <c r="D11" s="20">
        <f t="shared" si="2"/>
        <v>4.3980914503806118E-2</v>
      </c>
      <c r="E11" s="3">
        <v>0.09</v>
      </c>
      <c r="F11" s="3">
        <v>0.55623999999999996</v>
      </c>
      <c r="G11" s="15">
        <f t="shared" si="3"/>
        <v>0.68471918400506127</v>
      </c>
      <c r="H11" s="3">
        <v>0.54299837350845304</v>
      </c>
      <c r="I11" s="3">
        <v>20.846993999999999</v>
      </c>
      <c r="J11" s="3">
        <v>175.70544799999999</v>
      </c>
      <c r="K11" s="3">
        <v>9.8100000000000007E-2</v>
      </c>
      <c r="L11" s="3">
        <v>0.51290000000000002</v>
      </c>
      <c r="M11" s="3">
        <v>258.94900000000001</v>
      </c>
      <c r="N11" s="3">
        <v>2437.3085580000002</v>
      </c>
      <c r="O11" s="3">
        <v>124.596</v>
      </c>
      <c r="P11" s="3">
        <v>0.34499999999999997</v>
      </c>
      <c r="Q11" s="4">
        <f t="shared" si="0"/>
        <v>816.10380000000009</v>
      </c>
      <c r="R11" s="4">
        <f>(I11*K11+J11*L11)^C11*(M11)^E11*(N11)^D11*(Q11)^F11</f>
        <v>392.9692581798775</v>
      </c>
      <c r="S11" s="3">
        <v>269.07358979999998</v>
      </c>
      <c r="T11" s="7">
        <f t="shared" si="4"/>
        <v>15350.136643296582</v>
      </c>
      <c r="V11" s="4">
        <f>G11*(I11*K11+J11*L11)^C11*(M11)^E11*(N11)^D11*(Q11)^F11</f>
        <v>269.07358979999998</v>
      </c>
      <c r="W11" s="4">
        <f>B11*(I11*K11+J11*L11)^C11*(M11)^E11*(N11)^D11*(O11)^F11</f>
        <v>269.07358979999992</v>
      </c>
      <c r="X11" s="2" t="b">
        <f t="shared" si="5"/>
        <v>1</v>
      </c>
    </row>
    <row r="12" spans="1:24" ht="15" customHeight="1" thickBot="1" x14ac:dyDescent="0.35">
      <c r="A12" s="21" t="s">
        <v>19</v>
      </c>
      <c r="B12" s="22">
        <f>G12*((1-P12)*$B$15)^F12</f>
        <v>3.7966555337952368</v>
      </c>
      <c r="C12" s="22">
        <f t="shared" si="1"/>
        <v>0.18779744085118086</v>
      </c>
      <c r="D12" s="23">
        <f t="shared" si="2"/>
        <v>2.6662559148819136E-2</v>
      </c>
      <c r="E12" s="3">
        <v>0.13</v>
      </c>
      <c r="F12" s="3">
        <v>0.65554000000000001</v>
      </c>
      <c r="G12" s="15">
        <f t="shared" si="3"/>
        <v>1.0943437116932626</v>
      </c>
      <c r="H12" s="3">
        <v>0.51462882757186901</v>
      </c>
      <c r="I12" s="3">
        <v>11.445347999999999</v>
      </c>
      <c r="J12" s="3">
        <v>40.443351999999997</v>
      </c>
      <c r="K12" s="3">
        <v>0.45</v>
      </c>
      <c r="L12" s="3">
        <v>0.25979999999999998</v>
      </c>
      <c r="M12" s="3">
        <v>397.77300000000002</v>
      </c>
      <c r="N12" s="3">
        <v>2665.7782999999999</v>
      </c>
      <c r="O12" s="3">
        <v>134.20699999999999</v>
      </c>
      <c r="P12" s="3">
        <v>0.33300000000000002</v>
      </c>
      <c r="Q12" s="4">
        <f t="shared" si="0"/>
        <v>895.16069000000005</v>
      </c>
      <c r="R12" s="4">
        <f>(I12*K12+J12*L12)^C12*(M12)^E12*(N12)^D12*(Q12)^F12</f>
        <v>387.9263561017213</v>
      </c>
      <c r="S12" s="3">
        <v>424.52476840000003</v>
      </c>
      <c r="T12" s="7">
        <f t="shared" si="4"/>
        <v>1339.4437827547999</v>
      </c>
      <c r="V12" s="4">
        <f>G12*(I12*K12+J12*L12)^C12*(M12)^E12*(N12)^D12*(Q12)^F12</f>
        <v>424.52476840000003</v>
      </c>
      <c r="W12" s="4">
        <f>B12*(I12*K12+J12*L12)^C12*(M12)^E12*(N12)^D12*(O12)^F12</f>
        <v>424.5247683999998</v>
      </c>
      <c r="X12" s="2" t="b">
        <f t="shared" si="5"/>
        <v>1</v>
      </c>
    </row>
    <row r="13" spans="1:24" ht="15" customHeight="1" x14ac:dyDescent="0.3">
      <c r="A13" s="1"/>
      <c r="B13" s="1"/>
      <c r="C13" s="4"/>
      <c r="D13" s="4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4"/>
      <c r="S13" s="3"/>
      <c r="T13" s="7"/>
      <c r="V13" s="14"/>
      <c r="W13" s="14"/>
      <c r="X13" s="14"/>
    </row>
    <row r="14" spans="1:24" ht="15" customHeight="1" x14ac:dyDescent="0.3">
      <c r="A14" s="9" t="s">
        <v>23</v>
      </c>
      <c r="B14" s="8">
        <f>SUM(T3:T12)</f>
        <v>25249.985099922404</v>
      </c>
      <c r="C14" s="4"/>
      <c r="D14" s="4"/>
      <c r="E14" s="3"/>
      <c r="F14" s="3"/>
      <c r="I14" s="3"/>
      <c r="J14" s="3"/>
      <c r="K14" s="3"/>
      <c r="L14" s="3"/>
      <c r="M14" s="3"/>
      <c r="N14" s="3"/>
      <c r="O14" s="3"/>
      <c r="P14" s="3"/>
      <c r="Q14" s="3"/>
      <c r="S14" s="3"/>
      <c r="T14" s="7"/>
    </row>
    <row r="15" spans="1:24" ht="15" customHeight="1" x14ac:dyDescent="0.3">
      <c r="A15" s="5" t="s">
        <v>25</v>
      </c>
      <c r="B15" s="3">
        <v>10</v>
      </c>
      <c r="C15" s="4"/>
      <c r="D15" s="4"/>
      <c r="E15" s="3"/>
      <c r="F15" s="3"/>
      <c r="I15" s="3"/>
      <c r="J15" s="3"/>
      <c r="M15" s="3"/>
      <c r="N15" s="3"/>
      <c r="O15" s="3"/>
      <c r="P15" s="3"/>
      <c r="Q15" s="3"/>
      <c r="R15" s="4"/>
      <c r="S15" s="3"/>
      <c r="T15" s="7"/>
    </row>
    <row r="16" spans="1:24" ht="15" customHeight="1" x14ac:dyDescent="0.3">
      <c r="A16" s="5" t="s">
        <v>24</v>
      </c>
      <c r="B16" s="10">
        <v>0.87567584095486739</v>
      </c>
      <c r="C16" s="4"/>
      <c r="D16" s="4"/>
      <c r="E16" s="3"/>
      <c r="F16" s="3"/>
      <c r="I16" s="3"/>
      <c r="J16" s="3"/>
      <c r="K16" s="3"/>
      <c r="L16" s="3"/>
      <c r="M16" s="3"/>
      <c r="N16" s="3"/>
      <c r="O16" s="3"/>
      <c r="P16" s="3"/>
      <c r="Q16" s="3"/>
      <c r="R16" s="4"/>
      <c r="S16" s="3"/>
      <c r="T16" s="7"/>
    </row>
    <row r="17" spans="1:20" ht="15" customHeight="1" x14ac:dyDescent="0.3">
      <c r="A17" s="12" t="s">
        <v>37</v>
      </c>
      <c r="B17" s="10">
        <v>1</v>
      </c>
      <c r="C17" s="4"/>
      <c r="D17" s="4"/>
      <c r="E17" s="3"/>
      <c r="F17" s="3"/>
      <c r="I17" s="3"/>
      <c r="J17" s="3"/>
      <c r="K17" s="3"/>
      <c r="L17" s="3"/>
      <c r="M17" s="3"/>
      <c r="N17" s="3"/>
      <c r="O17" s="3"/>
      <c r="P17" s="3"/>
      <c r="Q17" s="3"/>
      <c r="R17" s="4"/>
      <c r="S17" s="3"/>
      <c r="T17" s="7"/>
    </row>
    <row r="18" spans="1:20" ht="15" customHeight="1" x14ac:dyDescent="0.3">
      <c r="A18" s="5" t="s">
        <v>29</v>
      </c>
      <c r="B18" s="4">
        <f>CORREL(R3:R12,S3:S12)</f>
        <v>0.98846103268649155</v>
      </c>
      <c r="C18" s="4"/>
      <c r="D18" s="4"/>
      <c r="E18" s="3"/>
      <c r="F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3"/>
      <c r="T18" s="7"/>
    </row>
    <row r="19" spans="1:20" ht="15" customHeight="1" x14ac:dyDescent="0.3">
      <c r="A19" s="12" t="s">
        <v>45</v>
      </c>
      <c r="B19" s="4">
        <f>CORREL(G3:G12,H3:H12)</f>
        <v>0.28092970911817089</v>
      </c>
      <c r="C19" s="4"/>
      <c r="D19" s="4"/>
      <c r="E19" s="3"/>
      <c r="F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3"/>
      <c r="T19" s="7"/>
    </row>
    <row r="20" spans="1:20" ht="15" customHeight="1" x14ac:dyDescent="0.3">
      <c r="A20" s="5"/>
      <c r="B20" s="4"/>
      <c r="C20" s="4"/>
      <c r="D20" s="4"/>
      <c r="E20" s="3"/>
      <c r="F20" s="3"/>
      <c r="I20" s="3"/>
      <c r="J20" s="3"/>
      <c r="K20" s="3"/>
      <c r="L20" s="3"/>
      <c r="M20" s="3"/>
      <c r="N20" s="3"/>
      <c r="O20" s="3"/>
      <c r="P20" s="3"/>
      <c r="Q20" s="3"/>
      <c r="R20" s="4"/>
      <c r="S20" s="3"/>
      <c r="T20" s="7"/>
    </row>
    <row r="21" spans="1:20" ht="15" customHeight="1" x14ac:dyDescent="0.3">
      <c r="A21" s="12" t="s">
        <v>40</v>
      </c>
      <c r="B21" s="4">
        <f>AVERAGE(G3:G12)</f>
        <v>0.90393995062932286</v>
      </c>
      <c r="C21" s="4"/>
      <c r="D21" s="4"/>
      <c r="E21" s="3"/>
      <c r="F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/>
      <c r="T21" s="7"/>
    </row>
    <row r="22" spans="1:20" ht="15" customHeight="1" x14ac:dyDescent="0.3">
      <c r="A22" s="14" t="s">
        <v>42</v>
      </c>
      <c r="B22" s="27">
        <f>AVERAGE(B3:B12)</f>
        <v>2.6363501671477798</v>
      </c>
      <c r="C22" s="14" t="s">
        <v>43</v>
      </c>
      <c r="E22" s="3"/>
      <c r="K22" s="3"/>
      <c r="L22" s="3"/>
      <c r="P22" s="3"/>
    </row>
    <row r="23" spans="1:20" ht="15" customHeight="1" x14ac:dyDescent="0.3">
      <c r="E23" s="3"/>
      <c r="K23" s="3"/>
      <c r="L23" s="3"/>
      <c r="P23" s="3"/>
    </row>
    <row r="24" spans="1:20" ht="15" customHeight="1" x14ac:dyDescent="0.3">
      <c r="A24" s="14" t="s">
        <v>38</v>
      </c>
      <c r="B24" s="17">
        <f>COUNTIF(X3:X12,"="&amp;TRUE)/10</f>
        <v>1</v>
      </c>
      <c r="E24" s="3"/>
      <c r="K24" s="3"/>
      <c r="L24" s="3"/>
      <c r="P24" s="13"/>
    </row>
    <row r="25" spans="1:20" ht="15" customHeight="1" x14ac:dyDescent="0.3">
      <c r="E25" s="3"/>
      <c r="K25" s="3"/>
      <c r="L25" s="3"/>
      <c r="P25" s="3"/>
    </row>
    <row r="26" spans="1:20" ht="15" customHeight="1" x14ac:dyDescent="0.3">
      <c r="K26" s="3"/>
      <c r="L26" s="3"/>
      <c r="P26" s="3"/>
    </row>
    <row r="27" spans="1:20" ht="15" customHeight="1" x14ac:dyDescent="0.3">
      <c r="K27" s="3"/>
      <c r="L27" s="3"/>
      <c r="P27" s="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87DD-9288-47C1-A6D6-F9BA96712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976A-B285-4959-B15F-8CDEF376C7C7}">
  <sheetPr codeName="Sheet2">
    <outlinePr summaryBelow="0" summaryRight="0"/>
  </sheetPr>
  <dimension ref="A1:U29"/>
  <sheetViews>
    <sheetView workbookViewId="0">
      <selection activeCell="F16" sqref="F16"/>
    </sheetView>
  </sheetViews>
  <sheetFormatPr defaultColWidth="14.44140625" defaultRowHeight="15" customHeight="1" x14ac:dyDescent="0.3"/>
  <cols>
    <col min="1" max="1" width="40.77734375" style="2" customWidth="1"/>
    <col min="2" max="16" width="15.77734375" style="2" customWidth="1"/>
    <col min="17" max="16384" width="14.44140625" style="2"/>
  </cols>
  <sheetData>
    <row r="1" spans="1:21" ht="15" customHeight="1" thickBot="1" x14ac:dyDescent="0.35">
      <c r="A1" s="30" t="s">
        <v>47</v>
      </c>
    </row>
    <row r="2" spans="1:21" ht="15" customHeight="1" x14ac:dyDescent="0.3">
      <c r="A2" s="24" t="s">
        <v>10</v>
      </c>
      <c r="B2" s="25" t="s">
        <v>28</v>
      </c>
      <c r="C2" s="25" t="s">
        <v>5</v>
      </c>
      <c r="D2" s="25" t="s">
        <v>7</v>
      </c>
      <c r="E2" s="25" t="s">
        <v>6</v>
      </c>
      <c r="F2" s="26" t="s">
        <v>8</v>
      </c>
      <c r="G2" s="12" t="s">
        <v>39</v>
      </c>
      <c r="H2" s="5" t="s">
        <v>27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5" t="s">
        <v>26</v>
      </c>
      <c r="O2" s="5" t="s">
        <v>21</v>
      </c>
      <c r="P2" s="1" t="s">
        <v>11</v>
      </c>
      <c r="Q2" s="6" t="s">
        <v>22</v>
      </c>
      <c r="S2" s="14" t="s">
        <v>35</v>
      </c>
      <c r="T2" s="14" t="s">
        <v>36</v>
      </c>
      <c r="U2" s="14" t="s">
        <v>38</v>
      </c>
    </row>
    <row r="3" spans="1:21" ht="15" customHeight="1" x14ac:dyDescent="0.3">
      <c r="A3" s="19" t="s">
        <v>12</v>
      </c>
      <c r="B3" s="18">
        <f>G3*($B$15)^F3</f>
        <v>2.2575718249024694</v>
      </c>
      <c r="C3" s="18">
        <f>$B$16</f>
        <v>8.5164947045431261E-2</v>
      </c>
      <c r="D3" s="18">
        <f>$B$17</f>
        <v>0.39621680741199822</v>
      </c>
      <c r="E3" s="18">
        <f>$B$18</f>
        <v>0</v>
      </c>
      <c r="F3" s="20">
        <f>$B$19</f>
        <v>0.29583171017216714</v>
      </c>
      <c r="G3" s="15">
        <f t="shared" ref="G3:G12" si="0">P3/O3</f>
        <v>1.0536911243083609</v>
      </c>
      <c r="H3" s="3">
        <v>0.81218433380126998</v>
      </c>
      <c r="I3" s="3">
        <v>65.294229000000001</v>
      </c>
      <c r="J3" s="3">
        <v>104.43883599999999</v>
      </c>
      <c r="K3" s="3">
        <v>211.67599999999999</v>
      </c>
      <c r="L3" s="3">
        <v>3017.7409349999998</v>
      </c>
      <c r="M3" s="3">
        <v>93.811000000000007</v>
      </c>
      <c r="N3" s="4">
        <f t="shared" ref="N3:N12" si="1">M3*$B$15</f>
        <v>1232.7943139575846</v>
      </c>
      <c r="O3" s="4">
        <f>(I3+J3)^C3*(K3)^E3*(L3)^D3*(N3)^F3</f>
        <v>304.08141352648732</v>
      </c>
      <c r="P3" s="3">
        <v>320.40788650000002</v>
      </c>
      <c r="Q3" s="7">
        <f>(P3-O3)^2</f>
        <v>266.55371975484042</v>
      </c>
      <c r="S3" s="4">
        <f>(I3+J3)^C3*(K3)^E3*(L3)^D3*(N3)^F3*G3</f>
        <v>320.40788650000002</v>
      </c>
      <c r="T3" s="4">
        <f>(I3+J3)^C3*(K3)^E3*(L3)^D3*(M3)^F3*B3</f>
        <v>320.40788650000002</v>
      </c>
      <c r="U3" s="2" t="b">
        <f t="shared" ref="U3:U12" si="2">IF(AND(P3=S3,S3=T3),TRUE, FALSE)</f>
        <v>1</v>
      </c>
    </row>
    <row r="4" spans="1:21" ht="15" customHeight="1" x14ac:dyDescent="0.3">
      <c r="A4" s="19" t="s">
        <v>9</v>
      </c>
      <c r="B4" s="18">
        <f>G4*($B$15)^F4</f>
        <v>1.1654550029056105</v>
      </c>
      <c r="C4" s="18">
        <f t="shared" ref="C4:C12" si="3">$B$16</f>
        <v>8.5164947045431261E-2</v>
      </c>
      <c r="D4" s="18">
        <f t="shared" ref="D4:D12" si="4">$B$17</f>
        <v>0.39621680741199822</v>
      </c>
      <c r="E4" s="18">
        <f t="shared" ref="E4:E12" si="5">$B$18</f>
        <v>0</v>
      </c>
      <c r="F4" s="20">
        <f t="shared" ref="F4:F12" si="6">$B$19</f>
        <v>0.29583171017216714</v>
      </c>
      <c r="G4" s="15">
        <f t="shared" si="0"/>
        <v>0.54396036431552719</v>
      </c>
      <c r="H4" s="3">
        <v>0.36648318171501199</v>
      </c>
      <c r="I4" s="3">
        <v>7.6700000000000004E-2</v>
      </c>
      <c r="J4" s="3">
        <v>0.98149200000000003</v>
      </c>
      <c r="K4" s="3">
        <v>4.3997044939999999</v>
      </c>
      <c r="L4" s="3">
        <v>28.52167773</v>
      </c>
      <c r="M4" s="3">
        <v>0.622</v>
      </c>
      <c r="N4" s="4">
        <f t="shared" si="1"/>
        <v>8.1738608828561432</v>
      </c>
      <c r="O4" s="4">
        <f>(I4+J4)^C4*(K4)^E4*(L4)^D4*(N4)^F4</f>
        <v>7.0563767983902617</v>
      </c>
      <c r="P4" s="3">
        <v>3.8383892940000002</v>
      </c>
      <c r="Q4" s="7">
        <f t="shared" ref="Q4:Q12" si="7">(P4-O4)^2</f>
        <v>10.355443578411863</v>
      </c>
      <c r="S4" s="4">
        <f>(I4+J4)^C4*(K4)^E4*(L4)^D4*(N4)^F4*G4</f>
        <v>3.8383892940000002</v>
      </c>
      <c r="T4" s="4">
        <f>(I4+J4)^C4*(K4)^E4*(L4)^D4*(M4)^F4*B4</f>
        <v>3.8383892939999993</v>
      </c>
      <c r="U4" s="2" t="b">
        <f t="shared" si="2"/>
        <v>1</v>
      </c>
    </row>
    <row r="5" spans="1:21" ht="15" customHeight="1" x14ac:dyDescent="0.3">
      <c r="A5" s="19" t="s">
        <v>13</v>
      </c>
      <c r="B5" s="18">
        <f>G5*($B$15)^F5</f>
        <v>1.0659658603685187</v>
      </c>
      <c r="C5" s="18">
        <f t="shared" si="3"/>
        <v>8.5164947045431261E-2</v>
      </c>
      <c r="D5" s="18">
        <f t="shared" si="4"/>
        <v>0.39621680741199822</v>
      </c>
      <c r="E5" s="18">
        <f t="shared" si="5"/>
        <v>0</v>
      </c>
      <c r="F5" s="20">
        <f t="shared" si="6"/>
        <v>0.29583171017216714</v>
      </c>
      <c r="G5" s="15">
        <f t="shared" si="0"/>
        <v>0.49752515224385285</v>
      </c>
      <c r="H5" s="3">
        <v>0.62282443046569802</v>
      </c>
      <c r="I5" s="3">
        <v>9.0150000000000004E-3</v>
      </c>
      <c r="J5" s="3">
        <v>3.370892</v>
      </c>
      <c r="K5" s="3">
        <v>11.984056580000001</v>
      </c>
      <c r="L5" s="3">
        <v>170.47203640000001</v>
      </c>
      <c r="M5" s="3">
        <v>4.6139999999999999</v>
      </c>
      <c r="N5" s="4">
        <f t="shared" si="1"/>
        <v>60.633752594048616</v>
      </c>
      <c r="O5" s="4">
        <f>(I5+J5)^C5*(K5)^E5*(L5)^D5*(N5)^F5</f>
        <v>28.618449109124253</v>
      </c>
      <c r="P5" s="3">
        <v>14.238398249999999</v>
      </c>
      <c r="Q5" s="7">
        <f t="shared" si="7"/>
        <v>206.78586271100016</v>
      </c>
      <c r="S5" s="4">
        <f>(I5+J5)^C5*(K5)^E5*(L5)^D5*(N5)^F5*G5</f>
        <v>14.238398249999999</v>
      </c>
      <c r="T5" s="4">
        <f>(I5+J5)^C5*(K5)^E5*(L5)^D5*(M5)^F5*B5</f>
        <v>14.238398249999998</v>
      </c>
      <c r="U5" s="2" t="b">
        <f t="shared" si="2"/>
        <v>1</v>
      </c>
    </row>
    <row r="6" spans="1:21" ht="15" customHeight="1" x14ac:dyDescent="0.3">
      <c r="A6" s="19" t="s">
        <v>14</v>
      </c>
      <c r="B6" s="18">
        <f>G6*($B$15)^F6</f>
        <v>0.95244785089667816</v>
      </c>
      <c r="C6" s="18">
        <f t="shared" si="3"/>
        <v>8.5164947045431261E-2</v>
      </c>
      <c r="D6" s="18">
        <f t="shared" si="4"/>
        <v>0.39621680741199822</v>
      </c>
      <c r="E6" s="18">
        <f t="shared" si="5"/>
        <v>0</v>
      </c>
      <c r="F6" s="20">
        <f t="shared" si="6"/>
        <v>0.29583171017216714</v>
      </c>
      <c r="G6" s="15">
        <f t="shared" si="0"/>
        <v>0.44454215621678367</v>
      </c>
      <c r="H6" s="3">
        <v>0.3</v>
      </c>
      <c r="I6" s="3">
        <v>14.741268</v>
      </c>
      <c r="J6" s="3">
        <v>0.106604</v>
      </c>
      <c r="K6" s="3">
        <v>24.950894779999999</v>
      </c>
      <c r="L6" s="3">
        <v>229.81223320000001</v>
      </c>
      <c r="M6" s="3">
        <v>137.09299999999999</v>
      </c>
      <c r="N6" s="4">
        <f t="shared" si="1"/>
        <v>1801.5741318543362</v>
      </c>
      <c r="O6" s="4">
        <f>(I6+J6)^C6*(K6)^E6*(L6)^D6*(N6)^F6</f>
        <v>99.661079765841393</v>
      </c>
      <c r="P6" s="3">
        <v>44.303551290000001</v>
      </c>
      <c r="Q6" s="7">
        <f t="shared" si="7"/>
        <v>3064.4559589535907</v>
      </c>
      <c r="S6" s="4">
        <f>(I6+J6)^C6*(K6)^E6*(L6)^D6*(N6)^F6*G6</f>
        <v>44.303551290000001</v>
      </c>
      <c r="T6" s="4">
        <f>(I6+J6)^C6*(K6)^E6*(L6)^D6*(M6)^F6*B6</f>
        <v>44.303551289999994</v>
      </c>
      <c r="U6" s="2" t="b">
        <f t="shared" si="2"/>
        <v>1</v>
      </c>
    </row>
    <row r="7" spans="1:21" ht="15" customHeight="1" x14ac:dyDescent="0.3">
      <c r="A7" s="19" t="s">
        <v>15</v>
      </c>
      <c r="B7" s="18">
        <f>G7*($B$15)^F7</f>
        <v>2.5997877515881576</v>
      </c>
      <c r="C7" s="18">
        <f t="shared" si="3"/>
        <v>8.5164947045431261E-2</v>
      </c>
      <c r="D7" s="18">
        <f t="shared" si="4"/>
        <v>0.39621680741199822</v>
      </c>
      <c r="E7" s="18">
        <f t="shared" si="5"/>
        <v>0</v>
      </c>
      <c r="F7" s="20">
        <f t="shared" si="6"/>
        <v>0.29583171017216714</v>
      </c>
      <c r="G7" s="15">
        <f t="shared" si="0"/>
        <v>1.2134157809363946</v>
      </c>
      <c r="H7" s="3">
        <v>1.1712350845336901</v>
      </c>
      <c r="I7" s="3">
        <v>26.681745222222226</v>
      </c>
      <c r="J7" s="3">
        <v>196.47852399999999</v>
      </c>
      <c r="K7" s="3">
        <v>168.94399999999999</v>
      </c>
      <c r="L7" s="3">
        <v>1445.5457309999999</v>
      </c>
      <c r="M7" s="3">
        <v>195.71799999999999</v>
      </c>
      <c r="N7" s="4">
        <f t="shared" si="1"/>
        <v>2571.9802319466858</v>
      </c>
      <c r="O7" s="4">
        <f>(I7+J7)^C7*(K7)^E7*(L7)^D7*(N7)^F7</f>
        <v>289.02995890605109</v>
      </c>
      <c r="P7" s="3">
        <v>350.71351329999999</v>
      </c>
      <c r="Q7" s="7">
        <f t="shared" si="7"/>
        <v>3804.8608826712521</v>
      </c>
      <c r="S7" s="4">
        <f>(I7+J7)^C7*(K7)^E7*(L7)^D7*(N7)^F7*G7</f>
        <v>350.71351330000005</v>
      </c>
      <c r="T7" s="4">
        <f>(I7+J7)^C7*(K7)^E7*(L7)^D7*(M7)^F7*B7</f>
        <v>350.71351329999987</v>
      </c>
      <c r="U7" s="2" t="b">
        <f t="shared" si="2"/>
        <v>1</v>
      </c>
    </row>
    <row r="8" spans="1:21" ht="15" customHeight="1" x14ac:dyDescent="0.3">
      <c r="A8" s="19" t="s">
        <v>16</v>
      </c>
      <c r="B8" s="18">
        <f>G8*($B$15)^F8</f>
        <v>1.4916020840904538</v>
      </c>
      <c r="C8" s="18">
        <f t="shared" si="3"/>
        <v>8.5164947045431261E-2</v>
      </c>
      <c r="D8" s="18">
        <f t="shared" si="4"/>
        <v>0.39621680741199822</v>
      </c>
      <c r="E8" s="18">
        <f t="shared" si="5"/>
        <v>0</v>
      </c>
      <c r="F8" s="20">
        <f t="shared" si="6"/>
        <v>0.29583171017216714</v>
      </c>
      <c r="G8" s="15">
        <f t="shared" si="0"/>
        <v>0.6961851045752947</v>
      </c>
      <c r="H8" s="3">
        <v>0.5</v>
      </c>
      <c r="I8" s="3">
        <v>8.80858615</v>
      </c>
      <c r="J8" s="3">
        <v>13.47254</v>
      </c>
      <c r="K8" s="3">
        <v>45.723372210000001</v>
      </c>
      <c r="L8" s="3">
        <v>355.20250160000001</v>
      </c>
      <c r="M8" s="3">
        <v>52.981999999999999</v>
      </c>
      <c r="N8" s="4">
        <f t="shared" si="1"/>
        <v>696.24999565190376</v>
      </c>
      <c r="O8" s="4">
        <f>(I8+J8)^C8*(K8)^E8*(L8)^D8*(N8)^F8</f>
        <v>92.537668167004583</v>
      </c>
      <c r="P8" s="3">
        <v>64.423346190000004</v>
      </c>
      <c r="Q8" s="7">
        <f t="shared" si="7"/>
        <v>790.41510022668263</v>
      </c>
      <c r="S8" s="4">
        <f>(I8+J8)^C8*(K8)^E8*(L8)^D8*(N8)^F8*G8</f>
        <v>64.423346190000004</v>
      </c>
      <c r="T8" s="4">
        <f>(I8+J8)^C8*(K8)^E8*(L8)^D8*(M8)^F8*B8</f>
        <v>64.423346189999975</v>
      </c>
      <c r="U8" s="2" t="b">
        <f t="shared" si="2"/>
        <v>1</v>
      </c>
    </row>
    <row r="9" spans="1:21" ht="15" customHeight="1" x14ac:dyDescent="0.3">
      <c r="A9" s="19" t="s">
        <v>17</v>
      </c>
      <c r="B9" s="18">
        <f>G9*($B$15)^F9</f>
        <v>2.0774985969125548</v>
      </c>
      <c r="C9" s="18">
        <f t="shared" si="3"/>
        <v>8.5164947045431261E-2</v>
      </c>
      <c r="D9" s="18">
        <f t="shared" si="4"/>
        <v>0.39621680741199822</v>
      </c>
      <c r="E9" s="18">
        <f t="shared" si="5"/>
        <v>0</v>
      </c>
      <c r="F9" s="20">
        <f t="shared" si="6"/>
        <v>0.29583171017216714</v>
      </c>
      <c r="G9" s="15">
        <f t="shared" si="0"/>
        <v>0.9696443799410025</v>
      </c>
      <c r="H9" s="3">
        <v>0.44486066699027998</v>
      </c>
      <c r="I9" s="3">
        <v>43.670473125000001</v>
      </c>
      <c r="J9" s="3">
        <v>219.94610800000001</v>
      </c>
      <c r="K9" s="3">
        <v>1656.89</v>
      </c>
      <c r="L9" s="3">
        <v>15865.29342</v>
      </c>
      <c r="M9" s="3">
        <v>593.95699999999999</v>
      </c>
      <c r="N9" s="4">
        <f t="shared" si="1"/>
        <v>7805.3406565893665</v>
      </c>
      <c r="O9" s="4">
        <f>(I9+J9)^C9*(K9)^E9*(L9)^D9*(N9)^F9</f>
        <v>1051.8724834583766</v>
      </c>
      <c r="P9" s="3">
        <v>1019.942242</v>
      </c>
      <c r="Q9" s="7">
        <f t="shared" si="7"/>
        <v>1019.5403195902318</v>
      </c>
      <c r="S9" s="4">
        <f>(I9+J9)^C9*(K9)^E9*(L9)^D9*(N9)^F9*G9</f>
        <v>1019.942242</v>
      </c>
      <c r="T9" s="4">
        <f>(I9+J9)^C9*(K9)^E9*(L9)^D9*(M9)^F9*B9</f>
        <v>1019.9422419999999</v>
      </c>
      <c r="U9" s="2" t="b">
        <f t="shared" si="2"/>
        <v>1</v>
      </c>
    </row>
    <row r="10" spans="1:21" ht="15" customHeight="1" x14ac:dyDescent="0.3">
      <c r="A10" s="19" t="s">
        <v>18</v>
      </c>
      <c r="B10" s="18">
        <f>G10*($B$15)^F10</f>
        <v>0.55551427803400211</v>
      </c>
      <c r="C10" s="18">
        <f t="shared" si="3"/>
        <v>8.5164947045431261E-2</v>
      </c>
      <c r="D10" s="18">
        <f t="shared" si="4"/>
        <v>0.39621680741199822</v>
      </c>
      <c r="E10" s="18">
        <f t="shared" si="5"/>
        <v>0</v>
      </c>
      <c r="F10" s="20">
        <f t="shared" si="6"/>
        <v>0.29583171017216714</v>
      </c>
      <c r="G10" s="15">
        <f t="shared" si="0"/>
        <v>0.25927877808108396</v>
      </c>
      <c r="H10" s="3">
        <v>0.28394982218742398</v>
      </c>
      <c r="I10" s="3">
        <v>12.295908000000001</v>
      </c>
      <c r="J10" s="3">
        <v>2.212952</v>
      </c>
      <c r="K10" s="3">
        <v>11.63448475</v>
      </c>
      <c r="L10" s="3">
        <v>91.199655250000006</v>
      </c>
      <c r="M10" s="3">
        <v>40.465000000000003</v>
      </c>
      <c r="N10" s="4">
        <f t="shared" si="1"/>
        <v>531.76090132600291</v>
      </c>
      <c r="O10" s="4">
        <f>(I10+J10)^C10*(K10)^E10*(L10)^D10*(N10)^F10</f>
        <v>48.06910423691663</v>
      </c>
      <c r="P10" s="3">
        <v>12.463298610000001</v>
      </c>
      <c r="Q10" s="7">
        <f t="shared" si="7"/>
        <v>1267.7733943417677</v>
      </c>
      <c r="S10" s="4">
        <f>(I10+J10)^C10*(K10)^E10*(L10)^D10*(N10)^F10*G10</f>
        <v>12.463298609999999</v>
      </c>
      <c r="T10" s="4">
        <f>(I10+J10)^C10*(K10)^E10*(L10)^D10*(M10)^F10*B10</f>
        <v>12.463298609999997</v>
      </c>
      <c r="U10" s="2" t="b">
        <f t="shared" si="2"/>
        <v>1</v>
      </c>
    </row>
    <row r="11" spans="1:21" ht="15" customHeight="1" x14ac:dyDescent="0.3">
      <c r="A11" s="19" t="s">
        <v>20</v>
      </c>
      <c r="B11" s="18">
        <f>G11*($B$15)^F11</f>
        <v>1.8736120479923606</v>
      </c>
      <c r="C11" s="18">
        <f t="shared" si="3"/>
        <v>8.5164947045431261E-2</v>
      </c>
      <c r="D11" s="18">
        <f t="shared" si="4"/>
        <v>0.39621680741199822</v>
      </c>
      <c r="E11" s="18">
        <f t="shared" si="5"/>
        <v>0</v>
      </c>
      <c r="F11" s="20">
        <f t="shared" si="6"/>
        <v>0.29583171017216714</v>
      </c>
      <c r="G11" s="15">
        <f t="shared" si="0"/>
        <v>0.8744830900128947</v>
      </c>
      <c r="H11" s="3">
        <v>0.54299837350845304</v>
      </c>
      <c r="I11" s="3">
        <v>20.846993999999999</v>
      </c>
      <c r="J11" s="3">
        <v>175.70544799999999</v>
      </c>
      <c r="K11" s="3">
        <v>258.94900000000001</v>
      </c>
      <c r="L11" s="3">
        <v>2437.3085580000002</v>
      </c>
      <c r="M11" s="3">
        <v>124.596</v>
      </c>
      <c r="N11" s="4">
        <f t="shared" si="1"/>
        <v>1637.3478626372089</v>
      </c>
      <c r="O11" s="4">
        <f>(I11+J11)^C11*(K11)^E11*(L11)^D11*(N11)^F11</f>
        <v>307.69444586519376</v>
      </c>
      <c r="P11" s="3">
        <v>269.07358979999998</v>
      </c>
      <c r="Q11" s="7">
        <f t="shared" si="7"/>
        <v>1491.5705232084149</v>
      </c>
      <c r="S11" s="4">
        <f>(I11+J11)^C11*(K11)^E11*(L11)^D11*(N11)^F11*G11</f>
        <v>269.07358979999998</v>
      </c>
      <c r="T11" s="4">
        <f>(I11+J11)^C11*(K11)^E11*(L11)^D11*(M11)^F11*B11</f>
        <v>269.07358979999987</v>
      </c>
      <c r="U11" s="2" t="b">
        <f t="shared" si="2"/>
        <v>1</v>
      </c>
    </row>
    <row r="12" spans="1:21" ht="15" customHeight="1" thickBot="1" x14ac:dyDescent="0.35">
      <c r="A12" s="21" t="s">
        <v>19</v>
      </c>
      <c r="B12" s="22">
        <f>G12*($B$15)^F12</f>
        <v>3.1261263286275907</v>
      </c>
      <c r="C12" s="22">
        <f t="shared" si="3"/>
        <v>8.5164947045431261E-2</v>
      </c>
      <c r="D12" s="22">
        <f t="shared" si="4"/>
        <v>0.39621680741199822</v>
      </c>
      <c r="E12" s="22">
        <f t="shared" si="5"/>
        <v>0</v>
      </c>
      <c r="F12" s="23">
        <f t="shared" si="6"/>
        <v>0.29583171017216714</v>
      </c>
      <c r="G12" s="15">
        <f t="shared" si="0"/>
        <v>1.4590771950672619</v>
      </c>
      <c r="H12" s="3">
        <v>0.51462882757186901</v>
      </c>
      <c r="I12" s="3">
        <v>11.445347999999999</v>
      </c>
      <c r="J12" s="3">
        <v>40.443351999999997</v>
      </c>
      <c r="K12" s="3">
        <v>397.77300000000002</v>
      </c>
      <c r="L12" s="3">
        <v>2665.7782999999999</v>
      </c>
      <c r="M12" s="3">
        <v>134.20699999999999</v>
      </c>
      <c r="N12" s="4">
        <f t="shared" si="1"/>
        <v>1763.6484686583187</v>
      </c>
      <c r="O12" s="4">
        <f>(I12+J12)^C12*(K12)^E12*(L12)^D12*(N12)^F12</f>
        <v>290.95428935165415</v>
      </c>
      <c r="P12" s="3">
        <v>424.52476840000003</v>
      </c>
      <c r="Q12" s="7">
        <f t="shared" si="7"/>
        <v>17841.072873204605</v>
      </c>
      <c r="S12" s="4">
        <f>(I12+J12)^C12*(K12)^E12*(L12)^D12*(N12)^F12*G12</f>
        <v>424.52476840000003</v>
      </c>
      <c r="T12" s="4">
        <f>(I12+J12)^C12*(K12)^E12*(L12)^D12*(M12)^F12*B12</f>
        <v>424.52476839999997</v>
      </c>
      <c r="U12" s="2" t="b">
        <f t="shared" si="2"/>
        <v>1</v>
      </c>
    </row>
    <row r="13" spans="1:21" ht="15" customHeight="1" x14ac:dyDescent="0.3">
      <c r="A13" s="1"/>
      <c r="B13" s="11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4"/>
      <c r="O13" s="3"/>
      <c r="P13" s="7"/>
    </row>
    <row r="14" spans="1:21" ht="15" customHeight="1" x14ac:dyDescent="0.3">
      <c r="A14" s="9" t="s">
        <v>23</v>
      </c>
      <c r="B14" s="8">
        <f>SUM(Q3:Q12)</f>
        <v>29763.384078240793</v>
      </c>
      <c r="C14" s="4"/>
      <c r="D14" s="4"/>
      <c r="E14" s="3"/>
      <c r="F14" s="3"/>
      <c r="H14" s="3"/>
      <c r="I14" s="3"/>
      <c r="J14" s="3"/>
      <c r="K14" s="3"/>
      <c r="L14" s="3"/>
      <c r="M14" s="3"/>
      <c r="O14" s="3"/>
      <c r="P14" s="7"/>
    </row>
    <row r="15" spans="1:21" ht="15" customHeight="1" x14ac:dyDescent="0.3">
      <c r="A15" s="5" t="s">
        <v>25</v>
      </c>
      <c r="B15" s="10">
        <v>13.14125543867547</v>
      </c>
      <c r="C15" s="4"/>
      <c r="D15" s="4"/>
      <c r="E15" s="3"/>
      <c r="F15" s="3"/>
      <c r="H15" s="3"/>
      <c r="I15" s="3"/>
      <c r="J15" s="3"/>
      <c r="K15" s="3"/>
      <c r="L15" s="3"/>
      <c r="M15" s="3"/>
      <c r="N15" s="4"/>
      <c r="O15" s="3"/>
      <c r="P15" s="7"/>
    </row>
    <row r="16" spans="1:21" ht="15" customHeight="1" x14ac:dyDescent="0.3">
      <c r="A16" s="28" t="s">
        <v>5</v>
      </c>
      <c r="B16" s="10">
        <v>8.5164947045431261E-2</v>
      </c>
      <c r="C16" s="4"/>
      <c r="D16" s="4"/>
      <c r="E16" s="3"/>
      <c r="F16" s="3"/>
      <c r="H16" s="3"/>
      <c r="I16" s="3"/>
      <c r="J16" s="3"/>
      <c r="K16" s="3"/>
      <c r="L16" s="3"/>
      <c r="M16" s="3"/>
      <c r="N16" s="4"/>
      <c r="O16" s="3"/>
      <c r="P16" s="7"/>
    </row>
    <row r="17" spans="1:16" ht="15" customHeight="1" x14ac:dyDescent="0.3">
      <c r="A17" s="29" t="s">
        <v>7</v>
      </c>
      <c r="B17" s="10">
        <v>0.39621680741199822</v>
      </c>
      <c r="C17" s="4"/>
      <c r="D17" s="4"/>
      <c r="E17" s="3"/>
      <c r="F17" s="3"/>
      <c r="H17" s="3"/>
      <c r="I17" s="3"/>
      <c r="J17" s="3"/>
      <c r="K17" s="3"/>
      <c r="L17" s="3"/>
      <c r="M17" s="3"/>
      <c r="N17" s="4"/>
      <c r="O17" s="3"/>
      <c r="P17" s="7"/>
    </row>
    <row r="18" spans="1:16" ht="15" customHeight="1" x14ac:dyDescent="0.3">
      <c r="A18" s="29" t="s">
        <v>6</v>
      </c>
      <c r="B18" s="10">
        <v>0</v>
      </c>
      <c r="C18" s="4"/>
      <c r="D18" s="4"/>
      <c r="E18" s="3"/>
      <c r="F18" s="3"/>
      <c r="H18" s="3"/>
      <c r="I18" s="3"/>
      <c r="J18" s="3"/>
      <c r="K18" s="3"/>
      <c r="L18" s="3"/>
      <c r="M18" s="3"/>
      <c r="N18" s="4"/>
      <c r="O18" s="3"/>
      <c r="P18" s="7"/>
    </row>
    <row r="19" spans="1:16" ht="15" customHeight="1" x14ac:dyDescent="0.3">
      <c r="A19" s="29" t="s">
        <v>8</v>
      </c>
      <c r="B19" s="10">
        <v>0.29583171017216714</v>
      </c>
      <c r="C19" s="4"/>
      <c r="D19" s="4"/>
      <c r="E19" s="3"/>
      <c r="F19" s="3"/>
      <c r="H19" s="3"/>
      <c r="I19" s="3"/>
      <c r="J19" s="3"/>
      <c r="K19" s="3"/>
      <c r="L19" s="3"/>
      <c r="M19" s="3"/>
      <c r="N19" s="4"/>
      <c r="O19" s="3"/>
      <c r="P19" s="7"/>
    </row>
    <row r="20" spans="1:16" ht="15" customHeight="1" x14ac:dyDescent="0.3">
      <c r="A20" s="29" t="s">
        <v>46</v>
      </c>
      <c r="B20" s="10">
        <f>SUM(B16:B19)</f>
        <v>0.77721346462959662</v>
      </c>
      <c r="C20" s="4"/>
      <c r="D20" s="4"/>
      <c r="E20" s="3"/>
      <c r="F20" s="3"/>
      <c r="H20" s="3"/>
      <c r="I20" s="3"/>
      <c r="J20" s="3"/>
      <c r="K20" s="3"/>
      <c r="L20" s="3"/>
      <c r="M20" s="3"/>
      <c r="N20" s="4"/>
      <c r="O20" s="3"/>
      <c r="P20" s="7"/>
    </row>
    <row r="21" spans="1:16" ht="15" customHeight="1" x14ac:dyDescent="0.3">
      <c r="A21" s="5"/>
      <c r="B21" s="10"/>
      <c r="C21" s="4"/>
      <c r="D21" s="4"/>
      <c r="E21" s="3"/>
      <c r="F21" s="3"/>
      <c r="H21" s="3"/>
      <c r="I21" s="3"/>
      <c r="J21" s="3"/>
      <c r="K21" s="3"/>
      <c r="L21" s="3"/>
      <c r="M21" s="3"/>
      <c r="N21" s="4"/>
      <c r="O21" s="3"/>
      <c r="P21" s="7"/>
    </row>
    <row r="22" spans="1:16" ht="15" customHeight="1" x14ac:dyDescent="0.3">
      <c r="A22" s="5" t="s">
        <v>29</v>
      </c>
      <c r="B22" s="4">
        <f>CORREL(O3:O12,P3:P12)</f>
        <v>0.98311586737348522</v>
      </c>
      <c r="C22" s="4"/>
      <c r="D22" s="4"/>
      <c r="E22" s="3"/>
      <c r="F22" s="3"/>
      <c r="H22" s="3"/>
      <c r="I22" s="3"/>
      <c r="J22" s="3"/>
      <c r="K22" s="3"/>
      <c r="L22" s="3"/>
      <c r="M22" s="3"/>
      <c r="N22" s="4"/>
      <c r="O22" s="3"/>
      <c r="P22" s="7"/>
    </row>
    <row r="23" spans="1:16" ht="15" customHeight="1" x14ac:dyDescent="0.3">
      <c r="A23" s="12" t="s">
        <v>45</v>
      </c>
      <c r="B23" s="4">
        <f>CORREL(G3:G12,H3:H12)</f>
        <v>0.59843570843079497</v>
      </c>
      <c r="C23" s="4"/>
      <c r="D23" s="4"/>
      <c r="E23" s="3"/>
      <c r="F23" s="3"/>
      <c r="H23" s="3"/>
      <c r="I23" s="3"/>
      <c r="J23" s="3"/>
      <c r="K23" s="3"/>
      <c r="L23" s="3"/>
      <c r="M23" s="3"/>
      <c r="N23" s="4"/>
      <c r="O23" s="3"/>
      <c r="P23" s="7"/>
    </row>
    <row r="24" spans="1:16" ht="15" customHeight="1" x14ac:dyDescent="0.3">
      <c r="A24" s="5"/>
      <c r="B24" s="4"/>
      <c r="C24" s="4"/>
      <c r="D24" s="4"/>
      <c r="E24" s="3"/>
      <c r="F24" s="3"/>
      <c r="H24" s="3"/>
      <c r="I24" s="3"/>
      <c r="J24" s="3"/>
      <c r="K24" s="3"/>
      <c r="L24" s="3"/>
      <c r="M24" s="3"/>
      <c r="N24" s="4"/>
      <c r="O24" s="3"/>
      <c r="P24" s="7"/>
    </row>
    <row r="25" spans="1:16" ht="15" customHeight="1" x14ac:dyDescent="0.3">
      <c r="A25" s="5"/>
      <c r="B25" s="4"/>
      <c r="C25" s="4"/>
      <c r="D25" s="4"/>
      <c r="E25" s="3"/>
      <c r="F25" s="3"/>
      <c r="H25" s="3"/>
      <c r="I25" s="3"/>
      <c r="J25" s="3"/>
      <c r="K25" s="3"/>
      <c r="L25" s="3"/>
      <c r="M25" s="3"/>
      <c r="N25" s="4"/>
      <c r="O25" s="3"/>
      <c r="P25" s="7"/>
    </row>
    <row r="26" spans="1:16" ht="15" customHeight="1" x14ac:dyDescent="0.3">
      <c r="A26" s="12" t="s">
        <v>40</v>
      </c>
      <c r="B26" s="4">
        <f>AVERAGE(G3:G12)</f>
        <v>0.80118031256984568</v>
      </c>
      <c r="C26" s="4"/>
      <c r="D26" s="4"/>
      <c r="E26" s="3"/>
      <c r="F26" s="3"/>
      <c r="H26" s="3"/>
      <c r="I26" s="3"/>
      <c r="J26" s="3"/>
      <c r="K26" s="3"/>
      <c r="L26" s="3"/>
      <c r="M26" s="3"/>
      <c r="N26" s="4"/>
      <c r="O26" s="3"/>
      <c r="P26" s="7"/>
    </row>
    <row r="27" spans="1:16" ht="15" customHeight="1" x14ac:dyDescent="0.3">
      <c r="A27" s="14" t="s">
        <v>42</v>
      </c>
      <c r="B27" s="27">
        <f>AVERAGE(B3:B12)</f>
        <v>1.7165581626318396</v>
      </c>
      <c r="C27" s="14" t="s">
        <v>44</v>
      </c>
    </row>
    <row r="29" spans="1:16" ht="15" customHeight="1" x14ac:dyDescent="0.3">
      <c r="A29" s="14" t="s">
        <v>38</v>
      </c>
      <c r="B29" s="17">
        <f>COUNTIF(U3:U12,"="&amp;TRUE)/10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BC44-13C1-430A-8017-69A7777C7DB6}">
  <sheetPr codeName="Sheet5">
    <outlinePr summaryBelow="0" summaryRight="0"/>
  </sheetPr>
  <dimension ref="A1:U24"/>
  <sheetViews>
    <sheetView workbookViewId="0"/>
  </sheetViews>
  <sheetFormatPr defaultColWidth="14.44140625" defaultRowHeight="15" customHeight="1" x14ac:dyDescent="0.3"/>
  <cols>
    <col min="1" max="1" width="40.77734375" style="2" customWidth="1"/>
    <col min="2" max="16" width="15.77734375" style="2" customWidth="1"/>
    <col min="17" max="16384" width="14.44140625" style="2"/>
  </cols>
  <sheetData>
    <row r="1" spans="1:21" ht="15" customHeight="1" thickBot="1" x14ac:dyDescent="0.35">
      <c r="A1" s="30" t="s">
        <v>48</v>
      </c>
    </row>
    <row r="2" spans="1:21" ht="15" customHeight="1" x14ac:dyDescent="0.3">
      <c r="A2" s="24" t="s">
        <v>10</v>
      </c>
      <c r="B2" s="25" t="s">
        <v>28</v>
      </c>
      <c r="C2" s="25" t="s">
        <v>5</v>
      </c>
      <c r="D2" s="26" t="s">
        <v>7</v>
      </c>
      <c r="E2" s="1" t="s">
        <v>6</v>
      </c>
      <c r="F2" s="1" t="s">
        <v>8</v>
      </c>
      <c r="G2" s="12" t="s">
        <v>39</v>
      </c>
      <c r="H2" s="5" t="s">
        <v>27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5" t="s">
        <v>26</v>
      </c>
      <c r="O2" s="5" t="s">
        <v>21</v>
      </c>
      <c r="P2" s="1" t="s">
        <v>11</v>
      </c>
      <c r="Q2" s="6" t="s">
        <v>22</v>
      </c>
      <c r="S2" s="14" t="s">
        <v>35</v>
      </c>
      <c r="T2" s="14" t="s">
        <v>36</v>
      </c>
      <c r="U2" s="14" t="s">
        <v>38</v>
      </c>
    </row>
    <row r="3" spans="1:21" ht="15" customHeight="1" x14ac:dyDescent="0.3">
      <c r="A3" s="19" t="s">
        <v>12</v>
      </c>
      <c r="B3" s="18">
        <f>G3*($B$15)^F3</f>
        <v>1.4754808874808347</v>
      </c>
      <c r="C3" s="18">
        <f>$B$16</f>
        <v>0.21445999999999998</v>
      </c>
      <c r="D3" s="20">
        <f>1-C3-E3-F3</f>
        <v>0.19111000000000011</v>
      </c>
      <c r="E3" s="3">
        <v>0.06</v>
      </c>
      <c r="F3" s="3">
        <v>0.53442999999999996</v>
      </c>
      <c r="G3" s="15">
        <f t="shared" ref="G3:G12" si="0">P3/O3</f>
        <v>1.4754808874808347</v>
      </c>
      <c r="H3" s="3">
        <v>0.81218433380126998</v>
      </c>
      <c r="I3" s="3">
        <v>65.294229000000001</v>
      </c>
      <c r="J3" s="3">
        <v>104.43883599999999</v>
      </c>
      <c r="K3" s="3">
        <v>211.67599999999999</v>
      </c>
      <c r="L3" s="3">
        <v>3017.7409349999998</v>
      </c>
      <c r="M3" s="3">
        <v>93.811000000000007</v>
      </c>
      <c r="N3" s="4">
        <f t="shared" ref="N3:N12" si="1">M3*$B$15</f>
        <v>93.811000000000007</v>
      </c>
      <c r="O3" s="4">
        <f>(I3+J3)^C3*(K3)^E3*(L3)^D3*(N3)^F3</f>
        <v>217.15488775123958</v>
      </c>
      <c r="P3" s="3">
        <v>320.40788650000002</v>
      </c>
      <c r="Q3" s="7">
        <f>(P3-O3)^2</f>
        <v>10661.181750611524</v>
      </c>
      <c r="S3" s="4">
        <f>(I3+J3)^C3*(K3)^E3*(L3)^D3*(N3)^F3*G3</f>
        <v>320.40788650000002</v>
      </c>
      <c r="T3" s="4">
        <f>(I3+J3)^C3*(K3)^E3*(L3)^D3*(M3)^F3*B3</f>
        <v>320.40788650000002</v>
      </c>
      <c r="U3" s="2" t="b">
        <f t="shared" ref="U3:U12" si="2">IF(AND(P3=S3,S3=T3),TRUE, FALSE)</f>
        <v>1</v>
      </c>
    </row>
    <row r="4" spans="1:21" ht="15" customHeight="1" x14ac:dyDescent="0.3">
      <c r="A4" s="19" t="s">
        <v>9</v>
      </c>
      <c r="B4" s="18">
        <f>G4*($B$15)^F4</f>
        <v>3.2465802796648728</v>
      </c>
      <c r="C4" s="18">
        <f t="shared" ref="C4:C12" si="3">$B$16</f>
        <v>0.21445999999999998</v>
      </c>
      <c r="D4" s="20">
        <f t="shared" ref="D4:D12" si="4">1-C4-E4-F4</f>
        <v>7.1620000000000017E-2</v>
      </c>
      <c r="E4" s="3">
        <v>0.13</v>
      </c>
      <c r="F4" s="3">
        <v>0.58391999999999999</v>
      </c>
      <c r="G4" s="15">
        <f t="shared" si="0"/>
        <v>3.2465802796648728</v>
      </c>
      <c r="H4" s="3">
        <v>0.36648318171501199</v>
      </c>
      <c r="I4" s="3">
        <v>7.6700000000000004E-2</v>
      </c>
      <c r="J4" s="3">
        <v>0.98149200000000003</v>
      </c>
      <c r="K4" s="3">
        <v>4.3997044939999999</v>
      </c>
      <c r="L4" s="3">
        <v>28.52167773</v>
      </c>
      <c r="M4" s="3">
        <v>0.622</v>
      </c>
      <c r="N4" s="4">
        <f t="shared" si="1"/>
        <v>0.622</v>
      </c>
      <c r="O4" s="4">
        <f>(I4+J4)^C4*(K4)^E4*(L4)^D4*(N4)^F4</f>
        <v>1.1822868875419328</v>
      </c>
      <c r="P4" s="3">
        <v>3.8383892940000002</v>
      </c>
      <c r="Q4" s="7">
        <f t="shared" ref="Q4:Q12" si="5">(P4-O4)^2</f>
        <v>7.054879993592337</v>
      </c>
      <c r="S4" s="4">
        <f>(I4+J4)^C4*(K4)^E4*(L4)^D4*(N4)^F4*G4</f>
        <v>3.8383892940000002</v>
      </c>
      <c r="T4" s="4">
        <f>(I4+J4)^C4*(K4)^E4*(L4)^D4*(M4)^F4*B4</f>
        <v>3.8383892940000002</v>
      </c>
      <c r="U4" s="2" t="b">
        <f t="shared" si="2"/>
        <v>1</v>
      </c>
    </row>
    <row r="5" spans="1:21" ht="15" customHeight="1" x14ac:dyDescent="0.3">
      <c r="A5" s="19" t="s">
        <v>13</v>
      </c>
      <c r="B5" s="18">
        <f>G5*($B$15)^F5</f>
        <v>1.2665611770363692</v>
      </c>
      <c r="C5" s="18">
        <f t="shared" si="3"/>
        <v>0.21445999999999998</v>
      </c>
      <c r="D5" s="20">
        <f t="shared" si="4"/>
        <v>0.24935000000000007</v>
      </c>
      <c r="E5" s="3">
        <v>0.06</v>
      </c>
      <c r="F5" s="3">
        <v>0.47619</v>
      </c>
      <c r="G5" s="15">
        <f t="shared" si="0"/>
        <v>1.2665611770363692</v>
      </c>
      <c r="H5" s="3">
        <v>0.62282443046569802</v>
      </c>
      <c r="I5" s="3">
        <v>9.0150000000000004E-3</v>
      </c>
      <c r="J5" s="3">
        <v>3.370892</v>
      </c>
      <c r="K5" s="3">
        <v>11.984056580000001</v>
      </c>
      <c r="L5" s="3">
        <v>170.47203640000001</v>
      </c>
      <c r="M5" s="3">
        <v>4.6139999999999999</v>
      </c>
      <c r="N5" s="4">
        <f t="shared" si="1"/>
        <v>4.6139999999999999</v>
      </c>
      <c r="O5" s="4">
        <f>(I5+J5)^C5*(K5)^E5*(L5)^D5*(N5)^F5</f>
        <v>11.241776953337917</v>
      </c>
      <c r="P5" s="3">
        <v>14.238398249999999</v>
      </c>
      <c r="Q5" s="7">
        <f t="shared" si="5"/>
        <v>8.979739195608742</v>
      </c>
      <c r="S5" s="4">
        <f>(I5+J5)^C5*(K5)^E5*(L5)^D5*(N5)^F5*G5</f>
        <v>14.238398249999999</v>
      </c>
      <c r="T5" s="4">
        <f>(I5+J5)^C5*(K5)^E5*(L5)^D5*(M5)^F5*B5</f>
        <v>14.238398249999999</v>
      </c>
      <c r="U5" s="2" t="b">
        <f t="shared" si="2"/>
        <v>1</v>
      </c>
    </row>
    <row r="6" spans="1:21" ht="15" customHeight="1" x14ac:dyDescent="0.3">
      <c r="A6" s="19" t="s">
        <v>14</v>
      </c>
      <c r="B6" s="18">
        <f>G6*($B$15)^F6</f>
        <v>0.52037635835335083</v>
      </c>
      <c r="C6" s="18">
        <f t="shared" si="3"/>
        <v>0.21445999999999998</v>
      </c>
      <c r="D6" s="20">
        <f t="shared" si="4"/>
        <v>0.29742000000000007</v>
      </c>
      <c r="E6" s="3">
        <v>0.09</v>
      </c>
      <c r="F6" s="3">
        <v>0.39811999999999997</v>
      </c>
      <c r="G6" s="15">
        <f t="shared" si="0"/>
        <v>0.52037635835335083</v>
      </c>
      <c r="H6" s="3">
        <v>0.3</v>
      </c>
      <c r="I6" s="3">
        <v>14.741268</v>
      </c>
      <c r="J6" s="3">
        <v>0.106604</v>
      </c>
      <c r="K6" s="3">
        <v>24.950894779999999</v>
      </c>
      <c r="L6" s="3">
        <v>229.81223320000001</v>
      </c>
      <c r="M6" s="3">
        <v>137.09299999999999</v>
      </c>
      <c r="N6" s="4">
        <f t="shared" si="1"/>
        <v>137.09299999999999</v>
      </c>
      <c r="O6" s="4">
        <f>(I6+J6)^C6*(K6)^E6*(L6)^D6*(N6)^F6</f>
        <v>85.137517450238562</v>
      </c>
      <c r="P6" s="3">
        <v>44.303551290000001</v>
      </c>
      <c r="Q6" s="7">
        <f t="shared" si="5"/>
        <v>1667.4127923755079</v>
      </c>
      <c r="S6" s="4">
        <f>(I6+J6)^C6*(K6)^E6*(L6)^D6*(N6)^F6*G6</f>
        <v>44.303551290000001</v>
      </c>
      <c r="T6" s="4">
        <f>(I6+J6)^C6*(K6)^E6*(L6)^D6*(M6)^F6*B6</f>
        <v>44.303551290000001</v>
      </c>
      <c r="U6" s="2" t="b">
        <f t="shared" si="2"/>
        <v>1</v>
      </c>
    </row>
    <row r="7" spans="1:21" ht="15" customHeight="1" x14ac:dyDescent="0.3">
      <c r="A7" s="19" t="s">
        <v>15</v>
      </c>
      <c r="B7" s="18">
        <f>G7*($B$15)^F7</f>
        <v>1.0325073212794107</v>
      </c>
      <c r="C7" s="18">
        <f t="shared" si="3"/>
        <v>0.21445999999999998</v>
      </c>
      <c r="D7" s="20">
        <f t="shared" si="4"/>
        <v>0.26826000000000005</v>
      </c>
      <c r="E7" s="3">
        <v>0.09</v>
      </c>
      <c r="F7" s="3">
        <v>0.42727999999999999</v>
      </c>
      <c r="G7" s="15">
        <f t="shared" si="0"/>
        <v>1.0325073212794107</v>
      </c>
      <c r="H7" s="3">
        <v>1.1712350845336901</v>
      </c>
      <c r="I7" s="3">
        <v>26.681745222222226</v>
      </c>
      <c r="J7" s="3">
        <v>196.47852399999999</v>
      </c>
      <c r="K7" s="3">
        <v>168.94399999999999</v>
      </c>
      <c r="L7" s="3">
        <v>1445.5457309999999</v>
      </c>
      <c r="M7" s="3">
        <v>195.71799999999999</v>
      </c>
      <c r="N7" s="4">
        <f t="shared" si="1"/>
        <v>195.71799999999999</v>
      </c>
      <c r="O7" s="4">
        <f>(I7+J7)^C7*(K7)^E7*(L7)^D7*(N7)^F7</f>
        <v>339.67169633763024</v>
      </c>
      <c r="P7" s="3">
        <v>350.71351329999999</v>
      </c>
      <c r="Q7" s="7">
        <f t="shared" si="5"/>
        <v>121.92172183047636</v>
      </c>
      <c r="S7" s="4">
        <f>(I7+J7)^C7*(K7)^E7*(L7)^D7*(N7)^F7*G7</f>
        <v>350.71351329999999</v>
      </c>
      <c r="T7" s="4">
        <f>(I7+J7)^C7*(K7)^E7*(L7)^D7*(M7)^F7*B7</f>
        <v>350.71351329999999</v>
      </c>
      <c r="U7" s="2" t="b">
        <f t="shared" si="2"/>
        <v>1</v>
      </c>
    </row>
    <row r="8" spans="1:21" ht="15" customHeight="1" x14ac:dyDescent="0.3">
      <c r="A8" s="19" t="s">
        <v>16</v>
      </c>
      <c r="B8" s="18">
        <f>G8*($B$15)^F8</f>
        <v>0.91328752048039441</v>
      </c>
      <c r="C8" s="18">
        <f t="shared" si="3"/>
        <v>0.21445999999999998</v>
      </c>
      <c r="D8" s="20">
        <f t="shared" si="4"/>
        <v>0.25658000000000003</v>
      </c>
      <c r="E8" s="3">
        <v>0.11</v>
      </c>
      <c r="F8" s="3">
        <v>0.41896</v>
      </c>
      <c r="G8" s="15">
        <f t="shared" si="0"/>
        <v>0.91328752048039441</v>
      </c>
      <c r="H8" s="3">
        <v>0.5</v>
      </c>
      <c r="I8" s="3">
        <v>8.80858615</v>
      </c>
      <c r="J8" s="3">
        <v>13.47254</v>
      </c>
      <c r="K8" s="3">
        <v>45.723372210000001</v>
      </c>
      <c r="L8" s="3">
        <v>355.20250160000001</v>
      </c>
      <c r="M8" s="3">
        <v>52.981999999999999</v>
      </c>
      <c r="N8" s="4">
        <f t="shared" si="1"/>
        <v>52.981999999999999</v>
      </c>
      <c r="O8" s="4">
        <f>(I8+J8)^C8*(K8)^E8*(L8)^D8*(N8)^F8</f>
        <v>70.540048719939762</v>
      </c>
      <c r="P8" s="3">
        <v>64.423346190000004</v>
      </c>
      <c r="Q8" s="7">
        <f t="shared" si="5"/>
        <v>37.414049839771437</v>
      </c>
      <c r="S8" s="4">
        <f>(I8+J8)^C8*(K8)^E8*(L8)^D8*(N8)^F8*G8</f>
        <v>64.423346190000004</v>
      </c>
      <c r="T8" s="4">
        <f>(I8+J8)^C8*(K8)^E8*(L8)^D8*(M8)^F8*B8</f>
        <v>64.423346190000004</v>
      </c>
      <c r="U8" s="2" t="b">
        <f t="shared" si="2"/>
        <v>1</v>
      </c>
    </row>
    <row r="9" spans="1:21" ht="15" customHeight="1" x14ac:dyDescent="0.3">
      <c r="A9" s="19" t="s">
        <v>17</v>
      </c>
      <c r="B9" s="18">
        <f>G9*($B$15)^F9</f>
        <v>0.70461230068887282</v>
      </c>
      <c r="C9" s="18">
        <f t="shared" si="3"/>
        <v>0.21445999999999998</v>
      </c>
      <c r="D9" s="20">
        <f t="shared" si="4"/>
        <v>0.29609000000000002</v>
      </c>
      <c r="E9" s="3">
        <v>0.09</v>
      </c>
      <c r="F9" s="3">
        <v>0.39945000000000003</v>
      </c>
      <c r="G9" s="15">
        <f t="shared" si="0"/>
        <v>0.70461230068887282</v>
      </c>
      <c r="H9" s="3">
        <v>0.44486066699027998</v>
      </c>
      <c r="I9" s="3">
        <v>43.670473125000001</v>
      </c>
      <c r="J9" s="3">
        <v>219.94610800000001</v>
      </c>
      <c r="K9" s="3">
        <v>1656.89</v>
      </c>
      <c r="L9" s="3">
        <v>15865.29342</v>
      </c>
      <c r="M9" s="3">
        <v>593.95699999999999</v>
      </c>
      <c r="N9" s="4">
        <f t="shared" si="1"/>
        <v>593.95699999999999</v>
      </c>
      <c r="O9" s="4">
        <f>(I9+J9)^C9*(K9)^E9*(L9)^D9*(N9)^F9</f>
        <v>1447.5226177613433</v>
      </c>
      <c r="P9" s="3">
        <v>1019.942242</v>
      </c>
      <c r="Q9" s="7">
        <f t="shared" si="5"/>
        <v>182824.97773621159</v>
      </c>
      <c r="S9" s="4">
        <f>(I9+J9)^C9*(K9)^E9*(L9)^D9*(N9)^F9*G9</f>
        <v>1019.942242</v>
      </c>
      <c r="T9" s="4">
        <f>(I9+J9)^C9*(K9)^E9*(L9)^D9*(M9)^F9*B9</f>
        <v>1019.942242</v>
      </c>
      <c r="U9" s="2" t="b">
        <f t="shared" si="2"/>
        <v>1</v>
      </c>
    </row>
    <row r="10" spans="1:21" ht="15" customHeight="1" x14ac:dyDescent="0.3">
      <c r="A10" s="19" t="s">
        <v>18</v>
      </c>
      <c r="B10" s="18">
        <f>G10*($B$15)^F10</f>
        <v>0.39981253396887584</v>
      </c>
      <c r="C10" s="18">
        <f t="shared" si="3"/>
        <v>0.21445999999999998</v>
      </c>
      <c r="D10" s="20">
        <f t="shared" si="4"/>
        <v>0.10303000000000007</v>
      </c>
      <c r="E10" s="3">
        <v>0.1</v>
      </c>
      <c r="F10" s="3">
        <v>0.58250999999999997</v>
      </c>
      <c r="G10" s="15">
        <f t="shared" si="0"/>
        <v>0.39981253396887584</v>
      </c>
      <c r="H10" s="3">
        <v>0.28394982218742398</v>
      </c>
      <c r="I10" s="3">
        <v>12.295908000000001</v>
      </c>
      <c r="J10" s="3">
        <v>2.212952</v>
      </c>
      <c r="K10" s="3">
        <v>11.63448475</v>
      </c>
      <c r="L10" s="3">
        <v>91.199655250000006</v>
      </c>
      <c r="M10" s="3">
        <v>40.465000000000003</v>
      </c>
      <c r="N10" s="4">
        <f t="shared" si="1"/>
        <v>40.465000000000003</v>
      </c>
      <c r="O10" s="4">
        <f>(I10+J10)^C10*(K10)^E10*(L10)^D10*(N10)^F10</f>
        <v>31.172856154055015</v>
      </c>
      <c r="P10" s="3">
        <v>12.463298610000001</v>
      </c>
      <c r="Q10" s="7">
        <f t="shared" si="5"/>
        <v>350.04754349430596</v>
      </c>
      <c r="S10" s="4">
        <f>(I10+J10)^C10*(K10)^E10*(L10)^D10*(N10)^F10*G10</f>
        <v>12.463298610000001</v>
      </c>
      <c r="T10" s="4">
        <f>(I10+J10)^C10*(K10)^E10*(L10)^D10*(M10)^F10*B10</f>
        <v>12.463298610000001</v>
      </c>
      <c r="U10" s="2" t="b">
        <f t="shared" si="2"/>
        <v>1</v>
      </c>
    </row>
    <row r="11" spans="1:21" ht="15" customHeight="1" x14ac:dyDescent="0.3">
      <c r="A11" s="19" t="s">
        <v>20</v>
      </c>
      <c r="B11" s="18">
        <f>G11*($B$15)^F11</f>
        <v>1.2117766205804499</v>
      </c>
      <c r="C11" s="18">
        <f t="shared" si="3"/>
        <v>0.21445999999999998</v>
      </c>
      <c r="D11" s="20">
        <f t="shared" si="4"/>
        <v>0.13930000000000009</v>
      </c>
      <c r="E11" s="3">
        <v>0.09</v>
      </c>
      <c r="F11" s="3">
        <v>0.55623999999999996</v>
      </c>
      <c r="G11" s="15">
        <f t="shared" si="0"/>
        <v>1.2117766205804499</v>
      </c>
      <c r="H11" s="3">
        <v>0.54299837350845304</v>
      </c>
      <c r="I11" s="3">
        <v>20.846993999999999</v>
      </c>
      <c r="J11" s="3">
        <v>175.70544799999999</v>
      </c>
      <c r="K11" s="3">
        <v>258.94900000000001</v>
      </c>
      <c r="L11" s="3">
        <v>2437.3085580000002</v>
      </c>
      <c r="M11" s="3">
        <v>124.596</v>
      </c>
      <c r="N11" s="4">
        <f t="shared" si="1"/>
        <v>124.596</v>
      </c>
      <c r="O11" s="4">
        <f>(I11+J11)^C11*(K11)^E11*(L11)^D11*(N11)^F11</f>
        <v>222.04883740958113</v>
      </c>
      <c r="P11" s="3">
        <v>269.07358979999998</v>
      </c>
      <c r="Q11" s="7">
        <f t="shared" si="5"/>
        <v>2211.3273373802035</v>
      </c>
      <c r="S11" s="4">
        <f>(I11+J11)^C11*(K11)^E11*(L11)^D11*(N11)^F11*G11</f>
        <v>269.07358979999998</v>
      </c>
      <c r="T11" s="4">
        <f>(I11+J11)^C11*(K11)^E11*(L11)^D11*(M11)^F11*B11</f>
        <v>269.07358979999998</v>
      </c>
      <c r="U11" s="2" t="b">
        <f t="shared" si="2"/>
        <v>1</v>
      </c>
    </row>
    <row r="12" spans="1:21" ht="15" customHeight="1" thickBot="1" x14ac:dyDescent="0.35">
      <c r="A12" s="21" t="s">
        <v>19</v>
      </c>
      <c r="B12" s="22">
        <f>G12*($B$15)^F12</f>
        <v>3.3673960653554951</v>
      </c>
      <c r="C12" s="22">
        <f t="shared" si="3"/>
        <v>0.21445999999999998</v>
      </c>
      <c r="D12" s="23">
        <f t="shared" si="4"/>
        <v>0</v>
      </c>
      <c r="E12" s="3">
        <v>0.13</v>
      </c>
      <c r="F12" s="3">
        <v>0.65554000000000001</v>
      </c>
      <c r="G12" s="15">
        <f t="shared" si="0"/>
        <v>3.3673960653554951</v>
      </c>
      <c r="H12" s="3">
        <v>0.51462882757186901</v>
      </c>
      <c r="I12" s="3">
        <v>11.445347999999999</v>
      </c>
      <c r="J12" s="3">
        <v>40.443351999999997</v>
      </c>
      <c r="K12" s="3">
        <v>397.77300000000002</v>
      </c>
      <c r="L12" s="3">
        <v>2665.7782999999999</v>
      </c>
      <c r="M12" s="3">
        <v>134.20699999999999</v>
      </c>
      <c r="N12" s="4">
        <f t="shared" si="1"/>
        <v>134.20699999999999</v>
      </c>
      <c r="O12" s="4">
        <f>(I12+J12)^C12*(K12)^E12*(L12)^D12*(N12)^F12</f>
        <v>126.06915259170235</v>
      </c>
      <c r="P12" s="3">
        <v>424.52476840000003</v>
      </c>
      <c r="Q12" s="7">
        <f t="shared" si="5"/>
        <v>89075.7546075102</v>
      </c>
      <c r="S12" s="4">
        <f>(I12+J12)^C12*(K12)^E12*(L12)^D12*(N12)^F12*G12</f>
        <v>424.52476840000003</v>
      </c>
      <c r="T12" s="4">
        <f>(I12+J12)^C12*(K12)^E12*(L12)^D12*(M12)^F12*B12</f>
        <v>424.52476840000003</v>
      </c>
      <c r="U12" s="2" t="b">
        <f t="shared" si="2"/>
        <v>1</v>
      </c>
    </row>
    <row r="13" spans="1:21" ht="15" customHeight="1" x14ac:dyDescent="0.3">
      <c r="A13" s="1"/>
      <c r="B13" s="11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4"/>
      <c r="O13" s="3"/>
      <c r="P13" s="7"/>
    </row>
    <row r="14" spans="1:21" ht="15" customHeight="1" x14ac:dyDescent="0.3">
      <c r="A14" s="9" t="s">
        <v>23</v>
      </c>
      <c r="B14" s="8">
        <f>SUM(Q3:Q12)</f>
        <v>286966.07215844281</v>
      </c>
      <c r="C14" s="4"/>
      <c r="D14" s="4"/>
      <c r="E14" s="3"/>
      <c r="F14" s="3"/>
      <c r="H14" s="3"/>
      <c r="I14" s="3"/>
      <c r="J14" s="3"/>
      <c r="K14" s="3"/>
      <c r="L14" s="3"/>
      <c r="M14" s="3"/>
      <c r="O14" s="3"/>
      <c r="P14" s="7"/>
    </row>
    <row r="15" spans="1:21" ht="15" customHeight="1" x14ac:dyDescent="0.3">
      <c r="A15" s="5" t="s">
        <v>25</v>
      </c>
      <c r="B15" s="3">
        <v>1</v>
      </c>
      <c r="C15" s="4"/>
      <c r="D15" s="4"/>
      <c r="E15" s="3"/>
      <c r="F15" s="3"/>
      <c r="H15" s="3"/>
      <c r="I15" s="3"/>
      <c r="J15" s="3"/>
      <c r="K15" s="3"/>
      <c r="L15" s="3"/>
      <c r="M15" s="3"/>
      <c r="N15" s="4"/>
      <c r="O15" s="3"/>
      <c r="P15" s="7"/>
    </row>
    <row r="16" spans="1:21" ht="15" customHeight="1" x14ac:dyDescent="0.3">
      <c r="A16" s="28" t="s">
        <v>5</v>
      </c>
      <c r="B16" s="10">
        <v>0.21445999999999998</v>
      </c>
      <c r="C16" s="4"/>
      <c r="D16" s="4"/>
      <c r="E16" s="3"/>
      <c r="F16" s="3"/>
      <c r="H16" s="3"/>
      <c r="I16" s="3"/>
      <c r="J16" s="3"/>
      <c r="K16" s="3"/>
      <c r="L16" s="3"/>
      <c r="M16" s="3"/>
      <c r="N16" s="4"/>
      <c r="O16" s="3"/>
      <c r="P16" s="7"/>
    </row>
    <row r="17" spans="1:16" ht="15" customHeight="1" x14ac:dyDescent="0.3">
      <c r="A17" s="5" t="s">
        <v>29</v>
      </c>
      <c r="B17" s="4">
        <f>CORREL(O3:O12,P3:P12)</f>
        <v>0.93448846250409612</v>
      </c>
      <c r="C17" s="4"/>
      <c r="D17" s="4"/>
      <c r="E17" s="3"/>
      <c r="F17" s="3"/>
      <c r="H17" s="3"/>
      <c r="I17" s="3"/>
      <c r="J17" s="3"/>
      <c r="K17" s="3"/>
      <c r="L17" s="3"/>
      <c r="M17" s="3"/>
      <c r="N17" s="4"/>
      <c r="O17" s="3"/>
      <c r="P17" s="7"/>
    </row>
    <row r="18" spans="1:16" ht="15" customHeight="1" x14ac:dyDescent="0.3">
      <c r="A18" s="12" t="s">
        <v>45</v>
      </c>
      <c r="B18" s="4">
        <f>CORREL(G3:G12,H3:H12)</f>
        <v>-1.6903817784880291E-2</v>
      </c>
      <c r="C18" s="4"/>
      <c r="D18" s="4"/>
      <c r="E18" s="3"/>
      <c r="F18" s="3"/>
      <c r="H18" s="3"/>
      <c r="I18" s="3"/>
      <c r="J18" s="3"/>
      <c r="K18" s="3"/>
      <c r="L18" s="3"/>
      <c r="M18" s="3"/>
      <c r="N18" s="4"/>
      <c r="O18" s="3"/>
      <c r="P18" s="7"/>
    </row>
    <row r="19" spans="1:16" ht="15" customHeight="1" x14ac:dyDescent="0.3">
      <c r="A19" s="5"/>
      <c r="B19" s="4"/>
      <c r="C19" s="4"/>
      <c r="D19" s="4"/>
      <c r="E19" s="3"/>
      <c r="F19" s="3"/>
      <c r="H19" s="3"/>
      <c r="I19" s="3"/>
      <c r="J19" s="3"/>
      <c r="K19" s="3"/>
      <c r="L19" s="3"/>
      <c r="M19" s="3"/>
      <c r="N19" s="4"/>
      <c r="O19" s="3"/>
      <c r="P19" s="7"/>
    </row>
    <row r="20" spans="1:16" ht="15" customHeight="1" x14ac:dyDescent="0.3">
      <c r="A20" s="5"/>
      <c r="B20" s="4"/>
      <c r="C20" s="4"/>
      <c r="D20" s="4"/>
      <c r="E20" s="3"/>
      <c r="F20" s="3"/>
      <c r="H20" s="3"/>
      <c r="I20" s="3"/>
      <c r="J20" s="3"/>
      <c r="K20" s="3"/>
      <c r="L20" s="3"/>
      <c r="M20" s="3"/>
      <c r="N20" s="4"/>
      <c r="O20" s="3"/>
      <c r="P20" s="7"/>
    </row>
    <row r="21" spans="1:16" ht="15" customHeight="1" x14ac:dyDescent="0.3">
      <c r="A21" s="12" t="s">
        <v>40</v>
      </c>
      <c r="B21" s="4">
        <f>AVERAGE(G3:G12)</f>
        <v>1.4138391064888924</v>
      </c>
      <c r="C21" s="4"/>
      <c r="D21" s="4"/>
      <c r="E21" s="3"/>
      <c r="F21" s="3"/>
      <c r="H21" s="3"/>
      <c r="I21" s="3"/>
      <c r="J21" s="3"/>
      <c r="K21" s="3"/>
      <c r="L21" s="3"/>
      <c r="M21" s="3"/>
      <c r="N21" s="4"/>
      <c r="O21" s="3"/>
      <c r="P21" s="7"/>
    </row>
    <row r="22" spans="1:16" ht="15" customHeight="1" x14ac:dyDescent="0.3">
      <c r="A22" s="14" t="s">
        <v>42</v>
      </c>
      <c r="B22" s="27">
        <f>AVERAGE(B3:B12)</f>
        <v>1.4138391064888924</v>
      </c>
      <c r="C22" s="14" t="s">
        <v>44</v>
      </c>
    </row>
    <row r="24" spans="1:16" ht="15" customHeight="1" x14ac:dyDescent="0.3">
      <c r="A24" s="14" t="s">
        <v>38</v>
      </c>
      <c r="B24" s="17">
        <f>COUNTIF(U3:U12,"="&amp;TRUE)/10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2639-5AC4-4FAC-8B88-72F7388B2276}">
  <sheetPr codeName="Sheet6">
    <outlinePr summaryBelow="0" summaryRight="0"/>
  </sheetPr>
  <dimension ref="A1:U23"/>
  <sheetViews>
    <sheetView workbookViewId="0">
      <selection activeCell="G7" sqref="G7"/>
    </sheetView>
  </sheetViews>
  <sheetFormatPr defaultColWidth="14.44140625" defaultRowHeight="15" customHeight="1" x14ac:dyDescent="0.3"/>
  <cols>
    <col min="1" max="1" width="40.77734375" style="2" customWidth="1"/>
    <col min="2" max="16" width="15.77734375" style="2" customWidth="1"/>
    <col min="17" max="16384" width="14.44140625" style="2"/>
  </cols>
  <sheetData>
    <row r="1" spans="1:21" ht="15" customHeight="1" thickBot="1" x14ac:dyDescent="0.35">
      <c r="A1" s="30" t="s">
        <v>49</v>
      </c>
    </row>
    <row r="2" spans="1:21" ht="15" customHeight="1" x14ac:dyDescent="0.3">
      <c r="A2" s="24" t="s">
        <v>10</v>
      </c>
      <c r="B2" s="25" t="s">
        <v>28</v>
      </c>
      <c r="C2" s="25" t="s">
        <v>5</v>
      </c>
      <c r="D2" s="26" t="s">
        <v>7</v>
      </c>
      <c r="E2" s="1" t="s">
        <v>6</v>
      </c>
      <c r="F2" s="1" t="s">
        <v>8</v>
      </c>
      <c r="G2" s="12" t="s">
        <v>39</v>
      </c>
      <c r="H2" s="5" t="s">
        <v>27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5" t="s">
        <v>26</v>
      </c>
      <c r="O2" s="5" t="s">
        <v>21</v>
      </c>
      <c r="P2" s="1" t="s">
        <v>11</v>
      </c>
      <c r="Q2" s="6" t="s">
        <v>22</v>
      </c>
      <c r="S2" s="14" t="s">
        <v>35</v>
      </c>
      <c r="T2" s="14" t="s">
        <v>36</v>
      </c>
      <c r="U2" s="14" t="s">
        <v>38</v>
      </c>
    </row>
    <row r="3" spans="1:21" ht="15" customHeight="1" x14ac:dyDescent="0.3">
      <c r="A3" s="19" t="s">
        <v>12</v>
      </c>
      <c r="B3" s="18">
        <f>G3*($B$15)^F3</f>
        <v>1.3463625212068226</v>
      </c>
      <c r="C3" s="18">
        <v>0.18264058931522997</v>
      </c>
      <c r="D3" s="20">
        <f>1-C3-E3-F3</f>
        <v>0.22292941068477012</v>
      </c>
      <c r="E3" s="3">
        <v>0.06</v>
      </c>
      <c r="F3" s="3">
        <v>0.53442999999999996</v>
      </c>
      <c r="G3" s="15">
        <f t="shared" ref="G3:G12" si="0">P3/O3</f>
        <v>1.0000007977043879</v>
      </c>
      <c r="H3" s="3">
        <v>0.81218433380126998</v>
      </c>
      <c r="I3" s="3">
        <v>65.294229000000001</v>
      </c>
      <c r="J3" s="3">
        <v>104.43883599999999</v>
      </c>
      <c r="K3" s="3">
        <v>211.67599999999999</v>
      </c>
      <c r="L3" s="3">
        <v>3017.7409349999998</v>
      </c>
      <c r="M3" s="3">
        <v>93.811000000000007</v>
      </c>
      <c r="N3" s="4">
        <f t="shared" ref="N3:N12" si="1">M3*$B$15</f>
        <v>163.65713140686753</v>
      </c>
      <c r="O3" s="4">
        <f>(I3+J3)^C3*(K3)^E3*(L3)^D3*(N3)^F3</f>
        <v>320.40763090942693</v>
      </c>
      <c r="P3" s="3">
        <v>320.40788650000002</v>
      </c>
      <c r="Q3" s="7">
        <f>(P3-O3)^2</f>
        <v>6.5326541052527348E-8</v>
      </c>
      <c r="S3" s="4">
        <f>(I3+J3)^C3*(K3)^E3*(L3)^D3*(N3)^F3*G3</f>
        <v>320.40788650000002</v>
      </c>
      <c r="T3" s="4">
        <f>(I3+J3)^C3*(K3)^E3*(L3)^D3*(M3)^F3*B3</f>
        <v>320.40788649999996</v>
      </c>
      <c r="U3" s="2" t="b">
        <f t="shared" ref="U3:U12" si="2">IF(AND(P3=S3,S3=T3),TRUE, FALSE)</f>
        <v>1</v>
      </c>
    </row>
    <row r="4" spans="1:21" ht="15" customHeight="1" x14ac:dyDescent="0.3">
      <c r="A4" s="19" t="s">
        <v>9</v>
      </c>
      <c r="B4" s="18">
        <f>G4*($B$15)^F4</f>
        <v>1.6018335965791768</v>
      </c>
      <c r="C4" s="18">
        <v>0</v>
      </c>
      <c r="D4" s="20">
        <f t="shared" ref="D4:D12" si="3">1-C4-E4-F4</f>
        <v>0.28608</v>
      </c>
      <c r="E4" s="3">
        <v>0.13</v>
      </c>
      <c r="F4" s="3">
        <v>0.58391999999999999</v>
      </c>
      <c r="G4" s="15">
        <f t="shared" si="0"/>
        <v>1.157430519966546</v>
      </c>
      <c r="H4" s="3">
        <v>0.36648318171501199</v>
      </c>
      <c r="I4" s="3">
        <v>7.6700000000000004E-2</v>
      </c>
      <c r="J4" s="3">
        <v>0.98149200000000003</v>
      </c>
      <c r="K4" s="3">
        <v>4.3997044939999999</v>
      </c>
      <c r="L4" s="3">
        <v>28.52167773</v>
      </c>
      <c r="M4" s="3">
        <v>0.622</v>
      </c>
      <c r="N4" s="4">
        <f t="shared" si="1"/>
        <v>1.0851044731968702</v>
      </c>
      <c r="O4" s="4">
        <f>(I4+J4)^C4*(K4)^E4*(L4)^D4*(N4)^F4</f>
        <v>3.3163021259461378</v>
      </c>
      <c r="P4" s="3">
        <v>3.8383892940000002</v>
      </c>
      <c r="Q4" s="7">
        <f t="shared" ref="Q4:Q12" si="4">(P4-O4)^2</f>
        <v>0.27257501104650189</v>
      </c>
      <c r="S4" s="4">
        <f>(I4+J4)^C4*(K4)^E4*(L4)^D4*(N4)^F4*G4</f>
        <v>3.8383892940000002</v>
      </c>
      <c r="T4" s="4">
        <f>(I4+J4)^C4*(K4)^E4*(L4)^D4*(M4)^F4*B4</f>
        <v>3.8383892940000002</v>
      </c>
      <c r="U4" s="2" t="b">
        <f t="shared" si="2"/>
        <v>1</v>
      </c>
    </row>
    <row r="5" spans="1:21" ht="15" customHeight="1" x14ac:dyDescent="0.3">
      <c r="A5" s="19" t="s">
        <v>13</v>
      </c>
      <c r="B5" s="18">
        <f>G5*($B$15)^F5</f>
        <v>1.3035637514389384</v>
      </c>
      <c r="C5" s="18">
        <v>0.22180465740000813</v>
      </c>
      <c r="D5" s="20">
        <f t="shared" si="3"/>
        <v>0.24200534259999185</v>
      </c>
      <c r="E5" s="3">
        <v>0.06</v>
      </c>
      <c r="F5" s="3">
        <v>0.47619</v>
      </c>
      <c r="G5" s="15">
        <f t="shared" si="0"/>
        <v>1.0001061996946308</v>
      </c>
      <c r="H5" s="3">
        <v>0.62282443046569802</v>
      </c>
      <c r="I5" s="3">
        <v>9.0150000000000004E-3</v>
      </c>
      <c r="J5" s="3">
        <v>3.370892</v>
      </c>
      <c r="K5" s="3">
        <v>11.984056580000001</v>
      </c>
      <c r="L5" s="3">
        <v>170.47203640000001</v>
      </c>
      <c r="M5" s="3">
        <v>4.6139999999999999</v>
      </c>
      <c r="N5" s="4">
        <f t="shared" si="1"/>
        <v>8.0493119603381977</v>
      </c>
      <c r="O5" s="4">
        <f>(I5+J5)^C5*(K5)^E5*(L5)^D5*(N5)^F5</f>
        <v>14.236886297022764</v>
      </c>
      <c r="P5" s="3">
        <v>14.238398249999999</v>
      </c>
      <c r="Q5" s="7">
        <f t="shared" si="4"/>
        <v>2.2860018053716216E-6</v>
      </c>
      <c r="S5" s="4">
        <f>(I5+J5)^C5*(K5)^E5*(L5)^D5*(N5)^F5*G5</f>
        <v>14.238398250000001</v>
      </c>
      <c r="T5" s="4">
        <f>(I5+J5)^C5*(K5)^E5*(L5)^D5*(M5)^F5*B5</f>
        <v>14.238398250000003</v>
      </c>
      <c r="U5" s="2" t="b">
        <f t="shared" si="2"/>
        <v>1</v>
      </c>
    </row>
    <row r="6" spans="1:21" ht="15" customHeight="1" x14ac:dyDescent="0.3">
      <c r="A6" s="19" t="s">
        <v>14</v>
      </c>
      <c r="B6" s="18">
        <f>G6*($B$15)^F6</f>
        <v>1.1753326126266146</v>
      </c>
      <c r="C6" s="18">
        <v>0.51188</v>
      </c>
      <c r="D6" s="20">
        <f t="shared" si="3"/>
        <v>0</v>
      </c>
      <c r="E6" s="3">
        <v>0.09</v>
      </c>
      <c r="F6" s="3">
        <v>0.39811999999999997</v>
      </c>
      <c r="G6" s="15">
        <f t="shared" si="0"/>
        <v>0.94176528996208986</v>
      </c>
      <c r="H6" s="3">
        <v>0.3</v>
      </c>
      <c r="I6" s="3">
        <v>14.741268</v>
      </c>
      <c r="J6" s="3">
        <v>0.106604</v>
      </c>
      <c r="K6" s="3">
        <v>24.950894779999999</v>
      </c>
      <c r="L6" s="3">
        <v>229.81223320000001</v>
      </c>
      <c r="M6" s="3">
        <v>137.09299999999999</v>
      </c>
      <c r="N6" s="4">
        <f t="shared" si="1"/>
        <v>239.16435296459571</v>
      </c>
      <c r="O6" s="4">
        <f>(I6+J6)^C6*(K6)^E6*(L6)^D6*(N6)^F6</f>
        <v>47.043092118826564</v>
      </c>
      <c r="P6" s="3">
        <v>44.303551290000001</v>
      </c>
      <c r="Q6" s="7">
        <f t="shared" si="4"/>
        <v>7.5050839528077304</v>
      </c>
      <c r="S6" s="4">
        <f>(I6+J6)^C6*(K6)^E6*(L6)^D6*(N6)^F6*G6</f>
        <v>44.303551290000001</v>
      </c>
      <c r="T6" s="4">
        <f>(I6+J6)^C6*(K6)^E6*(L6)^D6*(M6)^F6*B6</f>
        <v>44.303551290000009</v>
      </c>
      <c r="U6" s="2" t="b">
        <f t="shared" si="2"/>
        <v>1</v>
      </c>
    </row>
    <row r="7" spans="1:21" ht="15" customHeight="1" x14ac:dyDescent="0.3">
      <c r="A7" s="19" t="s">
        <v>15</v>
      </c>
      <c r="B7" s="18">
        <f>G7*($B$15)^F7</f>
        <v>1.2684279430157581</v>
      </c>
      <c r="C7" s="18">
        <v>0.32460421168686593</v>
      </c>
      <c r="D7" s="20">
        <f t="shared" si="3"/>
        <v>0.15811578831313411</v>
      </c>
      <c r="E7" s="3">
        <v>0.09</v>
      </c>
      <c r="F7" s="3">
        <v>0.42727999999999999</v>
      </c>
      <c r="G7" s="15">
        <f t="shared" si="0"/>
        <v>1.000000623710372</v>
      </c>
      <c r="H7" s="3">
        <v>1.1712350845336901</v>
      </c>
      <c r="I7" s="3">
        <v>26.681745222222226</v>
      </c>
      <c r="J7" s="3">
        <v>196.47852399999999</v>
      </c>
      <c r="K7" s="3">
        <v>168.94399999999999</v>
      </c>
      <c r="L7" s="3">
        <v>1445.5457309999999</v>
      </c>
      <c r="M7" s="3">
        <v>195.71799999999999</v>
      </c>
      <c r="N7" s="4">
        <f t="shared" si="1"/>
        <v>341.43806637483124</v>
      </c>
      <c r="O7" s="4">
        <f>(I7+J7)^C7*(K7)^E7*(L7)^D7*(N7)^F7</f>
        <v>350.71329455648055</v>
      </c>
      <c r="P7" s="3">
        <v>350.71351329999999</v>
      </c>
      <c r="Q7" s="7">
        <f t="shared" si="4"/>
        <v>4.7848727297027299E-8</v>
      </c>
      <c r="S7" s="4">
        <f>(I7+J7)^C7*(K7)^E7*(L7)^D7*(N7)^F7*G7</f>
        <v>350.71351329999999</v>
      </c>
      <c r="T7" s="4">
        <f>(I7+J7)^C7*(K7)^E7*(L7)^D7*(M7)^F7*B7</f>
        <v>350.71351330000005</v>
      </c>
      <c r="U7" s="2" t="b">
        <f t="shared" si="2"/>
        <v>1</v>
      </c>
    </row>
    <row r="8" spans="1:21" ht="15" customHeight="1" x14ac:dyDescent="0.3">
      <c r="A8" s="19" t="s">
        <v>16</v>
      </c>
      <c r="B8" s="18">
        <f>G8*($B$15)^F8</f>
        <v>1.2624710519849089</v>
      </c>
      <c r="C8" s="18">
        <v>0.33139086012666097</v>
      </c>
      <c r="D8" s="20">
        <f t="shared" si="3"/>
        <v>0.13964913987333905</v>
      </c>
      <c r="E8" s="3">
        <v>0.11</v>
      </c>
      <c r="F8" s="3">
        <v>0.41896</v>
      </c>
      <c r="G8" s="15">
        <f t="shared" si="0"/>
        <v>0.9999232947917166</v>
      </c>
      <c r="H8" s="3">
        <v>0.5</v>
      </c>
      <c r="I8" s="3">
        <v>8.80858615</v>
      </c>
      <c r="J8" s="3">
        <v>13.47254</v>
      </c>
      <c r="K8" s="3">
        <v>45.723372210000001</v>
      </c>
      <c r="L8" s="3">
        <v>355.20250160000001</v>
      </c>
      <c r="M8" s="3">
        <v>52.981999999999999</v>
      </c>
      <c r="N8" s="4">
        <f t="shared" si="1"/>
        <v>92.429268808547548</v>
      </c>
      <c r="O8" s="4">
        <f>(I8+J8)^C8*(K8)^E8*(L8)^D8*(N8)^F8</f>
        <v>64.42828817526383</v>
      </c>
      <c r="P8" s="3">
        <v>64.423346190000004</v>
      </c>
      <c r="Q8" s="7">
        <f t="shared" si="4"/>
        <v>2.4423218347879362E-5</v>
      </c>
      <c r="S8" s="4">
        <f>(I8+J8)^C8*(K8)^E8*(L8)^D8*(N8)^F8*G8</f>
        <v>64.423346190000004</v>
      </c>
      <c r="T8" s="4">
        <f>(I8+J8)^C8*(K8)^E8*(L8)^D8*(M8)^F8*B8</f>
        <v>64.423346190000018</v>
      </c>
      <c r="U8" s="2" t="b">
        <f t="shared" si="2"/>
        <v>1</v>
      </c>
    </row>
    <row r="9" spans="1:21" ht="15" customHeight="1" x14ac:dyDescent="0.3">
      <c r="A9" s="19" t="s">
        <v>17</v>
      </c>
      <c r="B9" s="18">
        <f>G9*($B$15)^F9</f>
        <v>1.2489317427155628</v>
      </c>
      <c r="C9" s="18">
        <v>0.35415762393642547</v>
      </c>
      <c r="D9" s="20">
        <f t="shared" si="3"/>
        <v>0.15639237606357453</v>
      </c>
      <c r="E9" s="3">
        <v>0.09</v>
      </c>
      <c r="F9" s="3">
        <v>0.39945000000000003</v>
      </c>
      <c r="G9" s="15">
        <f t="shared" si="0"/>
        <v>0.99999806750201892</v>
      </c>
      <c r="H9" s="3">
        <v>0.44486066699027998</v>
      </c>
      <c r="I9" s="3">
        <v>43.670473125000001</v>
      </c>
      <c r="J9" s="3">
        <v>219.94610800000001</v>
      </c>
      <c r="K9" s="3">
        <v>1656.89</v>
      </c>
      <c r="L9" s="3">
        <v>15865.29342</v>
      </c>
      <c r="M9" s="3">
        <v>593.95699999999999</v>
      </c>
      <c r="N9" s="4">
        <f t="shared" si="1"/>
        <v>1036.1823112324653</v>
      </c>
      <c r="O9" s="4">
        <f>(I9+J9)^C9*(K9)^E9*(L9)^D9*(N9)^F9</f>
        <v>1019.9442130401325</v>
      </c>
      <c r="P9" s="3">
        <v>1019.942242</v>
      </c>
      <c r="Q9" s="7">
        <f t="shared" si="4"/>
        <v>3.8849992039367403E-6</v>
      </c>
      <c r="S9" s="4">
        <f>(I9+J9)^C9*(K9)^E9*(L9)^D9*(N9)^F9*G9</f>
        <v>1019.942242</v>
      </c>
      <c r="T9" s="4">
        <f>(I9+J9)^C9*(K9)^E9*(L9)^D9*(M9)^F9*B9</f>
        <v>1019.9422419999999</v>
      </c>
      <c r="U9" s="2" t="b">
        <f t="shared" si="2"/>
        <v>1</v>
      </c>
    </row>
    <row r="10" spans="1:21" ht="15" customHeight="1" x14ac:dyDescent="0.3">
      <c r="A10" s="19" t="s">
        <v>18</v>
      </c>
      <c r="B10" s="18">
        <f>G10*($B$15)^F10</f>
        <v>0.48318275544128692</v>
      </c>
      <c r="C10" s="18">
        <v>0.31749000000000005</v>
      </c>
      <c r="D10" s="20">
        <f t="shared" si="3"/>
        <v>0</v>
      </c>
      <c r="E10" s="3">
        <v>0.1</v>
      </c>
      <c r="F10" s="3">
        <v>0.58250999999999997</v>
      </c>
      <c r="G10" s="15">
        <f t="shared" si="0"/>
        <v>0.34940549305580648</v>
      </c>
      <c r="H10" s="3">
        <v>0.28394982218742398</v>
      </c>
      <c r="I10" s="3">
        <v>12.295908000000001</v>
      </c>
      <c r="J10" s="3">
        <v>2.212952</v>
      </c>
      <c r="K10" s="3">
        <v>11.63448475</v>
      </c>
      <c r="L10" s="3">
        <v>91.199655250000006</v>
      </c>
      <c r="M10" s="3">
        <v>40.465000000000003</v>
      </c>
      <c r="N10" s="4">
        <f t="shared" si="1"/>
        <v>70.592849691175815</v>
      </c>
      <c r="O10" s="4">
        <f>(I10+J10)^C10*(K10)^E10*(L10)^D10*(N10)^F10</f>
        <v>35.670013373285414</v>
      </c>
      <c r="P10" s="3">
        <v>12.463298610000001</v>
      </c>
      <c r="Q10" s="7">
        <f t="shared" si="4"/>
        <v>538.5516101044891</v>
      </c>
      <c r="S10" s="4">
        <f>(I10+J10)^C10*(K10)^E10*(L10)^D10*(N10)^F10*G10</f>
        <v>12.463298610000001</v>
      </c>
      <c r="T10" s="4">
        <f>(I10+J10)^C10*(K10)^E10*(L10)^D10*(M10)^F10*B10</f>
        <v>12.463298610000002</v>
      </c>
      <c r="U10" s="2" t="b">
        <f t="shared" si="2"/>
        <v>1</v>
      </c>
    </row>
    <row r="11" spans="1:21" ht="15" customHeight="1" x14ac:dyDescent="0.3">
      <c r="A11" s="19" t="s">
        <v>20</v>
      </c>
      <c r="B11" s="18">
        <f>G11*($B$15)^F11</f>
        <v>1.3628027049420055</v>
      </c>
      <c r="C11" s="18">
        <v>0.26111165687628285</v>
      </c>
      <c r="D11" s="20">
        <f t="shared" si="3"/>
        <v>9.2648343123717281E-2</v>
      </c>
      <c r="E11" s="3">
        <v>0.09</v>
      </c>
      <c r="F11" s="3">
        <v>0.55623999999999996</v>
      </c>
      <c r="G11" s="15">
        <f t="shared" si="0"/>
        <v>1.0000005834577261</v>
      </c>
      <c r="H11" s="3">
        <v>0.54299837350845304</v>
      </c>
      <c r="I11" s="3">
        <v>20.846993999999999</v>
      </c>
      <c r="J11" s="3">
        <v>175.70544799999999</v>
      </c>
      <c r="K11" s="3">
        <v>258.94900000000001</v>
      </c>
      <c r="L11" s="3">
        <v>2437.3085580000002</v>
      </c>
      <c r="M11" s="3">
        <v>124.596</v>
      </c>
      <c r="N11" s="4">
        <f t="shared" si="1"/>
        <v>217.36282466629783</v>
      </c>
      <c r="O11" s="4">
        <f>(I11+J11)^C11*(K11)^E11*(L11)^D11*(N11)^F11</f>
        <v>269.07343280702673</v>
      </c>
      <c r="P11" s="3">
        <v>269.07358979999998</v>
      </c>
      <c r="Q11" s="7">
        <f t="shared" si="4"/>
        <v>2.4646793648446939E-8</v>
      </c>
      <c r="S11" s="4">
        <f>(I11+J11)^C11*(K11)^E11*(L11)^D11*(N11)^F11*G11</f>
        <v>269.07358979999998</v>
      </c>
      <c r="T11" s="4">
        <f>(I11+J11)^C11*(K11)^E11*(L11)^D11*(M11)^F11*B11</f>
        <v>269.07358979999992</v>
      </c>
      <c r="U11" s="2" t="b">
        <f t="shared" si="2"/>
        <v>1</v>
      </c>
    </row>
    <row r="12" spans="1:21" ht="15" customHeight="1" thickBot="1" x14ac:dyDescent="0.35">
      <c r="A12" s="21" t="s">
        <v>19</v>
      </c>
      <c r="B12" s="22">
        <f>G12*($B$15)^F12</f>
        <v>1.4467933021799875</v>
      </c>
      <c r="C12" s="22">
        <v>0</v>
      </c>
      <c r="D12" s="23">
        <f t="shared" si="3"/>
        <v>0.21445999999999998</v>
      </c>
      <c r="E12" s="3">
        <v>0.13</v>
      </c>
      <c r="F12" s="3">
        <v>0.65554000000000001</v>
      </c>
      <c r="G12" s="15">
        <f t="shared" si="0"/>
        <v>1.0045575359088108</v>
      </c>
      <c r="H12" s="3">
        <v>0.51462882757186901</v>
      </c>
      <c r="I12" s="3">
        <v>11.445347999999999</v>
      </c>
      <c r="J12" s="3">
        <v>40.443351999999997</v>
      </c>
      <c r="K12" s="3">
        <v>397.77300000000002</v>
      </c>
      <c r="L12" s="3">
        <v>2665.7782999999999</v>
      </c>
      <c r="M12" s="3">
        <v>134.20699999999999</v>
      </c>
      <c r="N12" s="4">
        <f t="shared" si="1"/>
        <v>234.12960777223853</v>
      </c>
      <c r="O12" s="4">
        <f>(I12+J12)^C12*(K12)^E12*(L12)^D12*(N12)^F12</f>
        <v>422.59875937911079</v>
      </c>
      <c r="P12" s="3">
        <v>424.52476840000003</v>
      </c>
      <c r="Q12" s="7">
        <f t="shared" si="4"/>
        <v>3.7095107485467262</v>
      </c>
      <c r="S12" s="4">
        <f>(I12+J12)^C12*(K12)^E12*(L12)^D12*(N12)^F12*G12</f>
        <v>424.52476839999997</v>
      </c>
      <c r="T12" s="4">
        <f>(I12+J12)^C12*(K12)^E12*(L12)^D12*(M12)^F12*B12</f>
        <v>424.52476839999986</v>
      </c>
      <c r="U12" s="2" t="b">
        <f t="shared" si="2"/>
        <v>1</v>
      </c>
    </row>
    <row r="13" spans="1:21" ht="15" customHeight="1" x14ac:dyDescent="0.3">
      <c r="A13" s="1"/>
      <c r="B13" s="11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N13" s="4"/>
      <c r="O13" s="3"/>
      <c r="P13" s="7"/>
    </row>
    <row r="14" spans="1:21" ht="15" customHeight="1" x14ac:dyDescent="0.3">
      <c r="A14" s="9" t="s">
        <v>23</v>
      </c>
      <c r="B14" s="8">
        <f>SUM(Q3:Q12)</f>
        <v>550.03881054893134</v>
      </c>
      <c r="C14" s="4"/>
      <c r="D14" s="4"/>
      <c r="E14" s="3"/>
      <c r="F14" s="3"/>
      <c r="H14" s="3"/>
      <c r="I14" s="3"/>
      <c r="J14" s="3"/>
      <c r="K14" s="3"/>
      <c r="L14" s="3"/>
      <c r="M14" s="3"/>
      <c r="O14" s="3"/>
      <c r="P14" s="7"/>
    </row>
    <row r="15" spans="1:21" ht="15" customHeight="1" x14ac:dyDescent="0.3">
      <c r="A15" s="5" t="s">
        <v>25</v>
      </c>
      <c r="B15" s="3">
        <v>1.7445409536927174</v>
      </c>
      <c r="C15" s="4"/>
      <c r="D15" s="4"/>
      <c r="E15" s="3"/>
      <c r="F15" s="3"/>
      <c r="H15" s="3"/>
      <c r="I15" s="3"/>
      <c r="J15" s="3"/>
      <c r="K15" s="3"/>
      <c r="L15" s="3"/>
      <c r="M15" s="3"/>
      <c r="N15" s="4"/>
      <c r="O15" s="3"/>
      <c r="P15" s="7"/>
    </row>
    <row r="16" spans="1:21" ht="15" customHeight="1" x14ac:dyDescent="0.3">
      <c r="A16" s="5" t="s">
        <v>29</v>
      </c>
      <c r="B16" s="4">
        <f>CORREL(O3:O12,P3:P12)</f>
        <v>0.99974332854414216</v>
      </c>
      <c r="C16" s="4"/>
      <c r="D16" s="4"/>
      <c r="E16" s="3"/>
      <c r="F16" s="3"/>
      <c r="H16" s="3"/>
      <c r="I16" s="3"/>
      <c r="J16" s="3"/>
      <c r="K16" s="3"/>
      <c r="L16" s="3"/>
      <c r="M16" s="3"/>
      <c r="N16" s="4"/>
      <c r="O16" s="3"/>
      <c r="P16" s="7"/>
    </row>
    <row r="17" spans="1:16" ht="15" customHeight="1" x14ac:dyDescent="0.3">
      <c r="A17" s="12" t="s">
        <v>45</v>
      </c>
      <c r="B17" s="4">
        <f>CORREL(G3:G12,H3:H12)</f>
        <v>0.31123254009306173</v>
      </c>
      <c r="C17" s="4"/>
      <c r="D17" s="4"/>
      <c r="E17" s="3"/>
      <c r="F17" s="3"/>
      <c r="H17" s="3"/>
      <c r="I17" s="3"/>
      <c r="J17" s="3"/>
      <c r="K17" s="3"/>
      <c r="L17" s="3"/>
      <c r="M17" s="3"/>
      <c r="N17" s="4"/>
      <c r="O17" s="3"/>
      <c r="P17" s="7"/>
    </row>
    <row r="18" spans="1:16" ht="15" customHeight="1" x14ac:dyDescent="0.3">
      <c r="A18" s="5"/>
      <c r="B18" s="4"/>
      <c r="C18" s="4"/>
      <c r="D18" s="4"/>
      <c r="E18" s="3"/>
      <c r="F18" s="3"/>
      <c r="H18" s="3"/>
      <c r="I18" s="3"/>
      <c r="J18" s="3"/>
      <c r="K18" s="3"/>
      <c r="L18" s="3"/>
      <c r="M18" s="3"/>
      <c r="N18" s="4"/>
      <c r="O18" s="3"/>
      <c r="P18" s="7"/>
    </row>
    <row r="19" spans="1:16" ht="15" customHeight="1" x14ac:dyDescent="0.3">
      <c r="A19" s="5"/>
      <c r="B19" s="4"/>
      <c r="C19" s="4"/>
      <c r="D19" s="4"/>
      <c r="E19" s="3"/>
      <c r="F19" s="3"/>
      <c r="H19" s="3"/>
      <c r="I19" s="3"/>
      <c r="J19" s="3"/>
      <c r="K19" s="3"/>
      <c r="L19" s="3"/>
      <c r="M19" s="3"/>
      <c r="N19" s="4"/>
      <c r="O19" s="3"/>
      <c r="P19" s="7"/>
    </row>
    <row r="20" spans="1:16" ht="15" customHeight="1" x14ac:dyDescent="0.3">
      <c r="A20" s="12" t="s">
        <v>40</v>
      </c>
      <c r="B20" s="4">
        <f>AVERAGE(G3:G12)</f>
        <v>0.94531884057541049</v>
      </c>
      <c r="C20" s="4"/>
      <c r="D20" s="4"/>
      <c r="E20" s="3"/>
      <c r="F20" s="3"/>
      <c r="H20" s="3"/>
      <c r="I20" s="3"/>
      <c r="J20" s="3"/>
      <c r="K20" s="3"/>
      <c r="L20" s="3"/>
      <c r="M20" s="3"/>
      <c r="N20" s="4"/>
      <c r="O20" s="3"/>
      <c r="P20" s="7"/>
    </row>
    <row r="21" spans="1:16" ht="15" customHeight="1" x14ac:dyDescent="0.3">
      <c r="A21" s="14" t="s">
        <v>42</v>
      </c>
      <c r="B21" s="27">
        <f>AVERAGE(B3:B12)</f>
        <v>1.2499701982131062</v>
      </c>
      <c r="C21" s="14" t="s">
        <v>44</v>
      </c>
    </row>
    <row r="23" spans="1:16" ht="15" customHeight="1" x14ac:dyDescent="0.3">
      <c r="A23" s="14" t="s">
        <v>38</v>
      </c>
      <c r="B23" s="17">
        <f>COUNTIF(U3:U12,"="&amp;TRUE)/10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Optimization0</vt:lpstr>
      <vt:lpstr>Optimization1</vt:lpstr>
      <vt:lpstr>Optimization2</vt:lpstr>
      <vt:lpstr>Appendix &gt;&gt;</vt:lpstr>
      <vt:lpstr>Optimization0.1</vt:lpstr>
      <vt:lpstr>Optimization0.2</vt:lpstr>
      <vt:lpstr>Optimization0.3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2022-08-03T18:52:11Z</dcterms:created>
  <dcterms:modified xsi:type="dcterms:W3CDTF">2022-08-08T13:48:54Z</dcterms:modified>
</cp:coreProperties>
</file>