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3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C:\Users\User\Desktop\LAPTOP 2022\Desktop Files\"/>
    </mc:Choice>
  </mc:AlternateContent>
  <xr:revisionPtr revIDLastSave="0" documentId="8_{C83078F1-446B-462A-B0B0-B40C26F96468}" xr6:coauthVersionLast="36" xr6:coauthVersionMax="36" xr10:uidLastSave="{00000000-0000-0000-0000-000000000000}"/>
  <bookViews>
    <workbookView xWindow="0" yWindow="0" windowWidth="20490" windowHeight="7245" firstSheet="3" activeTab="3" xr2:uid="{00000000-000D-0000-FFFF-FFFF00000000}"/>
  </bookViews>
  <sheets>
    <sheet name="Prodn comparison " sheetId="31" state="hidden" r:id="rId1"/>
    <sheet name="Sales comparison " sheetId="30" state="hidden" r:id="rId2"/>
    <sheet name="SUMMARY" sheetId="32" state="hidden" r:id="rId3"/>
    <sheet name="PSI" sheetId="33" r:id="rId4"/>
  </sheets>
  <definedNames>
    <definedName name="_xlnm._FilterDatabase" localSheetId="1" hidden="1">'Sales comparison '!$A$13:$D$13</definedName>
    <definedName name="_xlnm.Print_Area" localSheetId="0">'Prodn comparison '!$A$1:$AE$206</definedName>
    <definedName name="_xlnm.Print_Area" localSheetId="1">'Sales comparison '!$A$1:$AE$210</definedName>
    <definedName name="_xlnm.Print_Area" localSheetId="2">SUMMARY!$A$1:$X$25</definedName>
    <definedName name="_xlnm.Print_Titles" localSheetId="0">'Prodn comparison '!$6:$7</definedName>
    <definedName name="_xlnm.Print_Titles" localSheetId="1">'Sales comparison '!$6:$7</definedName>
    <definedName name="Z_48BCA2B6_1588_429F_B1D4_043CBE6C38CF_.wvu.Cols" localSheetId="1" hidden="1">'Sales comparison '!#REF!</definedName>
    <definedName name="Z_48BCA2B6_1588_429F_B1D4_043CBE6C38CF_.wvu.PrintTitles" localSheetId="1" hidden="1">'Sales comparison '!$5:$7</definedName>
    <definedName name="Z_48BCA2B6_1588_429F_B1D4_043CBE6C38CF_.wvu.Rows" localSheetId="1" hidden="1">'Sales comparison '!$8:$9,'Sales comparison '!$12:$12,'Sales comparison '!#REF!,'Sales comparison '!#REF!,'Sales comparison '!$16:$16,'Sales comparison '!$19:$19,'Sales comparison '!#REF!,'Sales comparison '!#REF!,'Sales comparison '!#REF!,'Sales comparison '!#REF!,'Sales comparison '!#REF!,'Sales comparison '!$211:$211,'Sales comparison '!$59:$59,'Sales comparison '!$62:$62,'Sales comparison '!$64:$65</definedName>
    <definedName name="Z_53B55FA8_F1F6_4257_AD55_144664923D6B_.wvu.Cols" localSheetId="1" hidden="1">'Sales comparison '!#REF!</definedName>
    <definedName name="Z_53B55FA8_F1F6_4257_AD55_144664923D6B_.wvu.PrintTitles" localSheetId="1" hidden="1">'Sales comparison '!$5:$7</definedName>
    <definedName name="Z_53B55FA8_F1F6_4257_AD55_144664923D6B_.wvu.Rows" localSheetId="1" hidden="1">'Sales comparison '!$8:$9,'Sales comparison '!$12:$12,'Sales comparison '!#REF!,'Sales comparison '!#REF!,'Sales comparison '!$16:$16,'Sales comparison '!$19:$19,'Sales comparison '!#REF!,'Sales comparison '!#REF!,'Sales comparison '!#REF!,'Sales comparison '!#REF!,'Sales comparison '!#REF!,'Sales comparison '!$211:$211,'Sales comparison '!$59:$59,'Sales comparison '!$62:$62,'Sales comparison '!$64:$65</definedName>
    <definedName name="Z_8047B459_E41F_4115_9DC1_F5BB10FC5998_.wvu.Cols" localSheetId="1" hidden="1">'Sales comparison '!#REF!</definedName>
    <definedName name="Z_8047B459_E41F_4115_9DC1_F5BB10FC5998_.wvu.PrintTitles" localSheetId="1" hidden="1">'Sales comparison '!$5:$7</definedName>
    <definedName name="Z_8047B459_E41F_4115_9DC1_F5BB10FC5998_.wvu.Rows" localSheetId="1" hidden="1">'Sales comparison '!$8:$9,'Sales comparison '!$12:$12,'Sales comparison '!#REF!,'Sales comparison '!#REF!,'Sales comparison '!$16:$16,'Sales comparison '!$19:$19,'Sales comparison '!#REF!,'Sales comparison '!#REF!,'Sales comparison '!#REF!,'Sales comparison '!#REF!,'Sales comparison '!#REF!,'Sales comparison '!$211:$211,'Sales comparison '!$59:$59,'Sales comparison '!$62:$62,'Sales comparison '!$64:$65</definedName>
    <definedName name="Z_98406CBE_4237_43F3_91BD_749CEB4CEF7B_.wvu.Cols" localSheetId="1" hidden="1">'Sales comparison '!#REF!</definedName>
    <definedName name="Z_98406CBE_4237_43F3_91BD_749CEB4CEF7B_.wvu.PrintTitles" localSheetId="1" hidden="1">'Sales comparison '!$5:$7</definedName>
    <definedName name="Z_98406CBE_4237_43F3_91BD_749CEB4CEF7B_.wvu.Rows" localSheetId="1" hidden="1">'Sales comparison '!$8:$9,'Sales comparison '!$12:$12,'Sales comparison '!#REF!,'Sales comparison '!#REF!,'Sales comparison '!#REF!,'Sales comparison '!$19:$19,'Sales comparison '!#REF!,'Sales comparison '!#REF!,'Sales comparison '!#REF!,'Sales comparison '!#REF!,'Sales comparison '!#REF!,'Sales comparison '!$211:$211,'Sales comparison '!$59:$59,'Sales comparison '!$62:$62,'Sales comparison '!$64:$65</definedName>
    <definedName name="Z_C92A0B39_2184_4263_AA36_5C13D5843CBA_.wvu.Cols" localSheetId="1" hidden="1">'Sales comparison '!#REF!</definedName>
    <definedName name="Z_C92A0B39_2184_4263_AA36_5C13D5843CBA_.wvu.PrintTitles" localSheetId="1" hidden="1">'Sales comparison '!$5:$7</definedName>
    <definedName name="Z_C92A0B39_2184_4263_AA36_5C13D5843CBA_.wvu.Rows" localSheetId="1" hidden="1">'Sales comparison '!$8:$9,'Sales comparison '!$12:$12,'Sales comparison '!#REF!,'Sales comparison '!#REF!,'Sales comparison '!$16:$16,'Sales comparison '!$19:$19,'Sales comparison '!#REF!,'Sales comparison '!#REF!,'Sales comparison '!#REF!,'Sales comparison '!#REF!,'Sales comparison '!#REF!,'Sales comparison '!$211:$211,'Sales comparison '!$59:$59,'Sales comparison '!$62:$62,'Sales comparison '!$64:$65</definedName>
    <definedName name="Z_F6F11D52_22DD_488D_A325_C7C35BCE7FD3_.wvu.Cols" localSheetId="1" hidden="1">'Sales comparison '!#REF!</definedName>
    <definedName name="Z_F6F11D52_22DD_488D_A325_C7C35BCE7FD3_.wvu.PrintTitles" localSheetId="1" hidden="1">'Sales comparison '!$5:$7</definedName>
    <definedName name="Z_F6F11D52_22DD_488D_A325_C7C35BCE7FD3_.wvu.Rows" localSheetId="1" hidden="1">'Sales comparison '!$8:$12,'Sales comparison '!#REF!,'Sales comparison '!#REF!,'Sales comparison '!$19:$19,'Sales comparison '!#REF!,'Sales comparison '!#REF!,'Sales comparison '!#REF!,'Sales comparison '!#REF!,'Sales comparison '!$59:$59,'Sales comparison '!$62:$65,'Sales comparison '!$71:$71,'Sales comparison '!$73:$73,'Sales comparison '!#REF!,'Sales comparison '!$211:$212</definedName>
  </definedNames>
  <calcPr calcId="191029"/>
  <customWorkbookViews>
    <customWorkbookView name="Charlene Constantino - Personal View" guid="{48BCA2B6-1588-429F-B1D4-043CBE6C38CF}" mergeInterval="0" personalView="1" maximized="1" xWindow="-8" yWindow="-8" windowWidth="1382" windowHeight="744" activeSheetId="1"/>
    <customWorkbookView name="SLS2FL029 - Personal View" guid="{8047B459-E41F-4115-9DC1-F5BB10FC5998}" mergeInterval="0" personalView="1" maximized="1" xWindow="-8" yWindow="-8" windowWidth="1296" windowHeight="754" activeSheetId="1"/>
    <customWorkbookView name="nidec - Personal View" guid="{53B55FA8-F1F6-4257-AD55-144664923D6B}" mergeInterval="0" personalView="1" maximized="1" xWindow="1" yWindow="1" windowWidth="1036" windowHeight="803" activeSheetId="1"/>
    <customWorkbookView name="SLSLAP006 - Personal View" guid="{C92A0B39-2184-4263-AA36-5C13D5843CBA}" mergeInterval="0" personalView="1" maximized="1" xWindow="-8" yWindow="-8" windowWidth="1382" windowHeight="754" activeSheetId="1"/>
    <customWorkbookView name="PCD2FL039 - Personal View" guid="{98406CBE-4237-43F3-91BD-749CEB4CEF7B}" mergeInterval="0" personalView="1" xWindow="13" yWindow="30" windowWidth="1353" windowHeight="738" activeSheetId="1"/>
    <customWorkbookView name="Ricaela Recide - Personal View" guid="{F6F11D52-22DD-488D-A325-C7C35BCE7FD3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EG146" i="33" l="1"/>
  <c r="EJ92" i="33"/>
  <c r="EH82" i="33" l="1"/>
  <c r="EJ146" i="33" l="1"/>
  <c r="EM146" i="33" s="1"/>
  <c r="EP146" i="33" s="1"/>
  <c r="ES146" i="33" s="1"/>
  <c r="EV146" i="33" s="1"/>
  <c r="EY146" i="33" s="1"/>
  <c r="EN99" i="33"/>
  <c r="EI72" i="33" l="1"/>
  <c r="EI71" i="33"/>
  <c r="EI19" i="33" l="1"/>
  <c r="EG92" i="33" l="1"/>
  <c r="EM92" i="33" s="1"/>
  <c r="EP92" i="33" s="1"/>
  <c r="ES92" i="33" s="1"/>
  <c r="EV92" i="33" s="1"/>
  <c r="EY92" i="33" s="1"/>
  <c r="ER98" i="33"/>
  <c r="ER97" i="33"/>
  <c r="EO72" i="33"/>
  <c r="EO71" i="33"/>
  <c r="EO70" i="33"/>
  <c r="EO69" i="33"/>
  <c r="EI70" i="33"/>
  <c r="EI69" i="33"/>
  <c r="EU114" i="33"/>
  <c r="ER114" i="33"/>
  <c r="ER112" i="33"/>
  <c r="EF115" i="33"/>
  <c r="EF117" i="33" l="1"/>
  <c r="EF113" i="33"/>
  <c r="EF102" i="33" l="1"/>
  <c r="EI118" i="33" l="1"/>
  <c r="EH118" i="33"/>
  <c r="EF118" i="33"/>
  <c r="EQ80" i="33" l="1"/>
  <c r="EH80" i="33"/>
  <c r="EI80" i="33"/>
  <c r="EF56" i="33" l="1"/>
  <c r="EA85" i="33" l="1"/>
  <c r="ED85" i="33" s="1"/>
  <c r="EG85" i="33" s="1"/>
  <c r="EJ85" i="33" s="1"/>
  <c r="EM85" i="33" s="1"/>
  <c r="EP85" i="33" s="1"/>
  <c r="ES85" i="33" s="1"/>
  <c r="EV85" i="33" s="1"/>
  <c r="EK101" i="33" l="1"/>
  <c r="EH101" i="33"/>
  <c r="ED137" i="33" l="1"/>
  <c r="EG137" i="33" s="1"/>
  <c r="EJ137" i="33" s="1"/>
  <c r="EM137" i="33" s="1"/>
  <c r="EP137" i="33" s="1"/>
  <c r="ES137" i="33" s="1"/>
  <c r="EV137" i="33" s="1"/>
  <c r="EY137" i="33" s="1"/>
  <c r="EB50" i="33" l="1"/>
  <c r="DY105" i="33" l="1"/>
  <c r="EA86" i="33" l="1"/>
  <c r="ED86" i="33" s="1"/>
  <c r="EA87" i="33"/>
  <c r="ED87" i="33" s="1"/>
  <c r="EA88" i="33"/>
  <c r="ED88" i="33" s="1"/>
  <c r="EA89" i="33"/>
  <c r="ED89" i="33" s="1"/>
  <c r="DY83" i="33"/>
  <c r="DY82" i="33"/>
  <c r="DZ143" i="33" l="1"/>
  <c r="EX153" i="33" l="1"/>
  <c r="EW153" i="33"/>
  <c r="EX134" i="33"/>
  <c r="EW134" i="33"/>
  <c r="EX131" i="33"/>
  <c r="EW131" i="33"/>
  <c r="EX119" i="33"/>
  <c r="EW119" i="33"/>
  <c r="EX105" i="33"/>
  <c r="EW105" i="33"/>
  <c r="EX104" i="33"/>
  <c r="EW104" i="33"/>
  <c r="EW58" i="33"/>
  <c r="EX57" i="33"/>
  <c r="EW57" i="33"/>
  <c r="EX46" i="33"/>
  <c r="EW46" i="33"/>
  <c r="EX24" i="33"/>
  <c r="EW24" i="33"/>
  <c r="EU153" i="33"/>
  <c r="ET153" i="33"/>
  <c r="EU134" i="33"/>
  <c r="ET134" i="33"/>
  <c r="EU131" i="33"/>
  <c r="ET131" i="33"/>
  <c r="EU119" i="33"/>
  <c r="ET119" i="33"/>
  <c r="EU105" i="33"/>
  <c r="ET105" i="33"/>
  <c r="EU104" i="33"/>
  <c r="ET104" i="33"/>
  <c r="ET58" i="33"/>
  <c r="EU57" i="33"/>
  <c r="ET57" i="33"/>
  <c r="EU46" i="33"/>
  <c r="ET46" i="33"/>
  <c r="EU24" i="33"/>
  <c r="ET24" i="33"/>
  <c r="ER153" i="33"/>
  <c r="EQ153" i="33"/>
  <c r="ER134" i="33"/>
  <c r="EQ134" i="33"/>
  <c r="ER131" i="33"/>
  <c r="EQ131" i="33"/>
  <c r="ER119" i="33"/>
  <c r="EQ119" i="33"/>
  <c r="ER105" i="33"/>
  <c r="EQ105" i="33"/>
  <c r="EQ104" i="33"/>
  <c r="ER104" i="33"/>
  <c r="EQ58" i="33"/>
  <c r="ER57" i="33"/>
  <c r="EQ57" i="33"/>
  <c r="ER46" i="33"/>
  <c r="EQ46" i="33"/>
  <c r="ER24" i="33"/>
  <c r="EQ24" i="33"/>
  <c r="ET47" i="33" l="1"/>
  <c r="EW155" i="33"/>
  <c r="EU155" i="33"/>
  <c r="EX154" i="33"/>
  <c r="EW47" i="33"/>
  <c r="EX47" i="33"/>
  <c r="EX155" i="33"/>
  <c r="EW154" i="33"/>
  <c r="ET155" i="33"/>
  <c r="EU47" i="33"/>
  <c r="EQ47" i="33"/>
  <c r="ET154" i="33"/>
  <c r="EU154" i="33"/>
  <c r="EQ155" i="33"/>
  <c r="ER47" i="33"/>
  <c r="ER155" i="33"/>
  <c r="EQ154" i="33"/>
  <c r="ER154" i="33"/>
  <c r="EC105" i="33" l="1"/>
  <c r="CE90" i="33" l="1"/>
  <c r="CH90" i="33" s="1"/>
  <c r="CK90" i="33" s="1"/>
  <c r="CN90" i="33" s="1"/>
  <c r="CQ90" i="33" s="1"/>
  <c r="CT90" i="33" s="1"/>
  <c r="CW90" i="33" s="1"/>
  <c r="CZ90" i="33" s="1"/>
  <c r="DC90" i="33" s="1"/>
  <c r="DF90" i="33" s="1"/>
  <c r="DI90" i="33" s="1"/>
  <c r="DL90" i="33" s="1"/>
  <c r="DO90" i="33" s="1"/>
  <c r="DR90" i="33" s="1"/>
  <c r="DU90" i="33" s="1"/>
  <c r="DX90" i="33" s="1"/>
  <c r="EA90" i="33" s="1"/>
  <c r="DT81" i="33"/>
  <c r="CQ81" i="33"/>
  <c r="CT81" i="33" s="1"/>
  <c r="CW81" i="33" s="1"/>
  <c r="CZ81" i="33" s="1"/>
  <c r="DC81" i="33" s="1"/>
  <c r="DF81" i="33" s="1"/>
  <c r="DI81" i="33" s="1"/>
  <c r="DL81" i="33" s="1"/>
  <c r="DO81" i="33" s="1"/>
  <c r="DR81" i="33" s="1"/>
  <c r="DW80" i="33"/>
  <c r="DR80" i="33"/>
  <c r="DU80" i="33" s="1"/>
  <c r="DM80" i="33"/>
  <c r="CK80" i="33"/>
  <c r="CN80" i="33" s="1"/>
  <c r="CQ80" i="33" s="1"/>
  <c r="CT80" i="33" s="1"/>
  <c r="CW80" i="33" s="1"/>
  <c r="CZ80" i="33" s="1"/>
  <c r="DC80" i="33" s="1"/>
  <c r="DF80" i="33" s="1"/>
  <c r="DI80" i="33" s="1"/>
  <c r="DL80" i="33" s="1"/>
  <c r="DT79" i="33"/>
  <c r="DR79" i="33"/>
  <c r="DH79" i="33"/>
  <c r="BG79" i="33"/>
  <c r="BJ79" i="33" s="1"/>
  <c r="BM79" i="33" s="1"/>
  <c r="BP79" i="33" s="1"/>
  <c r="BS79" i="33" s="1"/>
  <c r="BV79" i="33" s="1"/>
  <c r="BY79" i="33" s="1"/>
  <c r="CB79" i="33" s="1"/>
  <c r="CE79" i="33" s="1"/>
  <c r="CH79" i="33" s="1"/>
  <c r="CK79" i="33" s="1"/>
  <c r="CN79" i="33" s="1"/>
  <c r="CQ79" i="33" s="1"/>
  <c r="CT79" i="33" s="1"/>
  <c r="CW79" i="33" s="1"/>
  <c r="CZ79" i="33" s="1"/>
  <c r="DC79" i="33" s="1"/>
  <c r="DF79" i="33" s="1"/>
  <c r="AU79" i="33"/>
  <c r="AX79" i="33" s="1"/>
  <c r="BA79" i="33" s="1"/>
  <c r="T79" i="33"/>
  <c r="W79" i="33" s="1"/>
  <c r="Z79" i="33" s="1"/>
  <c r="AC79" i="33" s="1"/>
  <c r="AF79" i="33" s="1"/>
  <c r="AI79" i="33" s="1"/>
  <c r="AL79" i="33" s="1"/>
  <c r="AO79" i="33" s="1"/>
  <c r="DR78" i="33"/>
  <c r="DU78" i="33" s="1"/>
  <c r="DX78" i="33" s="1"/>
  <c r="BG78" i="33"/>
  <c r="BJ78" i="33" s="1"/>
  <c r="BM78" i="33" s="1"/>
  <c r="BP78" i="33" s="1"/>
  <c r="BS78" i="33" s="1"/>
  <c r="BV78" i="33" s="1"/>
  <c r="BY78" i="33" s="1"/>
  <c r="CB78" i="33" s="1"/>
  <c r="CE78" i="33" s="1"/>
  <c r="CH78" i="33" s="1"/>
  <c r="CK78" i="33" s="1"/>
  <c r="CN78" i="33" s="1"/>
  <c r="CQ78" i="33" s="1"/>
  <c r="CT78" i="33" s="1"/>
  <c r="CW78" i="33" s="1"/>
  <c r="CZ78" i="33" s="1"/>
  <c r="DC78" i="33" s="1"/>
  <c r="DF78" i="33" s="1"/>
  <c r="DI78" i="33" s="1"/>
  <c r="DL78" i="33" s="1"/>
  <c r="H78" i="33"/>
  <c r="K78" i="33" s="1"/>
  <c r="N78" i="33" s="1"/>
  <c r="Q78" i="33" s="1"/>
  <c r="T78" i="33" s="1"/>
  <c r="W78" i="33" s="1"/>
  <c r="Z78" i="33" s="1"/>
  <c r="AC78" i="33" s="1"/>
  <c r="AF78" i="33" s="1"/>
  <c r="AI78" i="33" s="1"/>
  <c r="AL78" i="33" s="1"/>
  <c r="AO78" i="33" s="1"/>
  <c r="AR78" i="33" s="1"/>
  <c r="AU78" i="33" s="1"/>
  <c r="AX78" i="33" s="1"/>
  <c r="BA78" i="33" s="1"/>
  <c r="ED90" i="33" l="1"/>
  <c r="EG90" i="33" s="1"/>
  <c r="EJ90" i="33" s="1"/>
  <c r="EM90" i="33" s="1"/>
  <c r="EP90" i="33" s="1"/>
  <c r="ES90" i="33" s="1"/>
  <c r="EV90" i="33" s="1"/>
  <c r="EY90" i="33" s="1"/>
  <c r="EA78" i="33"/>
  <c r="DU79" i="33"/>
  <c r="DX79" i="33" s="1"/>
  <c r="EA79" i="33" s="1"/>
  <c r="DI79" i="33"/>
  <c r="DL79" i="33" s="1"/>
  <c r="DX80" i="33"/>
  <c r="EA80" i="33" s="1"/>
  <c r="DU81" i="33"/>
  <c r="DX81" i="33" s="1"/>
  <c r="EA81" i="33" s="1"/>
  <c r="ED79" i="33" l="1"/>
  <c r="EG79" i="33" s="1"/>
  <c r="EJ79" i="33" s="1"/>
  <c r="EM79" i="33" s="1"/>
  <c r="EP79" i="33" s="1"/>
  <c r="ES79" i="33" s="1"/>
  <c r="EV79" i="33" s="1"/>
  <c r="EY79" i="33" s="1"/>
  <c r="ED80" i="33"/>
  <c r="EG80" i="33" s="1"/>
  <c r="EJ80" i="33" s="1"/>
  <c r="EM80" i="33" s="1"/>
  <c r="EP80" i="33" s="1"/>
  <c r="ES80" i="33" s="1"/>
  <c r="EV80" i="33" s="1"/>
  <c r="EY80" i="33" s="1"/>
  <c r="ED81" i="33"/>
  <c r="EG81" i="33" s="1"/>
  <c r="EJ81" i="33" s="1"/>
  <c r="EM81" i="33" s="1"/>
  <c r="EP81" i="33" s="1"/>
  <c r="ES81" i="33" s="1"/>
  <c r="EV81" i="33" s="1"/>
  <c r="EY81" i="33" s="1"/>
  <c r="ED78" i="33"/>
  <c r="EG78" i="33" s="1"/>
  <c r="EJ78" i="33" s="1"/>
  <c r="EM78" i="33" s="1"/>
  <c r="EP78" i="33" s="1"/>
  <c r="ES78" i="33" s="1"/>
  <c r="EV78" i="33" s="1"/>
  <c r="EY78" i="33" s="1"/>
  <c r="EL104" i="33"/>
  <c r="EK104" i="33"/>
  <c r="EI104" i="33"/>
  <c r="EH104" i="33"/>
  <c r="EF104" i="33"/>
  <c r="EE104" i="33"/>
  <c r="EO131" i="33" l="1"/>
  <c r="EN131" i="33"/>
  <c r="EL131" i="33"/>
  <c r="EK131" i="33"/>
  <c r="EI131" i="33"/>
  <c r="EH131" i="33"/>
  <c r="EF131" i="33"/>
  <c r="EE131" i="33"/>
  <c r="EC131" i="33"/>
  <c r="EB131" i="33"/>
  <c r="DZ131" i="33"/>
  <c r="DY131" i="33"/>
  <c r="EA130" i="33" l="1"/>
  <c r="ED130" i="33" s="1"/>
  <c r="EG130" i="33" s="1"/>
  <c r="EJ130" i="33" s="1"/>
  <c r="EM130" i="33" s="1"/>
  <c r="EP130" i="33" s="1"/>
  <c r="ES130" i="33" s="1"/>
  <c r="EV130" i="33" s="1"/>
  <c r="EY130" i="33" s="1"/>
  <c r="EA129" i="33"/>
  <c r="ED129" i="33" s="1"/>
  <c r="EG129" i="33" s="1"/>
  <c r="EJ129" i="33" s="1"/>
  <c r="EM129" i="33" s="1"/>
  <c r="EP129" i="33" s="1"/>
  <c r="ES129" i="33" s="1"/>
  <c r="EV129" i="33" s="1"/>
  <c r="EY129" i="33" s="1"/>
  <c r="DX91" i="33" l="1"/>
  <c r="EA91" i="33" s="1"/>
  <c r="ED91" i="33" s="1"/>
  <c r="EG91" i="33" s="1"/>
  <c r="EJ91" i="33" s="1"/>
  <c r="EM91" i="33" s="1"/>
  <c r="EP91" i="33" s="1"/>
  <c r="ES91" i="33" s="1"/>
  <c r="EV91" i="33" s="1"/>
  <c r="EY91" i="33" s="1"/>
  <c r="EN104" i="33" l="1"/>
  <c r="DW19" i="33" l="1"/>
  <c r="DY104" i="33" l="1"/>
  <c r="EB104" i="33" l="1"/>
  <c r="DZ104" i="33" l="1"/>
  <c r="EO104" i="33" l="1"/>
  <c r="DV104" i="33"/>
  <c r="DW104" i="33"/>
  <c r="EC104" i="33"/>
  <c r="EE119" i="33"/>
  <c r="DW119" i="33"/>
  <c r="DT113" i="33"/>
  <c r="DT119" i="33" s="1"/>
  <c r="EO153" i="33"/>
  <c r="EN153" i="33"/>
  <c r="EO134" i="33"/>
  <c r="EN134" i="33"/>
  <c r="EO119" i="33"/>
  <c r="EN119" i="33"/>
  <c r="EO105" i="33"/>
  <c r="EN105" i="33"/>
  <c r="EN58" i="33"/>
  <c r="EO57" i="33"/>
  <c r="EN57" i="33"/>
  <c r="EO46" i="33"/>
  <c r="EN46" i="33"/>
  <c r="EO24" i="33"/>
  <c r="EN24" i="33"/>
  <c r="EL153" i="33"/>
  <c r="EK153" i="33"/>
  <c r="EL134" i="33"/>
  <c r="EK134" i="33"/>
  <c r="EL119" i="33"/>
  <c r="EK119" i="33"/>
  <c r="EL105" i="33"/>
  <c r="EK105" i="33"/>
  <c r="EK58" i="33"/>
  <c r="EL57" i="33"/>
  <c r="EK57" i="33"/>
  <c r="EL46" i="33"/>
  <c r="EK46" i="33"/>
  <c r="EL24" i="33"/>
  <c r="EK24" i="33"/>
  <c r="EI153" i="33"/>
  <c r="EH153" i="33"/>
  <c r="EI134" i="33"/>
  <c r="EH134" i="33"/>
  <c r="EI119" i="33"/>
  <c r="EH119" i="33"/>
  <c r="EI105" i="33"/>
  <c r="EH105" i="33"/>
  <c r="EH58" i="33"/>
  <c r="EI57" i="33"/>
  <c r="EH57" i="33"/>
  <c r="EI46" i="33"/>
  <c r="EH46" i="33"/>
  <c r="EI24" i="33"/>
  <c r="EH24" i="33"/>
  <c r="DT93" i="33"/>
  <c r="CM160" i="33"/>
  <c r="CL160" i="33"/>
  <c r="CJ160" i="33"/>
  <c r="CI160" i="33"/>
  <c r="CG160" i="33"/>
  <c r="CF160" i="33"/>
  <c r="CD160" i="33"/>
  <c r="CC160" i="33"/>
  <c r="CA160" i="33"/>
  <c r="BZ160" i="33"/>
  <c r="BX160" i="33"/>
  <c r="BW160" i="33"/>
  <c r="BU160" i="33"/>
  <c r="BT160" i="33"/>
  <c r="BR160" i="33"/>
  <c r="BQ160" i="33"/>
  <c r="BO160" i="33"/>
  <c r="BN160" i="33"/>
  <c r="BL160" i="33"/>
  <c r="BK160" i="33"/>
  <c r="BI160" i="33"/>
  <c r="BH160" i="33"/>
  <c r="BG160" i="33"/>
  <c r="BF160" i="33"/>
  <c r="BE160" i="33"/>
  <c r="BD160" i="33"/>
  <c r="BC160" i="33"/>
  <c r="BB160" i="33"/>
  <c r="AZ160" i="33"/>
  <c r="AY160" i="33"/>
  <c r="AW160" i="33"/>
  <c r="AV160" i="33"/>
  <c r="AT160" i="33"/>
  <c r="AS160" i="33"/>
  <c r="AQ160" i="33"/>
  <c r="AP160" i="33"/>
  <c r="AN160" i="33"/>
  <c r="AM160" i="33"/>
  <c r="AK160" i="33"/>
  <c r="AJ160" i="33"/>
  <c r="AH160" i="33"/>
  <c r="AG160" i="33"/>
  <c r="AE160" i="33"/>
  <c r="AD160" i="33"/>
  <c r="AB160" i="33"/>
  <c r="AA160" i="33"/>
  <c r="Y160" i="33"/>
  <c r="X160" i="33"/>
  <c r="V160" i="33"/>
  <c r="U160" i="33"/>
  <c r="S160" i="33"/>
  <c r="R160" i="33"/>
  <c r="P160" i="33"/>
  <c r="O160" i="33"/>
  <c r="M160" i="33"/>
  <c r="L160" i="33"/>
  <c r="J160" i="33"/>
  <c r="I160" i="33"/>
  <c r="G160" i="33"/>
  <c r="F160" i="33"/>
  <c r="CM158" i="33"/>
  <c r="CL158" i="33"/>
  <c r="CJ158" i="33"/>
  <c r="CI158" i="33"/>
  <c r="CG158" i="33"/>
  <c r="CF158" i="33"/>
  <c r="CD158" i="33"/>
  <c r="CC158" i="33"/>
  <c r="CA158" i="33"/>
  <c r="BZ158" i="33"/>
  <c r="BX158" i="33"/>
  <c r="BW158" i="33"/>
  <c r="BU158" i="33"/>
  <c r="BT158" i="33"/>
  <c r="BR158" i="33"/>
  <c r="BQ158" i="33"/>
  <c r="BO158" i="33"/>
  <c r="BN158" i="33"/>
  <c r="BL158" i="33"/>
  <c r="BK158" i="33"/>
  <c r="BI158" i="33"/>
  <c r="BH158" i="33"/>
  <c r="BF158" i="33"/>
  <c r="BE158" i="33"/>
  <c r="BC158" i="33"/>
  <c r="AZ158" i="33"/>
  <c r="AY158" i="33"/>
  <c r="AV158" i="33"/>
  <c r="AT158" i="33"/>
  <c r="AS158" i="33"/>
  <c r="AQ158" i="33"/>
  <c r="AP158" i="33"/>
  <c r="AN158" i="33"/>
  <c r="AM158" i="33"/>
  <c r="AK158" i="33"/>
  <c r="AJ158" i="33"/>
  <c r="AH158" i="33"/>
  <c r="AG158" i="33"/>
  <c r="AE158" i="33"/>
  <c r="AD158" i="33"/>
  <c r="AB158" i="33"/>
  <c r="AA158" i="33"/>
  <c r="Y158" i="33"/>
  <c r="X158" i="33"/>
  <c r="V158" i="33"/>
  <c r="U158" i="33"/>
  <c r="S158" i="33"/>
  <c r="R158" i="33"/>
  <c r="P158" i="33"/>
  <c r="O158" i="33"/>
  <c r="M158" i="33"/>
  <c r="L158" i="33"/>
  <c r="J158" i="33"/>
  <c r="I158" i="33"/>
  <c r="G158" i="33"/>
  <c r="F158" i="33"/>
  <c r="CM157" i="33"/>
  <c r="CL157" i="33"/>
  <c r="CJ157" i="33"/>
  <c r="CI157" i="33"/>
  <c r="CG157" i="33"/>
  <c r="CF157" i="33"/>
  <c r="CD157" i="33"/>
  <c r="CC157" i="33"/>
  <c r="CA157" i="33"/>
  <c r="BZ157" i="33"/>
  <c r="BX157" i="33"/>
  <c r="BW157" i="33"/>
  <c r="BU157" i="33"/>
  <c r="BT157" i="33"/>
  <c r="BR157" i="33"/>
  <c r="BQ157" i="33"/>
  <c r="BO157" i="33"/>
  <c r="BN157" i="33"/>
  <c r="BL157" i="33"/>
  <c r="BK157" i="33"/>
  <c r="BI157" i="33"/>
  <c r="BH157" i="33"/>
  <c r="BF157" i="33"/>
  <c r="BE157" i="33"/>
  <c r="BC157" i="33"/>
  <c r="BB157" i="33"/>
  <c r="AZ157" i="33"/>
  <c r="AY157" i="33"/>
  <c r="AW157" i="33"/>
  <c r="AV157" i="33"/>
  <c r="AT157" i="33"/>
  <c r="AS157" i="33"/>
  <c r="AQ157" i="33"/>
  <c r="AP157" i="33"/>
  <c r="AN157" i="33"/>
  <c r="AM157" i="33"/>
  <c r="AK157" i="33"/>
  <c r="AJ157" i="33"/>
  <c r="AH157" i="33"/>
  <c r="AG157" i="33"/>
  <c r="AE157" i="33"/>
  <c r="AD157" i="33"/>
  <c r="AB157" i="33"/>
  <c r="AA157" i="33"/>
  <c r="Y157" i="33"/>
  <c r="X157" i="33"/>
  <c r="U157" i="33"/>
  <c r="S157" i="33"/>
  <c r="R157" i="33"/>
  <c r="P157" i="33"/>
  <c r="O157" i="33"/>
  <c r="M157" i="33"/>
  <c r="L157" i="33"/>
  <c r="J157" i="33"/>
  <c r="I157" i="33"/>
  <c r="G157" i="33"/>
  <c r="F157" i="33"/>
  <c r="EF153" i="33"/>
  <c r="EE153" i="33"/>
  <c r="EC153" i="33"/>
  <c r="EB153" i="33"/>
  <c r="DZ153" i="33"/>
  <c r="DY153" i="33"/>
  <c r="DW153" i="33"/>
  <c r="DV153" i="33"/>
  <c r="DT153" i="33"/>
  <c r="DQ153" i="33"/>
  <c r="DP153" i="33"/>
  <c r="DN153" i="33"/>
  <c r="DM153" i="33"/>
  <c r="DK153" i="33"/>
  <c r="DJ153" i="33"/>
  <c r="DH153" i="33"/>
  <c r="DG153" i="33"/>
  <c r="DE153" i="33"/>
  <c r="DD153" i="33"/>
  <c r="DB153" i="33"/>
  <c r="DA153" i="33"/>
  <c r="CZ153" i="33"/>
  <c r="CY153" i="33"/>
  <c r="CX153" i="33"/>
  <c r="CV153" i="33"/>
  <c r="CU153" i="33"/>
  <c r="CS153" i="33"/>
  <c r="CR153" i="33"/>
  <c r="CP153" i="33"/>
  <c r="CO153" i="33"/>
  <c r="CM153" i="33"/>
  <c r="CL153" i="33"/>
  <c r="CJ153" i="33"/>
  <c r="CI153" i="33"/>
  <c r="CG153" i="33"/>
  <c r="CF153" i="33"/>
  <c r="CD153" i="33"/>
  <c r="CC153" i="33"/>
  <c r="CA153" i="33"/>
  <c r="BZ153" i="33"/>
  <c r="BX153" i="33"/>
  <c r="BW153" i="33"/>
  <c r="BU153" i="33"/>
  <c r="BT153" i="33"/>
  <c r="BR153" i="33"/>
  <c r="BQ153" i="33"/>
  <c r="BP153" i="33"/>
  <c r="BO153" i="33"/>
  <c r="BL153" i="33"/>
  <c r="BK153" i="33"/>
  <c r="BI153" i="33"/>
  <c r="BH153" i="33"/>
  <c r="BF153" i="33"/>
  <c r="BE153" i="33"/>
  <c r="BD153" i="33"/>
  <c r="BC153" i="33"/>
  <c r="BB153" i="33"/>
  <c r="AZ153" i="33"/>
  <c r="AY153" i="33"/>
  <c r="AW153" i="33"/>
  <c r="AV153" i="33"/>
  <c r="AT153" i="33"/>
  <c r="AS153" i="33"/>
  <c r="AQ153" i="33"/>
  <c r="AP153" i="33"/>
  <c r="AN153" i="33"/>
  <c r="AM153" i="33"/>
  <c r="AK153" i="33"/>
  <c r="AJ153" i="33"/>
  <c r="AH153" i="33"/>
  <c r="AG153" i="33"/>
  <c r="AE153" i="33"/>
  <c r="AD153" i="33"/>
  <c r="AB153" i="33"/>
  <c r="AA153" i="33"/>
  <c r="Y153" i="33"/>
  <c r="X153" i="33"/>
  <c r="V153" i="33"/>
  <c r="U153" i="33"/>
  <c r="S153" i="33"/>
  <c r="R153" i="33"/>
  <c r="P153" i="33"/>
  <c r="O153" i="33"/>
  <c r="M153" i="33"/>
  <c r="L153" i="33"/>
  <c r="J153" i="33"/>
  <c r="I153" i="33"/>
  <c r="G153" i="33"/>
  <c r="F153" i="33"/>
  <c r="DC152" i="33"/>
  <c r="DF152" i="33" s="1"/>
  <c r="DI152" i="33" s="1"/>
  <c r="DL152" i="33" s="1"/>
  <c r="DO152" i="33" s="1"/>
  <c r="DR152" i="33" s="1"/>
  <c r="DU152" i="33" s="1"/>
  <c r="DX152" i="33" s="1"/>
  <c r="EA152" i="33" s="1"/>
  <c r="ED152" i="33" s="1"/>
  <c r="EG152" i="33" s="1"/>
  <c r="EJ152" i="33" s="1"/>
  <c r="EM152" i="33" s="1"/>
  <c r="EP152" i="33" s="1"/>
  <c r="ES152" i="33" s="1"/>
  <c r="EV152" i="33" s="1"/>
  <c r="EY152" i="33" s="1"/>
  <c r="DC151" i="33"/>
  <c r="DF151" i="33" s="1"/>
  <c r="DI151" i="33" s="1"/>
  <c r="DL151" i="33" s="1"/>
  <c r="DO151" i="33" s="1"/>
  <c r="DR151" i="33" s="1"/>
  <c r="DU151" i="33" s="1"/>
  <c r="DX151" i="33" s="1"/>
  <c r="EA151" i="33" s="1"/>
  <c r="ED151" i="33" s="1"/>
  <c r="EG151" i="33" s="1"/>
  <c r="EJ151" i="33" s="1"/>
  <c r="EM151" i="33" s="1"/>
  <c r="EP151" i="33" s="1"/>
  <c r="ES151" i="33" s="1"/>
  <c r="EV151" i="33" s="1"/>
  <c r="EY151" i="33" s="1"/>
  <c r="DC150" i="33"/>
  <c r="DF150" i="33" s="1"/>
  <c r="DI150" i="33" s="1"/>
  <c r="DL150" i="33" s="1"/>
  <c r="DO150" i="33" s="1"/>
  <c r="DR150" i="33" s="1"/>
  <c r="DU150" i="33" s="1"/>
  <c r="DX150" i="33" s="1"/>
  <c r="EA150" i="33" s="1"/>
  <c r="ED150" i="33" s="1"/>
  <c r="EG150" i="33" s="1"/>
  <c r="EJ150" i="33" s="1"/>
  <c r="EM150" i="33" s="1"/>
  <c r="EP150" i="33" s="1"/>
  <c r="ES150" i="33" s="1"/>
  <c r="EV150" i="33" s="1"/>
  <c r="EY150" i="33" s="1"/>
  <c r="CQ150" i="33"/>
  <c r="CT150" i="33" s="1"/>
  <c r="CW150" i="33" s="1"/>
  <c r="BS150" i="33"/>
  <c r="BV150" i="33" s="1"/>
  <c r="BY150" i="33" s="1"/>
  <c r="CB150" i="33" s="1"/>
  <c r="CE150" i="33" s="1"/>
  <c r="CH150" i="33" s="1"/>
  <c r="CK150" i="33" s="1"/>
  <c r="BG150" i="33"/>
  <c r="BJ150" i="33" s="1"/>
  <c r="BM150" i="33" s="1"/>
  <c r="H150" i="33"/>
  <c r="K150" i="33" s="1"/>
  <c r="N150" i="33" s="1"/>
  <c r="Q150" i="33" s="1"/>
  <c r="T150" i="33" s="1"/>
  <c r="W150" i="33" s="1"/>
  <c r="Z150" i="33" s="1"/>
  <c r="AC150" i="33" s="1"/>
  <c r="AF150" i="33" s="1"/>
  <c r="AI150" i="33" s="1"/>
  <c r="AL150" i="33" s="1"/>
  <c r="AO150" i="33" s="1"/>
  <c r="AR150" i="33" s="1"/>
  <c r="AU150" i="33" s="1"/>
  <c r="AX150" i="33" s="1"/>
  <c r="BA150" i="33" s="1"/>
  <c r="DC149" i="33"/>
  <c r="DF149" i="33" s="1"/>
  <c r="DI149" i="33" s="1"/>
  <c r="DL149" i="33" s="1"/>
  <c r="DO149" i="33" s="1"/>
  <c r="DR149" i="33" s="1"/>
  <c r="DU149" i="33" s="1"/>
  <c r="DX149" i="33" s="1"/>
  <c r="EA149" i="33" s="1"/>
  <c r="ED149" i="33" s="1"/>
  <c r="EG149" i="33" s="1"/>
  <c r="EJ149" i="33" s="1"/>
  <c r="EM149" i="33" s="1"/>
  <c r="EP149" i="33" s="1"/>
  <c r="ES149" i="33" s="1"/>
  <c r="EV149" i="33" s="1"/>
  <c r="EY149" i="33" s="1"/>
  <c r="BS149" i="33"/>
  <c r="BV149" i="33" s="1"/>
  <c r="BY149" i="33" s="1"/>
  <c r="CB149" i="33" s="1"/>
  <c r="CE149" i="33" s="1"/>
  <c r="CH149" i="33" s="1"/>
  <c r="CK149" i="33" s="1"/>
  <c r="CN149" i="33" s="1"/>
  <c r="CQ149" i="33" s="1"/>
  <c r="CT149" i="33" s="1"/>
  <c r="CW149" i="33" s="1"/>
  <c r="BG149" i="33"/>
  <c r="BJ149" i="33" s="1"/>
  <c r="BM149" i="33" s="1"/>
  <c r="H149" i="33"/>
  <c r="K149" i="33" s="1"/>
  <c r="DS153" i="33"/>
  <c r="DC148" i="33"/>
  <c r="DF148" i="33" s="1"/>
  <c r="DI148" i="33" s="1"/>
  <c r="DL148" i="33" s="1"/>
  <c r="DO148" i="33" s="1"/>
  <c r="DR148" i="33" s="1"/>
  <c r="DU148" i="33" s="1"/>
  <c r="DX148" i="33" s="1"/>
  <c r="EA148" i="33" s="1"/>
  <c r="ED148" i="33" s="1"/>
  <c r="EG148" i="33" s="1"/>
  <c r="EJ148" i="33" s="1"/>
  <c r="EM148" i="33" s="1"/>
  <c r="EP148" i="33" s="1"/>
  <c r="ES148" i="33" s="1"/>
  <c r="EV148" i="33" s="1"/>
  <c r="EY148" i="33" s="1"/>
  <c r="DC147" i="33"/>
  <c r="DF147" i="33" s="1"/>
  <c r="DI147" i="33" s="1"/>
  <c r="DL147" i="33" s="1"/>
  <c r="DO147" i="33" s="1"/>
  <c r="DR147" i="33" s="1"/>
  <c r="DU147" i="33" s="1"/>
  <c r="DX147" i="33" s="1"/>
  <c r="EA147" i="33" s="1"/>
  <c r="ED147" i="33" s="1"/>
  <c r="EG147" i="33" s="1"/>
  <c r="EJ147" i="33" s="1"/>
  <c r="EM147" i="33" s="1"/>
  <c r="EP147" i="33" s="1"/>
  <c r="ES147" i="33" s="1"/>
  <c r="EV147" i="33" s="1"/>
  <c r="EY147" i="33" s="1"/>
  <c r="DC145" i="33"/>
  <c r="DF145" i="33" s="1"/>
  <c r="DI145" i="33" s="1"/>
  <c r="DL145" i="33" s="1"/>
  <c r="DO145" i="33" s="1"/>
  <c r="DR145" i="33" s="1"/>
  <c r="DU145" i="33" s="1"/>
  <c r="DX145" i="33" s="1"/>
  <c r="EA145" i="33" s="1"/>
  <c r="ED145" i="33" s="1"/>
  <c r="EG145" i="33" s="1"/>
  <c r="EJ145" i="33" s="1"/>
  <c r="EM145" i="33" s="1"/>
  <c r="EP145" i="33" s="1"/>
  <c r="ES145" i="33" s="1"/>
  <c r="EV145" i="33" s="1"/>
  <c r="EY145" i="33" s="1"/>
  <c r="DC144" i="33"/>
  <c r="DF144" i="33" s="1"/>
  <c r="DI144" i="33" s="1"/>
  <c r="DL144" i="33" s="1"/>
  <c r="DO144" i="33" s="1"/>
  <c r="DR144" i="33" s="1"/>
  <c r="DU144" i="33" s="1"/>
  <c r="DX144" i="33" s="1"/>
  <c r="EA144" i="33" s="1"/>
  <c r="ED144" i="33" s="1"/>
  <c r="EG144" i="33" s="1"/>
  <c r="EJ144" i="33" s="1"/>
  <c r="EM144" i="33" s="1"/>
  <c r="EP144" i="33" s="1"/>
  <c r="ES144" i="33" s="1"/>
  <c r="EV144" i="33" s="1"/>
  <c r="EY144" i="33" s="1"/>
  <c r="DI143" i="33"/>
  <c r="DL143" i="33" s="1"/>
  <c r="DO143" i="33" s="1"/>
  <c r="DR143" i="33" s="1"/>
  <c r="DU143" i="33" s="1"/>
  <c r="DX143" i="33" s="1"/>
  <c r="EA143" i="33" s="1"/>
  <c r="DC143" i="33"/>
  <c r="DL142" i="33"/>
  <c r="DO142" i="33" s="1"/>
  <c r="DR142" i="33" s="1"/>
  <c r="DU142" i="33" s="1"/>
  <c r="DX142" i="33" s="1"/>
  <c r="EA142" i="33" s="1"/>
  <c r="ED142" i="33" s="1"/>
  <c r="EG142" i="33" s="1"/>
  <c r="EJ142" i="33" s="1"/>
  <c r="EM142" i="33" s="1"/>
  <c r="EP142" i="33" s="1"/>
  <c r="ES142" i="33" s="1"/>
  <c r="EV142" i="33" s="1"/>
  <c r="EY142" i="33" s="1"/>
  <c r="DC141" i="33"/>
  <c r="DF141" i="33" s="1"/>
  <c r="DI141" i="33" s="1"/>
  <c r="DL141" i="33" s="1"/>
  <c r="DO141" i="33" s="1"/>
  <c r="DR141" i="33" s="1"/>
  <c r="DU141" i="33" s="1"/>
  <c r="DX141" i="33" s="1"/>
  <c r="EA141" i="33" s="1"/>
  <c r="ED141" i="33" s="1"/>
  <c r="EG141" i="33" s="1"/>
  <c r="EJ141" i="33" s="1"/>
  <c r="EM141" i="33" s="1"/>
  <c r="EP141" i="33" s="1"/>
  <c r="ES141" i="33" s="1"/>
  <c r="EV141" i="33" s="1"/>
  <c r="EY141" i="33" s="1"/>
  <c r="DC140" i="33"/>
  <c r="DF140" i="33" s="1"/>
  <c r="DI140" i="33" s="1"/>
  <c r="DL140" i="33" s="1"/>
  <c r="DO140" i="33" s="1"/>
  <c r="DR140" i="33" s="1"/>
  <c r="DU140" i="33" s="1"/>
  <c r="DX140" i="33" s="1"/>
  <c r="EA140" i="33" s="1"/>
  <c r="ED140" i="33" s="1"/>
  <c r="EG140" i="33" s="1"/>
  <c r="EJ140" i="33" s="1"/>
  <c r="EM140" i="33" s="1"/>
  <c r="EP140" i="33" s="1"/>
  <c r="ES140" i="33" s="1"/>
  <c r="EV140" i="33" s="1"/>
  <c r="EY140" i="33" s="1"/>
  <c r="DC139" i="33"/>
  <c r="DF139" i="33" s="1"/>
  <c r="DI139" i="33" s="1"/>
  <c r="DL139" i="33" s="1"/>
  <c r="DO139" i="33" s="1"/>
  <c r="DR139" i="33" s="1"/>
  <c r="DU139" i="33" s="1"/>
  <c r="DX139" i="33" s="1"/>
  <c r="EA139" i="33" s="1"/>
  <c r="ED139" i="33" s="1"/>
  <c r="EG139" i="33" s="1"/>
  <c r="EJ139" i="33" s="1"/>
  <c r="EM139" i="33" s="1"/>
  <c r="EP139" i="33" s="1"/>
  <c r="ES139" i="33" s="1"/>
  <c r="EV139" i="33" s="1"/>
  <c r="EY139" i="33" s="1"/>
  <c r="DI138" i="33"/>
  <c r="DL138" i="33" s="1"/>
  <c r="DO138" i="33" s="1"/>
  <c r="DR138" i="33" s="1"/>
  <c r="DU138" i="33" s="1"/>
  <c r="DX138" i="33" s="1"/>
  <c r="EA138" i="33" s="1"/>
  <c r="ED138" i="33" s="1"/>
  <c r="EG138" i="33" s="1"/>
  <c r="EJ138" i="33" s="1"/>
  <c r="EM138" i="33" s="1"/>
  <c r="EP138" i="33" s="1"/>
  <c r="ES138" i="33" s="1"/>
  <c r="EV138" i="33" s="1"/>
  <c r="EY138" i="33" s="1"/>
  <c r="DC138" i="33"/>
  <c r="DC136" i="33"/>
  <c r="DF136" i="33" s="1"/>
  <c r="DI136" i="33" s="1"/>
  <c r="DL136" i="33" s="1"/>
  <c r="DO136" i="33" s="1"/>
  <c r="DR136" i="33" s="1"/>
  <c r="DU136" i="33" s="1"/>
  <c r="DX136" i="33" s="1"/>
  <c r="EA136" i="33" s="1"/>
  <c r="ED136" i="33" s="1"/>
  <c r="EG136" i="33" s="1"/>
  <c r="EJ136" i="33" s="1"/>
  <c r="EM136" i="33" s="1"/>
  <c r="EP136" i="33" s="1"/>
  <c r="ES136" i="33" s="1"/>
  <c r="EV136" i="33" s="1"/>
  <c r="EY136" i="33" s="1"/>
  <c r="DC135" i="33"/>
  <c r="BS135" i="33"/>
  <c r="BN135" i="33"/>
  <c r="BN153" i="33" s="1"/>
  <c r="BG135" i="33"/>
  <c r="H135" i="33"/>
  <c r="K135" i="33" s="1"/>
  <c r="N135" i="33" s="1"/>
  <c r="Q135" i="33" s="1"/>
  <c r="T135" i="33" s="1"/>
  <c r="EF134" i="33"/>
  <c r="EE134" i="33"/>
  <c r="EC134" i="33"/>
  <c r="EB134" i="33"/>
  <c r="DZ134" i="33"/>
  <c r="DY134" i="33"/>
  <c r="DW134" i="33"/>
  <c r="DV134" i="33"/>
  <c r="DT134" i="33"/>
  <c r="DS134" i="33"/>
  <c r="DQ134" i="33"/>
  <c r="DP134" i="33"/>
  <c r="DN134" i="33"/>
  <c r="DM134" i="33"/>
  <c r="DK134" i="33"/>
  <c r="DJ134" i="33"/>
  <c r="DH134" i="33"/>
  <c r="DG134" i="33"/>
  <c r="DE134" i="33"/>
  <c r="DD134" i="33"/>
  <c r="DB134" i="33"/>
  <c r="DA134" i="33"/>
  <c r="CY134" i="33"/>
  <c r="CX134" i="33"/>
  <c r="CW134" i="33"/>
  <c r="CN134" i="33"/>
  <c r="CZ133" i="33"/>
  <c r="DC133" i="33" s="1"/>
  <c r="DF133" i="33" s="1"/>
  <c r="DI133" i="33" s="1"/>
  <c r="DL133" i="33" s="1"/>
  <c r="DL134" i="33" s="1"/>
  <c r="DO132" i="33"/>
  <c r="DR132" i="33" s="1"/>
  <c r="DU132" i="33" s="1"/>
  <c r="DX132" i="33" s="1"/>
  <c r="EA132" i="33" s="1"/>
  <c r="ED132" i="33" s="1"/>
  <c r="EG132" i="33" s="1"/>
  <c r="EJ132" i="33" s="1"/>
  <c r="CZ132" i="33"/>
  <c r="DV131" i="33"/>
  <c r="DT131" i="33"/>
  <c r="DS131" i="33"/>
  <c r="DQ131" i="33"/>
  <c r="DP131" i="33"/>
  <c r="DN131" i="33"/>
  <c r="DM131" i="33"/>
  <c r="DJ131" i="33"/>
  <c r="DH131" i="33"/>
  <c r="DG131" i="33"/>
  <c r="DE131" i="33"/>
  <c r="DD131" i="33"/>
  <c r="DB131" i="33"/>
  <c r="DA131" i="33"/>
  <c r="CY131" i="33"/>
  <c r="CX131" i="33"/>
  <c r="CV131" i="33"/>
  <c r="CU131" i="33"/>
  <c r="CR131" i="33"/>
  <c r="CP131" i="33"/>
  <c r="CO131" i="33"/>
  <c r="CM131" i="33"/>
  <c r="CL131" i="33"/>
  <c r="CJ131" i="33"/>
  <c r="CI131" i="33"/>
  <c r="CG131" i="33"/>
  <c r="CF131" i="33"/>
  <c r="BZ131" i="33"/>
  <c r="BX131" i="33"/>
  <c r="BW131" i="33"/>
  <c r="BU131" i="33"/>
  <c r="BT131" i="33"/>
  <c r="BR131" i="33"/>
  <c r="BQ131" i="33"/>
  <c r="BO131" i="33"/>
  <c r="BN131" i="33"/>
  <c r="BL131" i="33"/>
  <c r="BK131" i="33"/>
  <c r="BI131" i="33"/>
  <c r="BH131" i="33"/>
  <c r="BF131" i="33"/>
  <c r="BE131" i="33"/>
  <c r="BC131" i="33"/>
  <c r="BB131" i="33"/>
  <c r="AZ131" i="33"/>
  <c r="AY131" i="33"/>
  <c r="AW131" i="33"/>
  <c r="AV131" i="33"/>
  <c r="AT131" i="33"/>
  <c r="AS131" i="33"/>
  <c r="AQ131" i="33"/>
  <c r="AP131" i="33"/>
  <c r="AN131" i="33"/>
  <c r="AM131" i="33"/>
  <c r="AK131" i="33"/>
  <c r="AJ131" i="33"/>
  <c r="AH131" i="33"/>
  <c r="AG131" i="33"/>
  <c r="AE131" i="33"/>
  <c r="AD131" i="33"/>
  <c r="AB131" i="33"/>
  <c r="AA131" i="33"/>
  <c r="Y131" i="33"/>
  <c r="X131" i="33"/>
  <c r="V131" i="33"/>
  <c r="U131" i="33"/>
  <c r="S131" i="33"/>
  <c r="R131" i="33"/>
  <c r="P131" i="33"/>
  <c r="O131" i="33"/>
  <c r="M131" i="33"/>
  <c r="L131" i="33"/>
  <c r="J131" i="33"/>
  <c r="I131" i="33"/>
  <c r="G131" i="33"/>
  <c r="F131" i="33"/>
  <c r="DK128" i="33"/>
  <c r="CN128" i="33"/>
  <c r="CQ128" i="33" s="1"/>
  <c r="CT128" i="33" s="1"/>
  <c r="CW128" i="33" s="1"/>
  <c r="CZ128" i="33" s="1"/>
  <c r="DC128" i="33" s="1"/>
  <c r="DF128" i="33" s="1"/>
  <c r="CD128" i="33"/>
  <c r="CC128" i="33"/>
  <c r="CB128" i="33"/>
  <c r="DW131" i="33"/>
  <c r="DK127" i="33"/>
  <c r="DI127" i="33"/>
  <c r="CN127" i="33"/>
  <c r="CQ127" i="33" s="1"/>
  <c r="CT127" i="33" s="1"/>
  <c r="CW127" i="33" s="1"/>
  <c r="CZ127" i="33" s="1"/>
  <c r="DC127" i="33" s="1"/>
  <c r="CD127" i="33"/>
  <c r="CC127" i="33"/>
  <c r="CB127" i="33"/>
  <c r="CS126" i="33"/>
  <c r="CS131" i="33" s="1"/>
  <c r="CN126" i="33"/>
  <c r="CQ126" i="33" s="1"/>
  <c r="CD126" i="33"/>
  <c r="CC126" i="33"/>
  <c r="BY126" i="33"/>
  <c r="CB126" i="33" s="1"/>
  <c r="CN125" i="33"/>
  <c r="CQ125" i="33" s="1"/>
  <c r="CT125" i="33" s="1"/>
  <c r="CW125" i="33" s="1"/>
  <c r="CZ125" i="33" s="1"/>
  <c r="DC125" i="33" s="1"/>
  <c r="DF125" i="33" s="1"/>
  <c r="DI125" i="33" s="1"/>
  <c r="DL125" i="33" s="1"/>
  <c r="DO125" i="33" s="1"/>
  <c r="DR125" i="33" s="1"/>
  <c r="DU125" i="33" s="1"/>
  <c r="DX125" i="33" s="1"/>
  <c r="EA125" i="33" s="1"/>
  <c r="ED125" i="33" s="1"/>
  <c r="EG125" i="33" s="1"/>
  <c r="EJ125" i="33" s="1"/>
  <c r="EM125" i="33" s="1"/>
  <c r="EP125" i="33" s="1"/>
  <c r="ES125" i="33" s="1"/>
  <c r="EV125" i="33" s="1"/>
  <c r="EY125" i="33" s="1"/>
  <c r="CC125" i="33"/>
  <c r="BY125" i="33"/>
  <c r="CB125" i="33" s="1"/>
  <c r="CA124" i="33"/>
  <c r="CA131" i="33" s="1"/>
  <c r="AL124" i="33"/>
  <c r="AO124" i="33" s="1"/>
  <c r="AR124" i="33" s="1"/>
  <c r="AU124" i="33" s="1"/>
  <c r="AX124" i="33" s="1"/>
  <c r="BA124" i="33" s="1"/>
  <c r="BD124" i="33" s="1"/>
  <c r="BG124" i="33" s="1"/>
  <c r="BJ124" i="33" s="1"/>
  <c r="BM124" i="33" s="1"/>
  <c r="BP124" i="33" s="1"/>
  <c r="BS124" i="33" s="1"/>
  <c r="BV124" i="33" s="1"/>
  <c r="BY124" i="33" s="1"/>
  <c r="W123" i="33"/>
  <c r="Z123" i="33" s="1"/>
  <c r="AC123" i="33" s="1"/>
  <c r="AF123" i="33" s="1"/>
  <c r="AI123" i="33" s="1"/>
  <c r="AL123" i="33" s="1"/>
  <c r="AO123" i="33" s="1"/>
  <c r="AR123" i="33" s="1"/>
  <c r="AU123" i="33" s="1"/>
  <c r="AX123" i="33" s="1"/>
  <c r="BA123" i="33" s="1"/>
  <c r="BD123" i="33" s="1"/>
  <c r="BG123" i="33" s="1"/>
  <c r="BJ123" i="33" s="1"/>
  <c r="BM123" i="33" s="1"/>
  <c r="BP123" i="33" s="1"/>
  <c r="BS123" i="33" s="1"/>
  <c r="BV123" i="33" s="1"/>
  <c r="BY123" i="33" s="1"/>
  <c r="CB123" i="33" s="1"/>
  <c r="CE123" i="33" s="1"/>
  <c r="CH123" i="33" s="1"/>
  <c r="CK123" i="33" s="1"/>
  <c r="CN123" i="33" s="1"/>
  <c r="CQ123" i="33" s="1"/>
  <c r="CT123" i="33" s="1"/>
  <c r="CW123" i="33" s="1"/>
  <c r="CZ123" i="33" s="1"/>
  <c r="DC123" i="33" s="1"/>
  <c r="DF123" i="33" s="1"/>
  <c r="DI123" i="33" s="1"/>
  <c r="DL123" i="33" s="1"/>
  <c r="DO123" i="33" s="1"/>
  <c r="DR123" i="33" s="1"/>
  <c r="DU123" i="33" s="1"/>
  <c r="DX123" i="33" s="1"/>
  <c r="EA123" i="33" s="1"/>
  <c r="ED123" i="33" s="1"/>
  <c r="EG123" i="33" s="1"/>
  <c r="EJ123" i="33" s="1"/>
  <c r="EM123" i="33" s="1"/>
  <c r="EP123" i="33" s="1"/>
  <c r="ES123" i="33" s="1"/>
  <c r="EV123" i="33" s="1"/>
  <c r="EY123" i="33" s="1"/>
  <c r="H123" i="33"/>
  <c r="K123" i="33" s="1"/>
  <c r="N123" i="33" s="1"/>
  <c r="Q123" i="33" s="1"/>
  <c r="H122" i="33"/>
  <c r="K122" i="33" s="1"/>
  <c r="N122" i="33" s="1"/>
  <c r="Q122" i="33" s="1"/>
  <c r="T122" i="33" s="1"/>
  <c r="W122" i="33" s="1"/>
  <c r="Z122" i="33" s="1"/>
  <c r="AC122" i="33" s="1"/>
  <c r="AF122" i="33" s="1"/>
  <c r="AI122" i="33" s="1"/>
  <c r="AL122" i="33" s="1"/>
  <c r="AO122" i="33" s="1"/>
  <c r="AR122" i="33" s="1"/>
  <c r="AU122" i="33" s="1"/>
  <c r="AX122" i="33" s="1"/>
  <c r="BA122" i="33" s="1"/>
  <c r="BD122" i="33" s="1"/>
  <c r="BG121" i="33"/>
  <c r="BJ121" i="33" s="1"/>
  <c r="BM121" i="33" s="1"/>
  <c r="BP121" i="33" s="1"/>
  <c r="BS121" i="33" s="1"/>
  <c r="BV121" i="33" s="1"/>
  <c r="BY121" i="33" s="1"/>
  <c r="CB121" i="33" s="1"/>
  <c r="CE121" i="33" s="1"/>
  <c r="CH121" i="33" s="1"/>
  <c r="CK121" i="33" s="1"/>
  <c r="CN121" i="33" s="1"/>
  <c r="CQ121" i="33" s="1"/>
  <c r="CT121" i="33" s="1"/>
  <c r="CW121" i="33" s="1"/>
  <c r="CZ121" i="33" s="1"/>
  <c r="DC121" i="33" s="1"/>
  <c r="DF121" i="33" s="1"/>
  <c r="DI121" i="33" s="1"/>
  <c r="DL121" i="33" s="1"/>
  <c r="DO121" i="33" s="1"/>
  <c r="DR121" i="33" s="1"/>
  <c r="DU121" i="33" s="1"/>
  <c r="DX121" i="33" s="1"/>
  <c r="EA121" i="33" s="1"/>
  <c r="ED121" i="33" s="1"/>
  <c r="EG121" i="33" s="1"/>
  <c r="EJ121" i="33" s="1"/>
  <c r="EM121" i="33" s="1"/>
  <c r="EP121" i="33" s="1"/>
  <c r="ES121" i="33" s="1"/>
  <c r="EV121" i="33" s="1"/>
  <c r="EY121" i="33" s="1"/>
  <c r="H121" i="33"/>
  <c r="K121" i="33" s="1"/>
  <c r="N121" i="33" s="1"/>
  <c r="Q121" i="33" s="1"/>
  <c r="T121" i="33" s="1"/>
  <c r="W121" i="33" s="1"/>
  <c r="Z121" i="33" s="1"/>
  <c r="AC121" i="33" s="1"/>
  <c r="AF121" i="33" s="1"/>
  <c r="AI121" i="33" s="1"/>
  <c r="AL121" i="33" s="1"/>
  <c r="AO121" i="33" s="1"/>
  <c r="AR121" i="33" s="1"/>
  <c r="AU121" i="33" s="1"/>
  <c r="AX121" i="33" s="1"/>
  <c r="BA121" i="33" s="1"/>
  <c r="BG120" i="33"/>
  <c r="BJ120" i="33" s="1"/>
  <c r="BM120" i="33" s="1"/>
  <c r="BP120" i="33" s="1"/>
  <c r="H120" i="33"/>
  <c r="K120" i="33" s="1"/>
  <c r="EF119" i="33"/>
  <c r="EC119" i="33"/>
  <c r="EB119" i="33"/>
  <c r="DZ119" i="33"/>
  <c r="DY119" i="33"/>
  <c r="DQ119" i="33"/>
  <c r="DP119" i="33"/>
  <c r="DN119" i="33"/>
  <c r="DM119" i="33"/>
  <c r="DJ119" i="33"/>
  <c r="DH119" i="33"/>
  <c r="DG119" i="33"/>
  <c r="DE119" i="33"/>
  <c r="DD119" i="33"/>
  <c r="DB119" i="33"/>
  <c r="DA119" i="33"/>
  <c r="CY119" i="33"/>
  <c r="CX119" i="33"/>
  <c r="CV119" i="33"/>
  <c r="CU119" i="33"/>
  <c r="CS119" i="33"/>
  <c r="CR119" i="33"/>
  <c r="CP119" i="33"/>
  <c r="CO119" i="33"/>
  <c r="CM119" i="33"/>
  <c r="CL119" i="33"/>
  <c r="CJ119" i="33"/>
  <c r="CI119" i="33"/>
  <c r="CG119" i="33"/>
  <c r="CF119" i="33"/>
  <c r="CD119" i="33"/>
  <c r="CC119" i="33"/>
  <c r="CA119" i="33"/>
  <c r="BZ119" i="33"/>
  <c r="BX119" i="33"/>
  <c r="BW119" i="33"/>
  <c r="BU119" i="33"/>
  <c r="BT119" i="33"/>
  <c r="BQ119" i="33"/>
  <c r="BP119" i="33"/>
  <c r="BL119" i="33"/>
  <c r="BK119" i="33"/>
  <c r="BI119" i="33"/>
  <c r="BH119" i="33"/>
  <c r="BF119" i="33"/>
  <c r="BE119" i="33"/>
  <c r="BB119" i="33"/>
  <c r="AY119" i="33"/>
  <c r="AT119" i="33"/>
  <c r="AS119" i="33"/>
  <c r="AQ119" i="33"/>
  <c r="AP119" i="33"/>
  <c r="AN119" i="33"/>
  <c r="AM119" i="33"/>
  <c r="AK119" i="33"/>
  <c r="AJ119" i="33"/>
  <c r="AH119" i="33"/>
  <c r="AG119" i="33"/>
  <c r="AE119" i="33"/>
  <c r="AD119" i="33"/>
  <c r="AB119" i="33"/>
  <c r="AA119" i="33"/>
  <c r="Y119" i="33"/>
  <c r="X119" i="33"/>
  <c r="V119" i="33"/>
  <c r="U119" i="33"/>
  <c r="S119" i="33"/>
  <c r="R119" i="33"/>
  <c r="P119" i="33"/>
  <c r="O119" i="33"/>
  <c r="M119" i="33"/>
  <c r="L119" i="33"/>
  <c r="J119" i="33"/>
  <c r="I119" i="33"/>
  <c r="G119" i="33"/>
  <c r="F119" i="33"/>
  <c r="DO118" i="33"/>
  <c r="DR118" i="33" s="1"/>
  <c r="DU118" i="33" s="1"/>
  <c r="DX118" i="33" s="1"/>
  <c r="EA118" i="33" s="1"/>
  <c r="ED118" i="33" s="1"/>
  <c r="EG118" i="33" s="1"/>
  <c r="EJ118" i="33" s="1"/>
  <c r="EM118" i="33" s="1"/>
  <c r="EP118" i="33" s="1"/>
  <c r="ES118" i="33" s="1"/>
  <c r="DK117" i="33"/>
  <c r="DK119" i="33" s="1"/>
  <c r="DI117" i="33"/>
  <c r="CB117" i="33"/>
  <c r="CE117" i="33" s="1"/>
  <c r="CH117" i="33" s="1"/>
  <c r="CK117" i="33" s="1"/>
  <c r="CN117" i="33" s="1"/>
  <c r="CQ117" i="33" s="1"/>
  <c r="CT117" i="33" s="1"/>
  <c r="CW117" i="33" s="1"/>
  <c r="CZ117" i="33" s="1"/>
  <c r="DC117" i="33" s="1"/>
  <c r="BR117" i="33"/>
  <c r="BR119" i="33" s="1"/>
  <c r="BO117" i="33"/>
  <c r="BO119" i="33" s="1"/>
  <c r="AW117" i="33"/>
  <c r="AV117" i="33"/>
  <c r="AV119" i="33" s="1"/>
  <c r="AR117" i="33"/>
  <c r="AU117" i="33" s="1"/>
  <c r="DV119" i="33"/>
  <c r="DS119" i="33"/>
  <c r="DR116" i="33"/>
  <c r="DU116" i="33" s="1"/>
  <c r="DX116" i="33" s="1"/>
  <c r="EA116" i="33" s="1"/>
  <c r="ED116" i="33" s="1"/>
  <c r="EG116" i="33" s="1"/>
  <c r="EJ116" i="33" s="1"/>
  <c r="EM116" i="33" s="1"/>
  <c r="EP116" i="33" s="1"/>
  <c r="ES116" i="33" s="1"/>
  <c r="EV116" i="33" s="1"/>
  <c r="EY116" i="33" s="1"/>
  <c r="CN116" i="33"/>
  <c r="CQ116" i="33" s="1"/>
  <c r="CT116" i="33" s="1"/>
  <c r="CW116" i="33" s="1"/>
  <c r="CZ116" i="33" s="1"/>
  <c r="DC116" i="33" s="1"/>
  <c r="DF116" i="33" s="1"/>
  <c r="DI116" i="33" s="1"/>
  <c r="DL116" i="33" s="1"/>
  <c r="BS116" i="33"/>
  <c r="BV116" i="33" s="1"/>
  <c r="BY116" i="33" s="1"/>
  <c r="CB116" i="33" s="1"/>
  <c r="CE116" i="33" s="1"/>
  <c r="CH116" i="33" s="1"/>
  <c r="BG116" i="33"/>
  <c r="BJ116" i="33" s="1"/>
  <c r="BM116" i="33" s="1"/>
  <c r="BC116" i="33"/>
  <c r="BC119" i="33" s="1"/>
  <c r="AZ116" i="33"/>
  <c r="AZ119" i="33" s="1"/>
  <c r="AW116" i="33"/>
  <c r="H116" i="33"/>
  <c r="K116" i="33" s="1"/>
  <c r="N116" i="33" s="1"/>
  <c r="Q116" i="33" s="1"/>
  <c r="T116" i="33" s="1"/>
  <c r="W116" i="33" s="1"/>
  <c r="Z116" i="33" s="1"/>
  <c r="AC116" i="33" s="1"/>
  <c r="AF116" i="33" s="1"/>
  <c r="AI116" i="33" s="1"/>
  <c r="AL116" i="33" s="1"/>
  <c r="AO116" i="33" s="1"/>
  <c r="AR116" i="33" s="1"/>
  <c r="AU116" i="33" s="1"/>
  <c r="BS115" i="33"/>
  <c r="BV115" i="33" s="1"/>
  <c r="BY115" i="33" s="1"/>
  <c r="BG115" i="33"/>
  <c r="BJ115" i="33" s="1"/>
  <c r="BM115" i="33" s="1"/>
  <c r="H115" i="33"/>
  <c r="K115" i="33" s="1"/>
  <c r="N115" i="33" s="1"/>
  <c r="Q115" i="33" s="1"/>
  <c r="T115" i="33" s="1"/>
  <c r="W115" i="33" s="1"/>
  <c r="Z115" i="33" s="1"/>
  <c r="AC115" i="33" s="1"/>
  <c r="AF115" i="33" s="1"/>
  <c r="AI115" i="33" s="1"/>
  <c r="AL115" i="33" s="1"/>
  <c r="AO115" i="33" s="1"/>
  <c r="AR115" i="33" s="1"/>
  <c r="AU115" i="33" s="1"/>
  <c r="AX115" i="33" s="1"/>
  <c r="BA115" i="33" s="1"/>
  <c r="BS114" i="33"/>
  <c r="BV114" i="33" s="1"/>
  <c r="BY114" i="33" s="1"/>
  <c r="CB114" i="33" s="1"/>
  <c r="CE114" i="33" s="1"/>
  <c r="CH114" i="33" s="1"/>
  <c r="CK114" i="33" s="1"/>
  <c r="CN114" i="33" s="1"/>
  <c r="CQ114" i="33" s="1"/>
  <c r="CT114" i="33" s="1"/>
  <c r="CW114" i="33" s="1"/>
  <c r="CZ114" i="33" s="1"/>
  <c r="DC114" i="33" s="1"/>
  <c r="DF114" i="33" s="1"/>
  <c r="DI114" i="33" s="1"/>
  <c r="DL114" i="33" s="1"/>
  <c r="DO114" i="33" s="1"/>
  <c r="DR114" i="33" s="1"/>
  <c r="DU114" i="33" s="1"/>
  <c r="DX114" i="33" s="1"/>
  <c r="EA114" i="33" s="1"/>
  <c r="ED114" i="33" s="1"/>
  <c r="EG114" i="33" s="1"/>
  <c r="EJ114" i="33" s="1"/>
  <c r="EM114" i="33" s="1"/>
  <c r="EP114" i="33" s="1"/>
  <c r="ES114" i="33" s="1"/>
  <c r="EV114" i="33" s="1"/>
  <c r="EY114" i="33" s="1"/>
  <c r="BG114" i="33"/>
  <c r="BJ114" i="33" s="1"/>
  <c r="BM114" i="33" s="1"/>
  <c r="H114" i="33"/>
  <c r="K114" i="33" s="1"/>
  <c r="N114" i="33" s="1"/>
  <c r="Q114" i="33" s="1"/>
  <c r="T114" i="33" s="1"/>
  <c r="W114" i="33" s="1"/>
  <c r="Z114" i="33" s="1"/>
  <c r="AC114" i="33" s="1"/>
  <c r="AF114" i="33" s="1"/>
  <c r="AI114" i="33" s="1"/>
  <c r="AL114" i="33" s="1"/>
  <c r="AO114" i="33" s="1"/>
  <c r="AR114" i="33" s="1"/>
  <c r="AU114" i="33" s="1"/>
  <c r="AX114" i="33" s="1"/>
  <c r="BA114" i="33" s="1"/>
  <c r="BS113" i="33"/>
  <c r="BV113" i="33" s="1"/>
  <c r="BY113" i="33" s="1"/>
  <c r="CB113" i="33" s="1"/>
  <c r="CE113" i="33" s="1"/>
  <c r="CH113" i="33" s="1"/>
  <c r="CK113" i="33" s="1"/>
  <c r="CN113" i="33" s="1"/>
  <c r="CQ113" i="33" s="1"/>
  <c r="CT113" i="33" s="1"/>
  <c r="CW113" i="33" s="1"/>
  <c r="CZ113" i="33" s="1"/>
  <c r="DC113" i="33" s="1"/>
  <c r="DF113" i="33" s="1"/>
  <c r="DI113" i="33" s="1"/>
  <c r="DL113" i="33" s="1"/>
  <c r="DO113" i="33" s="1"/>
  <c r="DR113" i="33" s="1"/>
  <c r="BG113" i="33"/>
  <c r="BJ113" i="33" s="1"/>
  <c r="BM113" i="33" s="1"/>
  <c r="H113" i="33"/>
  <c r="K113" i="33" s="1"/>
  <c r="N113" i="33" s="1"/>
  <c r="Q113" i="33" s="1"/>
  <c r="T113" i="33" s="1"/>
  <c r="W113" i="33" s="1"/>
  <c r="Z113" i="33" s="1"/>
  <c r="AC113" i="33" s="1"/>
  <c r="AF113" i="33" s="1"/>
  <c r="AI113" i="33" s="1"/>
  <c r="AL113" i="33" s="1"/>
  <c r="AO113" i="33" s="1"/>
  <c r="AR113" i="33" s="1"/>
  <c r="AU113" i="33" s="1"/>
  <c r="AX113" i="33" s="1"/>
  <c r="BA113" i="33" s="1"/>
  <c r="BS112" i="33"/>
  <c r="BV112" i="33" s="1"/>
  <c r="BY112" i="33" s="1"/>
  <c r="CB112" i="33" s="1"/>
  <c r="CE112" i="33" s="1"/>
  <c r="CH112" i="33" s="1"/>
  <c r="CK112" i="33" s="1"/>
  <c r="CN112" i="33" s="1"/>
  <c r="CQ112" i="33" s="1"/>
  <c r="CT112" i="33" s="1"/>
  <c r="BN112" i="33"/>
  <c r="BN119" i="33" s="1"/>
  <c r="BG112" i="33"/>
  <c r="BJ112" i="33" s="1"/>
  <c r="H112" i="33"/>
  <c r="K112" i="33" s="1"/>
  <c r="N112" i="33" s="1"/>
  <c r="Q112" i="33" s="1"/>
  <c r="EF105" i="33"/>
  <c r="EE105" i="33"/>
  <c r="EB105" i="33"/>
  <c r="DZ105" i="33"/>
  <c r="DW105" i="33"/>
  <c r="DV105" i="33"/>
  <c r="DT105" i="33"/>
  <c r="DS105" i="33"/>
  <c r="DQ105" i="33"/>
  <c r="DP105" i="33"/>
  <c r="DN105" i="33"/>
  <c r="DM105" i="33"/>
  <c r="DK105" i="33"/>
  <c r="DJ105" i="33"/>
  <c r="DH105" i="33"/>
  <c r="DG105" i="33"/>
  <c r="DE105" i="33"/>
  <c r="DD105" i="33"/>
  <c r="DB105" i="33"/>
  <c r="DA105" i="33"/>
  <c r="CY105" i="33"/>
  <c r="CX105" i="33"/>
  <c r="DP104" i="33"/>
  <c r="DK104" i="33"/>
  <c r="DJ104" i="33"/>
  <c r="DG104" i="33"/>
  <c r="DE104" i="33"/>
  <c r="DD104" i="33"/>
  <c r="DB104" i="33"/>
  <c r="DA104" i="33"/>
  <c r="CZ104" i="33"/>
  <c r="CY104" i="33"/>
  <c r="CX104" i="33"/>
  <c r="CW104" i="33"/>
  <c r="CV104" i="33"/>
  <c r="CU104" i="33"/>
  <c r="CR104" i="33"/>
  <c r="CP104" i="33"/>
  <c r="CO104" i="33"/>
  <c r="CM104" i="33"/>
  <c r="CL104" i="33"/>
  <c r="CJ104" i="33"/>
  <c r="CI104" i="33"/>
  <c r="CF104" i="33"/>
  <c r="CC104" i="33"/>
  <c r="BZ104" i="33"/>
  <c r="BW104" i="33"/>
  <c r="BU104" i="33"/>
  <c r="BT104" i="33"/>
  <c r="BR104" i="33"/>
  <c r="BQ104" i="33"/>
  <c r="BO104" i="33"/>
  <c r="BN104" i="33"/>
  <c r="BL104" i="33"/>
  <c r="BK104" i="33"/>
  <c r="BI104" i="33"/>
  <c r="BH104" i="33"/>
  <c r="BF104" i="33"/>
  <c r="BE104" i="33"/>
  <c r="BD104" i="33"/>
  <c r="BC104" i="33"/>
  <c r="BB104" i="33"/>
  <c r="AZ104" i="33"/>
  <c r="AY104" i="33"/>
  <c r="AW104" i="33"/>
  <c r="AV104" i="33"/>
  <c r="AT104" i="33"/>
  <c r="AS104" i="33"/>
  <c r="AQ104" i="33"/>
  <c r="AP104" i="33"/>
  <c r="AN104" i="33"/>
  <c r="AM104" i="33"/>
  <c r="AK104" i="33"/>
  <c r="AJ104" i="33"/>
  <c r="AH104" i="33"/>
  <c r="AG104" i="33"/>
  <c r="AE104" i="33"/>
  <c r="AD104" i="33"/>
  <c r="AB104" i="33"/>
  <c r="AA104" i="33"/>
  <c r="Y104" i="33"/>
  <c r="X104" i="33"/>
  <c r="V104" i="33"/>
  <c r="U104" i="33"/>
  <c r="S104" i="33"/>
  <c r="R104" i="33"/>
  <c r="P104" i="33"/>
  <c r="O104" i="33"/>
  <c r="M104" i="33"/>
  <c r="L104" i="33"/>
  <c r="J104" i="33"/>
  <c r="I104" i="33"/>
  <c r="G104" i="33"/>
  <c r="F104" i="33"/>
  <c r="BG103" i="33"/>
  <c r="BJ103" i="33" s="1"/>
  <c r="BM103" i="33" s="1"/>
  <c r="BP103" i="33" s="1"/>
  <c r="BS103" i="33" s="1"/>
  <c r="BV103" i="33" s="1"/>
  <c r="BY103" i="33" s="1"/>
  <c r="CB103" i="33" s="1"/>
  <c r="CE103" i="33" s="1"/>
  <c r="CH103" i="33" s="1"/>
  <c r="CK103" i="33" s="1"/>
  <c r="CN103" i="33" s="1"/>
  <c r="CQ103" i="33" s="1"/>
  <c r="CT103" i="33" s="1"/>
  <c r="CW103" i="33" s="1"/>
  <c r="CZ103" i="33" s="1"/>
  <c r="DC103" i="33" s="1"/>
  <c r="DF103" i="33" s="1"/>
  <c r="DI103" i="33" s="1"/>
  <c r="DL103" i="33" s="1"/>
  <c r="DO103" i="33" s="1"/>
  <c r="DR103" i="33" s="1"/>
  <c r="DU103" i="33" s="1"/>
  <c r="DX103" i="33" s="1"/>
  <c r="EA103" i="33" s="1"/>
  <c r="ED103" i="33" s="1"/>
  <c r="EG103" i="33" s="1"/>
  <c r="EJ103" i="33" s="1"/>
  <c r="EM103" i="33" s="1"/>
  <c r="EP103" i="33" s="1"/>
  <c r="ES103" i="33" s="1"/>
  <c r="EV103" i="33" s="1"/>
  <c r="EY103" i="33" s="1"/>
  <c r="H103" i="33"/>
  <c r="K103" i="33" s="1"/>
  <c r="N103" i="33" s="1"/>
  <c r="Q103" i="33" s="1"/>
  <c r="T103" i="33" s="1"/>
  <c r="W103" i="33" s="1"/>
  <c r="Z103" i="33" s="1"/>
  <c r="AC103" i="33" s="1"/>
  <c r="AF103" i="33" s="1"/>
  <c r="AI103" i="33" s="1"/>
  <c r="AL103" i="33" s="1"/>
  <c r="AO103" i="33" s="1"/>
  <c r="AR103" i="33" s="1"/>
  <c r="AU103" i="33" s="1"/>
  <c r="AX103" i="33" s="1"/>
  <c r="BA103" i="33" s="1"/>
  <c r="BG102" i="33"/>
  <c r="BJ102" i="33" s="1"/>
  <c r="BM102" i="33" s="1"/>
  <c r="BP102" i="33" s="1"/>
  <c r="BS102" i="33" s="1"/>
  <c r="BV102" i="33" s="1"/>
  <c r="BY102" i="33" s="1"/>
  <c r="CB102" i="33" s="1"/>
  <c r="CE102" i="33" s="1"/>
  <c r="CH102" i="33" s="1"/>
  <c r="CK102" i="33" s="1"/>
  <c r="CN102" i="33" s="1"/>
  <c r="CQ102" i="33" s="1"/>
  <c r="CT102" i="33" s="1"/>
  <c r="CW102" i="33" s="1"/>
  <c r="CZ102" i="33" s="1"/>
  <c r="DC102" i="33" s="1"/>
  <c r="DF102" i="33" s="1"/>
  <c r="DI102" i="33" s="1"/>
  <c r="DL102" i="33" s="1"/>
  <c r="DO102" i="33" s="1"/>
  <c r="DR102" i="33" s="1"/>
  <c r="DU102" i="33" s="1"/>
  <c r="DX102" i="33" s="1"/>
  <c r="EA102" i="33" s="1"/>
  <c r="AX102" i="33"/>
  <c r="BA102" i="33" s="1"/>
  <c r="BG101" i="33"/>
  <c r="BJ101" i="33" s="1"/>
  <c r="BM101" i="33" s="1"/>
  <c r="BP101" i="33" s="1"/>
  <c r="BS101" i="33" s="1"/>
  <c r="BV101" i="33" s="1"/>
  <c r="BY101" i="33" s="1"/>
  <c r="CB101" i="33" s="1"/>
  <c r="CE101" i="33" s="1"/>
  <c r="CH101" i="33" s="1"/>
  <c r="CK101" i="33" s="1"/>
  <c r="CN101" i="33" s="1"/>
  <c r="CQ101" i="33" s="1"/>
  <c r="CT101" i="33" s="1"/>
  <c r="CW101" i="33" s="1"/>
  <c r="CZ101" i="33" s="1"/>
  <c r="DC101" i="33" s="1"/>
  <c r="DF101" i="33" s="1"/>
  <c r="DI101" i="33" s="1"/>
  <c r="DL101" i="33" s="1"/>
  <c r="DO101" i="33" s="1"/>
  <c r="DR101" i="33" s="1"/>
  <c r="DU101" i="33" s="1"/>
  <c r="DX101" i="33" s="1"/>
  <c r="EA101" i="33" s="1"/>
  <c r="ED101" i="33" s="1"/>
  <c r="AX101" i="33"/>
  <c r="BA101" i="33" s="1"/>
  <c r="DI100" i="33"/>
  <c r="DL100" i="33" s="1"/>
  <c r="DO100" i="33" s="1"/>
  <c r="DR100" i="33" s="1"/>
  <c r="DX100" i="33" s="1"/>
  <c r="EA100" i="33" s="1"/>
  <c r="BG100" i="33"/>
  <c r="BJ100" i="33" s="1"/>
  <c r="BM100" i="33" s="1"/>
  <c r="BP100" i="33" s="1"/>
  <c r="BS100" i="33" s="1"/>
  <c r="BV100" i="33" s="1"/>
  <c r="BY100" i="33" s="1"/>
  <c r="CB100" i="33" s="1"/>
  <c r="CE100" i="33" s="1"/>
  <c r="CH100" i="33" s="1"/>
  <c r="CK100" i="33" s="1"/>
  <c r="CN100" i="33" s="1"/>
  <c r="CQ100" i="33" s="1"/>
  <c r="CT100" i="33" s="1"/>
  <c r="CW100" i="33" s="1"/>
  <c r="CZ100" i="33" s="1"/>
  <c r="DC100" i="33" s="1"/>
  <c r="H100" i="33"/>
  <c r="K100" i="33" s="1"/>
  <c r="N100" i="33" s="1"/>
  <c r="Q100" i="33" s="1"/>
  <c r="T100" i="33" s="1"/>
  <c r="W100" i="33" s="1"/>
  <c r="Z100" i="33" s="1"/>
  <c r="AC100" i="33" s="1"/>
  <c r="AF100" i="33" s="1"/>
  <c r="AI100" i="33" s="1"/>
  <c r="AL100" i="33" s="1"/>
  <c r="AO100" i="33" s="1"/>
  <c r="AR100" i="33" s="1"/>
  <c r="AU100" i="33" s="1"/>
  <c r="AX100" i="33" s="1"/>
  <c r="BA100" i="33" s="1"/>
  <c r="DI99" i="33"/>
  <c r="DL99" i="33" s="1"/>
  <c r="DO99" i="33" s="1"/>
  <c r="DR99" i="33" s="1"/>
  <c r="DU99" i="33" s="1"/>
  <c r="EA99" i="33" s="1"/>
  <c r="BG99" i="33"/>
  <c r="BJ99" i="33" s="1"/>
  <c r="BM99" i="33" s="1"/>
  <c r="BP99" i="33" s="1"/>
  <c r="BS99" i="33" s="1"/>
  <c r="BV99" i="33" s="1"/>
  <c r="BY99" i="33" s="1"/>
  <c r="CB99" i="33" s="1"/>
  <c r="CE99" i="33" s="1"/>
  <c r="CH99" i="33" s="1"/>
  <c r="CK99" i="33" s="1"/>
  <c r="CN99" i="33" s="1"/>
  <c r="CQ99" i="33" s="1"/>
  <c r="CT99" i="33" s="1"/>
  <c r="CW99" i="33" s="1"/>
  <c r="CZ99" i="33" s="1"/>
  <c r="DC99" i="33" s="1"/>
  <c r="H99" i="33"/>
  <c r="K99" i="33" s="1"/>
  <c r="N99" i="33" s="1"/>
  <c r="Q99" i="33" s="1"/>
  <c r="T99" i="33" s="1"/>
  <c r="W99" i="33" s="1"/>
  <c r="Z99" i="33" s="1"/>
  <c r="AC99" i="33" s="1"/>
  <c r="AF99" i="33" s="1"/>
  <c r="AI99" i="33" s="1"/>
  <c r="AL99" i="33" s="1"/>
  <c r="AO99" i="33" s="1"/>
  <c r="AR99" i="33" s="1"/>
  <c r="AU99" i="33" s="1"/>
  <c r="AX99" i="33" s="1"/>
  <c r="BA99" i="33" s="1"/>
  <c r="DI98" i="33"/>
  <c r="DL98" i="33" s="1"/>
  <c r="DO98" i="33" s="1"/>
  <c r="DR98" i="33" s="1"/>
  <c r="DU98" i="33" s="1"/>
  <c r="DX98" i="33" s="1"/>
  <c r="EA98" i="33" s="1"/>
  <c r="BG98" i="33"/>
  <c r="BJ98" i="33" s="1"/>
  <c r="BM98" i="33" s="1"/>
  <c r="BP98" i="33" s="1"/>
  <c r="BS98" i="33" s="1"/>
  <c r="BV98" i="33" s="1"/>
  <c r="BY98" i="33" s="1"/>
  <c r="CB98" i="33" s="1"/>
  <c r="CE98" i="33" s="1"/>
  <c r="CH98" i="33" s="1"/>
  <c r="CK98" i="33" s="1"/>
  <c r="CN98" i="33" s="1"/>
  <c r="CQ98" i="33" s="1"/>
  <c r="CT98" i="33" s="1"/>
  <c r="CW98" i="33" s="1"/>
  <c r="CZ98" i="33" s="1"/>
  <c r="DC98" i="33" s="1"/>
  <c r="BA98" i="33"/>
  <c r="H98" i="33"/>
  <c r="K98" i="33" s="1"/>
  <c r="N98" i="33" s="1"/>
  <c r="Q98" i="33" s="1"/>
  <c r="T98" i="33" s="1"/>
  <c r="W98" i="33" s="1"/>
  <c r="Z98" i="33" s="1"/>
  <c r="AC98" i="33" s="1"/>
  <c r="AF98" i="33" s="1"/>
  <c r="AI98" i="33" s="1"/>
  <c r="AL98" i="33" s="1"/>
  <c r="AO98" i="33" s="1"/>
  <c r="AR98" i="33" s="1"/>
  <c r="AU98" i="33" s="1"/>
  <c r="DR97" i="33"/>
  <c r="DU97" i="33" s="1"/>
  <c r="DX97" i="33" s="1"/>
  <c r="EA97" i="33" s="1"/>
  <c r="BG97" i="33"/>
  <c r="BJ97" i="33" s="1"/>
  <c r="BM97" i="33" s="1"/>
  <c r="BP97" i="33" s="1"/>
  <c r="BS97" i="33" s="1"/>
  <c r="BV97" i="33" s="1"/>
  <c r="BY97" i="33" s="1"/>
  <c r="CB97" i="33" s="1"/>
  <c r="CE97" i="33" s="1"/>
  <c r="CH97" i="33" s="1"/>
  <c r="CK97" i="33" s="1"/>
  <c r="CN97" i="33" s="1"/>
  <c r="CQ97" i="33" s="1"/>
  <c r="CT97" i="33" s="1"/>
  <c r="CW97" i="33" s="1"/>
  <c r="CZ97" i="33" s="1"/>
  <c r="DC97" i="33" s="1"/>
  <c r="DF97" i="33" s="1"/>
  <c r="DI97" i="33" s="1"/>
  <c r="DL97" i="33" s="1"/>
  <c r="BA97" i="33"/>
  <c r="Q97" i="33"/>
  <c r="T97" i="33" s="1"/>
  <c r="W97" i="33" s="1"/>
  <c r="Z97" i="33" s="1"/>
  <c r="AC97" i="33" s="1"/>
  <c r="AF97" i="33" s="1"/>
  <c r="AI97" i="33" s="1"/>
  <c r="AL97" i="33" s="1"/>
  <c r="AO97" i="33" s="1"/>
  <c r="AR97" i="33" s="1"/>
  <c r="AU97" i="33" s="1"/>
  <c r="H97" i="33"/>
  <c r="K97" i="33" s="1"/>
  <c r="DI96" i="33"/>
  <c r="DL96" i="33" s="1"/>
  <c r="DO96" i="33" s="1"/>
  <c r="DR96" i="33" s="1"/>
  <c r="DU96" i="33" s="1"/>
  <c r="DX96" i="33" s="1"/>
  <c r="EA96" i="33" s="1"/>
  <c r="CB96" i="33"/>
  <c r="CE96" i="33" s="1"/>
  <c r="CH96" i="33" s="1"/>
  <c r="CK96" i="33" s="1"/>
  <c r="CN96" i="33" s="1"/>
  <c r="CQ96" i="33" s="1"/>
  <c r="CT96" i="33" s="1"/>
  <c r="CW96" i="33" s="1"/>
  <c r="CZ96" i="33" s="1"/>
  <c r="DC96" i="33" s="1"/>
  <c r="BX96" i="33"/>
  <c r="BG96" i="33"/>
  <c r="BJ96" i="33" s="1"/>
  <c r="BM96" i="33" s="1"/>
  <c r="BP96" i="33" s="1"/>
  <c r="BS96" i="33" s="1"/>
  <c r="BV96" i="33" s="1"/>
  <c r="Q96" i="33"/>
  <c r="T96" i="33" s="1"/>
  <c r="W96" i="33" s="1"/>
  <c r="Z96" i="33" s="1"/>
  <c r="AC96" i="33" s="1"/>
  <c r="AF96" i="33" s="1"/>
  <c r="AI96" i="33" s="1"/>
  <c r="AL96" i="33" s="1"/>
  <c r="AO96" i="33" s="1"/>
  <c r="AR96" i="33" s="1"/>
  <c r="AU96" i="33" s="1"/>
  <c r="AX96" i="33" s="1"/>
  <c r="BA96" i="33" s="1"/>
  <c r="H96" i="33"/>
  <c r="K96" i="33" s="1"/>
  <c r="DR95" i="33"/>
  <c r="DU95" i="33" s="1"/>
  <c r="DX95" i="33" s="1"/>
  <c r="EA95" i="33" s="1"/>
  <c r="CG95" i="33"/>
  <c r="CG104" i="33" s="1"/>
  <c r="CB95" i="33"/>
  <c r="CE95" i="33" s="1"/>
  <c r="BG95" i="33"/>
  <c r="BJ95" i="33" s="1"/>
  <c r="BM95" i="33" s="1"/>
  <c r="BP95" i="33" s="1"/>
  <c r="BS95" i="33" s="1"/>
  <c r="BV95" i="33" s="1"/>
  <c r="H95" i="33"/>
  <c r="K95" i="33" s="1"/>
  <c r="N95" i="33" s="1"/>
  <c r="Q95" i="33" s="1"/>
  <c r="T95" i="33" s="1"/>
  <c r="W95" i="33" s="1"/>
  <c r="Z95" i="33" s="1"/>
  <c r="AC95" i="33" s="1"/>
  <c r="AF95" i="33" s="1"/>
  <c r="AI95" i="33" s="1"/>
  <c r="AL95" i="33" s="1"/>
  <c r="AO95" i="33" s="1"/>
  <c r="AR95" i="33" s="1"/>
  <c r="AU95" i="33" s="1"/>
  <c r="AX95" i="33" s="1"/>
  <c r="BA95" i="33" s="1"/>
  <c r="DR94" i="33"/>
  <c r="DU94" i="33" s="1"/>
  <c r="DX94" i="33" s="1"/>
  <c r="EA94" i="33" s="1"/>
  <c r="CY94" i="33"/>
  <c r="CW94" i="33"/>
  <c r="CA94" i="33"/>
  <c r="CA104" i="33" s="1"/>
  <c r="BX94" i="33"/>
  <c r="BG94" i="33"/>
  <c r="BJ94" i="33" s="1"/>
  <c r="BM94" i="33" s="1"/>
  <c r="BP94" i="33" s="1"/>
  <c r="BS94" i="33" s="1"/>
  <c r="BV94" i="33" s="1"/>
  <c r="Q94" i="33"/>
  <c r="T94" i="33" s="1"/>
  <c r="W94" i="33" s="1"/>
  <c r="Z94" i="33" s="1"/>
  <c r="AC94" i="33" s="1"/>
  <c r="AF94" i="33" s="1"/>
  <c r="AI94" i="33" s="1"/>
  <c r="AL94" i="33" s="1"/>
  <c r="AO94" i="33" s="1"/>
  <c r="AR94" i="33" s="1"/>
  <c r="AU94" i="33" s="1"/>
  <c r="AX94" i="33" s="1"/>
  <c r="BA94" i="33" s="1"/>
  <c r="H94" i="33"/>
  <c r="K94" i="33" s="1"/>
  <c r="DS104" i="33"/>
  <c r="DR93" i="33"/>
  <c r="CY93" i="33"/>
  <c r="BG93" i="33"/>
  <c r="BJ93" i="33" s="1"/>
  <c r="BM93" i="33" s="1"/>
  <c r="BP93" i="33" s="1"/>
  <c r="BS93" i="33" s="1"/>
  <c r="BV93" i="33" s="1"/>
  <c r="BY93" i="33" s="1"/>
  <c r="CB93" i="33" s="1"/>
  <c r="CE93" i="33" s="1"/>
  <c r="CH93" i="33" s="1"/>
  <c r="CK93" i="33" s="1"/>
  <c r="CN93" i="33" s="1"/>
  <c r="CQ93" i="33" s="1"/>
  <c r="CT93" i="33" s="1"/>
  <c r="CW93" i="33" s="1"/>
  <c r="H93" i="33"/>
  <c r="K93" i="33" s="1"/>
  <c r="N93" i="33" s="1"/>
  <c r="Q93" i="33" s="1"/>
  <c r="T93" i="33" s="1"/>
  <c r="W93" i="33" s="1"/>
  <c r="Z93" i="33" s="1"/>
  <c r="AC93" i="33" s="1"/>
  <c r="AF93" i="33" s="1"/>
  <c r="AI93" i="33" s="1"/>
  <c r="AL93" i="33" s="1"/>
  <c r="AO93" i="33" s="1"/>
  <c r="AR93" i="33" s="1"/>
  <c r="AU93" i="33" s="1"/>
  <c r="AX93" i="33" s="1"/>
  <c r="BA93" i="33" s="1"/>
  <c r="DQ104" i="33"/>
  <c r="DL84" i="33"/>
  <c r="DO84" i="33" s="1"/>
  <c r="DR84" i="33" s="1"/>
  <c r="DU84" i="33" s="1"/>
  <c r="CT83" i="33"/>
  <c r="CW83" i="33" s="1"/>
  <c r="CZ83" i="33" s="1"/>
  <c r="DC83" i="33" s="1"/>
  <c r="DF83" i="33" s="1"/>
  <c r="DI83" i="33" s="1"/>
  <c r="DL83" i="33" s="1"/>
  <c r="DO83" i="33" s="1"/>
  <c r="DR83" i="33" s="1"/>
  <c r="DU83" i="33" s="1"/>
  <c r="DX83" i="33" s="1"/>
  <c r="EA83" i="33" s="1"/>
  <c r="CT82" i="33"/>
  <c r="CW82" i="33" s="1"/>
  <c r="CZ82" i="33" s="1"/>
  <c r="DC82" i="33" s="1"/>
  <c r="DF82" i="33" s="1"/>
  <c r="DI82" i="33" s="1"/>
  <c r="DL82" i="33" s="1"/>
  <c r="DO82" i="33" s="1"/>
  <c r="DR82" i="33" s="1"/>
  <c r="DU82" i="33" s="1"/>
  <c r="DX82" i="33" s="1"/>
  <c r="EA82" i="33" s="1"/>
  <c r="ED82" i="33" s="1"/>
  <c r="DM104" i="33"/>
  <c r="DR77" i="33"/>
  <c r="DU77" i="33" s="1"/>
  <c r="DX77" i="33" s="1"/>
  <c r="EA77" i="33" s="1"/>
  <c r="BG77" i="33"/>
  <c r="BJ77" i="33" s="1"/>
  <c r="BM77" i="33" s="1"/>
  <c r="BP77" i="33" s="1"/>
  <c r="BS77" i="33" s="1"/>
  <c r="BV77" i="33" s="1"/>
  <c r="BY77" i="33" s="1"/>
  <c r="CB77" i="33" s="1"/>
  <c r="CE77" i="33" s="1"/>
  <c r="CH77" i="33" s="1"/>
  <c r="CK77" i="33" s="1"/>
  <c r="CN77" i="33" s="1"/>
  <c r="CQ77" i="33" s="1"/>
  <c r="CT77" i="33" s="1"/>
  <c r="CW77" i="33" s="1"/>
  <c r="CZ77" i="33" s="1"/>
  <c r="DC77" i="33" s="1"/>
  <c r="DF77" i="33" s="1"/>
  <c r="DI77" i="33" s="1"/>
  <c r="DL77" i="33" s="1"/>
  <c r="H77" i="33"/>
  <c r="K77" i="33" s="1"/>
  <c r="N77" i="33" s="1"/>
  <c r="Q77" i="33" s="1"/>
  <c r="T77" i="33" s="1"/>
  <c r="W77" i="33" s="1"/>
  <c r="Z77" i="33" s="1"/>
  <c r="AC77" i="33" s="1"/>
  <c r="AF77" i="33" s="1"/>
  <c r="AI77" i="33" s="1"/>
  <c r="AL77" i="33" s="1"/>
  <c r="AO77" i="33" s="1"/>
  <c r="AR77" i="33" s="1"/>
  <c r="AU77" i="33" s="1"/>
  <c r="AX77" i="33" s="1"/>
  <c r="BA77" i="33" s="1"/>
  <c r="DR76" i="33"/>
  <c r="DU76" i="33" s="1"/>
  <c r="DX76" i="33" s="1"/>
  <c r="EA76" i="33" s="1"/>
  <c r="BG76" i="33"/>
  <c r="BJ76" i="33" s="1"/>
  <c r="BM76" i="33" s="1"/>
  <c r="BP76" i="33" s="1"/>
  <c r="BS76" i="33" s="1"/>
  <c r="BV76" i="33" s="1"/>
  <c r="BY76" i="33" s="1"/>
  <c r="CB76" i="33" s="1"/>
  <c r="CE76" i="33" s="1"/>
  <c r="CH76" i="33" s="1"/>
  <c r="CK76" i="33" s="1"/>
  <c r="CN76" i="33" s="1"/>
  <c r="CQ76" i="33" s="1"/>
  <c r="CT76" i="33" s="1"/>
  <c r="CW76" i="33" s="1"/>
  <c r="CZ76" i="33" s="1"/>
  <c r="DC76" i="33" s="1"/>
  <c r="DF76" i="33" s="1"/>
  <c r="DI76" i="33" s="1"/>
  <c r="DL76" i="33" s="1"/>
  <c r="H76" i="33"/>
  <c r="K76" i="33" s="1"/>
  <c r="N76" i="33" s="1"/>
  <c r="Q76" i="33" s="1"/>
  <c r="T76" i="33" s="1"/>
  <c r="W76" i="33" s="1"/>
  <c r="Z76" i="33" s="1"/>
  <c r="AC76" i="33" s="1"/>
  <c r="AF76" i="33" s="1"/>
  <c r="AI76" i="33" s="1"/>
  <c r="AL76" i="33" s="1"/>
  <c r="AO76" i="33" s="1"/>
  <c r="AR76" i="33" s="1"/>
  <c r="AU76" i="33" s="1"/>
  <c r="AX76" i="33" s="1"/>
  <c r="BA76" i="33" s="1"/>
  <c r="BG75" i="33"/>
  <c r="BJ75" i="33" s="1"/>
  <c r="BM75" i="33" s="1"/>
  <c r="BP75" i="33" s="1"/>
  <c r="BS75" i="33" s="1"/>
  <c r="BV75" i="33" s="1"/>
  <c r="BY75" i="33" s="1"/>
  <c r="CB75" i="33" s="1"/>
  <c r="CE75" i="33" s="1"/>
  <c r="CH75" i="33" s="1"/>
  <c r="CK75" i="33" s="1"/>
  <c r="CN75" i="33" s="1"/>
  <c r="CQ75" i="33" s="1"/>
  <c r="CT75" i="33" s="1"/>
  <c r="CW75" i="33" s="1"/>
  <c r="CZ75" i="33" s="1"/>
  <c r="DC75" i="33" s="1"/>
  <c r="DF75" i="33" s="1"/>
  <c r="DI75" i="33" s="1"/>
  <c r="DL75" i="33" s="1"/>
  <c r="DO75" i="33" s="1"/>
  <c r="DR75" i="33" s="1"/>
  <c r="DU75" i="33" s="1"/>
  <c r="DX75" i="33" s="1"/>
  <c r="EA75" i="33" s="1"/>
  <c r="AX75" i="33"/>
  <c r="BA75" i="33" s="1"/>
  <c r="BG74" i="33"/>
  <c r="BJ74" i="33" s="1"/>
  <c r="BM74" i="33" s="1"/>
  <c r="BP74" i="33" s="1"/>
  <c r="BS74" i="33" s="1"/>
  <c r="BV74" i="33" s="1"/>
  <c r="BY74" i="33" s="1"/>
  <c r="CB74" i="33" s="1"/>
  <c r="CE74" i="33" s="1"/>
  <c r="CH74" i="33" s="1"/>
  <c r="CK74" i="33" s="1"/>
  <c r="CN74" i="33" s="1"/>
  <c r="CQ74" i="33" s="1"/>
  <c r="CT74" i="33" s="1"/>
  <c r="CW74" i="33" s="1"/>
  <c r="CZ74" i="33" s="1"/>
  <c r="DC74" i="33" s="1"/>
  <c r="DF74" i="33" s="1"/>
  <c r="DI74" i="33" s="1"/>
  <c r="DL74" i="33" s="1"/>
  <c r="DO74" i="33" s="1"/>
  <c r="DR74" i="33" s="1"/>
  <c r="DU74" i="33" s="1"/>
  <c r="DX74" i="33" s="1"/>
  <c r="EA74" i="33" s="1"/>
  <c r="H74" i="33"/>
  <c r="K74" i="33" s="1"/>
  <c r="N74" i="33" s="1"/>
  <c r="Q74" i="33" s="1"/>
  <c r="T74" i="33" s="1"/>
  <c r="W74" i="33" s="1"/>
  <c r="Z74" i="33" s="1"/>
  <c r="AC74" i="33" s="1"/>
  <c r="AF74" i="33" s="1"/>
  <c r="AI74" i="33" s="1"/>
  <c r="AL74" i="33" s="1"/>
  <c r="AO74" i="33" s="1"/>
  <c r="AR74" i="33" s="1"/>
  <c r="AU74" i="33" s="1"/>
  <c r="AX74" i="33" s="1"/>
  <c r="BA74" i="33" s="1"/>
  <c r="BG73" i="33"/>
  <c r="BJ73" i="33" s="1"/>
  <c r="BM73" i="33" s="1"/>
  <c r="BP73" i="33" s="1"/>
  <c r="BS73" i="33" s="1"/>
  <c r="BV73" i="33" s="1"/>
  <c r="BY73" i="33" s="1"/>
  <c r="CB73" i="33" s="1"/>
  <c r="CE73" i="33" s="1"/>
  <c r="CH73" i="33" s="1"/>
  <c r="CK73" i="33" s="1"/>
  <c r="CN73" i="33" s="1"/>
  <c r="CQ73" i="33" s="1"/>
  <c r="CT73" i="33" s="1"/>
  <c r="CW73" i="33" s="1"/>
  <c r="CZ73" i="33" s="1"/>
  <c r="DC73" i="33" s="1"/>
  <c r="DF73" i="33" s="1"/>
  <c r="DI73" i="33" s="1"/>
  <c r="DL73" i="33" s="1"/>
  <c r="DO73" i="33" s="1"/>
  <c r="DR73" i="33" s="1"/>
  <c r="DU73" i="33" s="1"/>
  <c r="DX73" i="33" s="1"/>
  <c r="EA73" i="33" s="1"/>
  <c r="H73" i="33"/>
  <c r="K73" i="33" s="1"/>
  <c r="N73" i="33" s="1"/>
  <c r="Q73" i="33" s="1"/>
  <c r="T73" i="33" s="1"/>
  <c r="W73" i="33" s="1"/>
  <c r="Z73" i="33" s="1"/>
  <c r="AC73" i="33" s="1"/>
  <c r="AF73" i="33" s="1"/>
  <c r="AI73" i="33" s="1"/>
  <c r="AL73" i="33" s="1"/>
  <c r="AO73" i="33" s="1"/>
  <c r="AR73" i="33" s="1"/>
  <c r="AU73" i="33" s="1"/>
  <c r="AX73" i="33" s="1"/>
  <c r="BA73" i="33" s="1"/>
  <c r="DN72" i="33"/>
  <c r="CE72" i="33"/>
  <c r="CH72" i="33" s="1"/>
  <c r="CK72" i="33" s="1"/>
  <c r="CN72" i="33" s="1"/>
  <c r="CQ72" i="33" s="1"/>
  <c r="CT72" i="33" s="1"/>
  <c r="CW72" i="33" s="1"/>
  <c r="CZ72" i="33" s="1"/>
  <c r="DC72" i="33" s="1"/>
  <c r="DF72" i="33" s="1"/>
  <c r="DI72" i="33" s="1"/>
  <c r="DL72" i="33" s="1"/>
  <c r="DN71" i="33"/>
  <c r="CW71" i="33"/>
  <c r="CZ71" i="33" s="1"/>
  <c r="DC71" i="33" s="1"/>
  <c r="DF71" i="33" s="1"/>
  <c r="DI71" i="33" s="1"/>
  <c r="DL71" i="33" s="1"/>
  <c r="CE71" i="33"/>
  <c r="CH71" i="33" s="1"/>
  <c r="CK71" i="33" s="1"/>
  <c r="CN71" i="33" s="1"/>
  <c r="CQ71" i="33" s="1"/>
  <c r="CE70" i="33"/>
  <c r="CH70" i="33" s="1"/>
  <c r="CK70" i="33" s="1"/>
  <c r="CN70" i="33" s="1"/>
  <c r="CQ70" i="33" s="1"/>
  <c r="CT70" i="33" s="1"/>
  <c r="CW70" i="33" s="1"/>
  <c r="CZ70" i="33" s="1"/>
  <c r="DC70" i="33" s="1"/>
  <c r="DF70" i="33" s="1"/>
  <c r="DI70" i="33" s="1"/>
  <c r="DL70" i="33" s="1"/>
  <c r="DO70" i="33" s="1"/>
  <c r="DR70" i="33" s="1"/>
  <c r="DU70" i="33" s="1"/>
  <c r="DX70" i="33" s="1"/>
  <c r="EA70" i="33" s="1"/>
  <c r="CE69" i="33"/>
  <c r="CH69" i="33" s="1"/>
  <c r="CK69" i="33" s="1"/>
  <c r="CN69" i="33" s="1"/>
  <c r="CQ69" i="33" s="1"/>
  <c r="CT69" i="33" s="1"/>
  <c r="CW69" i="33" s="1"/>
  <c r="CZ69" i="33" s="1"/>
  <c r="DC69" i="33" s="1"/>
  <c r="DF69" i="33" s="1"/>
  <c r="DI69" i="33" s="1"/>
  <c r="DL69" i="33" s="1"/>
  <c r="DO69" i="33" s="1"/>
  <c r="DR69" i="33" s="1"/>
  <c r="DU69" i="33" s="1"/>
  <c r="DX69" i="33" s="1"/>
  <c r="EA69" i="33" s="1"/>
  <c r="DR68" i="33"/>
  <c r="DU68" i="33" s="1"/>
  <c r="DX68" i="33" s="1"/>
  <c r="EA68" i="33" s="1"/>
  <c r="CD68" i="33"/>
  <c r="BX68" i="33"/>
  <c r="BG68" i="33"/>
  <c r="BJ68" i="33" s="1"/>
  <c r="BM68" i="33" s="1"/>
  <c r="BP68" i="33" s="1"/>
  <c r="BS68" i="33" s="1"/>
  <c r="BV68" i="33" s="1"/>
  <c r="Z68" i="33"/>
  <c r="AC68" i="33" s="1"/>
  <c r="AF68" i="33" s="1"/>
  <c r="AI68" i="33" s="1"/>
  <c r="AL68" i="33" s="1"/>
  <c r="AO68" i="33" s="1"/>
  <c r="AR68" i="33" s="1"/>
  <c r="AU68" i="33" s="1"/>
  <c r="AX68" i="33" s="1"/>
  <c r="BA68" i="33" s="1"/>
  <c r="DR67" i="33"/>
  <c r="DU67" i="33" s="1"/>
  <c r="DX67" i="33" s="1"/>
  <c r="CD67" i="33"/>
  <c r="BX67" i="33"/>
  <c r="BG67" i="33"/>
  <c r="BJ67" i="33" s="1"/>
  <c r="BM67" i="33" s="1"/>
  <c r="BP67" i="33" s="1"/>
  <c r="BS67" i="33" s="1"/>
  <c r="BV67" i="33" s="1"/>
  <c r="Z67" i="33"/>
  <c r="AC67" i="33" s="1"/>
  <c r="AF67" i="33" s="1"/>
  <c r="AI67" i="33" s="1"/>
  <c r="AL67" i="33" s="1"/>
  <c r="AO67" i="33" s="1"/>
  <c r="AR67" i="33" s="1"/>
  <c r="AU67" i="33" s="1"/>
  <c r="AX67" i="33" s="1"/>
  <c r="BA67" i="33" s="1"/>
  <c r="DR66" i="33"/>
  <c r="DU66" i="33" s="1"/>
  <c r="DX66" i="33" s="1"/>
  <c r="EA66" i="33" s="1"/>
  <c r="BG66" i="33"/>
  <c r="BJ66" i="33" s="1"/>
  <c r="BM66" i="33" s="1"/>
  <c r="BP66" i="33" s="1"/>
  <c r="BS66" i="33" s="1"/>
  <c r="BV66" i="33" s="1"/>
  <c r="BY66" i="33" s="1"/>
  <c r="CB66" i="33" s="1"/>
  <c r="CE66" i="33" s="1"/>
  <c r="CH66" i="33" s="1"/>
  <c r="CK66" i="33" s="1"/>
  <c r="CN66" i="33" s="1"/>
  <c r="CQ66" i="33" s="1"/>
  <c r="CT66" i="33" s="1"/>
  <c r="CW66" i="33" s="1"/>
  <c r="CZ66" i="33" s="1"/>
  <c r="DC66" i="33" s="1"/>
  <c r="DF66" i="33" s="1"/>
  <c r="DI66" i="33" s="1"/>
  <c r="DL66" i="33" s="1"/>
  <c r="K66" i="33"/>
  <c r="N66" i="33" s="1"/>
  <c r="Q66" i="33" s="1"/>
  <c r="T66" i="33" s="1"/>
  <c r="W66" i="33" s="1"/>
  <c r="Z66" i="33" s="1"/>
  <c r="AC66" i="33" s="1"/>
  <c r="AF66" i="33" s="1"/>
  <c r="AI66" i="33" s="1"/>
  <c r="AL66" i="33" s="1"/>
  <c r="AO66" i="33" s="1"/>
  <c r="AR66" i="33" s="1"/>
  <c r="AU66" i="33" s="1"/>
  <c r="AX66" i="33" s="1"/>
  <c r="BA66" i="33" s="1"/>
  <c r="DR65" i="33"/>
  <c r="DU65" i="33" s="1"/>
  <c r="DX65" i="33" s="1"/>
  <c r="EA65" i="33" s="1"/>
  <c r="BG65" i="33"/>
  <c r="BJ65" i="33" s="1"/>
  <c r="BM65" i="33" s="1"/>
  <c r="BP65" i="33" s="1"/>
  <c r="BS65" i="33" s="1"/>
  <c r="BV65" i="33" s="1"/>
  <c r="BY65" i="33" s="1"/>
  <c r="CB65" i="33" s="1"/>
  <c r="CE65" i="33" s="1"/>
  <c r="CH65" i="33" s="1"/>
  <c r="CK65" i="33" s="1"/>
  <c r="CN65" i="33" s="1"/>
  <c r="CQ65" i="33" s="1"/>
  <c r="CT65" i="33" s="1"/>
  <c r="CW65" i="33" s="1"/>
  <c r="CZ65" i="33" s="1"/>
  <c r="DC65" i="33" s="1"/>
  <c r="DF65" i="33" s="1"/>
  <c r="DI65" i="33" s="1"/>
  <c r="DL65" i="33" s="1"/>
  <c r="K65" i="33"/>
  <c r="N65" i="33" s="1"/>
  <c r="Q65" i="33" s="1"/>
  <c r="T65" i="33" s="1"/>
  <c r="W65" i="33" s="1"/>
  <c r="Z65" i="33" s="1"/>
  <c r="AC65" i="33" s="1"/>
  <c r="AF65" i="33" s="1"/>
  <c r="AI65" i="33" s="1"/>
  <c r="AL65" i="33" s="1"/>
  <c r="AO65" i="33" s="1"/>
  <c r="AR65" i="33" s="1"/>
  <c r="AU65" i="33" s="1"/>
  <c r="AX65" i="33" s="1"/>
  <c r="BA65" i="33" s="1"/>
  <c r="DR64" i="33"/>
  <c r="DU64" i="33" s="1"/>
  <c r="DX64" i="33" s="1"/>
  <c r="EA64" i="33" s="1"/>
  <c r="BG64" i="33"/>
  <c r="BJ64" i="33" s="1"/>
  <c r="BM64" i="33" s="1"/>
  <c r="BP64" i="33" s="1"/>
  <c r="BS64" i="33" s="1"/>
  <c r="BV64" i="33" s="1"/>
  <c r="BY64" i="33" s="1"/>
  <c r="CB64" i="33" s="1"/>
  <c r="CE64" i="33" s="1"/>
  <c r="CH64" i="33" s="1"/>
  <c r="CK64" i="33" s="1"/>
  <c r="CN64" i="33" s="1"/>
  <c r="CQ64" i="33" s="1"/>
  <c r="CT64" i="33" s="1"/>
  <c r="CW64" i="33" s="1"/>
  <c r="CZ64" i="33" s="1"/>
  <c r="DC64" i="33" s="1"/>
  <c r="DF64" i="33" s="1"/>
  <c r="DI64" i="33" s="1"/>
  <c r="DL64" i="33" s="1"/>
  <c r="K64" i="33"/>
  <c r="N64" i="33" s="1"/>
  <c r="Q64" i="33" s="1"/>
  <c r="T64" i="33" s="1"/>
  <c r="W64" i="33" s="1"/>
  <c r="Z64" i="33" s="1"/>
  <c r="AC64" i="33" s="1"/>
  <c r="AF64" i="33" s="1"/>
  <c r="AI64" i="33" s="1"/>
  <c r="AL64" i="33" s="1"/>
  <c r="AO64" i="33" s="1"/>
  <c r="AR64" i="33" s="1"/>
  <c r="AU64" i="33" s="1"/>
  <c r="AX64" i="33" s="1"/>
  <c r="BA64" i="33" s="1"/>
  <c r="DH63" i="33"/>
  <c r="DH104" i="33" s="1"/>
  <c r="CS63" i="33"/>
  <c r="CS104" i="33" s="1"/>
  <c r="BG63" i="33"/>
  <c r="BJ63" i="33" s="1"/>
  <c r="BM63" i="33" s="1"/>
  <c r="BP63" i="33" s="1"/>
  <c r="BS63" i="33" s="1"/>
  <c r="BV63" i="33" s="1"/>
  <c r="BY63" i="33" s="1"/>
  <c r="CB63" i="33" s="1"/>
  <c r="CE63" i="33" s="1"/>
  <c r="CH63" i="33" s="1"/>
  <c r="CK63" i="33" s="1"/>
  <c r="CN63" i="33" s="1"/>
  <c r="K63" i="33"/>
  <c r="N63" i="33" s="1"/>
  <c r="Q63" i="33" s="1"/>
  <c r="T63" i="33" s="1"/>
  <c r="W63" i="33" s="1"/>
  <c r="Z63" i="33" s="1"/>
  <c r="AC63" i="33" s="1"/>
  <c r="AF63" i="33" s="1"/>
  <c r="AI63" i="33" s="1"/>
  <c r="AL63" i="33" s="1"/>
  <c r="AO63" i="33" s="1"/>
  <c r="AR63" i="33" s="1"/>
  <c r="AU63" i="33" s="1"/>
  <c r="AX63" i="33" s="1"/>
  <c r="BA63" i="33" s="1"/>
  <c r="BJ62" i="33"/>
  <c r="BM62" i="33" s="1"/>
  <c r="BP62" i="33" s="1"/>
  <c r="BS62" i="33" s="1"/>
  <c r="BV62" i="33" s="1"/>
  <c r="BY62" i="33" s="1"/>
  <c r="CB62" i="33" s="1"/>
  <c r="CE62" i="33" s="1"/>
  <c r="CH62" i="33" s="1"/>
  <c r="CK62" i="33" s="1"/>
  <c r="CN62" i="33" s="1"/>
  <c r="CQ62" i="33" s="1"/>
  <c r="CT62" i="33" s="1"/>
  <c r="CW62" i="33" s="1"/>
  <c r="CZ62" i="33" s="1"/>
  <c r="DC62" i="33" s="1"/>
  <c r="DF62" i="33" s="1"/>
  <c r="DI62" i="33" s="1"/>
  <c r="DL62" i="33" s="1"/>
  <c r="DO62" i="33" s="1"/>
  <c r="DR62" i="33" s="1"/>
  <c r="DU62" i="33" s="1"/>
  <c r="DX62" i="33" s="1"/>
  <c r="EA62" i="33" s="1"/>
  <c r="ED62" i="33" s="1"/>
  <c r="EG62" i="33" s="1"/>
  <c r="EJ62" i="33" s="1"/>
  <c r="EM62" i="33" s="1"/>
  <c r="EP62" i="33" s="1"/>
  <c r="ES62" i="33" s="1"/>
  <c r="EV62" i="33" s="1"/>
  <c r="EY62" i="33" s="1"/>
  <c r="H62" i="33"/>
  <c r="K62" i="33" s="1"/>
  <c r="N62" i="33" s="1"/>
  <c r="Q62" i="33" s="1"/>
  <c r="T62" i="33" s="1"/>
  <c r="W62" i="33" s="1"/>
  <c r="Z62" i="33" s="1"/>
  <c r="AC62" i="33" s="1"/>
  <c r="AF62" i="33" s="1"/>
  <c r="AI62" i="33" s="1"/>
  <c r="AL62" i="33" s="1"/>
  <c r="AO62" i="33" s="1"/>
  <c r="AR62" i="33" s="1"/>
  <c r="AU62" i="33" s="1"/>
  <c r="AX62" i="33" s="1"/>
  <c r="BA62" i="33" s="1"/>
  <c r="BJ61" i="33"/>
  <c r="BM61" i="33" s="1"/>
  <c r="BP61" i="33" s="1"/>
  <c r="BS61" i="33" s="1"/>
  <c r="BV61" i="33" s="1"/>
  <c r="BY61" i="33" s="1"/>
  <c r="CB61" i="33" s="1"/>
  <c r="CE61" i="33" s="1"/>
  <c r="CH61" i="33" s="1"/>
  <c r="CK61" i="33" s="1"/>
  <c r="CN61" i="33" s="1"/>
  <c r="CQ61" i="33" s="1"/>
  <c r="CT61" i="33" s="1"/>
  <c r="CW61" i="33" s="1"/>
  <c r="CZ61" i="33" s="1"/>
  <c r="DC61" i="33" s="1"/>
  <c r="DF61" i="33" s="1"/>
  <c r="DI61" i="33" s="1"/>
  <c r="DL61" i="33" s="1"/>
  <c r="DO61" i="33" s="1"/>
  <c r="DR61" i="33" s="1"/>
  <c r="DU61" i="33" s="1"/>
  <c r="DX61" i="33" s="1"/>
  <c r="EA61" i="33" s="1"/>
  <c r="ED61" i="33" s="1"/>
  <c r="EG61" i="33" s="1"/>
  <c r="EJ61" i="33" s="1"/>
  <c r="EM61" i="33" s="1"/>
  <c r="EP61" i="33" s="1"/>
  <c r="ES61" i="33" s="1"/>
  <c r="EV61" i="33" s="1"/>
  <c r="EY61" i="33" s="1"/>
  <c r="H61" i="33"/>
  <c r="K61" i="33" s="1"/>
  <c r="N61" i="33" s="1"/>
  <c r="Q61" i="33" s="1"/>
  <c r="T61" i="33" s="1"/>
  <c r="W61" i="33" s="1"/>
  <c r="Z61" i="33" s="1"/>
  <c r="AC61" i="33" s="1"/>
  <c r="AF61" i="33" s="1"/>
  <c r="AI61" i="33" s="1"/>
  <c r="AL61" i="33" s="1"/>
  <c r="AO61" i="33" s="1"/>
  <c r="AR61" i="33" s="1"/>
  <c r="AU61" i="33" s="1"/>
  <c r="AX61" i="33" s="1"/>
  <c r="BA61" i="33" s="1"/>
  <c r="BJ60" i="33"/>
  <c r="BM60" i="33" s="1"/>
  <c r="BP60" i="33" s="1"/>
  <c r="BS60" i="33" s="1"/>
  <c r="BV60" i="33" s="1"/>
  <c r="BY60" i="33" s="1"/>
  <c r="CB60" i="33" s="1"/>
  <c r="CE60" i="33" s="1"/>
  <c r="CH60" i="33" s="1"/>
  <c r="CK60" i="33" s="1"/>
  <c r="CN60" i="33" s="1"/>
  <c r="CQ60" i="33" s="1"/>
  <c r="CT60" i="33" s="1"/>
  <c r="CW60" i="33" s="1"/>
  <c r="CZ60" i="33" s="1"/>
  <c r="DC60" i="33" s="1"/>
  <c r="DF60" i="33" s="1"/>
  <c r="DI60" i="33" s="1"/>
  <c r="DL60" i="33" s="1"/>
  <c r="DO60" i="33" s="1"/>
  <c r="DR60" i="33" s="1"/>
  <c r="DU60" i="33" s="1"/>
  <c r="DX60" i="33" s="1"/>
  <c r="EA60" i="33" s="1"/>
  <c r="ED60" i="33" s="1"/>
  <c r="EG60" i="33" s="1"/>
  <c r="EJ60" i="33" s="1"/>
  <c r="EM60" i="33" s="1"/>
  <c r="EP60" i="33" s="1"/>
  <c r="ES60" i="33" s="1"/>
  <c r="EV60" i="33" s="1"/>
  <c r="EY60" i="33" s="1"/>
  <c r="H60" i="33"/>
  <c r="K60" i="33" s="1"/>
  <c r="N60" i="33" s="1"/>
  <c r="Q60" i="33" s="1"/>
  <c r="T60" i="33" s="1"/>
  <c r="W60" i="33" s="1"/>
  <c r="Z60" i="33" s="1"/>
  <c r="AC60" i="33" s="1"/>
  <c r="AF60" i="33" s="1"/>
  <c r="AI60" i="33" s="1"/>
  <c r="AL60" i="33" s="1"/>
  <c r="AO60" i="33" s="1"/>
  <c r="AR60" i="33" s="1"/>
  <c r="AU60" i="33" s="1"/>
  <c r="AX60" i="33" s="1"/>
  <c r="BA60" i="33" s="1"/>
  <c r="BJ59" i="33"/>
  <c r="BM59" i="33" s="1"/>
  <c r="BP59" i="33" s="1"/>
  <c r="BS59" i="33" s="1"/>
  <c r="BV59" i="33" s="1"/>
  <c r="BY59" i="33" s="1"/>
  <c r="H59" i="33"/>
  <c r="K59" i="33" s="1"/>
  <c r="N59" i="33" s="1"/>
  <c r="EE58" i="33"/>
  <c r="EB58" i="33"/>
  <c r="DY58" i="33"/>
  <c r="DV58" i="33"/>
  <c r="DS58" i="33"/>
  <c r="DP58" i="33"/>
  <c r="DM58" i="33"/>
  <c r="DJ58" i="33"/>
  <c r="DG58" i="33"/>
  <c r="DD58" i="33"/>
  <c r="DA58" i="33"/>
  <c r="CX58" i="33"/>
  <c r="CU58" i="33"/>
  <c r="CR58" i="33"/>
  <c r="CO58" i="33"/>
  <c r="CL58" i="33"/>
  <c r="CI58" i="33"/>
  <c r="CF58" i="33"/>
  <c r="CC58" i="33"/>
  <c r="BZ58" i="33"/>
  <c r="BW58" i="33"/>
  <c r="BT58" i="33"/>
  <c r="BQ58" i="33"/>
  <c r="EF57" i="33"/>
  <c r="EE57" i="33"/>
  <c r="EC57" i="33"/>
  <c r="EB57" i="33"/>
  <c r="DZ57" i="33"/>
  <c r="DY57" i="33"/>
  <c r="DV57" i="33"/>
  <c r="DS57" i="33"/>
  <c r="DQ57" i="33"/>
  <c r="DP57" i="33"/>
  <c r="DN57" i="33"/>
  <c r="DM57" i="33"/>
  <c r="DK57" i="33"/>
  <c r="DJ57" i="33"/>
  <c r="DH57" i="33"/>
  <c r="DG57" i="33"/>
  <c r="DE57" i="33"/>
  <c r="DD57" i="33"/>
  <c r="DB57" i="33"/>
  <c r="DA57" i="33"/>
  <c r="CY57" i="33"/>
  <c r="CX57" i="33"/>
  <c r="CV57" i="33"/>
  <c r="CU57" i="33"/>
  <c r="CS57" i="33"/>
  <c r="CR57" i="33"/>
  <c r="CP57" i="33"/>
  <c r="CO57" i="33"/>
  <c r="CL57" i="33"/>
  <c r="CJ57" i="33"/>
  <c r="CI57" i="33"/>
  <c r="CG57" i="33"/>
  <c r="CF57" i="33"/>
  <c r="CD57" i="33"/>
  <c r="CC57" i="33"/>
  <c r="CA57" i="33"/>
  <c r="BZ57" i="33"/>
  <c r="BX57" i="33"/>
  <c r="BW57" i="33"/>
  <c r="BU57" i="33"/>
  <c r="BT57" i="33"/>
  <c r="BR57" i="33"/>
  <c r="BQ57" i="33"/>
  <c r="BO57" i="33"/>
  <c r="BN57" i="33"/>
  <c r="BL57" i="33"/>
  <c r="BK57" i="33"/>
  <c r="BI57" i="33"/>
  <c r="BH57" i="33"/>
  <c r="BF57" i="33"/>
  <c r="BE57" i="33"/>
  <c r="BC57" i="33"/>
  <c r="BB57" i="33"/>
  <c r="AZ57" i="33"/>
  <c r="AY57" i="33"/>
  <c r="AW57" i="33"/>
  <c r="AV57" i="33"/>
  <c r="AT57" i="33"/>
  <c r="AS57" i="33"/>
  <c r="AQ57" i="33"/>
  <c r="AP57" i="33"/>
  <c r="AN57" i="33"/>
  <c r="AM57" i="33"/>
  <c r="AK57" i="33"/>
  <c r="AJ57" i="33"/>
  <c r="AH57" i="33"/>
  <c r="AG57" i="33"/>
  <c r="AE57" i="33"/>
  <c r="AD57" i="33"/>
  <c r="AB57" i="33"/>
  <c r="AA57" i="33"/>
  <c r="Y57" i="33"/>
  <c r="X57" i="33"/>
  <c r="V57" i="33"/>
  <c r="U57" i="33"/>
  <c r="S57" i="33"/>
  <c r="R57" i="33"/>
  <c r="P57" i="33"/>
  <c r="O57" i="33"/>
  <c r="M57" i="33"/>
  <c r="L57" i="33"/>
  <c r="J57" i="33"/>
  <c r="I57" i="33"/>
  <c r="G57" i="33"/>
  <c r="F57" i="33"/>
  <c r="CM56" i="33"/>
  <c r="CM57" i="33" s="1"/>
  <c r="BS56" i="33"/>
  <c r="BV56" i="33" s="1"/>
  <c r="BY56" i="33" s="1"/>
  <c r="CB56" i="33" s="1"/>
  <c r="CE56" i="33" s="1"/>
  <c r="CH56" i="33" s="1"/>
  <c r="CK56" i="33" s="1"/>
  <c r="H56" i="33"/>
  <c r="K56" i="33" s="1"/>
  <c r="N56" i="33" s="1"/>
  <c r="Q56" i="33" s="1"/>
  <c r="T56" i="33" s="1"/>
  <c r="W56" i="33" s="1"/>
  <c r="Z56" i="33" s="1"/>
  <c r="AC56" i="33" s="1"/>
  <c r="AF56" i="33" s="1"/>
  <c r="AI56" i="33" s="1"/>
  <c r="AL56" i="33" s="1"/>
  <c r="AO56" i="33" s="1"/>
  <c r="AR56" i="33" s="1"/>
  <c r="AU56" i="33" s="1"/>
  <c r="AX56" i="33" s="1"/>
  <c r="BA56" i="33" s="1"/>
  <c r="BD56" i="33" s="1"/>
  <c r="BG56" i="33" s="1"/>
  <c r="BJ56" i="33" s="1"/>
  <c r="BM56" i="33" s="1"/>
  <c r="AI54" i="33"/>
  <c r="AL54" i="33" s="1"/>
  <c r="AO54" i="33" s="1"/>
  <c r="AR54" i="33" s="1"/>
  <c r="AU54" i="33" s="1"/>
  <c r="AX54" i="33" s="1"/>
  <c r="BA54" i="33" s="1"/>
  <c r="BD54" i="33" s="1"/>
  <c r="BG54" i="33" s="1"/>
  <c r="BJ54" i="33" s="1"/>
  <c r="BM54" i="33" s="1"/>
  <c r="BP54" i="33" s="1"/>
  <c r="BS54" i="33" s="1"/>
  <c r="BV54" i="33" s="1"/>
  <c r="BY54" i="33" s="1"/>
  <c r="CB54" i="33" s="1"/>
  <c r="CE54" i="33" s="1"/>
  <c r="CH54" i="33" s="1"/>
  <c r="CK54" i="33" s="1"/>
  <c r="CN54" i="33" s="1"/>
  <c r="CQ54" i="33" s="1"/>
  <c r="CT54" i="33" s="1"/>
  <c r="CW54" i="33" s="1"/>
  <c r="CZ54" i="33" s="1"/>
  <c r="DC54" i="33" s="1"/>
  <c r="DF54" i="33" s="1"/>
  <c r="DI54" i="33" s="1"/>
  <c r="DL54" i="33" s="1"/>
  <c r="DO54" i="33" s="1"/>
  <c r="DR54" i="33" s="1"/>
  <c r="DU54" i="33" s="1"/>
  <c r="DX54" i="33" s="1"/>
  <c r="EA54" i="33" s="1"/>
  <c r="ED54" i="33" s="1"/>
  <c r="EG54" i="33" s="1"/>
  <c r="EJ54" i="33" s="1"/>
  <c r="EM54" i="33" s="1"/>
  <c r="EP54" i="33" s="1"/>
  <c r="ES54" i="33" s="1"/>
  <c r="EV54" i="33" s="1"/>
  <c r="EY54" i="33" s="1"/>
  <c r="H54" i="33"/>
  <c r="K54" i="33" s="1"/>
  <c r="N54" i="33" s="1"/>
  <c r="Q54" i="33" s="1"/>
  <c r="T54" i="33" s="1"/>
  <c r="W54" i="33" s="1"/>
  <c r="Z54" i="33" s="1"/>
  <c r="AC54" i="33" s="1"/>
  <c r="DW57" i="33"/>
  <c r="DT57" i="33"/>
  <c r="BS53" i="33"/>
  <c r="BV53" i="33" s="1"/>
  <c r="BY53" i="33" s="1"/>
  <c r="CB53" i="33" s="1"/>
  <c r="CE53" i="33" s="1"/>
  <c r="CH53" i="33" s="1"/>
  <c r="CK53" i="33" s="1"/>
  <c r="CN53" i="33" s="1"/>
  <c r="CQ53" i="33" s="1"/>
  <c r="CT53" i="33" s="1"/>
  <c r="CW53" i="33" s="1"/>
  <c r="CZ53" i="33" s="1"/>
  <c r="DC53" i="33" s="1"/>
  <c r="DF53" i="33" s="1"/>
  <c r="DI53" i="33" s="1"/>
  <c r="DL53" i="33" s="1"/>
  <c r="DO53" i="33" s="1"/>
  <c r="DR53" i="33" s="1"/>
  <c r="DU53" i="33" s="1"/>
  <c r="DX53" i="33" s="1"/>
  <c r="EA53" i="33" s="1"/>
  <c r="ED53" i="33" s="1"/>
  <c r="EG53" i="33" s="1"/>
  <c r="EJ53" i="33" s="1"/>
  <c r="H53" i="33"/>
  <c r="K53" i="33" s="1"/>
  <c r="BS52" i="33"/>
  <c r="BV52" i="33" s="1"/>
  <c r="BY52" i="33" s="1"/>
  <c r="CB52" i="33" s="1"/>
  <c r="CE52" i="33" s="1"/>
  <c r="CH52" i="33" s="1"/>
  <c r="CK52" i="33" s="1"/>
  <c r="CN52" i="33" s="1"/>
  <c r="CQ52" i="33" s="1"/>
  <c r="CT52" i="33" s="1"/>
  <c r="CW52" i="33" s="1"/>
  <c r="CZ52" i="33" s="1"/>
  <c r="DC52" i="33" s="1"/>
  <c r="DF52" i="33" s="1"/>
  <c r="DI52" i="33" s="1"/>
  <c r="DL52" i="33" s="1"/>
  <c r="DO52" i="33" s="1"/>
  <c r="DR52" i="33" s="1"/>
  <c r="DU52" i="33" s="1"/>
  <c r="DX52" i="33" s="1"/>
  <c r="AI52" i="33"/>
  <c r="AL52" i="33" s="1"/>
  <c r="AO52" i="33" s="1"/>
  <c r="AR52" i="33" s="1"/>
  <c r="AU52" i="33" s="1"/>
  <c r="AX52" i="33" s="1"/>
  <c r="BA52" i="33" s="1"/>
  <c r="BD52" i="33" s="1"/>
  <c r="BG52" i="33" s="1"/>
  <c r="BJ52" i="33" s="1"/>
  <c r="BM52" i="33" s="1"/>
  <c r="H52" i="33"/>
  <c r="K52" i="33" s="1"/>
  <c r="N52" i="33" s="1"/>
  <c r="Q52" i="33" s="1"/>
  <c r="T52" i="33" s="1"/>
  <c r="W52" i="33" s="1"/>
  <c r="Z52" i="33" s="1"/>
  <c r="AC52" i="33" s="1"/>
  <c r="CQ51" i="33"/>
  <c r="CT51" i="33" s="1"/>
  <c r="CW51" i="33" s="1"/>
  <c r="CZ51" i="33" s="1"/>
  <c r="DC51" i="33" s="1"/>
  <c r="DF51" i="33" s="1"/>
  <c r="DI51" i="33" s="1"/>
  <c r="DL51" i="33" s="1"/>
  <c r="DO51" i="33" s="1"/>
  <c r="DR51" i="33" s="1"/>
  <c r="DU51" i="33" s="1"/>
  <c r="DX51" i="33" s="1"/>
  <c r="EA51" i="33" s="1"/>
  <c r="ED51" i="33" s="1"/>
  <c r="EG51" i="33" s="1"/>
  <c r="EJ51" i="33" s="1"/>
  <c r="EM51" i="33" s="1"/>
  <c r="EP51" i="33" s="1"/>
  <c r="ES51" i="33" s="1"/>
  <c r="EV51" i="33" s="1"/>
  <c r="EY51" i="33" s="1"/>
  <c r="H51" i="33"/>
  <c r="K51" i="33" s="1"/>
  <c r="N51" i="33" s="1"/>
  <c r="Q51" i="33" s="1"/>
  <c r="T51" i="33" s="1"/>
  <c r="W51" i="33" s="1"/>
  <c r="Z51" i="33" s="1"/>
  <c r="AC51" i="33" s="1"/>
  <c r="AF51" i="33" s="1"/>
  <c r="DC50" i="33"/>
  <c r="DF50" i="33" s="1"/>
  <c r="DI50" i="33" s="1"/>
  <c r="DL50" i="33" s="1"/>
  <c r="DO50" i="33" s="1"/>
  <c r="DR50" i="33" s="1"/>
  <c r="DU50" i="33" s="1"/>
  <c r="DX50" i="33" s="1"/>
  <c r="EA50" i="33" s="1"/>
  <c r="ED50" i="33" s="1"/>
  <c r="EG50" i="33" s="1"/>
  <c r="EJ50" i="33" s="1"/>
  <c r="EM50" i="33" s="1"/>
  <c r="EP50" i="33" s="1"/>
  <c r="ES50" i="33" s="1"/>
  <c r="EV50" i="33" s="1"/>
  <c r="EY50" i="33" s="1"/>
  <c r="CQ50" i="33"/>
  <c r="CT50" i="33" s="1"/>
  <c r="CW50" i="33" s="1"/>
  <c r="AU50" i="33"/>
  <c r="AX50" i="33" s="1"/>
  <c r="BA50" i="33" s="1"/>
  <c r="BD50" i="33" s="1"/>
  <c r="BG50" i="33" s="1"/>
  <c r="BJ50" i="33" s="1"/>
  <c r="BM50" i="33" s="1"/>
  <c r="BP50" i="33" s="1"/>
  <c r="BS50" i="33" s="1"/>
  <c r="BV50" i="33" s="1"/>
  <c r="BY50" i="33" s="1"/>
  <c r="CB50" i="33" s="1"/>
  <c r="CE50" i="33" s="1"/>
  <c r="CH50" i="33" s="1"/>
  <c r="CK50" i="33" s="1"/>
  <c r="N50" i="33"/>
  <c r="Q50" i="33" s="1"/>
  <c r="T50" i="33" s="1"/>
  <c r="W50" i="33" s="1"/>
  <c r="Z50" i="33" s="1"/>
  <c r="AC50" i="33" s="1"/>
  <c r="AF50" i="33" s="1"/>
  <c r="AI50" i="33" s="1"/>
  <c r="AL50" i="33" s="1"/>
  <c r="AO50" i="33" s="1"/>
  <c r="H50" i="33"/>
  <c r="AU49" i="33"/>
  <c r="AX49" i="33" s="1"/>
  <c r="BA49" i="33" s="1"/>
  <c r="BD49" i="33" s="1"/>
  <c r="BG49" i="33" s="1"/>
  <c r="AI49" i="33"/>
  <c r="AL49" i="33" s="1"/>
  <c r="AO49" i="33" s="1"/>
  <c r="N49" i="33"/>
  <c r="Q49" i="33" s="1"/>
  <c r="T49" i="33" s="1"/>
  <c r="H49" i="33"/>
  <c r="EF46" i="33"/>
  <c r="EE46" i="33"/>
  <c r="EC46" i="33"/>
  <c r="EB46" i="33"/>
  <c r="DZ46" i="33"/>
  <c r="DY46" i="33"/>
  <c r="DW46" i="33"/>
  <c r="DV46" i="33"/>
  <c r="DT46" i="33"/>
  <c r="DS46" i="33"/>
  <c r="DQ46" i="33"/>
  <c r="DP46" i="33"/>
  <c r="DN46" i="33"/>
  <c r="DM46" i="33"/>
  <c r="DL46" i="33"/>
  <c r="DK46" i="33"/>
  <c r="DJ46" i="33"/>
  <c r="DH46" i="33"/>
  <c r="DG46" i="33"/>
  <c r="DE46" i="33"/>
  <c r="DD46" i="33"/>
  <c r="DB46" i="33"/>
  <c r="DA46" i="33"/>
  <c r="CY46" i="33"/>
  <c r="CX46" i="33"/>
  <c r="CV46" i="33"/>
  <c r="CU46" i="33"/>
  <c r="CS46" i="33"/>
  <c r="CR46" i="33"/>
  <c r="CP46" i="33"/>
  <c r="CO46" i="33"/>
  <c r="CM46" i="33"/>
  <c r="CL46" i="33"/>
  <c r="CJ46" i="33"/>
  <c r="CI46" i="33"/>
  <c r="CG46" i="33"/>
  <c r="CF46" i="33"/>
  <c r="CD46" i="33"/>
  <c r="CC46" i="33"/>
  <c r="CA46" i="33"/>
  <c r="BZ46" i="33"/>
  <c r="BX46" i="33"/>
  <c r="BW46" i="33"/>
  <c r="BU46" i="33"/>
  <c r="BT46" i="33"/>
  <c r="BR46" i="33"/>
  <c r="BQ46" i="33"/>
  <c r="BO46" i="33"/>
  <c r="BN46" i="33"/>
  <c r="BL46" i="33"/>
  <c r="BK46" i="33"/>
  <c r="BI46" i="33"/>
  <c r="BH46" i="33"/>
  <c r="BF46" i="33"/>
  <c r="BE46" i="33"/>
  <c r="BC46" i="33"/>
  <c r="BB46" i="33"/>
  <c r="AZ46" i="33"/>
  <c r="AY46" i="33"/>
  <c r="AW46" i="33"/>
  <c r="AV46" i="33"/>
  <c r="AT46" i="33"/>
  <c r="AS46" i="33"/>
  <c r="AQ46" i="33"/>
  <c r="AP46" i="33"/>
  <c r="AN46" i="33"/>
  <c r="AM46" i="33"/>
  <c r="AK46" i="33"/>
  <c r="AJ46" i="33"/>
  <c r="AH46" i="33"/>
  <c r="AG46" i="33"/>
  <c r="AE46" i="33"/>
  <c r="AD46" i="33"/>
  <c r="AB46" i="33"/>
  <c r="AA46" i="33"/>
  <c r="Y46" i="33"/>
  <c r="X46" i="33"/>
  <c r="U46" i="33"/>
  <c r="S46" i="33"/>
  <c r="R46" i="33"/>
  <c r="P46" i="33"/>
  <c r="O46" i="33"/>
  <c r="M46" i="33"/>
  <c r="L46" i="33"/>
  <c r="J46" i="33"/>
  <c r="I46" i="33"/>
  <c r="G46" i="33"/>
  <c r="F46" i="33"/>
  <c r="DO45" i="33"/>
  <c r="DR45" i="33" s="1"/>
  <c r="DU45" i="33" s="1"/>
  <c r="DX45" i="33" s="1"/>
  <c r="EA45" i="33" s="1"/>
  <c r="ED45" i="33" s="1"/>
  <c r="EG45" i="33" s="1"/>
  <c r="EJ45" i="33" s="1"/>
  <c r="EM45" i="33" s="1"/>
  <c r="EP45" i="33" s="1"/>
  <c r="ES45" i="33" s="1"/>
  <c r="EV45" i="33" s="1"/>
  <c r="EY45" i="33" s="1"/>
  <c r="AF45" i="33"/>
  <c r="AI45" i="33" s="1"/>
  <c r="AL45" i="33" s="1"/>
  <c r="AO45" i="33" s="1"/>
  <c r="AR45" i="33" s="1"/>
  <c r="AU45" i="33" s="1"/>
  <c r="AX45" i="33" s="1"/>
  <c r="BA45" i="33" s="1"/>
  <c r="BD45" i="33" s="1"/>
  <c r="BG45" i="33" s="1"/>
  <c r="BJ45" i="33" s="1"/>
  <c r="BM45" i="33" s="1"/>
  <c r="BP45" i="33" s="1"/>
  <c r="BS45" i="33" s="1"/>
  <c r="BV45" i="33" s="1"/>
  <c r="BY45" i="33" s="1"/>
  <c r="CB45" i="33" s="1"/>
  <c r="CE45" i="33" s="1"/>
  <c r="CH45" i="33" s="1"/>
  <c r="CK45" i="33" s="1"/>
  <c r="CN45" i="33" s="1"/>
  <c r="CQ45" i="33" s="1"/>
  <c r="CT45" i="33" s="1"/>
  <c r="CW45" i="33" s="1"/>
  <c r="CZ45" i="33" s="1"/>
  <c r="DC45" i="33" s="1"/>
  <c r="DF45" i="33" s="1"/>
  <c r="DI45" i="33" s="1"/>
  <c r="H45" i="33"/>
  <c r="K45" i="33" s="1"/>
  <c r="N45" i="33" s="1"/>
  <c r="Q45" i="33" s="1"/>
  <c r="T45" i="33" s="1"/>
  <c r="W45" i="33" s="1"/>
  <c r="Z45" i="33" s="1"/>
  <c r="DO44" i="33"/>
  <c r="DR44" i="33" s="1"/>
  <c r="DU44" i="33" s="1"/>
  <c r="DX44" i="33" s="1"/>
  <c r="EA44" i="33" s="1"/>
  <c r="ED44" i="33" s="1"/>
  <c r="EG44" i="33" s="1"/>
  <c r="EJ44" i="33" s="1"/>
  <c r="EM44" i="33" s="1"/>
  <c r="EP44" i="33" s="1"/>
  <c r="ES44" i="33" s="1"/>
  <c r="EV44" i="33" s="1"/>
  <c r="EY44" i="33" s="1"/>
  <c r="AF44" i="33"/>
  <c r="AI44" i="33" s="1"/>
  <c r="AL44" i="33" s="1"/>
  <c r="AO44" i="33" s="1"/>
  <c r="AR44" i="33" s="1"/>
  <c r="AU44" i="33" s="1"/>
  <c r="AX44" i="33" s="1"/>
  <c r="BA44" i="33" s="1"/>
  <c r="BD44" i="33" s="1"/>
  <c r="BG44" i="33" s="1"/>
  <c r="BJ44" i="33" s="1"/>
  <c r="BM44" i="33" s="1"/>
  <c r="BP44" i="33" s="1"/>
  <c r="BS44" i="33" s="1"/>
  <c r="BV44" i="33" s="1"/>
  <c r="BY44" i="33" s="1"/>
  <c r="CB44" i="33" s="1"/>
  <c r="CE44" i="33" s="1"/>
  <c r="CH44" i="33" s="1"/>
  <c r="CK44" i="33" s="1"/>
  <c r="CN44" i="33" s="1"/>
  <c r="CQ44" i="33" s="1"/>
  <c r="CT44" i="33" s="1"/>
  <c r="CW44" i="33" s="1"/>
  <c r="CZ44" i="33" s="1"/>
  <c r="DC44" i="33" s="1"/>
  <c r="DF44" i="33" s="1"/>
  <c r="DI44" i="33" s="1"/>
  <c r="H44" i="33"/>
  <c r="K44" i="33" s="1"/>
  <c r="N44" i="33" s="1"/>
  <c r="Q44" i="33" s="1"/>
  <c r="T44" i="33" s="1"/>
  <c r="W44" i="33" s="1"/>
  <c r="Z44" i="33" s="1"/>
  <c r="DO43" i="33"/>
  <c r="DR43" i="33" s="1"/>
  <c r="DU43" i="33" s="1"/>
  <c r="DX43" i="33" s="1"/>
  <c r="EA43" i="33" s="1"/>
  <c r="ED43" i="33" s="1"/>
  <c r="EG43" i="33" s="1"/>
  <c r="EJ43" i="33" s="1"/>
  <c r="EM43" i="33" s="1"/>
  <c r="EP43" i="33" s="1"/>
  <c r="ES43" i="33" s="1"/>
  <c r="EV43" i="33" s="1"/>
  <c r="EY43" i="33" s="1"/>
  <c r="AF43" i="33"/>
  <c r="AI43" i="33" s="1"/>
  <c r="AL43" i="33" s="1"/>
  <c r="AO43" i="33" s="1"/>
  <c r="AR43" i="33" s="1"/>
  <c r="AU43" i="33" s="1"/>
  <c r="AX43" i="33" s="1"/>
  <c r="BA43" i="33" s="1"/>
  <c r="BD43" i="33" s="1"/>
  <c r="BG43" i="33" s="1"/>
  <c r="BJ43" i="33" s="1"/>
  <c r="BM43" i="33" s="1"/>
  <c r="BP43" i="33" s="1"/>
  <c r="BS43" i="33" s="1"/>
  <c r="BV43" i="33" s="1"/>
  <c r="BY43" i="33" s="1"/>
  <c r="CB43" i="33" s="1"/>
  <c r="CE43" i="33" s="1"/>
  <c r="CH43" i="33" s="1"/>
  <c r="CK43" i="33" s="1"/>
  <c r="CN43" i="33" s="1"/>
  <c r="CQ43" i="33" s="1"/>
  <c r="CT43" i="33" s="1"/>
  <c r="CW43" i="33" s="1"/>
  <c r="CZ43" i="33" s="1"/>
  <c r="DC43" i="33" s="1"/>
  <c r="DF43" i="33" s="1"/>
  <c r="DI43" i="33" s="1"/>
  <c r="H43" i="33"/>
  <c r="K43" i="33" s="1"/>
  <c r="N43" i="33" s="1"/>
  <c r="Q43" i="33" s="1"/>
  <c r="T43" i="33" s="1"/>
  <c r="W43" i="33" s="1"/>
  <c r="Z43" i="33" s="1"/>
  <c r="DO42" i="33"/>
  <c r="DR42" i="33" s="1"/>
  <c r="DU42" i="33" s="1"/>
  <c r="DX42" i="33" s="1"/>
  <c r="EA42" i="33" s="1"/>
  <c r="ED42" i="33" s="1"/>
  <c r="EG42" i="33" s="1"/>
  <c r="EJ42" i="33" s="1"/>
  <c r="EM42" i="33" s="1"/>
  <c r="EP42" i="33" s="1"/>
  <c r="ES42" i="33" s="1"/>
  <c r="EV42" i="33" s="1"/>
  <c r="EY42" i="33" s="1"/>
  <c r="H42" i="33"/>
  <c r="K42" i="33" s="1"/>
  <c r="N42" i="33" s="1"/>
  <c r="Q42" i="33" s="1"/>
  <c r="T42" i="33" s="1"/>
  <c r="W42" i="33" s="1"/>
  <c r="Z42" i="33" s="1"/>
  <c r="AC42" i="33" s="1"/>
  <c r="AF42" i="33" s="1"/>
  <c r="AI42" i="33" s="1"/>
  <c r="AL42" i="33" s="1"/>
  <c r="AO42" i="33" s="1"/>
  <c r="AR42" i="33" s="1"/>
  <c r="AU42" i="33" s="1"/>
  <c r="AX42" i="33" s="1"/>
  <c r="BA42" i="33" s="1"/>
  <c r="BD42" i="33" s="1"/>
  <c r="BG42" i="33" s="1"/>
  <c r="BJ42" i="33" s="1"/>
  <c r="BM42" i="33" s="1"/>
  <c r="BP42" i="33" s="1"/>
  <c r="BS42" i="33" s="1"/>
  <c r="BV42" i="33" s="1"/>
  <c r="BY42" i="33" s="1"/>
  <c r="CB42" i="33" s="1"/>
  <c r="CE42" i="33" s="1"/>
  <c r="CH42" i="33" s="1"/>
  <c r="CK42" i="33" s="1"/>
  <c r="CN42" i="33" s="1"/>
  <c r="CQ42" i="33" s="1"/>
  <c r="CT42" i="33" s="1"/>
  <c r="CW42" i="33" s="1"/>
  <c r="CZ42" i="33" s="1"/>
  <c r="DC42" i="33" s="1"/>
  <c r="DF42" i="33" s="1"/>
  <c r="DI42" i="33" s="1"/>
  <c r="DO41" i="33"/>
  <c r="DR41" i="33" s="1"/>
  <c r="DU41" i="33" s="1"/>
  <c r="DX41" i="33" s="1"/>
  <c r="EA41" i="33" s="1"/>
  <c r="ED41" i="33" s="1"/>
  <c r="EG41" i="33" s="1"/>
  <c r="EJ41" i="33" s="1"/>
  <c r="EM41" i="33" s="1"/>
  <c r="EP41" i="33" s="1"/>
  <c r="ES41" i="33" s="1"/>
  <c r="EV41" i="33" s="1"/>
  <c r="EY41" i="33" s="1"/>
  <c r="AU41" i="33"/>
  <c r="AX41" i="33" s="1"/>
  <c r="BA41" i="33" s="1"/>
  <c r="BD41" i="33" s="1"/>
  <c r="BG41" i="33" s="1"/>
  <c r="BJ41" i="33" s="1"/>
  <c r="BM41" i="33" s="1"/>
  <c r="BP41" i="33" s="1"/>
  <c r="BS41" i="33" s="1"/>
  <c r="BV41" i="33" s="1"/>
  <c r="BY41" i="33" s="1"/>
  <c r="CB41" i="33" s="1"/>
  <c r="CE41" i="33" s="1"/>
  <c r="CH41" i="33" s="1"/>
  <c r="CK41" i="33" s="1"/>
  <c r="CN41" i="33" s="1"/>
  <c r="CQ41" i="33" s="1"/>
  <c r="CT41" i="33" s="1"/>
  <c r="CW41" i="33" s="1"/>
  <c r="CZ41" i="33" s="1"/>
  <c r="DC41" i="33" s="1"/>
  <c r="DF41" i="33" s="1"/>
  <c r="DI41" i="33" s="1"/>
  <c r="H41" i="33"/>
  <c r="K41" i="33" s="1"/>
  <c r="N41" i="33" s="1"/>
  <c r="Q41" i="33" s="1"/>
  <c r="T41" i="33" s="1"/>
  <c r="W41" i="33" s="1"/>
  <c r="Z41" i="33" s="1"/>
  <c r="AC41" i="33" s="1"/>
  <c r="AF41" i="33" s="1"/>
  <c r="AI41" i="33" s="1"/>
  <c r="AL41" i="33" s="1"/>
  <c r="AO41" i="33" s="1"/>
  <c r="DO40" i="33"/>
  <c r="DR40" i="33" s="1"/>
  <c r="DU40" i="33" s="1"/>
  <c r="DX40" i="33" s="1"/>
  <c r="EA40" i="33" s="1"/>
  <c r="ED40" i="33" s="1"/>
  <c r="EG40" i="33" s="1"/>
  <c r="EJ40" i="33" s="1"/>
  <c r="EM40" i="33" s="1"/>
  <c r="EP40" i="33" s="1"/>
  <c r="ES40" i="33" s="1"/>
  <c r="EV40" i="33" s="1"/>
  <c r="EY40" i="33" s="1"/>
  <c r="AI40" i="33"/>
  <c r="AL40" i="33" s="1"/>
  <c r="AO40" i="33" s="1"/>
  <c r="AR40" i="33" s="1"/>
  <c r="AU40" i="33" s="1"/>
  <c r="AX40" i="33" s="1"/>
  <c r="BA40" i="33" s="1"/>
  <c r="BD40" i="33" s="1"/>
  <c r="BG40" i="33" s="1"/>
  <c r="H40" i="33"/>
  <c r="K40" i="33" s="1"/>
  <c r="N40" i="33" s="1"/>
  <c r="Q40" i="33" s="1"/>
  <c r="T40" i="33" s="1"/>
  <c r="W40" i="33" s="1"/>
  <c r="Z40" i="33" s="1"/>
  <c r="AC40" i="33" s="1"/>
  <c r="DO39" i="33"/>
  <c r="DR39" i="33" s="1"/>
  <c r="DU39" i="33" s="1"/>
  <c r="DX39" i="33" s="1"/>
  <c r="EA39" i="33" s="1"/>
  <c r="ED39" i="33" s="1"/>
  <c r="EG39" i="33" s="1"/>
  <c r="EJ39" i="33" s="1"/>
  <c r="EM39" i="33" s="1"/>
  <c r="EP39" i="33" s="1"/>
  <c r="ES39" i="33" s="1"/>
  <c r="EV39" i="33" s="1"/>
  <c r="EY39" i="33" s="1"/>
  <c r="BJ39" i="33"/>
  <c r="BM39" i="33" s="1"/>
  <c r="BP39" i="33" s="1"/>
  <c r="BS39" i="33" s="1"/>
  <c r="BV39" i="33" s="1"/>
  <c r="BY39" i="33" s="1"/>
  <c r="CB39" i="33" s="1"/>
  <c r="CE39" i="33" s="1"/>
  <c r="CH39" i="33" s="1"/>
  <c r="CK39" i="33" s="1"/>
  <c r="CN39" i="33" s="1"/>
  <c r="CQ39" i="33" s="1"/>
  <c r="CT39" i="33" s="1"/>
  <c r="CW39" i="33" s="1"/>
  <c r="CZ39" i="33" s="1"/>
  <c r="DC39" i="33" s="1"/>
  <c r="DF39" i="33" s="1"/>
  <c r="DI39" i="33" s="1"/>
  <c r="AU39" i="33"/>
  <c r="AX39" i="33" s="1"/>
  <c r="BA39" i="33" s="1"/>
  <c r="Z39" i="33"/>
  <c r="AC39" i="33" s="1"/>
  <c r="AF39" i="33" s="1"/>
  <c r="AI39" i="33" s="1"/>
  <c r="AL39" i="33" s="1"/>
  <c r="AO39" i="33" s="1"/>
  <c r="DO38" i="33"/>
  <c r="DR38" i="33" s="1"/>
  <c r="DU38" i="33" s="1"/>
  <c r="DX38" i="33" s="1"/>
  <c r="EA38" i="33" s="1"/>
  <c r="ED38" i="33" s="1"/>
  <c r="EG38" i="33" s="1"/>
  <c r="EJ38" i="33" s="1"/>
  <c r="EM38" i="33" s="1"/>
  <c r="EP38" i="33" s="1"/>
  <c r="ES38" i="33" s="1"/>
  <c r="EV38" i="33" s="1"/>
  <c r="EY38" i="33" s="1"/>
  <c r="BJ38" i="33"/>
  <c r="BM38" i="33" s="1"/>
  <c r="BP38" i="33" s="1"/>
  <c r="BS38" i="33" s="1"/>
  <c r="BV38" i="33" s="1"/>
  <c r="BY38" i="33" s="1"/>
  <c r="CB38" i="33" s="1"/>
  <c r="CE38" i="33" s="1"/>
  <c r="CH38" i="33" s="1"/>
  <c r="CK38" i="33" s="1"/>
  <c r="CN38" i="33" s="1"/>
  <c r="CQ38" i="33" s="1"/>
  <c r="CT38" i="33" s="1"/>
  <c r="CW38" i="33" s="1"/>
  <c r="CZ38" i="33" s="1"/>
  <c r="DC38" i="33" s="1"/>
  <c r="DF38" i="33" s="1"/>
  <c r="DI38" i="33" s="1"/>
  <c r="AU38" i="33"/>
  <c r="AX38" i="33" s="1"/>
  <c r="BA38" i="33" s="1"/>
  <c r="BD38" i="33" s="1"/>
  <c r="Z38" i="33"/>
  <c r="AC38" i="33" s="1"/>
  <c r="AF38" i="33" s="1"/>
  <c r="AI38" i="33" s="1"/>
  <c r="AL38" i="33" s="1"/>
  <c r="AO38" i="33" s="1"/>
  <c r="N38" i="33"/>
  <c r="Q38" i="33" s="1"/>
  <c r="T38" i="33" s="1"/>
  <c r="DO37" i="33"/>
  <c r="DR37" i="33" s="1"/>
  <c r="DU37" i="33" s="1"/>
  <c r="DX37" i="33" s="1"/>
  <c r="EA37" i="33" s="1"/>
  <c r="ED37" i="33" s="1"/>
  <c r="EG37" i="33" s="1"/>
  <c r="EJ37" i="33" s="1"/>
  <c r="EM37" i="33" s="1"/>
  <c r="EP37" i="33" s="1"/>
  <c r="ES37" i="33" s="1"/>
  <c r="EV37" i="33" s="1"/>
  <c r="EY37" i="33" s="1"/>
  <c r="BJ37" i="33"/>
  <c r="BM37" i="33" s="1"/>
  <c r="BP37" i="33" s="1"/>
  <c r="BS37" i="33" s="1"/>
  <c r="BV37" i="33" s="1"/>
  <c r="BY37" i="33" s="1"/>
  <c r="CB37" i="33" s="1"/>
  <c r="CE37" i="33" s="1"/>
  <c r="CH37" i="33" s="1"/>
  <c r="CK37" i="33" s="1"/>
  <c r="CN37" i="33" s="1"/>
  <c r="CQ37" i="33" s="1"/>
  <c r="CT37" i="33" s="1"/>
  <c r="CW37" i="33" s="1"/>
  <c r="CZ37" i="33" s="1"/>
  <c r="DC37" i="33" s="1"/>
  <c r="DF37" i="33" s="1"/>
  <c r="DI37" i="33" s="1"/>
  <c r="Q37" i="33"/>
  <c r="T37" i="33" s="1"/>
  <c r="W37" i="33" s="1"/>
  <c r="Z37" i="33" s="1"/>
  <c r="AC37" i="33" s="1"/>
  <c r="AF37" i="33" s="1"/>
  <c r="AI37" i="33" s="1"/>
  <c r="AL37" i="33" s="1"/>
  <c r="AO37" i="33" s="1"/>
  <c r="AR37" i="33" s="1"/>
  <c r="AU37" i="33" s="1"/>
  <c r="AX37" i="33" s="1"/>
  <c r="BA37" i="33" s="1"/>
  <c r="DO36" i="33"/>
  <c r="DR36" i="33" s="1"/>
  <c r="DU36" i="33" s="1"/>
  <c r="DX36" i="33" s="1"/>
  <c r="EA36" i="33" s="1"/>
  <c r="ED36" i="33" s="1"/>
  <c r="EG36" i="33" s="1"/>
  <c r="EJ36" i="33" s="1"/>
  <c r="EM36" i="33" s="1"/>
  <c r="EP36" i="33" s="1"/>
  <c r="ES36" i="33" s="1"/>
  <c r="EV36" i="33" s="1"/>
  <c r="EY36" i="33" s="1"/>
  <c r="BJ36" i="33"/>
  <c r="BM36" i="33" s="1"/>
  <c r="BP36" i="33" s="1"/>
  <c r="BS36" i="33" s="1"/>
  <c r="BV36" i="33" s="1"/>
  <c r="BY36" i="33" s="1"/>
  <c r="CB36" i="33" s="1"/>
  <c r="CE36" i="33" s="1"/>
  <c r="CH36" i="33" s="1"/>
  <c r="CK36" i="33" s="1"/>
  <c r="CN36" i="33" s="1"/>
  <c r="CQ36" i="33" s="1"/>
  <c r="CT36" i="33" s="1"/>
  <c r="CW36" i="33" s="1"/>
  <c r="CZ36" i="33" s="1"/>
  <c r="DC36" i="33" s="1"/>
  <c r="DF36" i="33" s="1"/>
  <c r="DI36" i="33" s="1"/>
  <c r="Z36" i="33"/>
  <c r="AC36" i="33" s="1"/>
  <c r="AF36" i="33" s="1"/>
  <c r="AI36" i="33" s="1"/>
  <c r="AL36" i="33" s="1"/>
  <c r="AO36" i="33" s="1"/>
  <c r="AR36" i="33" s="1"/>
  <c r="AU36" i="33" s="1"/>
  <c r="AX36" i="33" s="1"/>
  <c r="BA36" i="33" s="1"/>
  <c r="K36" i="33"/>
  <c r="N36" i="33" s="1"/>
  <c r="Q36" i="33" s="1"/>
  <c r="T36" i="33" s="1"/>
  <c r="H36" i="33"/>
  <c r="DO35" i="33"/>
  <c r="DR35" i="33" s="1"/>
  <c r="DU35" i="33" s="1"/>
  <c r="DX35" i="33" s="1"/>
  <c r="EA35" i="33" s="1"/>
  <c r="ED35" i="33" s="1"/>
  <c r="EG35" i="33" s="1"/>
  <c r="EJ35" i="33" s="1"/>
  <c r="EM35" i="33" s="1"/>
  <c r="EP35" i="33" s="1"/>
  <c r="ES35" i="33" s="1"/>
  <c r="EV35" i="33" s="1"/>
  <c r="EY35" i="33" s="1"/>
  <c r="BJ35" i="33"/>
  <c r="BM35" i="33" s="1"/>
  <c r="BP35" i="33" s="1"/>
  <c r="BS35" i="33" s="1"/>
  <c r="BV35" i="33" s="1"/>
  <c r="BY35" i="33" s="1"/>
  <c r="CB35" i="33" s="1"/>
  <c r="CE35" i="33" s="1"/>
  <c r="CH35" i="33" s="1"/>
  <c r="CK35" i="33" s="1"/>
  <c r="CN35" i="33" s="1"/>
  <c r="CQ35" i="33" s="1"/>
  <c r="CT35" i="33" s="1"/>
  <c r="CW35" i="33" s="1"/>
  <c r="CZ35" i="33" s="1"/>
  <c r="DC35" i="33" s="1"/>
  <c r="DF35" i="33" s="1"/>
  <c r="DI35" i="33" s="1"/>
  <c r="H35" i="33"/>
  <c r="K35" i="33" s="1"/>
  <c r="N35" i="33" s="1"/>
  <c r="Q35" i="33" s="1"/>
  <c r="T35" i="33" s="1"/>
  <c r="W35" i="33" s="1"/>
  <c r="Z35" i="33" s="1"/>
  <c r="AC35" i="33" s="1"/>
  <c r="AF35" i="33" s="1"/>
  <c r="AI35" i="33" s="1"/>
  <c r="AL35" i="33" s="1"/>
  <c r="AO35" i="33" s="1"/>
  <c r="AR35" i="33" s="1"/>
  <c r="AU35" i="33" s="1"/>
  <c r="AX35" i="33" s="1"/>
  <c r="BA35" i="33" s="1"/>
  <c r="DO34" i="33"/>
  <c r="DR34" i="33" s="1"/>
  <c r="DU34" i="33" s="1"/>
  <c r="DX34" i="33" s="1"/>
  <c r="EA34" i="33" s="1"/>
  <c r="ED34" i="33" s="1"/>
  <c r="EG34" i="33" s="1"/>
  <c r="EJ34" i="33" s="1"/>
  <c r="EM34" i="33" s="1"/>
  <c r="EP34" i="33" s="1"/>
  <c r="ES34" i="33" s="1"/>
  <c r="EV34" i="33" s="1"/>
  <c r="EY34" i="33" s="1"/>
  <c r="BJ34" i="33"/>
  <c r="BM34" i="33" s="1"/>
  <c r="BP34" i="33" s="1"/>
  <c r="BS34" i="33" s="1"/>
  <c r="BV34" i="33" s="1"/>
  <c r="BY34" i="33" s="1"/>
  <c r="CB34" i="33" s="1"/>
  <c r="CE34" i="33" s="1"/>
  <c r="CH34" i="33" s="1"/>
  <c r="CK34" i="33" s="1"/>
  <c r="CN34" i="33" s="1"/>
  <c r="CQ34" i="33" s="1"/>
  <c r="CT34" i="33" s="1"/>
  <c r="CW34" i="33" s="1"/>
  <c r="CZ34" i="33" s="1"/>
  <c r="DC34" i="33" s="1"/>
  <c r="DF34" i="33" s="1"/>
  <c r="DI34" i="33" s="1"/>
  <c r="AU34" i="33"/>
  <c r="AX34" i="33" s="1"/>
  <c r="BA34" i="33" s="1"/>
  <c r="BD34" i="33" s="1"/>
  <c r="H34" i="33"/>
  <c r="K34" i="33" s="1"/>
  <c r="DO33" i="33"/>
  <c r="DR33" i="33" s="1"/>
  <c r="DU33" i="33" s="1"/>
  <c r="DX33" i="33" s="1"/>
  <c r="EA33" i="33" s="1"/>
  <c r="ED33" i="33" s="1"/>
  <c r="EG33" i="33" s="1"/>
  <c r="EJ33" i="33" s="1"/>
  <c r="EM33" i="33" s="1"/>
  <c r="EP33" i="33" s="1"/>
  <c r="ES33" i="33" s="1"/>
  <c r="EV33" i="33" s="1"/>
  <c r="EY33" i="33" s="1"/>
  <c r="BJ33" i="33"/>
  <c r="BM33" i="33" s="1"/>
  <c r="BP33" i="33" s="1"/>
  <c r="BS33" i="33" s="1"/>
  <c r="BV33" i="33" s="1"/>
  <c r="BY33" i="33" s="1"/>
  <c r="CB33" i="33" s="1"/>
  <c r="CE33" i="33" s="1"/>
  <c r="CH33" i="33" s="1"/>
  <c r="CK33" i="33" s="1"/>
  <c r="CN33" i="33" s="1"/>
  <c r="CQ33" i="33" s="1"/>
  <c r="CT33" i="33" s="1"/>
  <c r="CW33" i="33" s="1"/>
  <c r="CZ33" i="33" s="1"/>
  <c r="DC33" i="33" s="1"/>
  <c r="DF33" i="33" s="1"/>
  <c r="DI33" i="33" s="1"/>
  <c r="N33" i="33"/>
  <c r="Q33" i="33" s="1"/>
  <c r="T33" i="33" s="1"/>
  <c r="W33" i="33" s="1"/>
  <c r="Z33" i="33" s="1"/>
  <c r="AC33" i="33" s="1"/>
  <c r="AF33" i="33" s="1"/>
  <c r="AI33" i="33" s="1"/>
  <c r="AL33" i="33" s="1"/>
  <c r="AO33" i="33" s="1"/>
  <c r="AR33" i="33" s="1"/>
  <c r="AU33" i="33" s="1"/>
  <c r="AX33" i="33" s="1"/>
  <c r="BA33" i="33" s="1"/>
  <c r="BD33" i="33" s="1"/>
  <c r="H33" i="33"/>
  <c r="DO32" i="33"/>
  <c r="DR32" i="33" s="1"/>
  <c r="DU32" i="33" s="1"/>
  <c r="DX32" i="33" s="1"/>
  <c r="EA32" i="33" s="1"/>
  <c r="ED32" i="33" s="1"/>
  <c r="EG32" i="33" s="1"/>
  <c r="EJ32" i="33" s="1"/>
  <c r="EM32" i="33" s="1"/>
  <c r="EP32" i="33" s="1"/>
  <c r="ES32" i="33" s="1"/>
  <c r="EV32" i="33" s="1"/>
  <c r="EY32" i="33" s="1"/>
  <c r="BJ32" i="33"/>
  <c r="BM32" i="33" s="1"/>
  <c r="BP32" i="33" s="1"/>
  <c r="BS32" i="33" s="1"/>
  <c r="BV32" i="33" s="1"/>
  <c r="BY32" i="33" s="1"/>
  <c r="CB32" i="33" s="1"/>
  <c r="CE32" i="33" s="1"/>
  <c r="CH32" i="33" s="1"/>
  <c r="CK32" i="33" s="1"/>
  <c r="CN32" i="33" s="1"/>
  <c r="CQ32" i="33" s="1"/>
  <c r="CT32" i="33" s="1"/>
  <c r="CW32" i="33" s="1"/>
  <c r="CZ32" i="33" s="1"/>
  <c r="DC32" i="33" s="1"/>
  <c r="DF32" i="33" s="1"/>
  <c r="DI32" i="33" s="1"/>
  <c r="AO32" i="33"/>
  <c r="AR32" i="33" s="1"/>
  <c r="AU32" i="33" s="1"/>
  <c r="AX32" i="33" s="1"/>
  <c r="BA32" i="33" s="1"/>
  <c r="AC32" i="33"/>
  <c r="AF32" i="33" s="1"/>
  <c r="AI32" i="33" s="1"/>
  <c r="H32" i="33"/>
  <c r="K32" i="33" s="1"/>
  <c r="N32" i="33" s="1"/>
  <c r="Q32" i="33" s="1"/>
  <c r="T32" i="33" s="1"/>
  <c r="W32" i="33" s="1"/>
  <c r="DO31" i="33"/>
  <c r="DR31" i="33" s="1"/>
  <c r="DU31" i="33" s="1"/>
  <c r="DX31" i="33" s="1"/>
  <c r="EA31" i="33" s="1"/>
  <c r="ED31" i="33" s="1"/>
  <c r="EG31" i="33" s="1"/>
  <c r="EJ31" i="33" s="1"/>
  <c r="EM31" i="33" s="1"/>
  <c r="EP31" i="33" s="1"/>
  <c r="ES31" i="33" s="1"/>
  <c r="EV31" i="33" s="1"/>
  <c r="EY31" i="33" s="1"/>
  <c r="BJ31" i="33"/>
  <c r="BM31" i="33" s="1"/>
  <c r="BP31" i="33" s="1"/>
  <c r="BS31" i="33" s="1"/>
  <c r="BV31" i="33" s="1"/>
  <c r="H31" i="33"/>
  <c r="K31" i="33" s="1"/>
  <c r="DO30" i="33"/>
  <c r="DR30" i="33" s="1"/>
  <c r="DU30" i="33" s="1"/>
  <c r="DX30" i="33" s="1"/>
  <c r="EA30" i="33" s="1"/>
  <c r="ED30" i="33" s="1"/>
  <c r="EG30" i="33" s="1"/>
  <c r="EJ30" i="33" s="1"/>
  <c r="EM30" i="33" s="1"/>
  <c r="EP30" i="33" s="1"/>
  <c r="ES30" i="33" s="1"/>
  <c r="EV30" i="33" s="1"/>
  <c r="EY30" i="33" s="1"/>
  <c r="BJ30" i="33"/>
  <c r="BM30" i="33" s="1"/>
  <c r="BP30" i="33" s="1"/>
  <c r="BS30" i="33" s="1"/>
  <c r="BV30" i="33" s="1"/>
  <c r="BY30" i="33" s="1"/>
  <c r="CB30" i="33" s="1"/>
  <c r="CE30" i="33" s="1"/>
  <c r="CH30" i="33" s="1"/>
  <c r="CK30" i="33" s="1"/>
  <c r="CN30" i="33" s="1"/>
  <c r="CQ30" i="33" s="1"/>
  <c r="CT30" i="33" s="1"/>
  <c r="CW30" i="33" s="1"/>
  <c r="CZ30" i="33" s="1"/>
  <c r="DC30" i="33" s="1"/>
  <c r="DF30" i="33" s="1"/>
  <c r="DI30" i="33" s="1"/>
  <c r="N30" i="33"/>
  <c r="Q30" i="33" s="1"/>
  <c r="T30" i="33" s="1"/>
  <c r="W30" i="33" s="1"/>
  <c r="Z30" i="33" s="1"/>
  <c r="AC30" i="33" s="1"/>
  <c r="AF30" i="33" s="1"/>
  <c r="DO29" i="33"/>
  <c r="DR29" i="33" s="1"/>
  <c r="DU29" i="33" s="1"/>
  <c r="DX29" i="33" s="1"/>
  <c r="EA29" i="33" s="1"/>
  <c r="ED29" i="33" s="1"/>
  <c r="EG29" i="33" s="1"/>
  <c r="EJ29" i="33" s="1"/>
  <c r="EM29" i="33" s="1"/>
  <c r="EP29" i="33" s="1"/>
  <c r="ES29" i="33" s="1"/>
  <c r="EV29" i="33" s="1"/>
  <c r="EY29" i="33" s="1"/>
  <c r="BJ29" i="33"/>
  <c r="BM29" i="33" s="1"/>
  <c r="BP29" i="33" s="1"/>
  <c r="BS29" i="33" s="1"/>
  <c r="BV29" i="33" s="1"/>
  <c r="BY29" i="33" s="1"/>
  <c r="CB29" i="33" s="1"/>
  <c r="CE29" i="33" s="1"/>
  <c r="CH29" i="33" s="1"/>
  <c r="CK29" i="33" s="1"/>
  <c r="CN29" i="33" s="1"/>
  <c r="CQ29" i="33" s="1"/>
  <c r="CT29" i="33" s="1"/>
  <c r="CW29" i="33" s="1"/>
  <c r="CZ29" i="33" s="1"/>
  <c r="DC29" i="33" s="1"/>
  <c r="DF29" i="33" s="1"/>
  <c r="DI29" i="33" s="1"/>
  <c r="AF29" i="33"/>
  <c r="AI29" i="33" s="1"/>
  <c r="AL29" i="33" s="1"/>
  <c r="AO29" i="33" s="1"/>
  <c r="AR29" i="33" s="1"/>
  <c r="AU29" i="33" s="1"/>
  <c r="AX29" i="33" s="1"/>
  <c r="BA29" i="33" s="1"/>
  <c r="BD29" i="33" s="1"/>
  <c r="H29" i="33"/>
  <c r="K29" i="33" s="1"/>
  <c r="N29" i="33" s="1"/>
  <c r="Q29" i="33" s="1"/>
  <c r="T29" i="33" s="1"/>
  <c r="W29" i="33" s="1"/>
  <c r="DO28" i="33"/>
  <c r="DR28" i="33" s="1"/>
  <c r="DU28" i="33" s="1"/>
  <c r="DX28" i="33" s="1"/>
  <c r="EA28" i="33" s="1"/>
  <c r="ED28" i="33" s="1"/>
  <c r="EG28" i="33" s="1"/>
  <c r="EJ28" i="33" s="1"/>
  <c r="EM28" i="33" s="1"/>
  <c r="EP28" i="33" s="1"/>
  <c r="ES28" i="33" s="1"/>
  <c r="EV28" i="33" s="1"/>
  <c r="EY28" i="33" s="1"/>
  <c r="BJ28" i="33"/>
  <c r="BM28" i="33" s="1"/>
  <c r="BP28" i="33" s="1"/>
  <c r="BS28" i="33" s="1"/>
  <c r="BV28" i="33" s="1"/>
  <c r="BY28" i="33" s="1"/>
  <c r="CB28" i="33" s="1"/>
  <c r="CE28" i="33" s="1"/>
  <c r="CH28" i="33" s="1"/>
  <c r="CK28" i="33" s="1"/>
  <c r="CN28" i="33" s="1"/>
  <c r="CQ28" i="33" s="1"/>
  <c r="CT28" i="33" s="1"/>
  <c r="CW28" i="33" s="1"/>
  <c r="CZ28" i="33" s="1"/>
  <c r="DC28" i="33" s="1"/>
  <c r="DF28" i="33" s="1"/>
  <c r="DI28" i="33" s="1"/>
  <c r="AF28" i="33"/>
  <c r="AI28" i="33" s="1"/>
  <c r="AL28" i="33" s="1"/>
  <c r="AO28" i="33" s="1"/>
  <c r="AR28" i="33" s="1"/>
  <c r="AU28" i="33" s="1"/>
  <c r="AX28" i="33" s="1"/>
  <c r="BA28" i="33" s="1"/>
  <c r="BD28" i="33" s="1"/>
  <c r="N28" i="33"/>
  <c r="Q28" i="33" s="1"/>
  <c r="T28" i="33" s="1"/>
  <c r="W28" i="33" s="1"/>
  <c r="DO27" i="33"/>
  <c r="DR27" i="33" s="1"/>
  <c r="DU27" i="33" s="1"/>
  <c r="DX27" i="33" s="1"/>
  <c r="EA27" i="33" s="1"/>
  <c r="ED27" i="33" s="1"/>
  <c r="EG27" i="33" s="1"/>
  <c r="EJ27" i="33" s="1"/>
  <c r="EM27" i="33" s="1"/>
  <c r="EP27" i="33" s="1"/>
  <c r="ES27" i="33" s="1"/>
  <c r="EV27" i="33" s="1"/>
  <c r="BJ27" i="33"/>
  <c r="BM27" i="33" s="1"/>
  <c r="BP27" i="33" s="1"/>
  <c r="BS27" i="33" s="1"/>
  <c r="BV27" i="33" s="1"/>
  <c r="BY27" i="33" s="1"/>
  <c r="CB27" i="33" s="1"/>
  <c r="CE27" i="33" s="1"/>
  <c r="CH27" i="33" s="1"/>
  <c r="CK27" i="33" s="1"/>
  <c r="CN27" i="33" s="1"/>
  <c r="CQ27" i="33" s="1"/>
  <c r="CT27" i="33" s="1"/>
  <c r="CW27" i="33" s="1"/>
  <c r="CZ27" i="33" s="1"/>
  <c r="DC27" i="33" s="1"/>
  <c r="DF27" i="33" s="1"/>
  <c r="DI27" i="33" s="1"/>
  <c r="AU27" i="33"/>
  <c r="AX27" i="33" s="1"/>
  <c r="BA27" i="33" s="1"/>
  <c r="AI27" i="33"/>
  <c r="AL27" i="33" s="1"/>
  <c r="AO27" i="33" s="1"/>
  <c r="V27" i="33"/>
  <c r="V157" i="33" s="1"/>
  <c r="H27" i="33"/>
  <c r="K27" i="33" s="1"/>
  <c r="N27" i="33" s="1"/>
  <c r="Q27" i="33" s="1"/>
  <c r="T27" i="33" s="1"/>
  <c r="DO26" i="33"/>
  <c r="DR26" i="33" s="1"/>
  <c r="DU26" i="33" s="1"/>
  <c r="DX26" i="33" s="1"/>
  <c r="EA26" i="33" s="1"/>
  <c r="ED26" i="33" s="1"/>
  <c r="EG26" i="33" s="1"/>
  <c r="EJ26" i="33" s="1"/>
  <c r="EM26" i="33" s="1"/>
  <c r="EP26" i="33" s="1"/>
  <c r="ES26" i="33" s="1"/>
  <c r="EV26" i="33" s="1"/>
  <c r="EY26" i="33" s="1"/>
  <c r="BJ26" i="33"/>
  <c r="BM26" i="33" s="1"/>
  <c r="BP26" i="33" s="1"/>
  <c r="BS26" i="33" s="1"/>
  <c r="BV26" i="33" s="1"/>
  <c r="BY26" i="33" s="1"/>
  <c r="CB26" i="33" s="1"/>
  <c r="CE26" i="33" s="1"/>
  <c r="CH26" i="33" s="1"/>
  <c r="CK26" i="33" s="1"/>
  <c r="CN26" i="33" s="1"/>
  <c r="CQ26" i="33" s="1"/>
  <c r="CT26" i="33" s="1"/>
  <c r="CW26" i="33" s="1"/>
  <c r="CZ26" i="33" s="1"/>
  <c r="DC26" i="33" s="1"/>
  <c r="DF26" i="33" s="1"/>
  <c r="DI26" i="33" s="1"/>
  <c r="AF26" i="33"/>
  <c r="AI26" i="33" s="1"/>
  <c r="AL26" i="33" s="1"/>
  <c r="AO26" i="33" s="1"/>
  <c r="AR26" i="33" s="1"/>
  <c r="AU26" i="33" s="1"/>
  <c r="AX26" i="33" s="1"/>
  <c r="BA26" i="33" s="1"/>
  <c r="BD26" i="33" s="1"/>
  <c r="DO25" i="33"/>
  <c r="BJ25" i="33"/>
  <c r="BJ160" i="33" s="1"/>
  <c r="H25" i="33"/>
  <c r="K25" i="33" s="1"/>
  <c r="EF24" i="33"/>
  <c r="EE24" i="33"/>
  <c r="EE47" i="33" s="1"/>
  <c r="EC24" i="33"/>
  <c r="EB24" i="33"/>
  <c r="DY24" i="33"/>
  <c r="DV24" i="33"/>
  <c r="DT24" i="33"/>
  <c r="DS24" i="33"/>
  <c r="DQ24" i="33"/>
  <c r="DP24" i="33"/>
  <c r="DN24" i="33"/>
  <c r="DM24" i="33"/>
  <c r="DK24" i="33"/>
  <c r="DJ24" i="33"/>
  <c r="DH24" i="33"/>
  <c r="DG24" i="33"/>
  <c r="DE24" i="33"/>
  <c r="DD24" i="33"/>
  <c r="DB24" i="33"/>
  <c r="DA24" i="33"/>
  <c r="CY24" i="33"/>
  <c r="CX24" i="33"/>
  <c r="CV24" i="33"/>
  <c r="CU24" i="33"/>
  <c r="CS24" i="33"/>
  <c r="CR24" i="33"/>
  <c r="CP24" i="33"/>
  <c r="CO24" i="33"/>
  <c r="CM24" i="33"/>
  <c r="CL24" i="33"/>
  <c r="CJ24" i="33"/>
  <c r="CI24" i="33"/>
  <c r="CG24" i="33"/>
  <c r="CF24" i="33"/>
  <c r="CD24" i="33"/>
  <c r="CC24" i="33"/>
  <c r="CA24" i="33"/>
  <c r="BZ24" i="33"/>
  <c r="BX24" i="33"/>
  <c r="BW24" i="33"/>
  <c r="BU24" i="33"/>
  <c r="BT24" i="33"/>
  <c r="BR24" i="33"/>
  <c r="BQ24" i="33"/>
  <c r="BO24" i="33"/>
  <c r="BN24" i="33"/>
  <c r="BL24" i="33"/>
  <c r="BK24" i="33"/>
  <c r="BI24" i="33"/>
  <c r="BH24" i="33"/>
  <c r="BF24" i="33"/>
  <c r="BC24" i="33"/>
  <c r="AZ24" i="33"/>
  <c r="AY24" i="33"/>
  <c r="AV24" i="33"/>
  <c r="AT24" i="33"/>
  <c r="AS24" i="33"/>
  <c r="AQ24" i="33"/>
  <c r="AP24" i="33"/>
  <c r="AN24" i="33"/>
  <c r="AM24" i="33"/>
  <c r="AK24" i="33"/>
  <c r="AJ24" i="33"/>
  <c r="AH24" i="33"/>
  <c r="AG24" i="33"/>
  <c r="AE24" i="33"/>
  <c r="AD24" i="33"/>
  <c r="AB24" i="33"/>
  <c r="AA24" i="33"/>
  <c r="Y24" i="33"/>
  <c r="X24" i="33"/>
  <c r="V24" i="33"/>
  <c r="U24" i="33"/>
  <c r="S24" i="33"/>
  <c r="R24" i="33"/>
  <c r="P24" i="33"/>
  <c r="O24" i="33"/>
  <c r="M24" i="33"/>
  <c r="L24" i="33"/>
  <c r="J24" i="33"/>
  <c r="I24" i="33"/>
  <c r="G24" i="33"/>
  <c r="F24" i="33"/>
  <c r="CH23" i="33"/>
  <c r="CK23" i="33" s="1"/>
  <c r="CN23" i="33" s="1"/>
  <c r="CQ23" i="33" s="1"/>
  <c r="CT23" i="33" s="1"/>
  <c r="CW23" i="33" s="1"/>
  <c r="CZ23" i="33" s="1"/>
  <c r="DC23" i="33" s="1"/>
  <c r="DF23" i="33" s="1"/>
  <c r="DI23" i="33" s="1"/>
  <c r="DL23" i="33" s="1"/>
  <c r="DO23" i="33" s="1"/>
  <c r="DR23" i="33" s="1"/>
  <c r="DU23" i="33" s="1"/>
  <c r="DX23" i="33" s="1"/>
  <c r="EA23" i="33" s="1"/>
  <c r="ED23" i="33" s="1"/>
  <c r="EG23" i="33" s="1"/>
  <c r="EJ23" i="33" s="1"/>
  <c r="EM23" i="33" s="1"/>
  <c r="EP23" i="33" s="1"/>
  <c r="ES23" i="33" s="1"/>
  <c r="EV23" i="33" s="1"/>
  <c r="EY23" i="33" s="1"/>
  <c r="AI23" i="33"/>
  <c r="AL23" i="33" s="1"/>
  <c r="AO23" i="33" s="1"/>
  <c r="AR23" i="33" s="1"/>
  <c r="AU23" i="33" s="1"/>
  <c r="AX23" i="33" s="1"/>
  <c r="BA23" i="33" s="1"/>
  <c r="BD23" i="33" s="1"/>
  <c r="BG23" i="33" s="1"/>
  <c r="BJ23" i="33" s="1"/>
  <c r="BM23" i="33" s="1"/>
  <c r="BP23" i="33" s="1"/>
  <c r="BS23" i="33" s="1"/>
  <c r="BV23" i="33" s="1"/>
  <c r="BY23" i="33" s="1"/>
  <c r="CB23" i="33" s="1"/>
  <c r="K23" i="33"/>
  <c r="N23" i="33" s="1"/>
  <c r="Q23" i="33" s="1"/>
  <c r="T23" i="33" s="1"/>
  <c r="W23" i="33" s="1"/>
  <c r="Z23" i="33" s="1"/>
  <c r="AC23" i="33" s="1"/>
  <c r="DI22" i="33"/>
  <c r="DL22" i="33" s="1"/>
  <c r="DO22" i="33" s="1"/>
  <c r="DR22" i="33" s="1"/>
  <c r="DU22" i="33" s="1"/>
  <c r="DX22" i="33" s="1"/>
  <c r="EA22" i="33" s="1"/>
  <c r="ED22" i="33" s="1"/>
  <c r="EG22" i="33" s="1"/>
  <c r="EJ22" i="33" s="1"/>
  <c r="EM22" i="33" s="1"/>
  <c r="EP22" i="33" s="1"/>
  <c r="ES22" i="33" s="1"/>
  <c r="EV22" i="33" s="1"/>
  <c r="EY22" i="33" s="1"/>
  <c r="CQ22" i="33"/>
  <c r="CT22" i="33" s="1"/>
  <c r="CW22" i="33" s="1"/>
  <c r="CZ22" i="33" s="1"/>
  <c r="DC22" i="33" s="1"/>
  <c r="H22" i="33"/>
  <c r="K22" i="33" s="1"/>
  <c r="N22" i="33" s="1"/>
  <c r="Q22" i="33" s="1"/>
  <c r="T22" i="33" s="1"/>
  <c r="W22" i="33" s="1"/>
  <c r="Z22" i="33" s="1"/>
  <c r="AC22" i="33" s="1"/>
  <c r="AF22" i="33" s="1"/>
  <c r="AI22" i="33" s="1"/>
  <c r="AL22" i="33" s="1"/>
  <c r="AO22" i="33" s="1"/>
  <c r="AR22" i="33" s="1"/>
  <c r="AU22" i="33" s="1"/>
  <c r="AX22" i="33" s="1"/>
  <c r="BA22" i="33" s="1"/>
  <c r="BD22" i="33" s="1"/>
  <c r="BG22" i="33" s="1"/>
  <c r="BJ22" i="33" s="1"/>
  <c r="BM22" i="33" s="1"/>
  <c r="BP22" i="33" s="1"/>
  <c r="BS22" i="33" s="1"/>
  <c r="BV22" i="33" s="1"/>
  <c r="BY22" i="33" s="1"/>
  <c r="CB22" i="33" s="1"/>
  <c r="CE22" i="33" s="1"/>
  <c r="CH22" i="33" s="1"/>
  <c r="CK22" i="33" s="1"/>
  <c r="BD21" i="33"/>
  <c r="BG21" i="33" s="1"/>
  <c r="BJ21" i="33" s="1"/>
  <c r="BM21" i="33" s="1"/>
  <c r="BP21" i="33" s="1"/>
  <c r="BS21" i="33" s="1"/>
  <c r="BV21" i="33" s="1"/>
  <c r="BY21" i="33" s="1"/>
  <c r="CB21" i="33" s="1"/>
  <c r="CE21" i="33" s="1"/>
  <c r="CH21" i="33" s="1"/>
  <c r="CK21" i="33" s="1"/>
  <c r="CN21" i="33" s="1"/>
  <c r="CQ21" i="33" s="1"/>
  <c r="CT21" i="33" s="1"/>
  <c r="CW21" i="33" s="1"/>
  <c r="CZ21" i="33" s="1"/>
  <c r="DC21" i="33" s="1"/>
  <c r="DF21" i="33" s="1"/>
  <c r="DI21" i="33" s="1"/>
  <c r="DL21" i="33" s="1"/>
  <c r="DO21" i="33" s="1"/>
  <c r="DR21" i="33" s="1"/>
  <c r="DU21" i="33" s="1"/>
  <c r="DX21" i="33" s="1"/>
  <c r="EA21" i="33" s="1"/>
  <c r="ED21" i="33" s="1"/>
  <c r="EG21" i="33" s="1"/>
  <c r="EJ21" i="33" s="1"/>
  <c r="EM21" i="33" s="1"/>
  <c r="EP21" i="33" s="1"/>
  <c r="ES21" i="33" s="1"/>
  <c r="EV21" i="33" s="1"/>
  <c r="EY21" i="33" s="1"/>
  <c r="H21" i="33"/>
  <c r="K21" i="33" s="1"/>
  <c r="N21" i="33" s="1"/>
  <c r="Q21" i="33" s="1"/>
  <c r="T21" i="33" s="1"/>
  <c r="W21" i="33" s="1"/>
  <c r="Z21" i="33" s="1"/>
  <c r="AC21" i="33" s="1"/>
  <c r="AF21" i="33" s="1"/>
  <c r="AI21" i="33" s="1"/>
  <c r="AL21" i="33" s="1"/>
  <c r="AO21" i="33" s="1"/>
  <c r="AR21" i="33" s="1"/>
  <c r="AU21" i="33" s="1"/>
  <c r="AX21" i="33" s="1"/>
  <c r="H20" i="33"/>
  <c r="K20" i="33" s="1"/>
  <c r="N20" i="33" s="1"/>
  <c r="Q20" i="33" s="1"/>
  <c r="T20" i="33" s="1"/>
  <c r="W20" i="33" s="1"/>
  <c r="Z20" i="33" s="1"/>
  <c r="AC20" i="33" s="1"/>
  <c r="AF20" i="33" s="1"/>
  <c r="AI20" i="33" s="1"/>
  <c r="AL20" i="33" s="1"/>
  <c r="AO20" i="33" s="1"/>
  <c r="AR20" i="33" s="1"/>
  <c r="AU20" i="33" s="1"/>
  <c r="AX20" i="33" s="1"/>
  <c r="BA20" i="33" s="1"/>
  <c r="BD20" i="33" s="1"/>
  <c r="BG20" i="33" s="1"/>
  <c r="BJ20" i="33" s="1"/>
  <c r="BM20" i="33" s="1"/>
  <c r="BP20" i="33" s="1"/>
  <c r="BS20" i="33" s="1"/>
  <c r="BV20" i="33" s="1"/>
  <c r="BY20" i="33" s="1"/>
  <c r="CB20" i="33" s="1"/>
  <c r="CE20" i="33" s="1"/>
  <c r="CH20" i="33" s="1"/>
  <c r="CK20" i="33" s="1"/>
  <c r="CN20" i="33" s="1"/>
  <c r="CQ20" i="33" s="1"/>
  <c r="CT20" i="33" s="1"/>
  <c r="CW20" i="33" s="1"/>
  <c r="CZ20" i="33" s="1"/>
  <c r="DC20" i="33" s="1"/>
  <c r="DF20" i="33" s="1"/>
  <c r="DI20" i="33" s="1"/>
  <c r="DL20" i="33" s="1"/>
  <c r="DO20" i="33" s="1"/>
  <c r="DR20" i="33" s="1"/>
  <c r="DU20" i="33" s="1"/>
  <c r="DX20" i="33" s="1"/>
  <c r="EA20" i="33" s="1"/>
  <c r="ED20" i="33" s="1"/>
  <c r="EG20" i="33" s="1"/>
  <c r="EJ20" i="33" s="1"/>
  <c r="EM20" i="33" s="1"/>
  <c r="EP20" i="33" s="1"/>
  <c r="ES20" i="33" s="1"/>
  <c r="EV20" i="33" s="1"/>
  <c r="EY20" i="33" s="1"/>
  <c r="CQ19" i="33"/>
  <c r="CT19" i="33" s="1"/>
  <c r="CW19" i="33" s="1"/>
  <c r="CZ19" i="33" s="1"/>
  <c r="DC19" i="33" s="1"/>
  <c r="DF19" i="33" s="1"/>
  <c r="DI19" i="33" s="1"/>
  <c r="DL19" i="33" s="1"/>
  <c r="DO19" i="33" s="1"/>
  <c r="DR19" i="33" s="1"/>
  <c r="DU19" i="33" s="1"/>
  <c r="DX19" i="33" s="1"/>
  <c r="EA19" i="33" s="1"/>
  <c r="ED19" i="33" s="1"/>
  <c r="EG19" i="33" s="1"/>
  <c r="EJ19" i="33" s="1"/>
  <c r="EM19" i="33" s="1"/>
  <c r="EP19" i="33" s="1"/>
  <c r="ES19" i="33" s="1"/>
  <c r="EV19" i="33" s="1"/>
  <c r="EY19" i="33" s="1"/>
  <c r="BE19" i="33"/>
  <c r="BE24" i="33" s="1"/>
  <c r="H19" i="33"/>
  <c r="K19" i="33" s="1"/>
  <c r="N19" i="33" s="1"/>
  <c r="Q19" i="33" s="1"/>
  <c r="T19" i="33" s="1"/>
  <c r="W19" i="33" s="1"/>
  <c r="Z19" i="33" s="1"/>
  <c r="AC19" i="33" s="1"/>
  <c r="AF19" i="33" s="1"/>
  <c r="AI19" i="33" s="1"/>
  <c r="AL19" i="33" s="1"/>
  <c r="AO19" i="33" s="1"/>
  <c r="AR19" i="33" s="1"/>
  <c r="AU19" i="33" s="1"/>
  <c r="AX19" i="33" s="1"/>
  <c r="BA19" i="33" s="1"/>
  <c r="BD19" i="33" s="1"/>
  <c r="H18" i="33"/>
  <c r="K18" i="33" s="1"/>
  <c r="N18" i="33" s="1"/>
  <c r="Q18" i="33" s="1"/>
  <c r="T18" i="33" s="1"/>
  <c r="W18" i="33" s="1"/>
  <c r="Z18" i="33" s="1"/>
  <c r="AC18" i="33" s="1"/>
  <c r="AF18" i="33" s="1"/>
  <c r="AI18" i="33" s="1"/>
  <c r="AL18" i="33" s="1"/>
  <c r="AO18" i="33" s="1"/>
  <c r="AR18" i="33" s="1"/>
  <c r="AU18" i="33" s="1"/>
  <c r="AX18" i="33" s="1"/>
  <c r="BA18" i="33" s="1"/>
  <c r="BD18" i="33" s="1"/>
  <c r="BG18" i="33" s="1"/>
  <c r="BJ18" i="33" s="1"/>
  <c r="BM18" i="33" s="1"/>
  <c r="BP18" i="33" s="1"/>
  <c r="BS18" i="33" s="1"/>
  <c r="BV18" i="33" s="1"/>
  <c r="BY18" i="33" s="1"/>
  <c r="CB18" i="33" s="1"/>
  <c r="CE18" i="33" s="1"/>
  <c r="CH18" i="33" s="1"/>
  <c r="CK18" i="33" s="1"/>
  <c r="CN18" i="33" s="1"/>
  <c r="CQ18" i="33" s="1"/>
  <c r="CT18" i="33" s="1"/>
  <c r="CW18" i="33" s="1"/>
  <c r="CZ18" i="33" s="1"/>
  <c r="DC18" i="33" s="1"/>
  <c r="DF18" i="33" s="1"/>
  <c r="DI18" i="33" s="1"/>
  <c r="DL18" i="33" s="1"/>
  <c r="DO18" i="33" s="1"/>
  <c r="DR18" i="33" s="1"/>
  <c r="DU18" i="33" s="1"/>
  <c r="DX18" i="33" s="1"/>
  <c r="EA18" i="33" s="1"/>
  <c r="ED18" i="33" s="1"/>
  <c r="EG18" i="33" s="1"/>
  <c r="EJ18" i="33" s="1"/>
  <c r="EM18" i="33" s="1"/>
  <c r="EP18" i="33" s="1"/>
  <c r="ES18" i="33" s="1"/>
  <c r="EV18" i="33" s="1"/>
  <c r="EY18" i="33" s="1"/>
  <c r="BG17" i="33"/>
  <c r="BJ17" i="33" s="1"/>
  <c r="BM17" i="33" s="1"/>
  <c r="BP17" i="33" s="1"/>
  <c r="BS17" i="33" s="1"/>
  <c r="BV17" i="33" s="1"/>
  <c r="BY17" i="33" s="1"/>
  <c r="CB17" i="33" s="1"/>
  <c r="CE17" i="33" s="1"/>
  <c r="CH17" i="33" s="1"/>
  <c r="CK17" i="33" s="1"/>
  <c r="CN17" i="33" s="1"/>
  <c r="CQ17" i="33" s="1"/>
  <c r="CT17" i="33" s="1"/>
  <c r="CW17" i="33" s="1"/>
  <c r="CZ17" i="33" s="1"/>
  <c r="DC17" i="33" s="1"/>
  <c r="DF17" i="33" s="1"/>
  <c r="DI17" i="33" s="1"/>
  <c r="DL17" i="33" s="1"/>
  <c r="DO17" i="33" s="1"/>
  <c r="DR17" i="33" s="1"/>
  <c r="DU17" i="33" s="1"/>
  <c r="DX17" i="33" s="1"/>
  <c r="EA17" i="33" s="1"/>
  <c r="ED17" i="33" s="1"/>
  <c r="EG17" i="33" s="1"/>
  <c r="EJ17" i="33" s="1"/>
  <c r="EM17" i="33" s="1"/>
  <c r="EP17" i="33" s="1"/>
  <c r="ES17" i="33" s="1"/>
  <c r="EV17" i="33" s="1"/>
  <c r="EY17" i="33" s="1"/>
  <c r="BB17" i="33"/>
  <c r="BB158" i="33" s="1"/>
  <c r="AW17" i="33"/>
  <c r="AI17" i="33"/>
  <c r="AL17" i="33" s="1"/>
  <c r="AO17" i="33" s="1"/>
  <c r="AR17" i="33" s="1"/>
  <c r="AU17" i="33" s="1"/>
  <c r="H17" i="33"/>
  <c r="K17" i="33" s="1"/>
  <c r="N17" i="33" s="1"/>
  <c r="Q17" i="33" s="1"/>
  <c r="T17" i="33" s="1"/>
  <c r="W17" i="33" s="1"/>
  <c r="Z17" i="33" s="1"/>
  <c r="AC17" i="33" s="1"/>
  <c r="H16" i="33"/>
  <c r="K16" i="33" s="1"/>
  <c r="H15" i="33"/>
  <c r="K15" i="33" s="1"/>
  <c r="N15" i="33" s="1"/>
  <c r="Q15" i="33" s="1"/>
  <c r="T15" i="33" s="1"/>
  <c r="H14" i="33"/>
  <c r="K14" i="33" s="1"/>
  <c r="N14" i="33" s="1"/>
  <c r="Q14" i="33" s="1"/>
  <c r="T14" i="33" s="1"/>
  <c r="W14" i="33" s="1"/>
  <c r="Z14" i="33" s="1"/>
  <c r="AC14" i="33" s="1"/>
  <c r="AF14" i="33" s="1"/>
  <c r="AI14" i="33" s="1"/>
  <c r="AL14" i="33" s="1"/>
  <c r="AO14" i="33" s="1"/>
  <c r="AR14" i="33" s="1"/>
  <c r="AU14" i="33" s="1"/>
  <c r="AX14" i="33" s="1"/>
  <c r="BA14" i="33" s="1"/>
  <c r="BD14" i="33" s="1"/>
  <c r="BG13" i="33"/>
  <c r="BJ13" i="33" s="1"/>
  <c r="BM13" i="33" s="1"/>
  <c r="BP13" i="33" s="1"/>
  <c r="BS13" i="33" s="1"/>
  <c r="AW13" i="33"/>
  <c r="AW158" i="33" s="1"/>
  <c r="H13" i="33"/>
  <c r="K13" i="33" s="1"/>
  <c r="N13" i="33" s="1"/>
  <c r="DW24" i="33"/>
  <c r="DZ24" i="33"/>
  <c r="AD98" i="30"/>
  <c r="AE98" i="30" s="1"/>
  <c r="AD97" i="30"/>
  <c r="AE97" i="30" s="1"/>
  <c r="AD89" i="30"/>
  <c r="AE89" i="30" s="1"/>
  <c r="AD88" i="30"/>
  <c r="AE88" i="30" s="1"/>
  <c r="AC149" i="30"/>
  <c r="K23" i="32" s="1"/>
  <c r="AC146" i="30"/>
  <c r="K22" i="32" s="1"/>
  <c r="AC133" i="30"/>
  <c r="AC122" i="30"/>
  <c r="K21" i="32" s="1"/>
  <c r="AC114" i="30"/>
  <c r="K20" i="32" s="1"/>
  <c r="AC56" i="30"/>
  <c r="K19" i="32" s="1"/>
  <c r="AC46" i="30"/>
  <c r="AC24" i="30"/>
  <c r="AC11" i="30"/>
  <c r="Z149" i="30"/>
  <c r="J23" i="32" s="1"/>
  <c r="Z146" i="30"/>
  <c r="J22" i="32" s="1"/>
  <c r="Z133" i="30"/>
  <c r="Z122" i="30"/>
  <c r="J21" i="32" s="1"/>
  <c r="Z114" i="30"/>
  <c r="Z56" i="30"/>
  <c r="J19" i="32" s="1"/>
  <c r="Z46" i="30"/>
  <c r="Z24" i="30"/>
  <c r="W149" i="30"/>
  <c r="I23" i="32" s="1"/>
  <c r="W146" i="30"/>
  <c r="I22" i="32" s="1"/>
  <c r="W133" i="30"/>
  <c r="W122" i="30"/>
  <c r="I21" i="32" s="1"/>
  <c r="W114" i="30"/>
  <c r="I20" i="32" s="1"/>
  <c r="W56" i="30"/>
  <c r="I19" i="32" s="1"/>
  <c r="W46" i="30"/>
  <c r="W24" i="30"/>
  <c r="T149" i="30"/>
  <c r="H23" i="32" s="1"/>
  <c r="T146" i="30"/>
  <c r="T133" i="30"/>
  <c r="T122" i="30"/>
  <c r="H21" i="32" s="1"/>
  <c r="T114" i="30"/>
  <c r="H20" i="32" s="1"/>
  <c r="T56" i="30"/>
  <c r="H19" i="32" s="1"/>
  <c r="T46" i="30"/>
  <c r="T24" i="30"/>
  <c r="Q149" i="30"/>
  <c r="Q146" i="30"/>
  <c r="G22" i="32" s="1"/>
  <c r="Q133" i="30"/>
  <c r="Q122" i="30"/>
  <c r="G21" i="32" s="1"/>
  <c r="Q114" i="30"/>
  <c r="G20" i="32" s="1"/>
  <c r="Q56" i="30"/>
  <c r="G19" i="32" s="1"/>
  <c r="Q46" i="30"/>
  <c r="Q24" i="30"/>
  <c r="N149" i="30"/>
  <c r="F23" i="32" s="1"/>
  <c r="N146" i="30"/>
  <c r="F22" i="32" s="1"/>
  <c r="N133" i="30"/>
  <c r="N122" i="30"/>
  <c r="F21" i="32" s="1"/>
  <c r="N114" i="30"/>
  <c r="F20" i="32" s="1"/>
  <c r="N56" i="30"/>
  <c r="N46" i="30"/>
  <c r="N24" i="30"/>
  <c r="AC144" i="31"/>
  <c r="K10" i="32" s="1"/>
  <c r="AC141" i="31"/>
  <c r="AC128" i="31"/>
  <c r="AC117" i="31"/>
  <c r="AC109" i="31"/>
  <c r="K7" i="32" s="1"/>
  <c r="AC51" i="31"/>
  <c r="K6" i="32" s="1"/>
  <c r="AC41" i="31"/>
  <c r="AC19" i="31"/>
  <c r="Z144" i="31"/>
  <c r="J10" i="32" s="1"/>
  <c r="Z141" i="31"/>
  <c r="J9" i="32" s="1"/>
  <c r="Z128" i="31"/>
  <c r="Z117" i="31"/>
  <c r="Z109" i="31"/>
  <c r="J7" i="32" s="1"/>
  <c r="Z51" i="31"/>
  <c r="J6" i="32" s="1"/>
  <c r="Z41" i="31"/>
  <c r="Z19" i="31"/>
  <c r="W144" i="31"/>
  <c r="I10" i="32" s="1"/>
  <c r="W141" i="31"/>
  <c r="I9" i="32" s="1"/>
  <c r="W128" i="31"/>
  <c r="W117" i="31"/>
  <c r="I8" i="32" s="1"/>
  <c r="W109" i="31"/>
  <c r="I7" i="32" s="1"/>
  <c r="W51" i="31"/>
  <c r="W41" i="31"/>
  <c r="W19" i="31"/>
  <c r="T144" i="31"/>
  <c r="H10" i="32" s="1"/>
  <c r="T141" i="31"/>
  <c r="H9" i="32" s="1"/>
  <c r="T128" i="31"/>
  <c r="T117" i="31"/>
  <c r="H8" i="32" s="1"/>
  <c r="T109" i="31"/>
  <c r="H7" i="32" s="1"/>
  <c r="T51" i="31"/>
  <c r="H6" i="32" s="1"/>
  <c r="T41" i="31"/>
  <c r="T19" i="31"/>
  <c r="Q156" i="31"/>
  <c r="Q204" i="31" s="1"/>
  <c r="G11" i="32" s="1"/>
  <c r="Q144" i="31"/>
  <c r="G10" i="32" s="1"/>
  <c r="Q141" i="31"/>
  <c r="G9" i="32" s="1"/>
  <c r="Q128" i="31"/>
  <c r="Q117" i="31"/>
  <c r="Q109" i="31"/>
  <c r="G7" i="32" s="1"/>
  <c r="Q51" i="31"/>
  <c r="G6" i="32" s="1"/>
  <c r="Q41" i="31"/>
  <c r="Q19" i="31"/>
  <c r="N144" i="31"/>
  <c r="F10" i="32" s="1"/>
  <c r="N141" i="31"/>
  <c r="N128" i="31"/>
  <c r="N117" i="31"/>
  <c r="F8" i="32" s="1"/>
  <c r="N109" i="31"/>
  <c r="F7" i="32" s="1"/>
  <c r="N51" i="31"/>
  <c r="N41" i="31"/>
  <c r="N19" i="31"/>
  <c r="R156" i="31"/>
  <c r="R204" i="31" s="1"/>
  <c r="Q11" i="32" s="1"/>
  <c r="P87" i="30"/>
  <c r="P80" i="30"/>
  <c r="P81" i="30"/>
  <c r="P82" i="30"/>
  <c r="P83" i="30"/>
  <c r="P84" i="30"/>
  <c r="P85" i="30"/>
  <c r="P86" i="30"/>
  <c r="P88" i="30"/>
  <c r="P89" i="30"/>
  <c r="P90" i="30"/>
  <c r="P91" i="30"/>
  <c r="P92" i="30"/>
  <c r="P93" i="30"/>
  <c r="P94" i="30"/>
  <c r="P95" i="30"/>
  <c r="P96" i="30"/>
  <c r="P97" i="30"/>
  <c r="P98" i="30"/>
  <c r="P99" i="30"/>
  <c r="P100" i="30"/>
  <c r="P101" i="30"/>
  <c r="P102" i="30"/>
  <c r="P103" i="30"/>
  <c r="P104" i="30"/>
  <c r="P105" i="30"/>
  <c r="P106" i="30"/>
  <c r="P107" i="30"/>
  <c r="P108" i="30"/>
  <c r="P109" i="30"/>
  <c r="P110" i="30"/>
  <c r="P111" i="30"/>
  <c r="P112" i="30"/>
  <c r="K149" i="30"/>
  <c r="E23" i="32" s="1"/>
  <c r="K146" i="30"/>
  <c r="E22" i="32" s="1"/>
  <c r="K133" i="30"/>
  <c r="K122" i="30"/>
  <c r="E21" i="32" s="1"/>
  <c r="K89" i="30"/>
  <c r="K88" i="30"/>
  <c r="K56" i="30"/>
  <c r="E19" i="32" s="1"/>
  <c r="K46" i="30"/>
  <c r="K24" i="30"/>
  <c r="L7" i="30"/>
  <c r="O7" i="30" s="1"/>
  <c r="R7" i="30" s="1"/>
  <c r="O3" i="32" s="1"/>
  <c r="O16" i="32" s="1"/>
  <c r="K7" i="30"/>
  <c r="N7" i="30" s="1"/>
  <c r="Q7" i="30" s="1"/>
  <c r="D3" i="32" s="1"/>
  <c r="D16" i="32" s="1"/>
  <c r="K144" i="31"/>
  <c r="E10" i="32" s="1"/>
  <c r="K141" i="31"/>
  <c r="E9" i="32" s="1"/>
  <c r="K128" i="31"/>
  <c r="K117" i="31"/>
  <c r="E8" i="32" s="1"/>
  <c r="K92" i="31"/>
  <c r="K109" i="31" s="1"/>
  <c r="K51" i="31"/>
  <c r="E6" i="32" s="1"/>
  <c r="K41" i="31"/>
  <c r="K19" i="31"/>
  <c r="L89" i="30"/>
  <c r="L88" i="30"/>
  <c r="M49" i="30"/>
  <c r="M50" i="30"/>
  <c r="M51" i="30"/>
  <c r="M52" i="30"/>
  <c r="M53" i="30"/>
  <c r="M54" i="30"/>
  <c r="L92" i="31"/>
  <c r="L109" i="31" s="1"/>
  <c r="O7" i="32" s="1"/>
  <c r="AA3" i="32"/>
  <c r="AA16" i="32" s="1"/>
  <c r="H149" i="30"/>
  <c r="D23" i="32" s="1"/>
  <c r="H145" i="30"/>
  <c r="H144" i="30"/>
  <c r="H133" i="30"/>
  <c r="H120" i="30"/>
  <c r="H122" i="30" s="1"/>
  <c r="H114" i="30"/>
  <c r="D20" i="32" s="1"/>
  <c r="H56" i="30"/>
  <c r="H46" i="30"/>
  <c r="H24" i="30"/>
  <c r="H144" i="31"/>
  <c r="D10" i="32" s="1"/>
  <c r="H141" i="31"/>
  <c r="D9" i="32" s="1"/>
  <c r="H128" i="31"/>
  <c r="H117" i="31"/>
  <c r="D8" i="32" s="1"/>
  <c r="H109" i="31"/>
  <c r="D7" i="32" s="1"/>
  <c r="H51" i="31"/>
  <c r="H41" i="31"/>
  <c r="H19" i="31"/>
  <c r="I145" i="30"/>
  <c r="I144" i="30"/>
  <c r="I120" i="30"/>
  <c r="I122" i="30" s="1"/>
  <c r="AE156" i="30"/>
  <c r="AB156" i="30"/>
  <c r="Y156" i="30"/>
  <c r="V156" i="30"/>
  <c r="S156" i="30"/>
  <c r="P156" i="30"/>
  <c r="M156" i="30"/>
  <c r="J156" i="30"/>
  <c r="G156" i="30"/>
  <c r="AE120" i="30"/>
  <c r="AB120" i="30"/>
  <c r="Y120" i="30"/>
  <c r="V120" i="30"/>
  <c r="S120" i="30"/>
  <c r="P120" i="30"/>
  <c r="M120" i="30"/>
  <c r="G120" i="30"/>
  <c r="AE151" i="31"/>
  <c r="AB151" i="31"/>
  <c r="Y151" i="31"/>
  <c r="V151" i="31"/>
  <c r="S151" i="31"/>
  <c r="P151" i="31"/>
  <c r="M151" i="31"/>
  <c r="J151" i="31"/>
  <c r="G151" i="31"/>
  <c r="AE115" i="31"/>
  <c r="AB115" i="31"/>
  <c r="Y115" i="31"/>
  <c r="V115" i="31"/>
  <c r="S115" i="31"/>
  <c r="P115" i="31"/>
  <c r="M115" i="31"/>
  <c r="J115" i="31"/>
  <c r="G115" i="31"/>
  <c r="I109" i="31"/>
  <c r="N7" i="32" s="1"/>
  <c r="X10" i="32"/>
  <c r="AG17" i="32"/>
  <c r="AF17" i="32"/>
  <c r="AE17" i="32"/>
  <c r="S4" i="32"/>
  <c r="S17" i="32" s="1"/>
  <c r="T4" i="32"/>
  <c r="T17" i="32" s="1"/>
  <c r="U4" i="32"/>
  <c r="U17" i="32" s="1"/>
  <c r="K17" i="32"/>
  <c r="J17" i="32"/>
  <c r="I17" i="32"/>
  <c r="AD209" i="30"/>
  <c r="U24" i="32" s="1"/>
  <c r="AC209" i="30"/>
  <c r="K24" i="32" s="1"/>
  <c r="AE208" i="30"/>
  <c r="AE207" i="30"/>
  <c r="AE206" i="30"/>
  <c r="AE205" i="30"/>
  <c r="AE204" i="30"/>
  <c r="AE203" i="30"/>
  <c r="AE202" i="30"/>
  <c r="AE201" i="30"/>
  <c r="AE200" i="30"/>
  <c r="AE199" i="30"/>
  <c r="AE198" i="30"/>
  <c r="AE197" i="30"/>
  <c r="AE196" i="30"/>
  <c r="AE195" i="30"/>
  <c r="AE194" i="30"/>
  <c r="AE193" i="30"/>
  <c r="AE192" i="30"/>
  <c r="AE191" i="30"/>
  <c r="AE190" i="30"/>
  <c r="AE189" i="30"/>
  <c r="AE188" i="30"/>
  <c r="AE187" i="30"/>
  <c r="AE186" i="30"/>
  <c r="AE185" i="30"/>
  <c r="AE184" i="30"/>
  <c r="AE183" i="30"/>
  <c r="AE182" i="30"/>
  <c r="AE181" i="30"/>
  <c r="AE180" i="30"/>
  <c r="AE179" i="30"/>
  <c r="AE178" i="30"/>
  <c r="AE177" i="30"/>
  <c r="AE176" i="30"/>
  <c r="AE175" i="30"/>
  <c r="AE174" i="30"/>
  <c r="AE173" i="30"/>
  <c r="AE172" i="30"/>
  <c r="AE171" i="30"/>
  <c r="AE170" i="30"/>
  <c r="AE169" i="30"/>
  <c r="AE168" i="30"/>
  <c r="AE167" i="30"/>
  <c r="AE166" i="30"/>
  <c r="AE165" i="30"/>
  <c r="AE164" i="30"/>
  <c r="AE163" i="30"/>
  <c r="AE162" i="30"/>
  <c r="AE161" i="30"/>
  <c r="AE160" i="30"/>
  <c r="AE159" i="30"/>
  <c r="AE158" i="30"/>
  <c r="AE157" i="30"/>
  <c r="AE155" i="30"/>
  <c r="AE154" i="30"/>
  <c r="AE153" i="30"/>
  <c r="AE152" i="30"/>
  <c r="AE151" i="30"/>
  <c r="AE150" i="30"/>
  <c r="AD149" i="30"/>
  <c r="U23" i="32" s="1"/>
  <c r="AE148" i="30"/>
  <c r="AE147" i="30"/>
  <c r="AD146" i="30"/>
  <c r="U22" i="32" s="1"/>
  <c r="AE145" i="30"/>
  <c r="AE144" i="30"/>
  <c r="AE143" i="30"/>
  <c r="AE142" i="30"/>
  <c r="AE141" i="30"/>
  <c r="AE140" i="30"/>
  <c r="AE139" i="30"/>
  <c r="AE138" i="30"/>
  <c r="AE137" i="30"/>
  <c r="AE136" i="30"/>
  <c r="AE135" i="30"/>
  <c r="AD133" i="30"/>
  <c r="AE132" i="30"/>
  <c r="AE131" i="30"/>
  <c r="AE130" i="30"/>
  <c r="AE129" i="30"/>
  <c r="AE128" i="30"/>
  <c r="AE127" i="30"/>
  <c r="AE126" i="30"/>
  <c r="AE125" i="30"/>
  <c r="AE124" i="30"/>
  <c r="AD122" i="30"/>
  <c r="U21" i="32" s="1"/>
  <c r="AE121" i="30"/>
  <c r="AE119" i="30"/>
  <c r="AE118" i="30"/>
  <c r="AE117" i="30"/>
  <c r="AE116" i="30"/>
  <c r="AE115" i="30"/>
  <c r="AE113" i="30"/>
  <c r="AE112" i="30"/>
  <c r="AE111" i="30"/>
  <c r="AE110" i="30"/>
  <c r="AE109" i="30"/>
  <c r="AE108" i="30"/>
  <c r="AE107" i="30"/>
  <c r="AE106" i="30"/>
  <c r="AE105" i="30"/>
  <c r="AE104" i="30"/>
  <c r="AE103" i="30"/>
  <c r="AE102" i="30"/>
  <c r="AE101" i="30"/>
  <c r="AE100" i="30"/>
  <c r="AE99" i="30"/>
  <c r="AE96" i="30"/>
  <c r="AE95" i="30"/>
  <c r="AE94" i="30"/>
  <c r="AE93" i="30"/>
  <c r="AE92" i="30"/>
  <c r="AE91" i="30"/>
  <c r="AE90" i="30"/>
  <c r="AE87" i="30"/>
  <c r="AE86" i="30"/>
  <c r="AE85" i="30"/>
  <c r="AE84" i="30"/>
  <c r="AE83" i="30"/>
  <c r="AE82" i="30"/>
  <c r="AE81" i="30"/>
  <c r="AE80" i="30"/>
  <c r="AE79" i="30"/>
  <c r="AE78" i="30"/>
  <c r="AE77" i="30"/>
  <c r="AE76" i="30"/>
  <c r="AE75" i="30"/>
  <c r="AE74" i="30"/>
  <c r="AE73" i="30"/>
  <c r="AE72" i="30"/>
  <c r="AE71" i="30"/>
  <c r="AE70" i="30"/>
  <c r="AD56" i="30"/>
  <c r="U19" i="32" s="1"/>
  <c r="AE55" i="30"/>
  <c r="AE54" i="30"/>
  <c r="AE53" i="30"/>
  <c r="AE52" i="30"/>
  <c r="AE51" i="30"/>
  <c r="AE50" i="30"/>
  <c r="AE49" i="30"/>
  <c r="AD46" i="30"/>
  <c r="AE45" i="30"/>
  <c r="AE44" i="30"/>
  <c r="AE43" i="30"/>
  <c r="AE42" i="30"/>
  <c r="AE41" i="30"/>
  <c r="AE40" i="30"/>
  <c r="AE39" i="30"/>
  <c r="AE38" i="30"/>
  <c r="AE37" i="30"/>
  <c r="AE36" i="30"/>
  <c r="AE35" i="30"/>
  <c r="AE34" i="30"/>
  <c r="AE33" i="30"/>
  <c r="AE32" i="30"/>
  <c r="AE31" i="30"/>
  <c r="AE30" i="30"/>
  <c r="AE29" i="30"/>
  <c r="AE28" i="30"/>
  <c r="AE27" i="30"/>
  <c r="AE26" i="30"/>
  <c r="AE25" i="30"/>
  <c r="AD24" i="30"/>
  <c r="AE23" i="30"/>
  <c r="AE22" i="30"/>
  <c r="AE21" i="30"/>
  <c r="AE20" i="30"/>
  <c r="AE19" i="30"/>
  <c r="AE18" i="30"/>
  <c r="AE17" i="30"/>
  <c r="AE16" i="30"/>
  <c r="AE15" i="30"/>
  <c r="AE14" i="30"/>
  <c r="AE13" i="30"/>
  <c r="AE11" i="30"/>
  <c r="AD11" i="30"/>
  <c r="AA209" i="30"/>
  <c r="T24" i="32" s="1"/>
  <c r="Z209" i="30"/>
  <c r="J24" i="32" s="1"/>
  <c r="AB208" i="30"/>
  <c r="AB207" i="30"/>
  <c r="AB206" i="30"/>
  <c r="AB205" i="30"/>
  <c r="AB204" i="30"/>
  <c r="AB203" i="30"/>
  <c r="AB202" i="30"/>
  <c r="AB201" i="30"/>
  <c r="AB200" i="30"/>
  <c r="AB199" i="30"/>
  <c r="AB198" i="30"/>
  <c r="AB197" i="30"/>
  <c r="AB196" i="30"/>
  <c r="AB195" i="30"/>
  <c r="AB194" i="30"/>
  <c r="AB193" i="30"/>
  <c r="AB192" i="30"/>
  <c r="AB191" i="30"/>
  <c r="AB190" i="30"/>
  <c r="AB189" i="30"/>
  <c r="AB188" i="30"/>
  <c r="AB187" i="30"/>
  <c r="AB186" i="30"/>
  <c r="AB185" i="30"/>
  <c r="AB184" i="30"/>
  <c r="AB183" i="30"/>
  <c r="AB182" i="30"/>
  <c r="AB181" i="30"/>
  <c r="AB180" i="30"/>
  <c r="AB179" i="30"/>
  <c r="AB178" i="30"/>
  <c r="AB177" i="30"/>
  <c r="AB176" i="30"/>
  <c r="AB175" i="30"/>
  <c r="AB174" i="30"/>
  <c r="AB173" i="30"/>
  <c r="AB172" i="30"/>
  <c r="AB171" i="30"/>
  <c r="AB170" i="30"/>
  <c r="AB169" i="30"/>
  <c r="AB168" i="30"/>
  <c r="AB167" i="30"/>
  <c r="AB166" i="30"/>
  <c r="AB165" i="30"/>
  <c r="AB164" i="30"/>
  <c r="AB163" i="30"/>
  <c r="AB162" i="30"/>
  <c r="AB161" i="30"/>
  <c r="AB160" i="30"/>
  <c r="AB159" i="30"/>
  <c r="AB158" i="30"/>
  <c r="AB157" i="30"/>
  <c r="AB155" i="30"/>
  <c r="AB154" i="30"/>
  <c r="AB153" i="30"/>
  <c r="AB152" i="30"/>
  <c r="AB151" i="30"/>
  <c r="AB150" i="30"/>
  <c r="AA149" i="30"/>
  <c r="T23" i="32" s="1"/>
  <c r="AB148" i="30"/>
  <c r="AB147" i="30"/>
  <c r="AA146" i="30"/>
  <c r="T22" i="32" s="1"/>
  <c r="AB145" i="30"/>
  <c r="AB144" i="30"/>
  <c r="AB143" i="30"/>
  <c r="AB142" i="30"/>
  <c r="AB141" i="30"/>
  <c r="AB140" i="30"/>
  <c r="AB139" i="30"/>
  <c r="AB138" i="30"/>
  <c r="AB137" i="30"/>
  <c r="AB136" i="30"/>
  <c r="AB135" i="30"/>
  <c r="AA133" i="30"/>
  <c r="AB132" i="30"/>
  <c r="AB131" i="30"/>
  <c r="AB130" i="30"/>
  <c r="AB129" i="30"/>
  <c r="AB128" i="30"/>
  <c r="AB127" i="30"/>
  <c r="AB126" i="30"/>
  <c r="AB125" i="30"/>
  <c r="AB124" i="30"/>
  <c r="AA122" i="30"/>
  <c r="AB121" i="30"/>
  <c r="AB119" i="30"/>
  <c r="AB118" i="30"/>
  <c r="AB117" i="30"/>
  <c r="AB116" i="30"/>
  <c r="AB115" i="30"/>
  <c r="AA114" i="30"/>
  <c r="T20" i="32" s="1"/>
  <c r="AB113" i="30"/>
  <c r="AB112" i="30"/>
  <c r="AB111" i="30"/>
  <c r="AB110" i="30"/>
  <c r="AB109" i="30"/>
  <c r="AB108" i="30"/>
  <c r="AB107" i="30"/>
  <c r="AB106" i="30"/>
  <c r="AB105" i="30"/>
  <c r="AB104" i="30"/>
  <c r="AB103" i="30"/>
  <c r="AB102" i="30"/>
  <c r="AB101" i="30"/>
  <c r="AB100" i="30"/>
  <c r="AB99" i="30"/>
  <c r="AB98" i="30"/>
  <c r="AB97" i="30"/>
  <c r="AB96" i="30"/>
  <c r="AB95" i="30"/>
  <c r="AB94" i="30"/>
  <c r="AB93" i="30"/>
  <c r="AB92" i="30"/>
  <c r="AB91" i="30"/>
  <c r="AB90" i="30"/>
  <c r="AB89" i="30"/>
  <c r="AB88" i="30"/>
  <c r="AB87" i="30"/>
  <c r="AB86" i="30"/>
  <c r="AB85" i="30"/>
  <c r="AB84" i="30"/>
  <c r="AB83" i="30"/>
  <c r="AB82" i="30"/>
  <c r="AB81" i="30"/>
  <c r="AB80" i="30"/>
  <c r="AB79" i="30"/>
  <c r="AB78" i="30"/>
  <c r="AB77" i="30"/>
  <c r="AB76" i="30"/>
  <c r="AB75" i="30"/>
  <c r="AB74" i="30"/>
  <c r="AB73" i="30"/>
  <c r="AB72" i="30"/>
  <c r="AB71" i="30"/>
  <c r="AB70" i="30"/>
  <c r="AA56" i="30"/>
  <c r="T19" i="32" s="1"/>
  <c r="AB55" i="30"/>
  <c r="AB54" i="30"/>
  <c r="AB53" i="30"/>
  <c r="AB52" i="30"/>
  <c r="AB51" i="30"/>
  <c r="AB50" i="30"/>
  <c r="AB49" i="30"/>
  <c r="AA46" i="30"/>
  <c r="AB45" i="30"/>
  <c r="AB44" i="30"/>
  <c r="AB43" i="30"/>
  <c r="AB42" i="30"/>
  <c r="AB41" i="30"/>
  <c r="AB40" i="30"/>
  <c r="AB39" i="30"/>
  <c r="AB38" i="30"/>
  <c r="AB37" i="30"/>
  <c r="AB36" i="30"/>
  <c r="AB35" i="30"/>
  <c r="AB34" i="30"/>
  <c r="AB33" i="30"/>
  <c r="AB32" i="30"/>
  <c r="AB31" i="30"/>
  <c r="AB30" i="30"/>
  <c r="AB29" i="30"/>
  <c r="AB28" i="30"/>
  <c r="AB27" i="30"/>
  <c r="AB26" i="30"/>
  <c r="AB25" i="30"/>
  <c r="AA24" i="30"/>
  <c r="AB23" i="30"/>
  <c r="AB22" i="30"/>
  <c r="AB21" i="30"/>
  <c r="AB20" i="30"/>
  <c r="AB19" i="30"/>
  <c r="AB18" i="30"/>
  <c r="AB17" i="30"/>
  <c r="AB16" i="30"/>
  <c r="AB15" i="30"/>
  <c r="AB14" i="30"/>
  <c r="AB13" i="30"/>
  <c r="AB11" i="30"/>
  <c r="AA11" i="30"/>
  <c r="Z11" i="30"/>
  <c r="X209" i="30"/>
  <c r="S24" i="32" s="1"/>
  <c r="W209" i="30"/>
  <c r="I24" i="32" s="1"/>
  <c r="Y208" i="30"/>
  <c r="Y207" i="30"/>
  <c r="Y206" i="30"/>
  <c r="Y205" i="30"/>
  <c r="Y204" i="30"/>
  <c r="Y203" i="30"/>
  <c r="Y202" i="30"/>
  <c r="Y201" i="30"/>
  <c r="Y200" i="30"/>
  <c r="Y199" i="30"/>
  <c r="Y198" i="30"/>
  <c r="Y197" i="30"/>
  <c r="Y196" i="30"/>
  <c r="Y195" i="30"/>
  <c r="Y194" i="30"/>
  <c r="Y193" i="30"/>
  <c r="Y192" i="30"/>
  <c r="Y191" i="30"/>
  <c r="Y190" i="30"/>
  <c r="Y189" i="30"/>
  <c r="Y188" i="30"/>
  <c r="Y187" i="30"/>
  <c r="Y186" i="30"/>
  <c r="Y185" i="30"/>
  <c r="Y184" i="30"/>
  <c r="Y183" i="30"/>
  <c r="Y182" i="30"/>
  <c r="Y181" i="30"/>
  <c r="Y180" i="30"/>
  <c r="Y179" i="30"/>
  <c r="Y178" i="30"/>
  <c r="Y177" i="30"/>
  <c r="Y176" i="30"/>
  <c r="Y175" i="30"/>
  <c r="Y174" i="30"/>
  <c r="Y173" i="30"/>
  <c r="Y172" i="30"/>
  <c r="Y171" i="30"/>
  <c r="Y170" i="30"/>
  <c r="Y169" i="30"/>
  <c r="Y168" i="30"/>
  <c r="Y167" i="30"/>
  <c r="Y166" i="30"/>
  <c r="Y165" i="30"/>
  <c r="Y164" i="30"/>
  <c r="Y163" i="30"/>
  <c r="Y162" i="30"/>
  <c r="Y161" i="30"/>
  <c r="Y160" i="30"/>
  <c r="Y159" i="30"/>
  <c r="Y158" i="30"/>
  <c r="Y157" i="30"/>
  <c r="Y155" i="30"/>
  <c r="Y154" i="30"/>
  <c r="Y153" i="30"/>
  <c r="Y152" i="30"/>
  <c r="Y151" i="30"/>
  <c r="Y150" i="30"/>
  <c r="X149" i="30"/>
  <c r="S23" i="32" s="1"/>
  <c r="Y148" i="30"/>
  <c r="Y147" i="30"/>
  <c r="X146" i="30"/>
  <c r="S22" i="32" s="1"/>
  <c r="Y145" i="30"/>
  <c r="Y144" i="30"/>
  <c r="Y143" i="30"/>
  <c r="Y142" i="30"/>
  <c r="Y141" i="30"/>
  <c r="Y140" i="30"/>
  <c r="Y139" i="30"/>
  <c r="Y138" i="30"/>
  <c r="Y137" i="30"/>
  <c r="Y136" i="30"/>
  <c r="Y135" i="30"/>
  <c r="X133" i="30"/>
  <c r="Y132" i="30"/>
  <c r="Y131" i="30"/>
  <c r="Y130" i="30"/>
  <c r="Y129" i="30"/>
  <c r="Y128" i="30"/>
  <c r="Y127" i="30"/>
  <c r="Y126" i="30"/>
  <c r="Y125" i="30"/>
  <c r="Y124" i="30"/>
  <c r="Y121" i="30"/>
  <c r="Y119" i="30"/>
  <c r="Y118" i="30"/>
  <c r="Y117" i="30"/>
  <c r="Y116" i="30"/>
  <c r="X122" i="30"/>
  <c r="S21" i="32" s="1"/>
  <c r="X114" i="30"/>
  <c r="S20" i="32" s="1"/>
  <c r="Y113" i="30"/>
  <c r="Y112" i="30"/>
  <c r="Y111" i="30"/>
  <c r="Y110" i="30"/>
  <c r="Y109" i="30"/>
  <c r="Y108" i="30"/>
  <c r="Y107" i="30"/>
  <c r="Y106" i="30"/>
  <c r="Y105" i="30"/>
  <c r="Y104" i="30"/>
  <c r="Y103" i="30"/>
  <c r="Y102" i="30"/>
  <c r="Y101" i="30"/>
  <c r="Y100" i="30"/>
  <c r="Y99" i="30"/>
  <c r="Y98" i="30"/>
  <c r="Y97" i="30"/>
  <c r="Y96" i="30"/>
  <c r="Y95" i="30"/>
  <c r="Y94" i="30"/>
  <c r="Y93" i="30"/>
  <c r="Y92" i="30"/>
  <c r="Y91" i="30"/>
  <c r="Y90" i="30"/>
  <c r="Y89" i="30"/>
  <c r="Y88" i="30"/>
  <c r="Y87" i="30"/>
  <c r="Y86" i="30"/>
  <c r="Y85" i="30"/>
  <c r="Y84" i="30"/>
  <c r="Y83" i="30"/>
  <c r="Y82" i="30"/>
  <c r="Y81" i="30"/>
  <c r="Y80" i="30"/>
  <c r="Y79" i="30"/>
  <c r="Y78" i="30"/>
  <c r="Y77" i="30"/>
  <c r="Y76" i="30"/>
  <c r="Y75" i="30"/>
  <c r="Y74" i="30"/>
  <c r="Y73" i="30"/>
  <c r="Y72" i="30"/>
  <c r="Y71" i="30"/>
  <c r="Y70" i="30"/>
  <c r="X56" i="30"/>
  <c r="Y55" i="30"/>
  <c r="Y54" i="30"/>
  <c r="Y53" i="30"/>
  <c r="Y52" i="30"/>
  <c r="Y51" i="30"/>
  <c r="Y50" i="30"/>
  <c r="Y49" i="30"/>
  <c r="X46" i="30"/>
  <c r="Y45" i="30"/>
  <c r="Y44" i="30"/>
  <c r="Y43" i="30"/>
  <c r="Y42" i="30"/>
  <c r="Y41" i="30"/>
  <c r="Y40" i="30"/>
  <c r="Y39" i="30"/>
  <c r="Y38" i="30"/>
  <c r="Y37" i="30"/>
  <c r="Y36" i="30"/>
  <c r="Y35" i="30"/>
  <c r="Y34" i="30"/>
  <c r="Y33" i="30"/>
  <c r="Y32" i="30"/>
  <c r="Y31" i="30"/>
  <c r="Y30" i="30"/>
  <c r="Y29" i="30"/>
  <c r="Y28" i="30"/>
  <c r="Y27" i="30"/>
  <c r="Y26" i="30"/>
  <c r="Y25" i="30"/>
  <c r="X24" i="30"/>
  <c r="Y23" i="30"/>
  <c r="Y22" i="30"/>
  <c r="Y21" i="30"/>
  <c r="Y20" i="30"/>
  <c r="Y19" i="30"/>
  <c r="Y18" i="30"/>
  <c r="Y17" i="30"/>
  <c r="Y16" i="30"/>
  <c r="Y15" i="30"/>
  <c r="Y14" i="30"/>
  <c r="Y13" i="30"/>
  <c r="Y11" i="30"/>
  <c r="X11" i="30"/>
  <c r="W11" i="30"/>
  <c r="AD204" i="31"/>
  <c r="U11" i="32" s="1"/>
  <c r="AC204" i="31"/>
  <c r="K11" i="32" s="1"/>
  <c r="AE203" i="31"/>
  <c r="AE202" i="31"/>
  <c r="AE201" i="31"/>
  <c r="AE200" i="31"/>
  <c r="AE199" i="31"/>
  <c r="AE198" i="31"/>
  <c r="AE197" i="31"/>
  <c r="AE196" i="31"/>
  <c r="AE195" i="31"/>
  <c r="AE194" i="31"/>
  <c r="AE193" i="31"/>
  <c r="AE192" i="31"/>
  <c r="AE191" i="31"/>
  <c r="AE190" i="31"/>
  <c r="AE189" i="31"/>
  <c r="AE188" i="31"/>
  <c r="AE187" i="31"/>
  <c r="AE186" i="31"/>
  <c r="AE185" i="31"/>
  <c r="AE184" i="31"/>
  <c r="AE183" i="31"/>
  <c r="AE182" i="31"/>
  <c r="AE181" i="31"/>
  <c r="AE180" i="31"/>
  <c r="AE179" i="31"/>
  <c r="AE178" i="31"/>
  <c r="AE177" i="31"/>
  <c r="AE176" i="31"/>
  <c r="AE175" i="31"/>
  <c r="AE174" i="31"/>
  <c r="AE173" i="31"/>
  <c r="AE172" i="31"/>
  <c r="AE171" i="31"/>
  <c r="AE170" i="31"/>
  <c r="AE169" i="31"/>
  <c r="AE168" i="31"/>
  <c r="AE167" i="31"/>
  <c r="AE166" i="31"/>
  <c r="AE165" i="31"/>
  <c r="AE164" i="31"/>
  <c r="AE163" i="31"/>
  <c r="AE162" i="31"/>
  <c r="AE161" i="31"/>
  <c r="AE160" i="31"/>
  <c r="AE159" i="31"/>
  <c r="AE158" i="31"/>
  <c r="AE157" i="31"/>
  <c r="AE156" i="31"/>
  <c r="AE155" i="31"/>
  <c r="AE154" i="31"/>
  <c r="AE153" i="31"/>
  <c r="AE152" i="31"/>
  <c r="AE150" i="31"/>
  <c r="AE149" i="31"/>
  <c r="AE148" i="31"/>
  <c r="AE147" i="31"/>
  <c r="AE146" i="31"/>
  <c r="AE145" i="31"/>
  <c r="AD144" i="31"/>
  <c r="U10" i="32" s="1"/>
  <c r="AE143" i="31"/>
  <c r="AE142" i="31"/>
  <c r="AD141" i="31"/>
  <c r="U9" i="32" s="1"/>
  <c r="AE140" i="31"/>
  <c r="AE139" i="31"/>
  <c r="AE138" i="31"/>
  <c r="AE137" i="31"/>
  <c r="AE136" i="31"/>
  <c r="AE135" i="31"/>
  <c r="AE134" i="31"/>
  <c r="AE133" i="31"/>
  <c r="AE132" i="31"/>
  <c r="AE131" i="31"/>
  <c r="AE130" i="31"/>
  <c r="AD128" i="31"/>
  <c r="AE127" i="31"/>
  <c r="AE126" i="31"/>
  <c r="AE125" i="31"/>
  <c r="AE124" i="31"/>
  <c r="AE123" i="31"/>
  <c r="AE122" i="31"/>
  <c r="AE121" i="31"/>
  <c r="AE120" i="31"/>
  <c r="AE119" i="31"/>
  <c r="AD117" i="31"/>
  <c r="U8" i="32" s="1"/>
  <c r="AE116" i="31"/>
  <c r="AE114" i="31"/>
  <c r="AE113" i="31"/>
  <c r="AE112" i="31"/>
  <c r="AE111" i="31"/>
  <c r="AE110" i="31"/>
  <c r="AD109" i="31"/>
  <c r="U7" i="32" s="1"/>
  <c r="AE108" i="31"/>
  <c r="AE107" i="31"/>
  <c r="AE106" i="31"/>
  <c r="AE105" i="31"/>
  <c r="AE104" i="31"/>
  <c r="AE103" i="31"/>
  <c r="AE102" i="31"/>
  <c r="AE101" i="31"/>
  <c r="AE100" i="31"/>
  <c r="AE99" i="31"/>
  <c r="AE98" i="31"/>
  <c r="AE97" i="31"/>
  <c r="AE96" i="31"/>
  <c r="AE95" i="31"/>
  <c r="AE94" i="31"/>
  <c r="AE93" i="31"/>
  <c r="AE92" i="31"/>
  <c r="AE91" i="31"/>
  <c r="AE90" i="31"/>
  <c r="AE89" i="31"/>
  <c r="AE88" i="31"/>
  <c r="AE87" i="31"/>
  <c r="AE86" i="31"/>
  <c r="AE85" i="31"/>
  <c r="AE84" i="31"/>
  <c r="AE83" i="31"/>
  <c r="AE82" i="31"/>
  <c r="AE81" i="31"/>
  <c r="AE80" i="31"/>
  <c r="AE79" i="31"/>
  <c r="AE78" i="31"/>
  <c r="AE77" i="31"/>
  <c r="AE76" i="31"/>
  <c r="AE75" i="31"/>
  <c r="AE74" i="31"/>
  <c r="AE73" i="31"/>
  <c r="AE72" i="31"/>
  <c r="AE71" i="31"/>
  <c r="AE70" i="31"/>
  <c r="AE69" i="31"/>
  <c r="AE68" i="31"/>
  <c r="AE67" i="31"/>
  <c r="AE66" i="31"/>
  <c r="AE65" i="31"/>
  <c r="AD51" i="31"/>
  <c r="U6" i="32" s="1"/>
  <c r="AE50" i="31"/>
  <c r="AE49" i="31"/>
  <c r="AE48" i="31"/>
  <c r="AE47" i="31"/>
  <c r="AE46" i="31"/>
  <c r="AE45" i="31"/>
  <c r="AE44" i="31"/>
  <c r="AE43" i="31"/>
  <c r="AD41" i="31"/>
  <c r="AE40" i="31"/>
  <c r="AE39" i="31"/>
  <c r="AE38" i="31"/>
  <c r="AE37" i="31"/>
  <c r="AE36" i="31"/>
  <c r="AE35" i="31"/>
  <c r="AE34" i="31"/>
  <c r="AE33" i="31"/>
  <c r="AE32" i="31"/>
  <c r="AE31" i="31"/>
  <c r="AE30" i="31"/>
  <c r="AE29" i="31"/>
  <c r="AE28" i="31"/>
  <c r="AE27" i="31"/>
  <c r="AE26" i="31"/>
  <c r="AE25" i="31"/>
  <c r="AE24" i="31"/>
  <c r="AE23" i="31"/>
  <c r="AE22" i="31"/>
  <c r="AE21" i="31"/>
  <c r="AE20" i="31"/>
  <c r="AD19" i="31"/>
  <c r="AE18" i="31"/>
  <c r="AE17" i="31"/>
  <c r="AE16" i="31"/>
  <c r="AE15" i="31"/>
  <c r="AE14" i="31"/>
  <c r="AE13" i="31"/>
  <c r="AE12" i="31"/>
  <c r="AE11" i="31"/>
  <c r="AE10" i="31"/>
  <c r="AE9" i="31"/>
  <c r="AE8" i="31"/>
  <c r="AA204" i="31"/>
  <c r="T11" i="32" s="1"/>
  <c r="Z204" i="31"/>
  <c r="J11" i="32" s="1"/>
  <c r="AB203" i="31"/>
  <c r="AB202" i="31"/>
  <c r="AB201" i="31"/>
  <c r="AB200" i="31"/>
  <c r="AB199" i="31"/>
  <c r="AB198" i="31"/>
  <c r="AB197" i="31"/>
  <c r="AB196" i="31"/>
  <c r="AB195" i="31"/>
  <c r="AB194" i="31"/>
  <c r="AB193" i="31"/>
  <c r="AB192" i="31"/>
  <c r="AB191" i="31"/>
  <c r="AB190" i="31"/>
  <c r="AB189" i="31"/>
  <c r="AB188" i="31"/>
  <c r="AB187" i="31"/>
  <c r="AB186" i="31"/>
  <c r="AB185" i="31"/>
  <c r="AB184" i="31"/>
  <c r="AB183" i="31"/>
  <c r="AB182" i="31"/>
  <c r="AB181" i="31"/>
  <c r="AB180" i="31"/>
  <c r="AB179" i="31"/>
  <c r="AB178" i="31"/>
  <c r="AB177" i="31"/>
  <c r="AB176" i="31"/>
  <c r="AB175" i="31"/>
  <c r="AB174" i="31"/>
  <c r="AB173" i="31"/>
  <c r="AB172" i="31"/>
  <c r="AB171" i="31"/>
  <c r="AB170" i="31"/>
  <c r="AB169" i="31"/>
  <c r="AB168" i="31"/>
  <c r="AB167" i="31"/>
  <c r="AB166" i="31"/>
  <c r="AB165" i="31"/>
  <c r="AB164" i="31"/>
  <c r="AB163" i="31"/>
  <c r="AB162" i="31"/>
  <c r="AB161" i="31"/>
  <c r="AB160" i="31"/>
  <c r="AB159" i="31"/>
  <c r="AB158" i="31"/>
  <c r="AB157" i="31"/>
  <c r="AB156" i="31"/>
  <c r="AB155" i="31"/>
  <c r="AB154" i="31"/>
  <c r="AB153" i="31"/>
  <c r="AB152" i="31"/>
  <c r="AB150" i="31"/>
  <c r="AB149" i="31"/>
  <c r="AB148" i="31"/>
  <c r="AB147" i="31"/>
  <c r="AB146" i="31"/>
  <c r="AB145" i="31"/>
  <c r="AA144" i="31"/>
  <c r="T10" i="32" s="1"/>
  <c r="AB143" i="31"/>
  <c r="AB142" i="31"/>
  <c r="AA141" i="31"/>
  <c r="T9" i="32" s="1"/>
  <c r="AB140" i="31"/>
  <c r="AB139" i="31"/>
  <c r="AB138" i="31"/>
  <c r="AB137" i="31"/>
  <c r="AB136" i="31"/>
  <c r="AB135" i="31"/>
  <c r="AB134" i="31"/>
  <c r="AB133" i="31"/>
  <c r="AB132" i="31"/>
  <c r="AB131" i="31"/>
  <c r="AB130" i="31"/>
  <c r="AA128" i="31"/>
  <c r="AB127" i="31"/>
  <c r="AB126" i="31"/>
  <c r="AB125" i="31"/>
  <c r="AB124" i="31"/>
  <c r="AB123" i="31"/>
  <c r="AB122" i="31"/>
  <c r="AB121" i="31"/>
  <c r="AB120" i="31"/>
  <c r="AB119" i="31"/>
  <c r="AA117" i="31"/>
  <c r="AB116" i="31"/>
  <c r="AB114" i="31"/>
  <c r="AB113" i="31"/>
  <c r="AB112" i="31"/>
  <c r="AB111" i="31"/>
  <c r="AB110" i="31"/>
  <c r="AA109" i="31"/>
  <c r="T7" i="32" s="1"/>
  <c r="AB108" i="31"/>
  <c r="AB107" i="31"/>
  <c r="AB106" i="31"/>
  <c r="AB105" i="31"/>
  <c r="AB104" i="31"/>
  <c r="AB103" i="31"/>
  <c r="AB102" i="31"/>
  <c r="AB101" i="31"/>
  <c r="AB100" i="31"/>
  <c r="AB99" i="31"/>
  <c r="AB98" i="31"/>
  <c r="AB97" i="31"/>
  <c r="AB96" i="31"/>
  <c r="AB95" i="31"/>
  <c r="AB94" i="31"/>
  <c r="AB93" i="31"/>
  <c r="AB92" i="31"/>
  <c r="AB91" i="31"/>
  <c r="AB90" i="31"/>
  <c r="AB89" i="31"/>
  <c r="AB88" i="31"/>
  <c r="AB87" i="31"/>
  <c r="AB86" i="31"/>
  <c r="AB85" i="31"/>
  <c r="AB84" i="31"/>
  <c r="AB83" i="31"/>
  <c r="AB82" i="31"/>
  <c r="AB81" i="31"/>
  <c r="AB80" i="31"/>
  <c r="AB79" i="31"/>
  <c r="AB78" i="31"/>
  <c r="AB77" i="31"/>
  <c r="AB76" i="31"/>
  <c r="AB75" i="31"/>
  <c r="AB74" i="31"/>
  <c r="AB73" i="31"/>
  <c r="AB72" i="31"/>
  <c r="AB71" i="31"/>
  <c r="AB70" i="31"/>
  <c r="AB69" i="31"/>
  <c r="AB68" i="31"/>
  <c r="AB67" i="31"/>
  <c r="AB66" i="31"/>
  <c r="AB65" i="31"/>
  <c r="AA51" i="31"/>
  <c r="T6" i="32" s="1"/>
  <c r="AB50" i="31"/>
  <c r="AB49" i="31"/>
  <c r="AB48" i="31"/>
  <c r="AB47" i="31"/>
  <c r="AB46" i="31"/>
  <c r="AB45" i="31"/>
  <c r="AB44" i="31"/>
  <c r="AB43" i="31"/>
  <c r="AA41" i="31"/>
  <c r="AB40" i="31"/>
  <c r="AB39" i="31"/>
  <c r="AB38" i="31"/>
  <c r="AB37" i="31"/>
  <c r="AB36" i="31"/>
  <c r="AB35" i="31"/>
  <c r="AB34" i="31"/>
  <c r="AB33" i="31"/>
  <c r="AB32" i="31"/>
  <c r="AB31" i="31"/>
  <c r="AB30" i="31"/>
  <c r="AB29" i="31"/>
  <c r="AB28" i="31"/>
  <c r="AB27" i="31"/>
  <c r="AB26" i="31"/>
  <c r="AB25" i="31"/>
  <c r="AB24" i="31"/>
  <c r="AB23" i="31"/>
  <c r="AB22" i="31"/>
  <c r="AB21" i="31"/>
  <c r="AB20" i="31"/>
  <c r="AA19" i="31"/>
  <c r="AB18" i="31"/>
  <c r="AB17" i="31"/>
  <c r="AB16" i="31"/>
  <c r="AB15" i="31"/>
  <c r="AB14" i="31"/>
  <c r="AB13" i="31"/>
  <c r="AB12" i="31"/>
  <c r="AB11" i="31"/>
  <c r="AB10" i="31"/>
  <c r="AB9" i="31"/>
  <c r="AB8" i="31"/>
  <c r="X204" i="31"/>
  <c r="S11" i="32" s="1"/>
  <c r="W204" i="31"/>
  <c r="I11" i="32" s="1"/>
  <c r="Y203" i="31"/>
  <c r="Y202" i="31"/>
  <c r="Y201" i="31"/>
  <c r="Y200" i="31"/>
  <c r="Y199" i="31"/>
  <c r="Y198" i="31"/>
  <c r="Y197" i="31"/>
  <c r="Y196" i="31"/>
  <c r="Y195" i="31"/>
  <c r="Y194" i="31"/>
  <c r="Y193" i="31"/>
  <c r="Y192" i="31"/>
  <c r="Y191" i="31"/>
  <c r="Y190" i="31"/>
  <c r="Y189" i="31"/>
  <c r="Y188" i="31"/>
  <c r="Y187" i="31"/>
  <c r="Y186" i="31"/>
  <c r="Y185" i="31"/>
  <c r="Y184" i="31"/>
  <c r="Y183" i="31"/>
  <c r="Y182" i="31"/>
  <c r="Y181" i="31"/>
  <c r="Y180" i="31"/>
  <c r="Y179" i="31"/>
  <c r="Y178" i="31"/>
  <c r="Y177" i="31"/>
  <c r="Y176" i="31"/>
  <c r="Y175" i="31"/>
  <c r="Y174" i="31"/>
  <c r="Y173" i="31"/>
  <c r="Y172" i="31"/>
  <c r="Y171" i="31"/>
  <c r="Y170" i="31"/>
  <c r="Y169" i="31"/>
  <c r="Y168" i="31"/>
  <c r="Y167" i="31"/>
  <c r="Y166" i="31"/>
  <c r="Y165" i="31"/>
  <c r="Y164" i="31"/>
  <c r="Y163" i="31"/>
  <c r="Y162" i="31"/>
  <c r="Y161" i="31"/>
  <c r="Y160" i="31"/>
  <c r="Y159" i="31"/>
  <c r="Y158" i="31"/>
  <c r="Y157" i="31"/>
  <c r="Y156" i="31"/>
  <c r="Y155" i="31"/>
  <c r="Y154" i="31"/>
  <c r="Y153" i="31"/>
  <c r="Y152" i="31"/>
  <c r="Y150" i="31"/>
  <c r="Y149" i="31"/>
  <c r="Y148" i="31"/>
  <c r="Y147" i="31"/>
  <c r="Y146" i="31"/>
  <c r="Y145" i="31"/>
  <c r="X144" i="31"/>
  <c r="Y143" i="31"/>
  <c r="Y142" i="31"/>
  <c r="X141" i="31"/>
  <c r="S9" i="32" s="1"/>
  <c r="Y140" i="31"/>
  <c r="Y139" i="31"/>
  <c r="Y138" i="31"/>
  <c r="Y137" i="31"/>
  <c r="Y136" i="31"/>
  <c r="Y135" i="31"/>
  <c r="Y134" i="31"/>
  <c r="Y133" i="31"/>
  <c r="Y132" i="31"/>
  <c r="Y131" i="31"/>
  <c r="Y130" i="31"/>
  <c r="X128" i="31"/>
  <c r="Y127" i="31"/>
  <c r="Y126" i="31"/>
  <c r="Y125" i="31"/>
  <c r="Y124" i="31"/>
  <c r="Y123" i="31"/>
  <c r="Y122" i="31"/>
  <c r="Y121" i="31"/>
  <c r="Y120" i="31"/>
  <c r="Y119" i="31"/>
  <c r="X117" i="31"/>
  <c r="Y116" i="31"/>
  <c r="Y114" i="31"/>
  <c r="Y113" i="31"/>
  <c r="Y112" i="31"/>
  <c r="Y111" i="31"/>
  <c r="Y110" i="31"/>
  <c r="X109" i="31"/>
  <c r="S7" i="32" s="1"/>
  <c r="Y108" i="31"/>
  <c r="Y107" i="31"/>
  <c r="Y106" i="31"/>
  <c r="Y105" i="31"/>
  <c r="Y104" i="31"/>
  <c r="Y103" i="31"/>
  <c r="Y102" i="31"/>
  <c r="Y101" i="31"/>
  <c r="Y100" i="31"/>
  <c r="Y99" i="31"/>
  <c r="Y98" i="31"/>
  <c r="Y97" i="31"/>
  <c r="Y96" i="31"/>
  <c r="Y95" i="31"/>
  <c r="Y94" i="31"/>
  <c r="Y93" i="31"/>
  <c r="Y92" i="31"/>
  <c r="Y91" i="31"/>
  <c r="Y90" i="31"/>
  <c r="Y89" i="31"/>
  <c r="Y88" i="31"/>
  <c r="Y87" i="31"/>
  <c r="Y86" i="31"/>
  <c r="Y85" i="31"/>
  <c r="Y84" i="31"/>
  <c r="Y83" i="31"/>
  <c r="Y82" i="31"/>
  <c r="Y81" i="31"/>
  <c r="Y80" i="31"/>
  <c r="Y79" i="31"/>
  <c r="Y78" i="31"/>
  <c r="Y77" i="31"/>
  <c r="Y76" i="31"/>
  <c r="Y75" i="31"/>
  <c r="Y74" i="31"/>
  <c r="Y73" i="31"/>
  <c r="Y72" i="31"/>
  <c r="Y71" i="31"/>
  <c r="Y70" i="31"/>
  <c r="Y69" i="31"/>
  <c r="Y68" i="31"/>
  <c r="Y67" i="31"/>
  <c r="Y66" i="31"/>
  <c r="Y65" i="31"/>
  <c r="X51" i="31"/>
  <c r="S6" i="32" s="1"/>
  <c r="Y50" i="31"/>
  <c r="Y49" i="31"/>
  <c r="Y48" i="31"/>
  <c r="Y47" i="31"/>
  <c r="Y46" i="31"/>
  <c r="Y45" i="31"/>
  <c r="Y44" i="31"/>
  <c r="Y43" i="31"/>
  <c r="X41" i="31"/>
  <c r="Y40" i="31"/>
  <c r="Y39" i="31"/>
  <c r="Y38" i="31"/>
  <c r="Y37" i="31"/>
  <c r="Y36" i="31"/>
  <c r="Y35" i="31"/>
  <c r="Y34" i="31"/>
  <c r="Y33" i="31"/>
  <c r="Y32" i="31"/>
  <c r="Y31" i="31"/>
  <c r="Y30" i="31"/>
  <c r="Y29" i="31"/>
  <c r="Y28" i="31"/>
  <c r="Y27" i="31"/>
  <c r="Y26" i="31"/>
  <c r="Y25" i="31"/>
  <c r="Y24" i="31"/>
  <c r="Y23" i="31"/>
  <c r="Y22" i="31"/>
  <c r="Y21" i="31"/>
  <c r="Y20" i="31"/>
  <c r="X19" i="31"/>
  <c r="Y18" i="31"/>
  <c r="Y17" i="31"/>
  <c r="Y16" i="31"/>
  <c r="Y15" i="31"/>
  <c r="Y14" i="31"/>
  <c r="Y13" i="31"/>
  <c r="Y12" i="31"/>
  <c r="Y11" i="31"/>
  <c r="Y10" i="31"/>
  <c r="Y9" i="31"/>
  <c r="Y8" i="31"/>
  <c r="Y115" i="30"/>
  <c r="R144" i="31"/>
  <c r="Q10" i="32" s="1"/>
  <c r="R141" i="31"/>
  <c r="Q9" i="32" s="1"/>
  <c r="R128" i="31"/>
  <c r="R117" i="31"/>
  <c r="Q8" i="32" s="1"/>
  <c r="R109" i="31"/>
  <c r="R51" i="31"/>
  <c r="R41" i="31"/>
  <c r="R19" i="31"/>
  <c r="V96" i="31"/>
  <c r="S96" i="31"/>
  <c r="P96" i="31"/>
  <c r="M96" i="31"/>
  <c r="J96" i="31"/>
  <c r="M142" i="31"/>
  <c r="M143" i="31"/>
  <c r="Z16" i="32"/>
  <c r="E144" i="31"/>
  <c r="E141" i="31"/>
  <c r="C9" i="32" s="1"/>
  <c r="E128" i="31"/>
  <c r="E117" i="31"/>
  <c r="C8" i="32" s="1"/>
  <c r="E109" i="31"/>
  <c r="C7" i="32" s="1"/>
  <c r="E51" i="31"/>
  <c r="C6" i="32" s="1"/>
  <c r="E41" i="31"/>
  <c r="E19" i="31"/>
  <c r="E149" i="30"/>
  <c r="C23" i="32" s="1"/>
  <c r="E146" i="30"/>
  <c r="C22" i="32" s="1"/>
  <c r="E133" i="30"/>
  <c r="E122" i="30"/>
  <c r="E96" i="30"/>
  <c r="E80" i="30"/>
  <c r="E56" i="30"/>
  <c r="C19" i="32" s="1"/>
  <c r="E46" i="30"/>
  <c r="E24" i="30"/>
  <c r="F96" i="30"/>
  <c r="F80" i="30"/>
  <c r="F19" i="31"/>
  <c r="E204" i="31"/>
  <c r="T209" i="30"/>
  <c r="H24" i="32" s="1"/>
  <c r="Q209" i="30"/>
  <c r="G24" i="32" s="1"/>
  <c r="N209" i="30"/>
  <c r="F24" i="32" s="1"/>
  <c r="K209" i="30"/>
  <c r="E24" i="32" s="1"/>
  <c r="H209" i="30"/>
  <c r="D24" i="32" s="1"/>
  <c r="E209" i="30"/>
  <c r="C24" i="32" s="1"/>
  <c r="T204" i="31"/>
  <c r="H11" i="32" s="1"/>
  <c r="N204" i="31"/>
  <c r="F11" i="32" s="1"/>
  <c r="K204" i="31"/>
  <c r="E11" i="32" s="1"/>
  <c r="H204" i="31"/>
  <c r="D11" i="32" s="1"/>
  <c r="B23" i="32"/>
  <c r="X23" i="32" s="1"/>
  <c r="C16" i="32"/>
  <c r="F109" i="31"/>
  <c r="M7" i="32" s="1"/>
  <c r="V165" i="30"/>
  <c r="S165" i="30"/>
  <c r="P165" i="30"/>
  <c r="M165" i="30"/>
  <c r="J165" i="30"/>
  <c r="G165" i="30"/>
  <c r="V164" i="30"/>
  <c r="S164" i="30"/>
  <c r="P164" i="30"/>
  <c r="M164" i="30"/>
  <c r="J164" i="30"/>
  <c r="G164" i="30"/>
  <c r="V160" i="31"/>
  <c r="S160" i="31"/>
  <c r="P160" i="31"/>
  <c r="M160" i="31"/>
  <c r="J160" i="31"/>
  <c r="G160" i="31"/>
  <c r="V159" i="31"/>
  <c r="S159" i="31"/>
  <c r="P159" i="31"/>
  <c r="M159" i="31"/>
  <c r="J159" i="31"/>
  <c r="G159" i="31"/>
  <c r="U146" i="30"/>
  <c r="R22" i="32" s="1"/>
  <c r="U133" i="30"/>
  <c r="U122" i="30"/>
  <c r="R21" i="32" s="1"/>
  <c r="U114" i="30"/>
  <c r="R20" i="32" s="1"/>
  <c r="U56" i="30"/>
  <c r="R19" i="32" s="1"/>
  <c r="U46" i="30"/>
  <c r="U24" i="30"/>
  <c r="R146" i="30"/>
  <c r="Q22" i="32" s="1"/>
  <c r="R133" i="30"/>
  <c r="R122" i="30"/>
  <c r="R114" i="30"/>
  <c r="Q20" i="32" s="1"/>
  <c r="R56" i="30"/>
  <c r="Q19" i="32" s="1"/>
  <c r="R46" i="30"/>
  <c r="R24" i="30"/>
  <c r="AC17" i="32"/>
  <c r="AD17" i="32"/>
  <c r="AB17" i="32"/>
  <c r="R4" i="32"/>
  <c r="R17" i="32" s="1"/>
  <c r="Q4" i="32"/>
  <c r="Q17" i="32" s="1"/>
  <c r="P4" i="32"/>
  <c r="P17" i="32" s="1"/>
  <c r="H17" i="32"/>
  <c r="G17" i="32"/>
  <c r="F17" i="32"/>
  <c r="U209" i="30"/>
  <c r="R24" i="32" s="1"/>
  <c r="V208" i="30"/>
  <c r="V207" i="30"/>
  <c r="V206" i="30"/>
  <c r="V205" i="30"/>
  <c r="V204" i="30"/>
  <c r="V203" i="30"/>
  <c r="V202" i="30"/>
  <c r="V201" i="30"/>
  <c r="V200" i="30"/>
  <c r="V199" i="30"/>
  <c r="V198" i="30"/>
  <c r="V197" i="30"/>
  <c r="V196" i="30"/>
  <c r="V195" i="30"/>
  <c r="V194" i="30"/>
  <c r="V193" i="30"/>
  <c r="V192" i="30"/>
  <c r="V191" i="30"/>
  <c r="V190" i="30"/>
  <c r="V189" i="30"/>
  <c r="V188" i="30"/>
  <c r="V187" i="30"/>
  <c r="V186" i="30"/>
  <c r="V185" i="30"/>
  <c r="V184" i="30"/>
  <c r="V183" i="30"/>
  <c r="V182" i="30"/>
  <c r="V181" i="30"/>
  <c r="V180" i="30"/>
  <c r="V179" i="30"/>
  <c r="V178" i="30"/>
  <c r="V177" i="30"/>
  <c r="V176" i="30"/>
  <c r="V175" i="30"/>
  <c r="V174" i="30"/>
  <c r="V173" i="30"/>
  <c r="V172" i="30"/>
  <c r="V171" i="30"/>
  <c r="V170" i="30"/>
  <c r="V169" i="30"/>
  <c r="V168" i="30"/>
  <c r="V167" i="30"/>
  <c r="V166" i="30"/>
  <c r="V163" i="30"/>
  <c r="V162" i="30"/>
  <c r="V161" i="30"/>
  <c r="V160" i="30"/>
  <c r="V159" i="30"/>
  <c r="V158" i="30"/>
  <c r="V157" i="30"/>
  <c r="V155" i="30"/>
  <c r="V154" i="30"/>
  <c r="V153" i="30"/>
  <c r="V152" i="30"/>
  <c r="V151" i="30"/>
  <c r="V150" i="30"/>
  <c r="U149" i="30"/>
  <c r="R23" i="32" s="1"/>
  <c r="V148" i="30"/>
  <c r="V147" i="30"/>
  <c r="V145" i="30"/>
  <c r="V144" i="30"/>
  <c r="V143" i="30"/>
  <c r="V142" i="30"/>
  <c r="V141" i="30"/>
  <c r="V140" i="30"/>
  <c r="V139" i="30"/>
  <c r="V138" i="30"/>
  <c r="V137" i="30"/>
  <c r="V136" i="30"/>
  <c r="V135" i="30"/>
  <c r="V132" i="30"/>
  <c r="V131" i="30"/>
  <c r="V130" i="30"/>
  <c r="V129" i="30"/>
  <c r="V128" i="30"/>
  <c r="V127" i="30"/>
  <c r="V126" i="30"/>
  <c r="V125" i="30"/>
  <c r="V124" i="30"/>
  <c r="V121" i="30"/>
  <c r="V119" i="30"/>
  <c r="V118" i="30"/>
  <c r="V117" i="30"/>
  <c r="V116" i="30"/>
  <c r="V115" i="30"/>
  <c r="V113" i="30"/>
  <c r="V112" i="30"/>
  <c r="V111" i="30"/>
  <c r="V110" i="30"/>
  <c r="V109" i="30"/>
  <c r="V108" i="30"/>
  <c r="V107" i="30"/>
  <c r="V106" i="30"/>
  <c r="V105" i="30"/>
  <c r="V104" i="30"/>
  <c r="V103" i="30"/>
  <c r="V102" i="30"/>
  <c r="V101" i="30"/>
  <c r="V100" i="30"/>
  <c r="V99" i="30"/>
  <c r="V98" i="30"/>
  <c r="V97" i="30"/>
  <c r="V96" i="30"/>
  <c r="V95" i="30"/>
  <c r="V94" i="30"/>
  <c r="V93" i="30"/>
  <c r="V92" i="30"/>
  <c r="V91" i="30"/>
  <c r="V90" i="30"/>
  <c r="V89" i="30"/>
  <c r="V88" i="30"/>
  <c r="V87" i="30"/>
  <c r="V86" i="30"/>
  <c r="V85" i="30"/>
  <c r="V84" i="30"/>
  <c r="V83" i="30"/>
  <c r="V82" i="30"/>
  <c r="V81" i="30"/>
  <c r="V80" i="30"/>
  <c r="V79" i="30"/>
  <c r="V78" i="30"/>
  <c r="V77" i="30"/>
  <c r="V76" i="30"/>
  <c r="V75" i="30"/>
  <c r="V74" i="30"/>
  <c r="V73" i="30"/>
  <c r="V72" i="30"/>
  <c r="V71" i="30"/>
  <c r="V70" i="30"/>
  <c r="V55" i="30"/>
  <c r="V54" i="30"/>
  <c r="V53" i="30"/>
  <c r="V52" i="30"/>
  <c r="V51" i="30"/>
  <c r="V50" i="30"/>
  <c r="V49" i="30"/>
  <c r="V45" i="30"/>
  <c r="V44" i="30"/>
  <c r="V43" i="30"/>
  <c r="V42" i="30"/>
  <c r="V41" i="30"/>
  <c r="V40" i="30"/>
  <c r="V39" i="30"/>
  <c r="V38" i="30"/>
  <c r="V37" i="30"/>
  <c r="V36" i="30"/>
  <c r="V35" i="30"/>
  <c r="V34" i="30"/>
  <c r="V33" i="30"/>
  <c r="V32" i="30"/>
  <c r="V31" i="30"/>
  <c r="V30" i="30"/>
  <c r="V29" i="30"/>
  <c r="V28" i="30"/>
  <c r="V27" i="30"/>
  <c r="V26" i="30"/>
  <c r="V25" i="30"/>
  <c r="V23" i="30"/>
  <c r="V22" i="30"/>
  <c r="V21" i="30"/>
  <c r="V20" i="30"/>
  <c r="V19" i="30"/>
  <c r="V18" i="30"/>
  <c r="V17" i="30"/>
  <c r="V16" i="30"/>
  <c r="V15" i="30"/>
  <c r="V14" i="30"/>
  <c r="V13" i="30"/>
  <c r="V11" i="30"/>
  <c r="U11" i="30"/>
  <c r="T11" i="30"/>
  <c r="R209" i="30"/>
  <c r="Q24" i="32" s="1"/>
  <c r="S208" i="30"/>
  <c r="S207" i="30"/>
  <c r="S206" i="30"/>
  <c r="S205" i="30"/>
  <c r="S204" i="30"/>
  <c r="S203" i="30"/>
  <c r="S202" i="30"/>
  <c r="S201" i="30"/>
  <c r="S200" i="30"/>
  <c r="S199" i="30"/>
  <c r="S198" i="30"/>
  <c r="S197" i="30"/>
  <c r="S196" i="30"/>
  <c r="S195" i="30"/>
  <c r="S194" i="30"/>
  <c r="S193" i="30"/>
  <c r="S192" i="30"/>
  <c r="S191" i="30"/>
  <c r="S190" i="30"/>
  <c r="S189" i="30"/>
  <c r="S188" i="30"/>
  <c r="S187" i="30"/>
  <c r="S186" i="30"/>
  <c r="S185" i="30"/>
  <c r="S184" i="30"/>
  <c r="S183" i="30"/>
  <c r="S182" i="30"/>
  <c r="S181" i="30"/>
  <c r="S180" i="30"/>
  <c r="S179" i="30"/>
  <c r="S178" i="30"/>
  <c r="S177" i="30"/>
  <c r="S176" i="30"/>
  <c r="S175" i="30"/>
  <c r="S174" i="30"/>
  <c r="S173" i="30"/>
  <c r="S172" i="30"/>
  <c r="S171" i="30"/>
  <c r="S170" i="30"/>
  <c r="S169" i="30"/>
  <c r="S168" i="30"/>
  <c r="S167" i="30"/>
  <c r="S166" i="30"/>
  <c r="S163" i="30"/>
  <c r="S162" i="30"/>
  <c r="S161" i="30"/>
  <c r="S160" i="30"/>
  <c r="S159" i="30"/>
  <c r="S158" i="30"/>
  <c r="S157" i="30"/>
  <c r="S155" i="30"/>
  <c r="S154" i="30"/>
  <c r="S153" i="30"/>
  <c r="S152" i="30"/>
  <c r="S151" i="30"/>
  <c r="S150" i="30"/>
  <c r="R149" i="30"/>
  <c r="Q23" i="32" s="1"/>
  <c r="S148" i="30"/>
  <c r="S147" i="30"/>
  <c r="S145" i="30"/>
  <c r="S144" i="30"/>
  <c r="S143" i="30"/>
  <c r="S142" i="30"/>
  <c r="S141" i="30"/>
  <c r="S140" i="30"/>
  <c r="S139" i="30"/>
  <c r="S138" i="30"/>
  <c r="S137" i="30"/>
  <c r="S136" i="30"/>
  <c r="S135" i="30"/>
  <c r="S132" i="30"/>
  <c r="S131" i="30"/>
  <c r="S130" i="30"/>
  <c r="S129" i="30"/>
  <c r="S128" i="30"/>
  <c r="S127" i="30"/>
  <c r="S126" i="30"/>
  <c r="S125" i="30"/>
  <c r="S124" i="30"/>
  <c r="S121" i="30"/>
  <c r="S119" i="30"/>
  <c r="S118" i="30"/>
  <c r="S117" i="30"/>
  <c r="S116" i="30"/>
  <c r="S115" i="30"/>
  <c r="S113" i="30"/>
  <c r="S112" i="30"/>
  <c r="S111" i="30"/>
  <c r="S110" i="30"/>
  <c r="S109" i="30"/>
  <c r="S108" i="30"/>
  <c r="S107" i="30"/>
  <c r="S106" i="30"/>
  <c r="S105" i="30"/>
  <c r="S104" i="30"/>
  <c r="S103" i="30"/>
  <c r="S102" i="30"/>
  <c r="S101" i="30"/>
  <c r="S100" i="30"/>
  <c r="S99" i="30"/>
  <c r="S98" i="30"/>
  <c r="S97" i="30"/>
  <c r="S96" i="30"/>
  <c r="S95" i="30"/>
  <c r="S94" i="30"/>
  <c r="S93" i="30"/>
  <c r="S92" i="30"/>
  <c r="S91" i="30"/>
  <c r="S90" i="30"/>
  <c r="S89" i="30"/>
  <c r="S88" i="30"/>
  <c r="S87" i="30"/>
  <c r="S86" i="30"/>
  <c r="S85" i="30"/>
  <c r="S84" i="30"/>
  <c r="S83" i="30"/>
  <c r="S82" i="30"/>
  <c r="S81" i="30"/>
  <c r="S80" i="30"/>
  <c r="S79" i="30"/>
  <c r="S78" i="30"/>
  <c r="S77" i="30"/>
  <c r="S76" i="30"/>
  <c r="S75" i="30"/>
  <c r="S74" i="30"/>
  <c r="S73" i="30"/>
  <c r="S72" i="30"/>
  <c r="S71" i="30"/>
  <c r="S70" i="30"/>
  <c r="S55" i="30"/>
  <c r="S54" i="30"/>
  <c r="S53" i="30"/>
  <c r="S52" i="30"/>
  <c r="S51" i="30"/>
  <c r="S50" i="30"/>
  <c r="S49" i="30"/>
  <c r="S45" i="30"/>
  <c r="S44" i="30"/>
  <c r="S43" i="30"/>
  <c r="S42" i="30"/>
  <c r="S41" i="30"/>
  <c r="S40" i="30"/>
  <c r="S39" i="30"/>
  <c r="S38" i="30"/>
  <c r="S37" i="30"/>
  <c r="S36" i="30"/>
  <c r="S35" i="30"/>
  <c r="S34" i="30"/>
  <c r="S33" i="30"/>
  <c r="S32" i="30"/>
  <c r="S31" i="30"/>
  <c r="S30" i="30"/>
  <c r="S29" i="30"/>
  <c r="S28" i="30"/>
  <c r="S27" i="30"/>
  <c r="S26" i="30"/>
  <c r="S25" i="30"/>
  <c r="S23" i="30"/>
  <c r="S22" i="30"/>
  <c r="S21" i="30"/>
  <c r="S20" i="30"/>
  <c r="S19" i="30"/>
  <c r="S18" i="30"/>
  <c r="S17" i="30"/>
  <c r="S16" i="30"/>
  <c r="S15" i="30"/>
  <c r="S14" i="30"/>
  <c r="S13" i="30"/>
  <c r="S11" i="30"/>
  <c r="R11" i="30"/>
  <c r="Q11" i="30"/>
  <c r="O209" i="30"/>
  <c r="P24" i="32" s="1"/>
  <c r="P208" i="30"/>
  <c r="P207" i="30"/>
  <c r="P206" i="30"/>
  <c r="P205" i="30"/>
  <c r="P204" i="30"/>
  <c r="P203" i="30"/>
  <c r="P202" i="30"/>
  <c r="P201" i="30"/>
  <c r="P200" i="30"/>
  <c r="P199" i="30"/>
  <c r="P198" i="30"/>
  <c r="P197" i="30"/>
  <c r="P196" i="30"/>
  <c r="P195" i="30"/>
  <c r="P194" i="30"/>
  <c r="P193" i="30"/>
  <c r="P192" i="30"/>
  <c r="P191" i="30"/>
  <c r="P190" i="30"/>
  <c r="P189" i="30"/>
  <c r="P188" i="30"/>
  <c r="P187" i="30"/>
  <c r="P186" i="30"/>
  <c r="P185" i="30"/>
  <c r="P184" i="30"/>
  <c r="P183" i="30"/>
  <c r="P182" i="30"/>
  <c r="P181" i="30"/>
  <c r="P180" i="30"/>
  <c r="P179" i="30"/>
  <c r="P178" i="30"/>
  <c r="P177" i="30"/>
  <c r="P176" i="30"/>
  <c r="P175" i="30"/>
  <c r="P174" i="30"/>
  <c r="P173" i="30"/>
  <c r="P172" i="30"/>
  <c r="P171" i="30"/>
  <c r="P170" i="30"/>
  <c r="P169" i="30"/>
  <c r="P168" i="30"/>
  <c r="P167" i="30"/>
  <c r="P166" i="30"/>
  <c r="P163" i="30"/>
  <c r="P162" i="30"/>
  <c r="P161" i="30"/>
  <c r="P160" i="30"/>
  <c r="P159" i="30"/>
  <c r="P158" i="30"/>
  <c r="P157" i="30"/>
  <c r="P155" i="30"/>
  <c r="P154" i="30"/>
  <c r="P153" i="30"/>
  <c r="P152" i="30"/>
  <c r="P151" i="30"/>
  <c r="P150" i="30"/>
  <c r="O149" i="30"/>
  <c r="P23" i="32" s="1"/>
  <c r="P148" i="30"/>
  <c r="P147" i="30"/>
  <c r="O146" i="30"/>
  <c r="P22" i="32" s="1"/>
  <c r="P145" i="30"/>
  <c r="P144" i="30"/>
  <c r="P143" i="30"/>
  <c r="P142" i="30"/>
  <c r="P141" i="30"/>
  <c r="P140" i="30"/>
  <c r="P139" i="30"/>
  <c r="P138" i="30"/>
  <c r="P137" i="30"/>
  <c r="P136" i="30"/>
  <c r="P135" i="30"/>
  <c r="O133" i="30"/>
  <c r="P132" i="30"/>
  <c r="P131" i="30"/>
  <c r="P130" i="30"/>
  <c r="P129" i="30"/>
  <c r="P128" i="30"/>
  <c r="P127" i="30"/>
  <c r="P126" i="30"/>
  <c r="P125" i="30"/>
  <c r="P124" i="30"/>
  <c r="O122" i="30"/>
  <c r="P21" i="32" s="1"/>
  <c r="P121" i="30"/>
  <c r="P119" i="30"/>
  <c r="P118" i="30"/>
  <c r="P117" i="30"/>
  <c r="P116" i="30"/>
  <c r="P115" i="30"/>
  <c r="O114" i="30"/>
  <c r="P20" i="32" s="1"/>
  <c r="P113" i="30"/>
  <c r="P79" i="30"/>
  <c r="P78" i="30"/>
  <c r="P77" i="30"/>
  <c r="P76" i="30"/>
  <c r="P75" i="30"/>
  <c r="P74" i="30"/>
  <c r="P73" i="30"/>
  <c r="P72" i="30"/>
  <c r="P71" i="30"/>
  <c r="P70" i="30"/>
  <c r="O56" i="30"/>
  <c r="P19" i="32" s="1"/>
  <c r="P55" i="30"/>
  <c r="P54" i="30"/>
  <c r="P53" i="30"/>
  <c r="P52" i="30"/>
  <c r="P51" i="30"/>
  <c r="P50" i="30"/>
  <c r="P49" i="30"/>
  <c r="O46" i="30"/>
  <c r="P45" i="30"/>
  <c r="P44" i="30"/>
  <c r="P43" i="30"/>
  <c r="P42" i="30"/>
  <c r="P41" i="30"/>
  <c r="P40" i="30"/>
  <c r="P39" i="30"/>
  <c r="P38" i="30"/>
  <c r="P37" i="30"/>
  <c r="P36" i="30"/>
  <c r="P35" i="30"/>
  <c r="P34" i="30"/>
  <c r="P33" i="30"/>
  <c r="P32" i="30"/>
  <c r="P31" i="30"/>
  <c r="P30" i="30"/>
  <c r="P29" i="30"/>
  <c r="P28" i="30"/>
  <c r="P27" i="30"/>
  <c r="P26" i="30"/>
  <c r="P25" i="30"/>
  <c r="O24" i="30"/>
  <c r="P23" i="30"/>
  <c r="P22" i="30"/>
  <c r="P21" i="30"/>
  <c r="P20" i="30"/>
  <c r="P19" i="30"/>
  <c r="P18" i="30"/>
  <c r="P17" i="30"/>
  <c r="P16" i="30"/>
  <c r="P15" i="30"/>
  <c r="P14" i="30"/>
  <c r="P13" i="30"/>
  <c r="P11" i="30"/>
  <c r="O11" i="30"/>
  <c r="N11" i="30"/>
  <c r="E11" i="30"/>
  <c r="F11" i="30"/>
  <c r="G11" i="30"/>
  <c r="H11" i="30"/>
  <c r="I11" i="30"/>
  <c r="J11" i="30"/>
  <c r="K11" i="30"/>
  <c r="L11" i="30"/>
  <c r="M11" i="30"/>
  <c r="G13" i="30"/>
  <c r="J13" i="30"/>
  <c r="M13" i="30"/>
  <c r="G14" i="30"/>
  <c r="J14" i="30"/>
  <c r="M14" i="30"/>
  <c r="G15" i="30"/>
  <c r="J15" i="30"/>
  <c r="M15" i="30"/>
  <c r="G16" i="30"/>
  <c r="J16" i="30"/>
  <c r="M16" i="30"/>
  <c r="G17" i="30"/>
  <c r="J17" i="30"/>
  <c r="M17" i="30"/>
  <c r="G18" i="30"/>
  <c r="J18" i="30"/>
  <c r="M18" i="30"/>
  <c r="G19" i="30"/>
  <c r="J19" i="30"/>
  <c r="M19" i="30"/>
  <c r="G20" i="30"/>
  <c r="J20" i="30"/>
  <c r="M20" i="30"/>
  <c r="G21" i="30"/>
  <c r="J21" i="30"/>
  <c r="M21" i="30"/>
  <c r="G22" i="30"/>
  <c r="J22" i="30"/>
  <c r="M22" i="30"/>
  <c r="G23" i="30"/>
  <c r="J23" i="30"/>
  <c r="M23" i="30"/>
  <c r="F24" i="30"/>
  <c r="I24" i="30"/>
  <c r="J24" i="30" s="1"/>
  <c r="L24" i="30"/>
  <c r="G25" i="30"/>
  <c r="J25" i="30"/>
  <c r="M25" i="30"/>
  <c r="G26" i="30"/>
  <c r="J26" i="30"/>
  <c r="M26" i="30"/>
  <c r="G27" i="30"/>
  <c r="J27" i="30"/>
  <c r="M27" i="30"/>
  <c r="G28" i="30"/>
  <c r="J28" i="30"/>
  <c r="M28" i="30"/>
  <c r="G29" i="30"/>
  <c r="J29" i="30"/>
  <c r="M29" i="30"/>
  <c r="G30" i="30"/>
  <c r="J30" i="30"/>
  <c r="M30" i="30"/>
  <c r="G31" i="30"/>
  <c r="J31" i="30"/>
  <c r="M31" i="30"/>
  <c r="G32" i="30"/>
  <c r="J32" i="30"/>
  <c r="M32" i="30"/>
  <c r="G33" i="30"/>
  <c r="J33" i="30"/>
  <c r="M33" i="30"/>
  <c r="G34" i="30"/>
  <c r="J34" i="30"/>
  <c r="M34" i="30"/>
  <c r="G35" i="30"/>
  <c r="J35" i="30"/>
  <c r="M35" i="30"/>
  <c r="G36" i="30"/>
  <c r="J36" i="30"/>
  <c r="M36" i="30"/>
  <c r="G37" i="30"/>
  <c r="J37" i="30"/>
  <c r="M37" i="30"/>
  <c r="G38" i="30"/>
  <c r="J38" i="30"/>
  <c r="M38" i="30"/>
  <c r="G39" i="30"/>
  <c r="J39" i="30"/>
  <c r="M39" i="30"/>
  <c r="G40" i="30"/>
  <c r="J40" i="30"/>
  <c r="M40" i="30"/>
  <c r="G41" i="30"/>
  <c r="J41" i="30"/>
  <c r="M41" i="30"/>
  <c r="G42" i="30"/>
  <c r="J42" i="30"/>
  <c r="M42" i="30"/>
  <c r="G43" i="30"/>
  <c r="J43" i="30"/>
  <c r="M43" i="30"/>
  <c r="G44" i="30"/>
  <c r="J44" i="30"/>
  <c r="M44" i="30"/>
  <c r="G45" i="30"/>
  <c r="J45" i="30"/>
  <c r="M45" i="30"/>
  <c r="F46" i="30"/>
  <c r="I46" i="30"/>
  <c r="L46" i="30"/>
  <c r="G49" i="30"/>
  <c r="J49" i="30"/>
  <c r="G50" i="30"/>
  <c r="J50" i="30"/>
  <c r="G51" i="30"/>
  <c r="J51" i="30"/>
  <c r="G52" i="30"/>
  <c r="J52" i="30"/>
  <c r="G53" i="30"/>
  <c r="J53" i="30"/>
  <c r="G54" i="30"/>
  <c r="J54" i="30"/>
  <c r="G55" i="30"/>
  <c r="J55" i="30"/>
  <c r="M55" i="30"/>
  <c r="F56" i="30"/>
  <c r="M19" i="32" s="1"/>
  <c r="I56" i="30"/>
  <c r="N19" i="32" s="1"/>
  <c r="L56" i="30"/>
  <c r="O19" i="32" s="1"/>
  <c r="G70" i="30"/>
  <c r="J70" i="30"/>
  <c r="M70" i="30"/>
  <c r="G71" i="30"/>
  <c r="J71" i="30"/>
  <c r="M71" i="30"/>
  <c r="G72" i="30"/>
  <c r="J72" i="30"/>
  <c r="M72" i="30"/>
  <c r="G73" i="30"/>
  <c r="J73" i="30"/>
  <c r="M73" i="30"/>
  <c r="G74" i="30"/>
  <c r="J74" i="30"/>
  <c r="M74" i="30"/>
  <c r="G75" i="30"/>
  <c r="J75" i="30"/>
  <c r="M75" i="30"/>
  <c r="G76" i="30"/>
  <c r="J76" i="30"/>
  <c r="M76" i="30"/>
  <c r="G77" i="30"/>
  <c r="J77" i="30"/>
  <c r="M77" i="30"/>
  <c r="G78" i="30"/>
  <c r="J78" i="30"/>
  <c r="M78" i="30"/>
  <c r="G79" i="30"/>
  <c r="J79" i="30"/>
  <c r="M79" i="30"/>
  <c r="J80" i="30"/>
  <c r="M80" i="30"/>
  <c r="G81" i="30"/>
  <c r="J81" i="30"/>
  <c r="M81" i="30"/>
  <c r="G82" i="30"/>
  <c r="J82" i="30"/>
  <c r="M82" i="30"/>
  <c r="G83" i="30"/>
  <c r="J83" i="30"/>
  <c r="M83" i="30"/>
  <c r="G84" i="30"/>
  <c r="J84" i="30"/>
  <c r="M84" i="30"/>
  <c r="G85" i="30"/>
  <c r="J85" i="30"/>
  <c r="M85" i="30"/>
  <c r="G86" i="30"/>
  <c r="J86" i="30"/>
  <c r="M86" i="30"/>
  <c r="G87" i="30"/>
  <c r="J87" i="30"/>
  <c r="M87" i="30"/>
  <c r="G88" i="30"/>
  <c r="J88" i="30"/>
  <c r="G89" i="30"/>
  <c r="J89" i="30"/>
  <c r="G90" i="30"/>
  <c r="J90" i="30"/>
  <c r="M90" i="30"/>
  <c r="G91" i="30"/>
  <c r="J91" i="30"/>
  <c r="M91" i="30"/>
  <c r="G92" i="30"/>
  <c r="J92" i="30"/>
  <c r="M92" i="30"/>
  <c r="G93" i="30"/>
  <c r="J93" i="30"/>
  <c r="M93" i="30"/>
  <c r="G94" i="30"/>
  <c r="J94" i="30"/>
  <c r="M94" i="30"/>
  <c r="G95" i="30"/>
  <c r="J95" i="30"/>
  <c r="M95" i="30"/>
  <c r="J96" i="30"/>
  <c r="M96" i="30"/>
  <c r="G97" i="30"/>
  <c r="J97" i="30"/>
  <c r="M97" i="30"/>
  <c r="G98" i="30"/>
  <c r="J98" i="30"/>
  <c r="M98" i="30"/>
  <c r="G99" i="30"/>
  <c r="J99" i="30"/>
  <c r="M99" i="30"/>
  <c r="G100" i="30"/>
  <c r="J100" i="30"/>
  <c r="M100" i="30"/>
  <c r="G101" i="30"/>
  <c r="J101" i="30"/>
  <c r="M101" i="30"/>
  <c r="G102" i="30"/>
  <c r="J102" i="30"/>
  <c r="M102" i="30"/>
  <c r="G103" i="30"/>
  <c r="J103" i="30"/>
  <c r="M103" i="30"/>
  <c r="G104" i="30"/>
  <c r="J104" i="30"/>
  <c r="M104" i="30"/>
  <c r="G105" i="30"/>
  <c r="J105" i="30"/>
  <c r="M105" i="30"/>
  <c r="G106" i="30"/>
  <c r="J106" i="30"/>
  <c r="M106" i="30"/>
  <c r="G107" i="30"/>
  <c r="J107" i="30"/>
  <c r="M107" i="30"/>
  <c r="G108" i="30"/>
  <c r="J108" i="30"/>
  <c r="M108" i="30"/>
  <c r="G109" i="30"/>
  <c r="J109" i="30"/>
  <c r="M109" i="30"/>
  <c r="G110" i="30"/>
  <c r="J110" i="30"/>
  <c r="M110" i="30"/>
  <c r="G111" i="30"/>
  <c r="J111" i="30"/>
  <c r="M111" i="30"/>
  <c r="G112" i="30"/>
  <c r="J112" i="30"/>
  <c r="M112" i="30"/>
  <c r="G113" i="30"/>
  <c r="J113" i="30"/>
  <c r="M113" i="30"/>
  <c r="I114" i="30"/>
  <c r="N20" i="32" s="1"/>
  <c r="G115" i="30"/>
  <c r="J115" i="30"/>
  <c r="M115" i="30"/>
  <c r="G116" i="30"/>
  <c r="J116" i="30"/>
  <c r="M116" i="30"/>
  <c r="G117" i="30"/>
  <c r="J117" i="30"/>
  <c r="M117" i="30"/>
  <c r="G118" i="30"/>
  <c r="J118" i="30"/>
  <c r="M118" i="30"/>
  <c r="G119" i="30"/>
  <c r="J119" i="30"/>
  <c r="M119" i="30"/>
  <c r="G121" i="30"/>
  <c r="J121" i="30"/>
  <c r="M121" i="30"/>
  <c r="F122" i="30"/>
  <c r="M21" i="32" s="1"/>
  <c r="L122" i="30"/>
  <c r="O21" i="32" s="1"/>
  <c r="G124" i="30"/>
  <c r="J124" i="30"/>
  <c r="M124" i="30"/>
  <c r="G125" i="30"/>
  <c r="J125" i="30"/>
  <c r="M125" i="30"/>
  <c r="G126" i="30"/>
  <c r="J126" i="30"/>
  <c r="M126" i="30"/>
  <c r="G127" i="30"/>
  <c r="J127" i="30"/>
  <c r="M127" i="30"/>
  <c r="G128" i="30"/>
  <c r="J128" i="30"/>
  <c r="M128" i="30"/>
  <c r="G129" i="30"/>
  <c r="J129" i="30"/>
  <c r="M129" i="30"/>
  <c r="G130" i="30"/>
  <c r="J130" i="30"/>
  <c r="M130" i="30"/>
  <c r="G131" i="30"/>
  <c r="J131" i="30"/>
  <c r="M131" i="30"/>
  <c r="G132" i="30"/>
  <c r="J132" i="30"/>
  <c r="M132" i="30"/>
  <c r="F133" i="30"/>
  <c r="I133" i="30"/>
  <c r="L133" i="30"/>
  <c r="G135" i="30"/>
  <c r="J135" i="30"/>
  <c r="M135" i="30"/>
  <c r="G136" i="30"/>
  <c r="J136" i="30"/>
  <c r="M136" i="30"/>
  <c r="G137" i="30"/>
  <c r="J137" i="30"/>
  <c r="M137" i="30"/>
  <c r="G138" i="30"/>
  <c r="J138" i="30"/>
  <c r="M138" i="30"/>
  <c r="G139" i="30"/>
  <c r="J139" i="30"/>
  <c r="M139" i="30"/>
  <c r="G140" i="30"/>
  <c r="J140" i="30"/>
  <c r="M140" i="30"/>
  <c r="G141" i="30"/>
  <c r="J141" i="30"/>
  <c r="M141" i="30"/>
  <c r="G142" i="30"/>
  <c r="J142" i="30"/>
  <c r="M142" i="30"/>
  <c r="G143" i="30"/>
  <c r="J143" i="30"/>
  <c r="M143" i="30"/>
  <c r="G144" i="30"/>
  <c r="M144" i="30"/>
  <c r="G145" i="30"/>
  <c r="M145" i="30"/>
  <c r="F146" i="30"/>
  <c r="M22" i="32" s="1"/>
  <c r="L146" i="30"/>
  <c r="O22" i="32" s="1"/>
  <c r="G147" i="30"/>
  <c r="J147" i="30"/>
  <c r="M147" i="30"/>
  <c r="G148" i="30"/>
  <c r="J148" i="30"/>
  <c r="M148" i="30"/>
  <c r="F149" i="30"/>
  <c r="M23" i="32" s="1"/>
  <c r="I149" i="30"/>
  <c r="N23" i="32" s="1"/>
  <c r="L149" i="30"/>
  <c r="O23" i="32" s="1"/>
  <c r="G150" i="30"/>
  <c r="J150" i="30"/>
  <c r="M150" i="30"/>
  <c r="G151" i="30"/>
  <c r="J151" i="30"/>
  <c r="M151" i="30"/>
  <c r="G152" i="30"/>
  <c r="J152" i="30"/>
  <c r="M152" i="30"/>
  <c r="G153" i="30"/>
  <c r="J153" i="30"/>
  <c r="M153" i="30"/>
  <c r="G154" i="30"/>
  <c r="J154" i="30"/>
  <c r="M154" i="30"/>
  <c r="G155" i="30"/>
  <c r="J155" i="30"/>
  <c r="M155" i="30"/>
  <c r="G157" i="30"/>
  <c r="J157" i="30"/>
  <c r="M157" i="30"/>
  <c r="G158" i="30"/>
  <c r="J158" i="30"/>
  <c r="M158" i="30"/>
  <c r="G159" i="30"/>
  <c r="J159" i="30"/>
  <c r="M159" i="30"/>
  <c r="G160" i="30"/>
  <c r="J160" i="30"/>
  <c r="M160" i="30"/>
  <c r="G161" i="30"/>
  <c r="J161" i="30"/>
  <c r="M161" i="30"/>
  <c r="G162" i="30"/>
  <c r="J162" i="30"/>
  <c r="M162" i="30"/>
  <c r="G163" i="30"/>
  <c r="J163" i="30"/>
  <c r="M163" i="30"/>
  <c r="G166" i="30"/>
  <c r="J166" i="30"/>
  <c r="M166" i="30"/>
  <c r="G167" i="30"/>
  <c r="J167" i="30"/>
  <c r="M167" i="30"/>
  <c r="G168" i="30"/>
  <c r="J168" i="30"/>
  <c r="M168" i="30"/>
  <c r="G169" i="30"/>
  <c r="J169" i="30"/>
  <c r="M169" i="30"/>
  <c r="G170" i="30"/>
  <c r="J170" i="30"/>
  <c r="M170" i="30"/>
  <c r="G171" i="30"/>
  <c r="J171" i="30"/>
  <c r="M171" i="30"/>
  <c r="G172" i="30"/>
  <c r="J172" i="30"/>
  <c r="M172" i="30"/>
  <c r="G173" i="30"/>
  <c r="J173" i="30"/>
  <c r="M173" i="30"/>
  <c r="G174" i="30"/>
  <c r="J174" i="30"/>
  <c r="M174" i="30"/>
  <c r="G175" i="30"/>
  <c r="J175" i="30"/>
  <c r="M175" i="30"/>
  <c r="G176" i="30"/>
  <c r="J176" i="30"/>
  <c r="M176" i="30"/>
  <c r="G177" i="30"/>
  <c r="J177" i="30"/>
  <c r="M177" i="30"/>
  <c r="G178" i="30"/>
  <c r="J178" i="30"/>
  <c r="M178" i="30"/>
  <c r="G179" i="30"/>
  <c r="J179" i="30"/>
  <c r="M179" i="30"/>
  <c r="G180" i="30"/>
  <c r="J180" i="30"/>
  <c r="M180" i="30"/>
  <c r="G181" i="30"/>
  <c r="J181" i="30"/>
  <c r="M181" i="30"/>
  <c r="G182" i="30"/>
  <c r="J182" i="30"/>
  <c r="M182" i="30"/>
  <c r="G183" i="30"/>
  <c r="J183" i="30"/>
  <c r="M183" i="30"/>
  <c r="G184" i="30"/>
  <c r="J184" i="30"/>
  <c r="M184" i="30"/>
  <c r="G185" i="30"/>
  <c r="J185" i="30"/>
  <c r="M185" i="30"/>
  <c r="G186" i="30"/>
  <c r="J186" i="30"/>
  <c r="M186" i="30"/>
  <c r="G187" i="30"/>
  <c r="J187" i="30"/>
  <c r="M187" i="30"/>
  <c r="G188" i="30"/>
  <c r="J188" i="30"/>
  <c r="M188" i="30"/>
  <c r="G189" i="30"/>
  <c r="J189" i="30"/>
  <c r="M189" i="30"/>
  <c r="G190" i="30"/>
  <c r="J190" i="30"/>
  <c r="M190" i="30"/>
  <c r="G191" i="30"/>
  <c r="J191" i="30"/>
  <c r="M191" i="30"/>
  <c r="G192" i="30"/>
  <c r="J192" i="30"/>
  <c r="M192" i="30"/>
  <c r="G193" i="30"/>
  <c r="J193" i="30"/>
  <c r="M193" i="30"/>
  <c r="G194" i="30"/>
  <c r="J194" i="30"/>
  <c r="M194" i="30"/>
  <c r="G195" i="30"/>
  <c r="J195" i="30"/>
  <c r="M195" i="30"/>
  <c r="G196" i="30"/>
  <c r="J196" i="30"/>
  <c r="M196" i="30"/>
  <c r="G197" i="30"/>
  <c r="J197" i="30"/>
  <c r="M197" i="30"/>
  <c r="G198" i="30"/>
  <c r="J198" i="30"/>
  <c r="M198" i="30"/>
  <c r="G199" i="30"/>
  <c r="J199" i="30"/>
  <c r="M199" i="30"/>
  <c r="G200" i="30"/>
  <c r="J200" i="30"/>
  <c r="M200" i="30"/>
  <c r="G201" i="30"/>
  <c r="J201" i="30"/>
  <c r="M201" i="30"/>
  <c r="G202" i="30"/>
  <c r="J202" i="30"/>
  <c r="M202" i="30"/>
  <c r="G203" i="30"/>
  <c r="J203" i="30"/>
  <c r="M203" i="30"/>
  <c r="G204" i="30"/>
  <c r="J204" i="30"/>
  <c r="M204" i="30"/>
  <c r="G205" i="30"/>
  <c r="J205" i="30"/>
  <c r="M205" i="30"/>
  <c r="G206" i="30"/>
  <c r="J206" i="30"/>
  <c r="M206" i="30"/>
  <c r="G207" i="30"/>
  <c r="J207" i="30"/>
  <c r="M207" i="30"/>
  <c r="G208" i="30"/>
  <c r="J208" i="30"/>
  <c r="M208" i="30"/>
  <c r="F209" i="30"/>
  <c r="M24" i="32" s="1"/>
  <c r="I209" i="30"/>
  <c r="N24" i="32" s="1"/>
  <c r="L209" i="30"/>
  <c r="O24" i="32" s="1"/>
  <c r="U204" i="31"/>
  <c r="R11" i="32" s="1"/>
  <c r="V203" i="31"/>
  <c r="V202" i="31"/>
  <c r="V201" i="31"/>
  <c r="V200" i="31"/>
  <c r="V199" i="31"/>
  <c r="V198" i="31"/>
  <c r="V197" i="31"/>
  <c r="V196" i="31"/>
  <c r="V195" i="31"/>
  <c r="V194" i="31"/>
  <c r="V193" i="31"/>
  <c r="V192" i="31"/>
  <c r="V191" i="31"/>
  <c r="V190" i="31"/>
  <c r="V189" i="31"/>
  <c r="V188" i="31"/>
  <c r="V187" i="31"/>
  <c r="V186" i="31"/>
  <c r="V185" i="31"/>
  <c r="V184" i="31"/>
  <c r="V183" i="31"/>
  <c r="V182" i="31"/>
  <c r="V181" i="31"/>
  <c r="V180" i="31"/>
  <c r="V179" i="31"/>
  <c r="V178" i="31"/>
  <c r="V177" i="31"/>
  <c r="V176" i="31"/>
  <c r="V175" i="31"/>
  <c r="V174" i="31"/>
  <c r="V173" i="31"/>
  <c r="V172" i="31"/>
  <c r="V171" i="31"/>
  <c r="V170" i="31"/>
  <c r="V169" i="31"/>
  <c r="V168" i="31"/>
  <c r="V167" i="31"/>
  <c r="V166" i="31"/>
  <c r="V165" i="31"/>
  <c r="V164" i="31"/>
  <c r="V163" i="31"/>
  <c r="V162" i="31"/>
  <c r="V161" i="31"/>
  <c r="V158" i="31"/>
  <c r="V157" i="31"/>
  <c r="V156" i="31"/>
  <c r="V155" i="31"/>
  <c r="V154" i="31"/>
  <c r="V153" i="31"/>
  <c r="V152" i="31"/>
  <c r="V150" i="31"/>
  <c r="V149" i="31"/>
  <c r="V148" i="31"/>
  <c r="V147" i="31"/>
  <c r="V146" i="31"/>
  <c r="V145" i="31"/>
  <c r="U144" i="31"/>
  <c r="R10" i="32" s="1"/>
  <c r="V143" i="31"/>
  <c r="V142" i="31"/>
  <c r="U141" i="31"/>
  <c r="R9" i="32" s="1"/>
  <c r="V140" i="31"/>
  <c r="V139" i="31"/>
  <c r="V138" i="31"/>
  <c r="V137" i="31"/>
  <c r="V136" i="31"/>
  <c r="V135" i="31"/>
  <c r="V134" i="31"/>
  <c r="V133" i="31"/>
  <c r="V132" i="31"/>
  <c r="V131" i="31"/>
  <c r="V130" i="31"/>
  <c r="U128" i="31"/>
  <c r="V127" i="31"/>
  <c r="V126" i="31"/>
  <c r="V125" i="31"/>
  <c r="V124" i="31"/>
  <c r="V123" i="31"/>
  <c r="V122" i="31"/>
  <c r="V121" i="31"/>
  <c r="V120" i="31"/>
  <c r="V119" i="31"/>
  <c r="U117" i="31"/>
  <c r="R8" i="32" s="1"/>
  <c r="V116" i="31"/>
  <c r="V114" i="31"/>
  <c r="V113" i="31"/>
  <c r="V112" i="31"/>
  <c r="V111" i="31"/>
  <c r="V110" i="31"/>
  <c r="U109" i="31"/>
  <c r="R7" i="32" s="1"/>
  <c r="V108" i="31"/>
  <c r="V107" i="31"/>
  <c r="V106" i="31"/>
  <c r="V105" i="31"/>
  <c r="V104" i="31"/>
  <c r="V103" i="31"/>
  <c r="V102" i="31"/>
  <c r="V101" i="31"/>
  <c r="V100" i="31"/>
  <c r="V99" i="31"/>
  <c r="V98" i="31"/>
  <c r="V97" i="31"/>
  <c r="V95" i="31"/>
  <c r="V94" i="31"/>
  <c r="V93" i="31"/>
  <c r="V92" i="31"/>
  <c r="V91" i="31"/>
  <c r="V90" i="31"/>
  <c r="V89" i="31"/>
  <c r="V88" i="31"/>
  <c r="V87" i="31"/>
  <c r="V86" i="31"/>
  <c r="V85" i="31"/>
  <c r="V84" i="31"/>
  <c r="V83" i="31"/>
  <c r="V82" i="31"/>
  <c r="V81" i="31"/>
  <c r="V80" i="31"/>
  <c r="V79" i="31"/>
  <c r="V78" i="31"/>
  <c r="V77" i="31"/>
  <c r="V76" i="31"/>
  <c r="V75" i="31"/>
  <c r="V74" i="31"/>
  <c r="V73" i="31"/>
  <c r="V72" i="31"/>
  <c r="V71" i="31"/>
  <c r="V70" i="31"/>
  <c r="V69" i="31"/>
  <c r="V68" i="31"/>
  <c r="V67" i="31"/>
  <c r="V66" i="31"/>
  <c r="V65" i="31"/>
  <c r="U51" i="31"/>
  <c r="V50" i="31"/>
  <c r="V49" i="31"/>
  <c r="V48" i="31"/>
  <c r="V47" i="31"/>
  <c r="V46" i="31"/>
  <c r="V45" i="31"/>
  <c r="V44" i="31"/>
  <c r="V43" i="31"/>
  <c r="U41" i="31"/>
  <c r="V40" i="31"/>
  <c r="V39" i="31"/>
  <c r="V38" i="31"/>
  <c r="V37" i="31"/>
  <c r="V36" i="31"/>
  <c r="V35" i="31"/>
  <c r="V34" i="31"/>
  <c r="V33" i="31"/>
  <c r="V32" i="31"/>
  <c r="V31" i="31"/>
  <c r="V30" i="31"/>
  <c r="V29" i="31"/>
  <c r="V28" i="31"/>
  <c r="V27" i="31"/>
  <c r="V26" i="31"/>
  <c r="V25" i="31"/>
  <c r="V24" i="31"/>
  <c r="V23" i="31"/>
  <c r="V22" i="31"/>
  <c r="V21" i="31"/>
  <c r="V20" i="31"/>
  <c r="U19" i="31"/>
  <c r="V18" i="31"/>
  <c r="V17" i="31"/>
  <c r="V16" i="31"/>
  <c r="V15" i="31"/>
  <c r="V14" i="31"/>
  <c r="V13" i="31"/>
  <c r="V12" i="31"/>
  <c r="V11" i="31"/>
  <c r="V10" i="31"/>
  <c r="V9" i="31"/>
  <c r="V8" i="31"/>
  <c r="S203" i="31"/>
  <c r="S202" i="31"/>
  <c r="S201" i="31"/>
  <c r="S200" i="31"/>
  <c r="S199" i="31"/>
  <c r="S198" i="31"/>
  <c r="S197" i="31"/>
  <c r="S196" i="31"/>
  <c r="S195" i="31"/>
  <c r="S194" i="31"/>
  <c r="S193" i="31"/>
  <c r="S192" i="31"/>
  <c r="S191" i="31"/>
  <c r="S190" i="31"/>
  <c r="S189" i="31"/>
  <c r="S188" i="31"/>
  <c r="S187" i="31"/>
  <c r="S186" i="31"/>
  <c r="S185" i="31"/>
  <c r="S184" i="31"/>
  <c r="S183" i="31"/>
  <c r="S182" i="31"/>
  <c r="S181" i="31"/>
  <c r="S180" i="31"/>
  <c r="S179" i="31"/>
  <c r="S178" i="31"/>
  <c r="S177" i="31"/>
  <c r="S176" i="31"/>
  <c r="S175" i="31"/>
  <c r="S174" i="31"/>
  <c r="S173" i="31"/>
  <c r="S172" i="31"/>
  <c r="S171" i="31"/>
  <c r="S170" i="31"/>
  <c r="S169" i="31"/>
  <c r="S168" i="31"/>
  <c r="S167" i="31"/>
  <c r="S166" i="31"/>
  <c r="S165" i="31"/>
  <c r="S164" i="31"/>
  <c r="S163" i="31"/>
  <c r="S162" i="31"/>
  <c r="S161" i="31"/>
  <c r="S158" i="31"/>
  <c r="S157" i="31"/>
  <c r="S155" i="31"/>
  <c r="S154" i="31"/>
  <c r="S153" i="31"/>
  <c r="S152" i="31"/>
  <c r="S150" i="31"/>
  <c r="S149" i="31"/>
  <c r="S148" i="31"/>
  <c r="S147" i="31"/>
  <c r="S146" i="31"/>
  <c r="S145" i="31"/>
  <c r="S143" i="31"/>
  <c r="S142" i="31"/>
  <c r="S140" i="31"/>
  <c r="S139" i="31"/>
  <c r="S138" i="31"/>
  <c r="S137" i="31"/>
  <c r="S136" i="31"/>
  <c r="S135" i="31"/>
  <c r="S134" i="31"/>
  <c r="S133" i="31"/>
  <c r="S132" i="31"/>
  <c r="S131" i="31"/>
  <c r="S130" i="31"/>
  <c r="S127" i="31"/>
  <c r="S126" i="31"/>
  <c r="S125" i="31"/>
  <c r="S124" i="31"/>
  <c r="S123" i="31"/>
  <c r="S122" i="31"/>
  <c r="S121" i="31"/>
  <c r="S120" i="31"/>
  <c r="S119" i="31"/>
  <c r="S116" i="31"/>
  <c r="S114" i="31"/>
  <c r="S113" i="31"/>
  <c r="S112" i="31"/>
  <c r="S111" i="31"/>
  <c r="S110" i="31"/>
  <c r="S108" i="31"/>
  <c r="S107" i="31"/>
  <c r="S106" i="31"/>
  <c r="S105" i="31"/>
  <c r="S104" i="31"/>
  <c r="S103" i="31"/>
  <c r="S102" i="31"/>
  <c r="S101" i="31"/>
  <c r="S100" i="31"/>
  <c r="S99" i="31"/>
  <c r="S98" i="31"/>
  <c r="S97" i="31"/>
  <c r="S95" i="31"/>
  <c r="S94" i="31"/>
  <c r="S93" i="31"/>
  <c r="S92" i="31"/>
  <c r="S91" i="31"/>
  <c r="S90" i="31"/>
  <c r="S89" i="31"/>
  <c r="S88" i="31"/>
  <c r="S87" i="31"/>
  <c r="S86" i="31"/>
  <c r="S85" i="31"/>
  <c r="S84" i="31"/>
  <c r="S83" i="31"/>
  <c r="S82" i="31"/>
  <c r="S81" i="31"/>
  <c r="S80" i="31"/>
  <c r="S79" i="31"/>
  <c r="S78" i="31"/>
  <c r="S77" i="31"/>
  <c r="S76" i="31"/>
  <c r="S75" i="31"/>
  <c r="S74" i="31"/>
  <c r="S73" i="31"/>
  <c r="S72" i="31"/>
  <c r="S71" i="31"/>
  <c r="S70" i="31"/>
  <c r="S69" i="31"/>
  <c r="S68" i="31"/>
  <c r="S67" i="31"/>
  <c r="S66" i="31"/>
  <c r="S65" i="31"/>
  <c r="S50" i="31"/>
  <c r="S49" i="31"/>
  <c r="S48" i="31"/>
  <c r="S47" i="31"/>
  <c r="S46" i="31"/>
  <c r="S45" i="31"/>
  <c r="S44" i="31"/>
  <c r="S43" i="31"/>
  <c r="S40" i="31"/>
  <c r="S39" i="31"/>
  <c r="S38" i="31"/>
  <c r="S37" i="31"/>
  <c r="S36" i="31"/>
  <c r="S35" i="31"/>
  <c r="S34" i="31"/>
  <c r="S33" i="31"/>
  <c r="S32" i="31"/>
  <c r="S31" i="31"/>
  <c r="S30" i="31"/>
  <c r="S29" i="31"/>
  <c r="S28" i="31"/>
  <c r="S27" i="31"/>
  <c r="S26" i="31"/>
  <c r="S25" i="31"/>
  <c r="S24" i="31"/>
  <c r="S23" i="31"/>
  <c r="S22" i="31"/>
  <c r="S21" i="31"/>
  <c r="S20" i="31"/>
  <c r="S18" i="31"/>
  <c r="S17" i="31"/>
  <c r="S16" i="31"/>
  <c r="S15" i="31"/>
  <c r="S14" i="31"/>
  <c r="S13" i="31"/>
  <c r="S12" i="31"/>
  <c r="S11" i="31"/>
  <c r="S10" i="31"/>
  <c r="S9" i="31"/>
  <c r="S8" i="31"/>
  <c r="O204" i="31"/>
  <c r="P11" i="32" s="1"/>
  <c r="P203" i="31"/>
  <c r="P202" i="31"/>
  <c r="P201" i="31"/>
  <c r="P200" i="31"/>
  <c r="P199" i="31"/>
  <c r="P198" i="31"/>
  <c r="P197" i="31"/>
  <c r="P196" i="31"/>
  <c r="P195" i="31"/>
  <c r="P194" i="31"/>
  <c r="P193" i="31"/>
  <c r="P192" i="31"/>
  <c r="P191" i="31"/>
  <c r="P190" i="31"/>
  <c r="P189" i="31"/>
  <c r="P188" i="31"/>
  <c r="P187" i="31"/>
  <c r="P186" i="31"/>
  <c r="P185" i="31"/>
  <c r="P184" i="31"/>
  <c r="P183" i="31"/>
  <c r="P182" i="31"/>
  <c r="P181" i="31"/>
  <c r="P180" i="31"/>
  <c r="P179" i="31"/>
  <c r="P178" i="31"/>
  <c r="P177" i="31"/>
  <c r="P176" i="31"/>
  <c r="P175" i="31"/>
  <c r="P174" i="31"/>
  <c r="P173" i="31"/>
  <c r="P172" i="31"/>
  <c r="P171" i="31"/>
  <c r="P170" i="31"/>
  <c r="P169" i="31"/>
  <c r="P168" i="31"/>
  <c r="P167" i="31"/>
  <c r="P166" i="31"/>
  <c r="P165" i="31"/>
  <c r="P164" i="31"/>
  <c r="P163" i="31"/>
  <c r="P162" i="31"/>
  <c r="P161" i="31"/>
  <c r="P158" i="31"/>
  <c r="P157" i="31"/>
  <c r="P156" i="31"/>
  <c r="P155" i="31"/>
  <c r="P154" i="31"/>
  <c r="P153" i="31"/>
  <c r="P152" i="31"/>
  <c r="P150" i="31"/>
  <c r="P149" i="31"/>
  <c r="P148" i="31"/>
  <c r="P147" i="31"/>
  <c r="P146" i="31"/>
  <c r="P145" i="31"/>
  <c r="O144" i="31"/>
  <c r="P10" i="32" s="1"/>
  <c r="P143" i="31"/>
  <c r="P142" i="31"/>
  <c r="O141" i="31"/>
  <c r="P9" i="32" s="1"/>
  <c r="P140" i="31"/>
  <c r="P139" i="31"/>
  <c r="P138" i="31"/>
  <c r="P137" i="31"/>
  <c r="P136" i="31"/>
  <c r="P135" i="31"/>
  <c r="P134" i="31"/>
  <c r="P133" i="31"/>
  <c r="P132" i="31"/>
  <c r="P131" i="31"/>
  <c r="P130" i="31"/>
  <c r="O128" i="31"/>
  <c r="P127" i="31"/>
  <c r="P126" i="31"/>
  <c r="P125" i="31"/>
  <c r="P124" i="31"/>
  <c r="P123" i="31"/>
  <c r="P122" i="31"/>
  <c r="P121" i="31"/>
  <c r="P120" i="31"/>
  <c r="P119" i="31"/>
  <c r="P116" i="31"/>
  <c r="P114" i="31"/>
  <c r="P113" i="31"/>
  <c r="P112" i="31"/>
  <c r="P111" i="31"/>
  <c r="O117" i="31"/>
  <c r="P110" i="31"/>
  <c r="O109" i="31"/>
  <c r="P7" i="32" s="1"/>
  <c r="P108" i="31"/>
  <c r="P107" i="31"/>
  <c r="P106" i="31"/>
  <c r="P105" i="31"/>
  <c r="P104" i="31"/>
  <c r="P103" i="31"/>
  <c r="P102" i="31"/>
  <c r="P101" i="31"/>
  <c r="P100" i="31"/>
  <c r="P99" i="31"/>
  <c r="P98" i="31"/>
  <c r="P97" i="31"/>
  <c r="P95" i="31"/>
  <c r="P94" i="31"/>
  <c r="P93" i="31"/>
  <c r="P92" i="31"/>
  <c r="P91" i="31"/>
  <c r="P90" i="31"/>
  <c r="P89" i="31"/>
  <c r="P88" i="31"/>
  <c r="P87" i="31"/>
  <c r="P86" i="31"/>
  <c r="P85" i="31"/>
  <c r="P84" i="31"/>
  <c r="P83" i="31"/>
  <c r="P82" i="31"/>
  <c r="P81" i="31"/>
  <c r="P80" i="31"/>
  <c r="P79" i="31"/>
  <c r="P78" i="31"/>
  <c r="P77" i="31"/>
  <c r="P76" i="31"/>
  <c r="P75" i="31"/>
  <c r="P74" i="31"/>
  <c r="P73" i="31"/>
  <c r="P72" i="31"/>
  <c r="P71" i="31"/>
  <c r="P70" i="31"/>
  <c r="P69" i="31"/>
  <c r="P68" i="31"/>
  <c r="P67" i="31"/>
  <c r="P66" i="31"/>
  <c r="P65" i="31"/>
  <c r="O51" i="31"/>
  <c r="P6" i="32" s="1"/>
  <c r="P50" i="31"/>
  <c r="P49" i="31"/>
  <c r="P48" i="31"/>
  <c r="P47" i="31"/>
  <c r="P46" i="31"/>
  <c r="P45" i="31"/>
  <c r="P44" i="31"/>
  <c r="P43" i="31"/>
  <c r="O41" i="31"/>
  <c r="P40" i="31"/>
  <c r="P39" i="31"/>
  <c r="P38" i="31"/>
  <c r="P37" i="31"/>
  <c r="P36" i="31"/>
  <c r="P35" i="31"/>
  <c r="P34" i="31"/>
  <c r="P33" i="31"/>
  <c r="P32" i="31"/>
  <c r="P31" i="31"/>
  <c r="P30" i="31"/>
  <c r="P29" i="31"/>
  <c r="P28" i="31"/>
  <c r="P27" i="31"/>
  <c r="P26" i="31"/>
  <c r="P25" i="31"/>
  <c r="P24" i="31"/>
  <c r="P23" i="31"/>
  <c r="P22" i="31"/>
  <c r="P21" i="31"/>
  <c r="P20" i="31"/>
  <c r="O19" i="31"/>
  <c r="P18" i="31"/>
  <c r="P17" i="31"/>
  <c r="P16" i="31"/>
  <c r="P15" i="31"/>
  <c r="P14" i="31"/>
  <c r="P13" i="31"/>
  <c r="P12" i="31"/>
  <c r="P11" i="31"/>
  <c r="P10" i="31"/>
  <c r="P9" i="31"/>
  <c r="P8" i="31"/>
  <c r="L144" i="31"/>
  <c r="O10" i="32" s="1"/>
  <c r="I144" i="31"/>
  <c r="N10" i="32" s="1"/>
  <c r="F144" i="31"/>
  <c r="M10" i="32" s="1"/>
  <c r="J143" i="31"/>
  <c r="G143" i="31"/>
  <c r="J142" i="31"/>
  <c r="G142" i="31"/>
  <c r="G145" i="31"/>
  <c r="J145" i="31"/>
  <c r="M145" i="31"/>
  <c r="J75" i="31"/>
  <c r="J76" i="31"/>
  <c r="J77" i="31"/>
  <c r="J78" i="31"/>
  <c r="J79" i="31"/>
  <c r="J80" i="31"/>
  <c r="J81" i="31"/>
  <c r="J82" i="31"/>
  <c r="J83" i="31"/>
  <c r="J84" i="31"/>
  <c r="J85" i="31"/>
  <c r="J86" i="31"/>
  <c r="J87" i="31"/>
  <c r="J88" i="31"/>
  <c r="J89" i="31"/>
  <c r="J90" i="31"/>
  <c r="J91" i="31"/>
  <c r="J92" i="31"/>
  <c r="J93" i="31"/>
  <c r="J94" i="31"/>
  <c r="J95" i="31"/>
  <c r="J97" i="31"/>
  <c r="J98" i="31"/>
  <c r="J99" i="31"/>
  <c r="J100" i="31"/>
  <c r="J101" i="31"/>
  <c r="J102" i="31"/>
  <c r="J103" i="31"/>
  <c r="J104" i="31"/>
  <c r="J105" i="31"/>
  <c r="J106" i="31"/>
  <c r="J107" i="31"/>
  <c r="M111" i="31"/>
  <c r="M110" i="31"/>
  <c r="M112" i="31"/>
  <c r="M113" i="31"/>
  <c r="M114" i="31"/>
  <c r="M116" i="31"/>
  <c r="G44" i="31"/>
  <c r="G45" i="31"/>
  <c r="G46" i="31"/>
  <c r="G47" i="31"/>
  <c r="G48" i="31"/>
  <c r="G49" i="31"/>
  <c r="G50" i="31"/>
  <c r="M94" i="31"/>
  <c r="G94" i="31"/>
  <c r="AA17" i="32"/>
  <c r="Z17" i="32"/>
  <c r="Y17" i="32"/>
  <c r="O4" i="32"/>
  <c r="O17" i="32" s="1"/>
  <c r="N4" i="32"/>
  <c r="N17" i="32" s="1"/>
  <c r="M4" i="32"/>
  <c r="M17" i="32" s="1"/>
  <c r="E17" i="32"/>
  <c r="D17" i="32"/>
  <c r="C17" i="32"/>
  <c r="L204" i="31"/>
  <c r="O11" i="32" s="1"/>
  <c r="M203" i="31"/>
  <c r="M202" i="31"/>
  <c r="M201" i="31"/>
  <c r="M200" i="31"/>
  <c r="M199" i="31"/>
  <c r="M198" i="31"/>
  <c r="M197" i="31"/>
  <c r="M196" i="31"/>
  <c r="M195" i="31"/>
  <c r="M194" i="31"/>
  <c r="M193" i="31"/>
  <c r="M192" i="31"/>
  <c r="M191" i="31"/>
  <c r="M190" i="31"/>
  <c r="M189" i="31"/>
  <c r="M188" i="31"/>
  <c r="M187" i="31"/>
  <c r="M186" i="31"/>
  <c r="M185" i="31"/>
  <c r="M184" i="31"/>
  <c r="M183" i="31"/>
  <c r="M182" i="31"/>
  <c r="M181" i="31"/>
  <c r="M180" i="31"/>
  <c r="M179" i="31"/>
  <c r="M178" i="31"/>
  <c r="M177" i="31"/>
  <c r="M176" i="31"/>
  <c r="M175" i="31"/>
  <c r="M174" i="31"/>
  <c r="M173" i="31"/>
  <c r="M172" i="31"/>
  <c r="M171" i="31"/>
  <c r="M170" i="31"/>
  <c r="M169" i="31"/>
  <c r="M168" i="31"/>
  <c r="M167" i="31"/>
  <c r="M166" i="31"/>
  <c r="M165" i="31"/>
  <c r="M164" i="31"/>
  <c r="M163" i="31"/>
  <c r="M162" i="31"/>
  <c r="M161" i="31"/>
  <c r="M158" i="31"/>
  <c r="M157" i="31"/>
  <c r="M156" i="31"/>
  <c r="M155" i="31"/>
  <c r="M154" i="31"/>
  <c r="M153" i="31"/>
  <c r="M152" i="31"/>
  <c r="M150" i="31"/>
  <c r="M149" i="31"/>
  <c r="M148" i="31"/>
  <c r="M147" i="31"/>
  <c r="M146" i="31"/>
  <c r="L141" i="31"/>
  <c r="O9" i="32" s="1"/>
  <c r="M140" i="31"/>
  <c r="M139" i="31"/>
  <c r="M138" i="31"/>
  <c r="M137" i="31"/>
  <c r="M136" i="31"/>
  <c r="M135" i="31"/>
  <c r="M134" i="31"/>
  <c r="M133" i="31"/>
  <c r="M132" i="31"/>
  <c r="M131" i="31"/>
  <c r="M130" i="31"/>
  <c r="L128" i="31"/>
  <c r="M127" i="31"/>
  <c r="M126" i="31"/>
  <c r="M125" i="31"/>
  <c r="M124" i="31"/>
  <c r="M123" i="31"/>
  <c r="M122" i="31"/>
  <c r="M121" i="31"/>
  <c r="M120" i="31"/>
  <c r="M119" i="31"/>
  <c r="L117" i="31"/>
  <c r="M108" i="31"/>
  <c r="M107" i="31"/>
  <c r="M106" i="31"/>
  <c r="M105" i="31"/>
  <c r="M104" i="31"/>
  <c r="M103" i="31"/>
  <c r="M102" i="31"/>
  <c r="M101" i="31"/>
  <c r="M100" i="31"/>
  <c r="M99" i="31"/>
  <c r="M98" i="31"/>
  <c r="M97" i="31"/>
  <c r="M95" i="31"/>
  <c r="M93" i="31"/>
  <c r="M91" i="31"/>
  <c r="M90" i="31"/>
  <c r="M89" i="31"/>
  <c r="M88" i="31"/>
  <c r="M87" i="31"/>
  <c r="M86" i="31"/>
  <c r="M85" i="31"/>
  <c r="M84" i="31"/>
  <c r="M83" i="31"/>
  <c r="M82" i="31"/>
  <c r="M81" i="31"/>
  <c r="M80" i="31"/>
  <c r="M79" i="31"/>
  <c r="M78" i="31"/>
  <c r="M77" i="31"/>
  <c r="M76" i="31"/>
  <c r="M75" i="31"/>
  <c r="M74" i="31"/>
  <c r="M73" i="31"/>
  <c r="M72" i="31"/>
  <c r="M71" i="31"/>
  <c r="M70" i="31"/>
  <c r="M69" i="31"/>
  <c r="M68" i="31"/>
  <c r="M67" i="31"/>
  <c r="M66" i="31"/>
  <c r="M65" i="31"/>
  <c r="L51" i="31"/>
  <c r="M50" i="31"/>
  <c r="M49" i="31"/>
  <c r="M48" i="31"/>
  <c r="M47" i="31"/>
  <c r="M46" i="31"/>
  <c r="M45" i="31"/>
  <c r="M44" i="31"/>
  <c r="M43" i="31"/>
  <c r="L41" i="31"/>
  <c r="M40" i="31"/>
  <c r="M39" i="31"/>
  <c r="M38" i="31"/>
  <c r="M37" i="31"/>
  <c r="M36" i="31"/>
  <c r="M35" i="31"/>
  <c r="M34" i="31"/>
  <c r="M33" i="31"/>
  <c r="M32" i="31"/>
  <c r="M31" i="31"/>
  <c r="M30" i="31"/>
  <c r="M29" i="31"/>
  <c r="M28" i="31"/>
  <c r="M27" i="31"/>
  <c r="M26" i="31"/>
  <c r="M25" i="31"/>
  <c r="M24" i="31"/>
  <c r="M23" i="31"/>
  <c r="M22" i="31"/>
  <c r="M21" i="31"/>
  <c r="M20" i="31"/>
  <c r="L19" i="31"/>
  <c r="M18" i="31"/>
  <c r="M17" i="31"/>
  <c r="M16" i="31"/>
  <c r="M15" i="31"/>
  <c r="M14" i="31"/>
  <c r="M13" i="31"/>
  <c r="M12" i="31"/>
  <c r="M11" i="31"/>
  <c r="M10" i="31"/>
  <c r="M9" i="31"/>
  <c r="M8" i="31"/>
  <c r="I204" i="31"/>
  <c r="N11" i="32" s="1"/>
  <c r="J203" i="31"/>
  <c r="J202" i="31"/>
  <c r="J201" i="31"/>
  <c r="J200" i="31"/>
  <c r="J199" i="31"/>
  <c r="J198" i="31"/>
  <c r="J197" i="31"/>
  <c r="J196" i="31"/>
  <c r="J195" i="31"/>
  <c r="J194" i="31"/>
  <c r="J193" i="31"/>
  <c r="J192" i="31"/>
  <c r="J191" i="31"/>
  <c r="J190" i="31"/>
  <c r="J189" i="31"/>
  <c r="J188" i="31"/>
  <c r="J187" i="31"/>
  <c r="J186" i="31"/>
  <c r="J185" i="31"/>
  <c r="J184" i="31"/>
  <c r="J183" i="31"/>
  <c r="J182" i="31"/>
  <c r="J181" i="31"/>
  <c r="J180" i="31"/>
  <c r="J179" i="31"/>
  <c r="J178" i="31"/>
  <c r="J177" i="31"/>
  <c r="J176" i="31"/>
  <c r="J175" i="31"/>
  <c r="J174" i="31"/>
  <c r="J173" i="31"/>
  <c r="J172" i="31"/>
  <c r="J171" i="31"/>
  <c r="J170" i="31"/>
  <c r="J169" i="31"/>
  <c r="J168" i="31"/>
  <c r="J167" i="31"/>
  <c r="J166" i="31"/>
  <c r="J165" i="31"/>
  <c r="J164" i="31"/>
  <c r="J163" i="31"/>
  <c r="J162" i="31"/>
  <c r="J161" i="31"/>
  <c r="J158" i="31"/>
  <c r="J157" i="31"/>
  <c r="J156" i="31"/>
  <c r="J155" i="31"/>
  <c r="J154" i="31"/>
  <c r="J153" i="31"/>
  <c r="J152" i="31"/>
  <c r="J150" i="31"/>
  <c r="J149" i="31"/>
  <c r="J148" i="31"/>
  <c r="J147" i="31"/>
  <c r="J146" i="31"/>
  <c r="I141" i="31"/>
  <c r="N9" i="32" s="1"/>
  <c r="J140" i="31"/>
  <c r="J139" i="31"/>
  <c r="J138" i="31"/>
  <c r="J137" i="31"/>
  <c r="J136" i="31"/>
  <c r="J135" i="31"/>
  <c r="J134" i="31"/>
  <c r="J133" i="31"/>
  <c r="J132" i="31"/>
  <c r="J131" i="31"/>
  <c r="J130" i="31"/>
  <c r="I128" i="31"/>
  <c r="J127" i="31"/>
  <c r="J126" i="31"/>
  <c r="J125" i="31"/>
  <c r="J124" i="31"/>
  <c r="J123" i="31"/>
  <c r="J122" i="31"/>
  <c r="J121" i="31"/>
  <c r="J120" i="31"/>
  <c r="J119" i="31"/>
  <c r="I117" i="31"/>
  <c r="N8" i="32" s="1"/>
  <c r="J116" i="31"/>
  <c r="J114" i="31"/>
  <c r="J113" i="31"/>
  <c r="J112" i="31"/>
  <c r="J111" i="31"/>
  <c r="J110" i="31"/>
  <c r="J108" i="31"/>
  <c r="J74" i="31"/>
  <c r="J73" i="31"/>
  <c r="J72" i="31"/>
  <c r="J71" i="31"/>
  <c r="J70" i="31"/>
  <c r="J69" i="31"/>
  <c r="J68" i="31"/>
  <c r="J67" i="31"/>
  <c r="J66" i="31"/>
  <c r="J65" i="31"/>
  <c r="I51" i="31"/>
  <c r="N6" i="32" s="1"/>
  <c r="J50" i="31"/>
  <c r="J49" i="31"/>
  <c r="J48" i="31"/>
  <c r="J47" i="31"/>
  <c r="J46" i="31"/>
  <c r="J45" i="31"/>
  <c r="J44" i="31"/>
  <c r="J43" i="31"/>
  <c r="I41" i="31"/>
  <c r="J40" i="31"/>
  <c r="J39" i="31"/>
  <c r="J38" i="31"/>
  <c r="J37" i="31"/>
  <c r="J36" i="31"/>
  <c r="J35" i="31"/>
  <c r="J34" i="31"/>
  <c r="J33" i="31"/>
  <c r="J32" i="31"/>
  <c r="J31" i="31"/>
  <c r="J30" i="31"/>
  <c r="J29" i="31"/>
  <c r="J28" i="31"/>
  <c r="J27" i="31"/>
  <c r="J26" i="31"/>
  <c r="J25" i="31"/>
  <c r="J24" i="31"/>
  <c r="J23" i="31"/>
  <c r="J22" i="31"/>
  <c r="J21" i="31"/>
  <c r="J20" i="31"/>
  <c r="I19" i="31"/>
  <c r="J19" i="31" s="1"/>
  <c r="J18" i="31"/>
  <c r="J17" i="31"/>
  <c r="J16" i="31"/>
  <c r="J15" i="31"/>
  <c r="J14" i="31"/>
  <c r="J13" i="31"/>
  <c r="J12" i="31"/>
  <c r="J11" i="31"/>
  <c r="J10" i="31"/>
  <c r="J9" i="31"/>
  <c r="J8" i="31"/>
  <c r="F204" i="31"/>
  <c r="M11" i="32" s="1"/>
  <c r="G203" i="31"/>
  <c r="G202" i="31"/>
  <c r="G201" i="31"/>
  <c r="G200" i="31"/>
  <c r="G199" i="31"/>
  <c r="G198" i="31"/>
  <c r="G197" i="31"/>
  <c r="G196" i="31"/>
  <c r="G195" i="31"/>
  <c r="G194" i="31"/>
  <c r="G193" i="31"/>
  <c r="G192" i="31"/>
  <c r="G191" i="31"/>
  <c r="G190" i="31"/>
  <c r="G189" i="31"/>
  <c r="G188" i="31"/>
  <c r="G187" i="31"/>
  <c r="G186" i="31"/>
  <c r="G185" i="31"/>
  <c r="G184" i="31"/>
  <c r="G183" i="31"/>
  <c r="G182" i="31"/>
  <c r="G181" i="31"/>
  <c r="G180" i="31"/>
  <c r="G179" i="31"/>
  <c r="G178" i="31"/>
  <c r="G177" i="31"/>
  <c r="G176" i="31"/>
  <c r="G175" i="31"/>
  <c r="G174" i="31"/>
  <c r="G173" i="31"/>
  <c r="G172" i="31"/>
  <c r="G171" i="31"/>
  <c r="G170" i="31"/>
  <c r="G169" i="31"/>
  <c r="G168" i="31"/>
  <c r="G167" i="31"/>
  <c r="G166" i="31"/>
  <c r="G165" i="31"/>
  <c r="G164" i="31"/>
  <c r="G163" i="31"/>
  <c r="G162" i="31"/>
  <c r="G161" i="31"/>
  <c r="G158" i="31"/>
  <c r="G157" i="31"/>
  <c r="G156" i="31"/>
  <c r="G155" i="31"/>
  <c r="G154" i="31"/>
  <c r="G153" i="31"/>
  <c r="G152" i="31"/>
  <c r="G150" i="31"/>
  <c r="G149" i="31"/>
  <c r="G148" i="31"/>
  <c r="G147" i="31"/>
  <c r="G146" i="31"/>
  <c r="F141" i="31"/>
  <c r="G140" i="31"/>
  <c r="G139" i="31"/>
  <c r="G138" i="31"/>
  <c r="G137" i="31"/>
  <c r="G136" i="31"/>
  <c r="G135" i="31"/>
  <c r="G134" i="31"/>
  <c r="G133" i="31"/>
  <c r="G132" i="31"/>
  <c r="G131" i="31"/>
  <c r="G130" i="31"/>
  <c r="F128" i="31"/>
  <c r="G127" i="31"/>
  <c r="G126" i="31"/>
  <c r="G125" i="31"/>
  <c r="G124" i="31"/>
  <c r="G123" i="31"/>
  <c r="G122" i="31"/>
  <c r="G121" i="31"/>
  <c r="G120" i="31"/>
  <c r="G119" i="31"/>
  <c r="F117" i="31"/>
  <c r="M8" i="32" s="1"/>
  <c r="G116" i="31"/>
  <c r="G114" i="31"/>
  <c r="G113" i="31"/>
  <c r="G112" i="31"/>
  <c r="G111" i="31"/>
  <c r="G110" i="31"/>
  <c r="G108" i="31"/>
  <c r="G107" i="31"/>
  <c r="G106" i="31"/>
  <c r="G105" i="31"/>
  <c r="G104" i="31"/>
  <c r="G103" i="31"/>
  <c r="G102" i="31"/>
  <c r="G101" i="31"/>
  <c r="G100" i="31"/>
  <c r="G99" i="31"/>
  <c r="G98" i="31"/>
  <c r="G97" i="31"/>
  <c r="G95" i="31"/>
  <c r="G93" i="31"/>
  <c r="G92" i="31"/>
  <c r="G91" i="31"/>
  <c r="G90" i="31"/>
  <c r="G89" i="31"/>
  <c r="G88" i="31"/>
  <c r="G87" i="31"/>
  <c r="G86" i="31"/>
  <c r="G85" i="31"/>
  <c r="G84" i="31"/>
  <c r="G83" i="31"/>
  <c r="G82" i="31"/>
  <c r="G81" i="31"/>
  <c r="G80" i="31"/>
  <c r="G79" i="31"/>
  <c r="G78" i="31"/>
  <c r="G77" i="31"/>
  <c r="G76" i="31"/>
  <c r="G75" i="31"/>
  <c r="G74" i="31"/>
  <c r="G73" i="31"/>
  <c r="G72" i="31"/>
  <c r="G71" i="31"/>
  <c r="G70" i="31"/>
  <c r="G69" i="31"/>
  <c r="G68" i="31"/>
  <c r="G67" i="31"/>
  <c r="G66" i="31"/>
  <c r="G65" i="31"/>
  <c r="F51" i="31"/>
  <c r="M6" i="32" s="1"/>
  <c r="G43" i="31"/>
  <c r="F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8" i="31"/>
  <c r="G17" i="31"/>
  <c r="G16" i="31"/>
  <c r="G15" i="31"/>
  <c r="G14" i="31"/>
  <c r="G13" i="31"/>
  <c r="G12" i="31"/>
  <c r="G11" i="31"/>
  <c r="G10" i="31"/>
  <c r="G9" i="31"/>
  <c r="G8" i="31"/>
  <c r="Q7" i="31"/>
  <c r="T7" i="31" s="1"/>
  <c r="W7" i="31" s="1"/>
  <c r="Z7" i="31" s="1"/>
  <c r="AC7" i="31" s="1"/>
  <c r="E7" i="30" s="1"/>
  <c r="H7" i="30" s="1"/>
  <c r="R7" i="31"/>
  <c r="U7" i="31" s="1"/>
  <c r="X7" i="31" s="1"/>
  <c r="AA7" i="31" s="1"/>
  <c r="AD7" i="31" s="1"/>
  <c r="F7" i="30" s="1"/>
  <c r="I7" i="30" s="1"/>
  <c r="J7" i="31"/>
  <c r="M7" i="31" s="1"/>
  <c r="P7" i="31" s="1"/>
  <c r="S7" i="31" s="1"/>
  <c r="V7" i="31" s="1"/>
  <c r="Y7" i="31" s="1"/>
  <c r="AB7" i="31" s="1"/>
  <c r="AE7" i="31" s="1"/>
  <c r="G7" i="30" s="1"/>
  <c r="J7" i="30" s="1"/>
  <c r="M7" i="30" s="1"/>
  <c r="P7" i="30" s="1"/>
  <c r="S7" i="30" s="1"/>
  <c r="V7" i="30" s="1"/>
  <c r="Y7" i="30" s="1"/>
  <c r="AB7" i="30" s="1"/>
  <c r="AE7" i="30" s="1"/>
  <c r="EC47" i="33" l="1"/>
  <c r="ED65" i="33"/>
  <c r="EG65" i="33" s="1"/>
  <c r="EJ65" i="33" s="1"/>
  <c r="EM65" i="33" s="1"/>
  <c r="EP65" i="33" s="1"/>
  <c r="ES65" i="33" s="1"/>
  <c r="EV65" i="33" s="1"/>
  <c r="EY65" i="33" s="1"/>
  <c r="ED100" i="33"/>
  <c r="EG100" i="33" s="1"/>
  <c r="EJ100" i="33" s="1"/>
  <c r="EM100" i="33" s="1"/>
  <c r="EP100" i="33" s="1"/>
  <c r="ES100" i="33" s="1"/>
  <c r="EV100" i="33" s="1"/>
  <c r="EY100" i="33" s="1"/>
  <c r="ED74" i="33"/>
  <c r="EG74" i="33" s="1"/>
  <c r="EJ74" i="33" s="1"/>
  <c r="EM74" i="33" s="1"/>
  <c r="EP74" i="33" s="1"/>
  <c r="ES74" i="33" s="1"/>
  <c r="EV74" i="33" s="1"/>
  <c r="EY74" i="33" s="1"/>
  <c r="ED77" i="33"/>
  <c r="EG77" i="33" s="1"/>
  <c r="EJ77" i="33" s="1"/>
  <c r="EM77" i="33" s="1"/>
  <c r="EP77" i="33" s="1"/>
  <c r="ES77" i="33" s="1"/>
  <c r="EV77" i="33" s="1"/>
  <c r="EY77" i="33" s="1"/>
  <c r="ED102" i="33"/>
  <c r="EG102" i="33" s="1"/>
  <c r="EJ102" i="33" s="1"/>
  <c r="EM102" i="33" s="1"/>
  <c r="EP102" i="33" s="1"/>
  <c r="ES102" i="33" s="1"/>
  <c r="EV102" i="33" s="1"/>
  <c r="EY102" i="33" s="1"/>
  <c r="ED64" i="33"/>
  <c r="EG64" i="33" s="1"/>
  <c r="EJ64" i="33" s="1"/>
  <c r="EM64" i="33" s="1"/>
  <c r="EP64" i="33" s="1"/>
  <c r="ES64" i="33" s="1"/>
  <c r="EV64" i="33" s="1"/>
  <c r="EY64" i="33" s="1"/>
  <c r="ED99" i="33"/>
  <c r="EG99" i="33" s="1"/>
  <c r="EJ99" i="33" s="1"/>
  <c r="EM99" i="33" s="1"/>
  <c r="EP99" i="33" s="1"/>
  <c r="ES99" i="33" s="1"/>
  <c r="EV99" i="33" s="1"/>
  <c r="EY99" i="33" s="1"/>
  <c r="ED69" i="33"/>
  <c r="EG69" i="33" s="1"/>
  <c r="EJ69" i="33" s="1"/>
  <c r="EM69" i="33" s="1"/>
  <c r="EP69" i="33" s="1"/>
  <c r="ES69" i="33" s="1"/>
  <c r="EV69" i="33" s="1"/>
  <c r="EY69" i="33" s="1"/>
  <c r="ED73" i="33"/>
  <c r="EG73" i="33" s="1"/>
  <c r="EJ73" i="33" s="1"/>
  <c r="EM73" i="33" s="1"/>
  <c r="EP73" i="33" s="1"/>
  <c r="ES73" i="33" s="1"/>
  <c r="EV73" i="33" s="1"/>
  <c r="EY73" i="33" s="1"/>
  <c r="ED75" i="33"/>
  <c r="EG75" i="33" s="1"/>
  <c r="EJ75" i="33" s="1"/>
  <c r="EM75" i="33" s="1"/>
  <c r="EP75" i="33" s="1"/>
  <c r="ES75" i="33" s="1"/>
  <c r="EV75" i="33" s="1"/>
  <c r="EY75" i="33" s="1"/>
  <c r="ED94" i="33"/>
  <c r="EG94" i="33" s="1"/>
  <c r="EJ94" i="33" s="1"/>
  <c r="EM94" i="33" s="1"/>
  <c r="EP94" i="33" s="1"/>
  <c r="ES94" i="33" s="1"/>
  <c r="EV94" i="33" s="1"/>
  <c r="EY94" i="33" s="1"/>
  <c r="ED97" i="33"/>
  <c r="EG97" i="33" s="1"/>
  <c r="EJ97" i="33" s="1"/>
  <c r="EM97" i="33" s="1"/>
  <c r="EP97" i="33" s="1"/>
  <c r="ES97" i="33" s="1"/>
  <c r="EV97" i="33" s="1"/>
  <c r="EY97" i="33" s="1"/>
  <c r="ED98" i="33"/>
  <c r="EG98" i="33" s="1"/>
  <c r="EJ98" i="33" s="1"/>
  <c r="EM98" i="33" s="1"/>
  <c r="EP98" i="33" s="1"/>
  <c r="ES98" i="33" s="1"/>
  <c r="EV98" i="33" s="1"/>
  <c r="EY98" i="33" s="1"/>
  <c r="ED68" i="33"/>
  <c r="EG68" i="33" s="1"/>
  <c r="EJ68" i="33" s="1"/>
  <c r="EM68" i="33" s="1"/>
  <c r="EP68" i="33" s="1"/>
  <c r="ES68" i="33" s="1"/>
  <c r="EV68" i="33" s="1"/>
  <c r="EY68" i="33" s="1"/>
  <c r="ED76" i="33"/>
  <c r="EG76" i="33" s="1"/>
  <c r="EJ76" i="33" s="1"/>
  <c r="EM76" i="33" s="1"/>
  <c r="EP76" i="33" s="1"/>
  <c r="ES76" i="33" s="1"/>
  <c r="EV76" i="33" s="1"/>
  <c r="EY76" i="33" s="1"/>
  <c r="ED96" i="33"/>
  <c r="EG96" i="33" s="1"/>
  <c r="EJ96" i="33" s="1"/>
  <c r="EM96" i="33" s="1"/>
  <c r="EP96" i="33" s="1"/>
  <c r="ES96" i="33" s="1"/>
  <c r="EV96" i="33" s="1"/>
  <c r="EY96" i="33" s="1"/>
  <c r="ED66" i="33"/>
  <c r="EG66" i="33" s="1"/>
  <c r="EJ66" i="33" s="1"/>
  <c r="EM66" i="33" s="1"/>
  <c r="EP66" i="33" s="1"/>
  <c r="ES66" i="33" s="1"/>
  <c r="EV66" i="33" s="1"/>
  <c r="EY66" i="33" s="1"/>
  <c r="ED70" i="33"/>
  <c r="EG70" i="33" s="1"/>
  <c r="EJ70" i="33" s="1"/>
  <c r="EM70" i="33" s="1"/>
  <c r="EP70" i="33" s="1"/>
  <c r="ES70" i="33" s="1"/>
  <c r="EV70" i="33" s="1"/>
  <c r="EY70" i="33" s="1"/>
  <c r="ED83" i="33"/>
  <c r="EG83" i="33" s="1"/>
  <c r="EJ83" i="33" s="1"/>
  <c r="EM83" i="33" s="1"/>
  <c r="EP83" i="33" s="1"/>
  <c r="ES83" i="33" s="1"/>
  <c r="EV83" i="33" s="1"/>
  <c r="EY83" i="33" s="1"/>
  <c r="ED95" i="33"/>
  <c r="EG95" i="33" s="1"/>
  <c r="EJ95" i="33" s="1"/>
  <c r="EM95" i="33" s="1"/>
  <c r="EP95" i="33" s="1"/>
  <c r="ES95" i="33" s="1"/>
  <c r="EV95" i="33" s="1"/>
  <c r="EY95" i="33" s="1"/>
  <c r="G19" i="31"/>
  <c r="EY27" i="33"/>
  <c r="EV118" i="33"/>
  <c r="CU47" i="33"/>
  <c r="CU155" i="33" s="1"/>
  <c r="P117" i="31"/>
  <c r="DG47" i="33"/>
  <c r="BS117" i="33"/>
  <c r="BV117" i="33" s="1"/>
  <c r="BV119" i="33" s="1"/>
  <c r="AD9" i="32"/>
  <c r="S109" i="31"/>
  <c r="AC10" i="32"/>
  <c r="AX116" i="33"/>
  <c r="BA116" i="33" s="1"/>
  <c r="AE56" i="30"/>
  <c r="AG19" i="32"/>
  <c r="CD104" i="33"/>
  <c r="S41" i="31"/>
  <c r="DU93" i="33"/>
  <c r="DX93" i="33" s="1"/>
  <c r="EA93" i="33" s="1"/>
  <c r="S156" i="31"/>
  <c r="S204" i="31" s="1"/>
  <c r="P128" i="31"/>
  <c r="M51" i="31"/>
  <c r="AD8" i="32"/>
  <c r="M24" i="30"/>
  <c r="V24" i="30"/>
  <c r="Y24" i="30"/>
  <c r="I146" i="30"/>
  <c r="N22" i="32" s="1"/>
  <c r="M89" i="30"/>
  <c r="P51" i="31"/>
  <c r="Q47" i="30"/>
  <c r="Q214" i="30" s="1"/>
  <c r="J128" i="31"/>
  <c r="S24" i="30"/>
  <c r="S122" i="30"/>
  <c r="G41" i="31"/>
  <c r="J133" i="30"/>
  <c r="V19" i="31"/>
  <c r="AA23" i="32"/>
  <c r="AB24" i="30"/>
  <c r="P122" i="30"/>
  <c r="DU113" i="33"/>
  <c r="DX113" i="33" s="1"/>
  <c r="EA113" i="33" s="1"/>
  <c r="ED113" i="33" s="1"/>
  <c r="EG113" i="33" s="1"/>
  <c r="EJ113" i="33" s="1"/>
  <c r="EM113" i="33" s="1"/>
  <c r="EP113" i="33" s="1"/>
  <c r="ES113" i="33" s="1"/>
  <c r="EV113" i="33" s="1"/>
  <c r="EY113" i="33" s="1"/>
  <c r="Z10" i="32"/>
  <c r="AB144" i="31"/>
  <c r="G96" i="30"/>
  <c r="Y6" i="32"/>
  <c r="X47" i="30"/>
  <c r="X214" i="30" s="1"/>
  <c r="F134" i="30"/>
  <c r="AA21" i="32"/>
  <c r="Y19" i="32"/>
  <c r="J56" i="30"/>
  <c r="Y128" i="31"/>
  <c r="AE41" i="31"/>
  <c r="AE51" i="31"/>
  <c r="P56" i="30"/>
  <c r="M19" i="31"/>
  <c r="M133" i="30"/>
  <c r="I47" i="30"/>
  <c r="O134" i="30"/>
  <c r="S133" i="30"/>
  <c r="G122" i="30"/>
  <c r="AB41" i="31"/>
  <c r="AE128" i="31"/>
  <c r="Q7" i="32"/>
  <c r="AC7" i="32" s="1"/>
  <c r="Q21" i="32"/>
  <c r="AC21" i="32" s="1"/>
  <c r="M117" i="31"/>
  <c r="V51" i="31"/>
  <c r="M56" i="30"/>
  <c r="V149" i="30"/>
  <c r="AC22" i="32"/>
  <c r="AB46" i="30"/>
  <c r="AF22" i="32"/>
  <c r="O6" i="32"/>
  <c r="AA6" i="32" s="1"/>
  <c r="V117" i="31"/>
  <c r="AB10" i="32"/>
  <c r="M149" i="30"/>
  <c r="AD47" i="30"/>
  <c r="U18" i="32" s="1"/>
  <c r="AG21" i="32"/>
  <c r="P109" i="31"/>
  <c r="AA19" i="32"/>
  <c r="D19" i="32"/>
  <c r="Z19" i="32" s="1"/>
  <c r="S144" i="31"/>
  <c r="AE149" i="30"/>
  <c r="R134" i="30"/>
  <c r="F6" i="32"/>
  <c r="AB6" i="32" s="1"/>
  <c r="V204" i="31"/>
  <c r="G46" i="30"/>
  <c r="E134" i="30"/>
  <c r="AF6" i="32"/>
  <c r="Y46" i="30"/>
  <c r="G51" i="31"/>
  <c r="F42" i="31"/>
  <c r="F213" i="31" s="1"/>
  <c r="C21" i="32"/>
  <c r="Y21" i="32" s="1"/>
  <c r="P46" i="30"/>
  <c r="AD42" i="31"/>
  <c r="AD210" i="31" s="1"/>
  <c r="AB122" i="30"/>
  <c r="S117" i="31"/>
  <c r="AE109" i="31"/>
  <c r="M47" i="33"/>
  <c r="M155" i="33" s="1"/>
  <c r="AA11" i="32"/>
  <c r="V56" i="30"/>
  <c r="AB7" i="32"/>
  <c r="V133" i="30"/>
  <c r="E47" i="30"/>
  <c r="C18" i="32" s="1"/>
  <c r="AB128" i="31"/>
  <c r="Z7" i="32"/>
  <c r="H134" i="30"/>
  <c r="D21" i="32"/>
  <c r="I42" i="31"/>
  <c r="N5" i="32" s="1"/>
  <c r="O129" i="31"/>
  <c r="J109" i="31"/>
  <c r="F129" i="31"/>
  <c r="M128" i="31"/>
  <c r="P19" i="31"/>
  <c r="G8" i="32"/>
  <c r="AC8" i="32" s="1"/>
  <c r="Z23" i="32"/>
  <c r="AA47" i="30"/>
  <c r="AA218" i="30" s="1"/>
  <c r="K129" i="31"/>
  <c r="N42" i="31"/>
  <c r="N213" i="31" s="1"/>
  <c r="S128" i="31"/>
  <c r="Z129" i="31"/>
  <c r="N47" i="30"/>
  <c r="F18" i="32" s="1"/>
  <c r="T21" i="32"/>
  <c r="AF21" i="32" s="1"/>
  <c r="V109" i="31"/>
  <c r="V122" i="30"/>
  <c r="G56" i="30"/>
  <c r="G128" i="31"/>
  <c r="J144" i="31"/>
  <c r="AC11" i="32"/>
  <c r="Y7" i="32"/>
  <c r="AE7" i="32"/>
  <c r="Y141" i="31"/>
  <c r="Y204" i="31"/>
  <c r="AA134" i="30"/>
  <c r="AB146" i="30"/>
  <c r="J144" i="30"/>
  <c r="M46" i="30"/>
  <c r="AE24" i="30"/>
  <c r="AC134" i="30"/>
  <c r="J41" i="31"/>
  <c r="J42" i="31" s="1"/>
  <c r="J141" i="31"/>
  <c r="I129" i="31"/>
  <c r="AD129" i="31"/>
  <c r="G117" i="31"/>
  <c r="M41" i="31"/>
  <c r="AD10" i="32"/>
  <c r="Y24" i="32"/>
  <c r="O47" i="30"/>
  <c r="O215" i="30" s="1"/>
  <c r="AB24" i="32"/>
  <c r="AC24" i="32"/>
  <c r="AD23" i="32"/>
  <c r="AG22" i="32"/>
  <c r="AB22" i="32"/>
  <c r="AC19" i="32"/>
  <c r="AC47" i="30"/>
  <c r="K18" i="32" s="1"/>
  <c r="K25" i="32" s="1"/>
  <c r="AJ47" i="33"/>
  <c r="AJ155" i="33" s="1"/>
  <c r="AB20" i="32"/>
  <c r="AD7" i="32"/>
  <c r="AB23" i="32"/>
  <c r="AA10" i="32"/>
  <c r="Y23" i="32"/>
  <c r="Y8" i="32"/>
  <c r="I134" i="30"/>
  <c r="AD19" i="32"/>
  <c r="AE22" i="32"/>
  <c r="P24" i="30"/>
  <c r="P8" i="32"/>
  <c r="AB8" i="32" s="1"/>
  <c r="G144" i="31"/>
  <c r="S56" i="30"/>
  <c r="P144" i="31"/>
  <c r="AB11" i="32"/>
  <c r="M122" i="30"/>
  <c r="AC20" i="32"/>
  <c r="S19" i="31"/>
  <c r="R129" i="31"/>
  <c r="AF19" i="32"/>
  <c r="AG10" i="32"/>
  <c r="AB56" i="30"/>
  <c r="AG23" i="32"/>
  <c r="H146" i="30"/>
  <c r="K134" i="30"/>
  <c r="N129" i="31"/>
  <c r="W42" i="31"/>
  <c r="W209" i="31" s="1"/>
  <c r="AC42" i="31"/>
  <c r="AC209" i="31" s="1"/>
  <c r="S114" i="30"/>
  <c r="AB114" i="30"/>
  <c r="Z24" i="32"/>
  <c r="G149" i="30"/>
  <c r="J114" i="30"/>
  <c r="S149" i="30"/>
  <c r="V46" i="30"/>
  <c r="E42" i="31"/>
  <c r="E213" i="31" s="1"/>
  <c r="Y109" i="31"/>
  <c r="AB109" i="31"/>
  <c r="AB19" i="31"/>
  <c r="AE133" i="30"/>
  <c r="H42" i="31"/>
  <c r="H210" i="31" s="1"/>
  <c r="H47" i="30"/>
  <c r="D18" i="32" s="1"/>
  <c r="AF9" i="32"/>
  <c r="AC208" i="31"/>
  <c r="P133" i="30"/>
  <c r="W47" i="30"/>
  <c r="W214" i="30" s="1"/>
  <c r="DP47" i="33"/>
  <c r="BX104" i="33"/>
  <c r="BY68" i="33"/>
  <c r="CB68" i="33" s="1"/>
  <c r="CE68" i="33" s="1"/>
  <c r="CH68" i="33" s="1"/>
  <c r="CK68" i="33" s="1"/>
  <c r="CN68" i="33" s="1"/>
  <c r="CQ68" i="33" s="1"/>
  <c r="CT68" i="33" s="1"/>
  <c r="CW68" i="33" s="1"/>
  <c r="CZ68" i="33" s="1"/>
  <c r="DC68" i="33" s="1"/>
  <c r="DF68" i="33" s="1"/>
  <c r="DI68" i="33" s="1"/>
  <c r="DL68" i="33" s="1"/>
  <c r="DN104" i="33"/>
  <c r="DN154" i="33" s="1"/>
  <c r="CC131" i="33"/>
  <c r="DK131" i="33"/>
  <c r="DK154" i="33" s="1"/>
  <c r="CD131" i="33"/>
  <c r="Z20" i="32"/>
  <c r="P114" i="30"/>
  <c r="J117" i="31"/>
  <c r="P41" i="31"/>
  <c r="AC9" i="32"/>
  <c r="G24" i="30"/>
  <c r="P149" i="30"/>
  <c r="P209" i="30"/>
  <c r="E114" i="30"/>
  <c r="C20" i="32" s="1"/>
  <c r="AG7" i="32"/>
  <c r="AD134" i="30"/>
  <c r="AE9" i="32"/>
  <c r="AE19" i="31"/>
  <c r="AE144" i="31"/>
  <c r="AB209" i="30"/>
  <c r="BI47" i="33"/>
  <c r="BI155" i="33" s="1"/>
  <c r="CT126" i="33"/>
  <c r="CW126" i="33" s="1"/>
  <c r="CZ126" i="33" s="1"/>
  <c r="DC126" i="33" s="1"/>
  <c r="DF126" i="33" s="1"/>
  <c r="DI126" i="33" s="1"/>
  <c r="DL126" i="33" s="1"/>
  <c r="DO126" i="33" s="1"/>
  <c r="DR126" i="33" s="1"/>
  <c r="DU126" i="33" s="1"/>
  <c r="DX126" i="33" s="1"/>
  <c r="EA126" i="33" s="1"/>
  <c r="ED126" i="33" s="1"/>
  <c r="EG126" i="33" s="1"/>
  <c r="EJ126" i="33" s="1"/>
  <c r="EM126" i="33" s="1"/>
  <c r="EP126" i="33" s="1"/>
  <c r="ES126" i="33" s="1"/>
  <c r="EV126" i="33" s="1"/>
  <c r="EY126" i="33" s="1"/>
  <c r="EL47" i="33"/>
  <c r="EN47" i="33"/>
  <c r="BG19" i="33"/>
  <c r="BJ19" i="33" s="1"/>
  <c r="BM19" i="33" s="1"/>
  <c r="BP19" i="33" s="1"/>
  <c r="BS19" i="33" s="1"/>
  <c r="BV19" i="33" s="1"/>
  <c r="BY19" i="33" s="1"/>
  <c r="CB19" i="33" s="1"/>
  <c r="CE19" i="33" s="1"/>
  <c r="CH19" i="33" s="1"/>
  <c r="CK19" i="33" s="1"/>
  <c r="AN47" i="33"/>
  <c r="AN155" i="33" s="1"/>
  <c r="AT47" i="33"/>
  <c r="AT155" i="33" s="1"/>
  <c r="DK47" i="33"/>
  <c r="CV47" i="33"/>
  <c r="CV155" i="33" s="1"/>
  <c r="EG82" i="33"/>
  <c r="EJ82" i="33" s="1"/>
  <c r="EM82" i="33" s="1"/>
  <c r="EP82" i="33" s="1"/>
  <c r="ES82" i="33" s="1"/>
  <c r="EV82" i="33" s="1"/>
  <c r="EY82" i="33" s="1"/>
  <c r="AF11" i="32"/>
  <c r="AF23" i="32"/>
  <c r="Y114" i="30"/>
  <c r="K47" i="30"/>
  <c r="K214" i="30" s="1"/>
  <c r="N21" i="32"/>
  <c r="R6" i="32"/>
  <c r="AD6" i="32" s="1"/>
  <c r="G146" i="30"/>
  <c r="AB21" i="32"/>
  <c r="AD24" i="32"/>
  <c r="Z134" i="30"/>
  <c r="G47" i="33"/>
  <c r="G155" i="33" s="1"/>
  <c r="S47" i="33"/>
  <c r="S155" i="33" s="1"/>
  <c r="AG47" i="33"/>
  <c r="AG155" i="33" s="1"/>
  <c r="AS47" i="33"/>
  <c r="AS155" i="33" s="1"/>
  <c r="CC47" i="33"/>
  <c r="CO47" i="33"/>
  <c r="CO155" i="33" s="1"/>
  <c r="DA47" i="33"/>
  <c r="DO72" i="33"/>
  <c r="DR72" i="33" s="1"/>
  <c r="DU72" i="33" s="1"/>
  <c r="DX72" i="33" s="1"/>
  <c r="EA72" i="33" s="1"/>
  <c r="CE125" i="33"/>
  <c r="CH125" i="33" s="1"/>
  <c r="CE128" i="33"/>
  <c r="CH128" i="33" s="1"/>
  <c r="DT104" i="33"/>
  <c r="DT155" i="33" s="1"/>
  <c r="AE20" i="32"/>
  <c r="AD20" i="32"/>
  <c r="F47" i="30"/>
  <c r="Z8" i="32"/>
  <c r="AA9" i="32"/>
  <c r="J145" i="30"/>
  <c r="S209" i="30"/>
  <c r="V146" i="30"/>
  <c r="V209" i="30"/>
  <c r="AB51" i="31"/>
  <c r="J8" i="32"/>
  <c r="K114" i="30"/>
  <c r="E20" i="32" s="1"/>
  <c r="T134" i="30"/>
  <c r="Y133" i="30"/>
  <c r="AB133" i="30"/>
  <c r="W27" i="33"/>
  <c r="BF47" i="33"/>
  <c r="BF155" i="33" s="1"/>
  <c r="DM47" i="33"/>
  <c r="L47" i="30"/>
  <c r="L214" i="30" s="1"/>
  <c r="Z11" i="32"/>
  <c r="M92" i="31"/>
  <c r="P141" i="31"/>
  <c r="AE141" i="31"/>
  <c r="AE23" i="32"/>
  <c r="AF24" i="32"/>
  <c r="AE209" i="30"/>
  <c r="AG24" i="32"/>
  <c r="J20" i="32"/>
  <c r="AF20" i="32" s="1"/>
  <c r="H129" i="31"/>
  <c r="Q129" i="31"/>
  <c r="BB24" i="33"/>
  <c r="BB47" i="33" s="1"/>
  <c r="BB155" i="33" s="1"/>
  <c r="AV47" i="33"/>
  <c r="AV155" i="33" s="1"/>
  <c r="N134" i="30"/>
  <c r="J122" i="30"/>
  <c r="P146" i="30"/>
  <c r="S146" i="30"/>
  <c r="AD11" i="32"/>
  <c r="G109" i="31"/>
  <c r="Y41" i="31"/>
  <c r="Y144" i="31"/>
  <c r="J120" i="30"/>
  <c r="AW119" i="33"/>
  <c r="AD114" i="30"/>
  <c r="AE114" i="30" s="1"/>
  <c r="V114" i="30"/>
  <c r="E129" i="31"/>
  <c r="K9" i="32"/>
  <c r="AG9" i="32" s="1"/>
  <c r="AA129" i="31"/>
  <c r="J51" i="31"/>
  <c r="D6" i="32"/>
  <c r="Z6" i="32" s="1"/>
  <c r="V144" i="31"/>
  <c r="AD21" i="32"/>
  <c r="F114" i="30"/>
  <c r="G133" i="30"/>
  <c r="X42" i="31"/>
  <c r="X213" i="31" s="1"/>
  <c r="AF7" i="32"/>
  <c r="S10" i="32"/>
  <c r="AE10" i="32" s="1"/>
  <c r="K42" i="31"/>
  <c r="K208" i="31" s="1"/>
  <c r="AA22" i="32"/>
  <c r="Q42" i="31"/>
  <c r="Q208" i="31" s="1"/>
  <c r="AE117" i="31"/>
  <c r="Z47" i="30"/>
  <c r="AX17" i="33"/>
  <c r="BA17" i="33" s="1"/>
  <c r="DL117" i="33"/>
  <c r="DO117" i="33" s="1"/>
  <c r="DR117" i="33" s="1"/>
  <c r="DU117" i="33" s="1"/>
  <c r="DX117" i="33" s="1"/>
  <c r="EA117" i="33" s="1"/>
  <c r="ED117" i="33" s="1"/>
  <c r="EG117" i="33" s="1"/>
  <c r="EJ117" i="33" s="1"/>
  <c r="EM117" i="33" s="1"/>
  <c r="EP117" i="33" s="1"/>
  <c r="ES117" i="33" s="1"/>
  <c r="EV117" i="33" s="1"/>
  <c r="EY117" i="33" s="1"/>
  <c r="AE46" i="30"/>
  <c r="U134" i="30"/>
  <c r="U47" i="30"/>
  <c r="U215" i="30" s="1"/>
  <c r="G204" i="31"/>
  <c r="O42" i="31"/>
  <c r="O208" i="31" s="1"/>
  <c r="V141" i="31"/>
  <c r="J46" i="30"/>
  <c r="J47" i="30" s="1"/>
  <c r="AF10" i="32"/>
  <c r="T42" i="31"/>
  <c r="T209" i="31" s="1"/>
  <c r="Z42" i="31"/>
  <c r="Z213" i="31" s="1"/>
  <c r="AW24" i="33"/>
  <c r="AW47" i="33" s="1"/>
  <c r="AW155" i="33" s="1"/>
  <c r="BZ47" i="33"/>
  <c r="BZ155" i="33" s="1"/>
  <c r="CZ94" i="33"/>
  <c r="DC94" i="33" s="1"/>
  <c r="DF94" i="33" s="1"/>
  <c r="DI94" i="33" s="1"/>
  <c r="DL94" i="33" s="1"/>
  <c r="C11" i="32"/>
  <c r="Y11" i="32" s="1"/>
  <c r="G23" i="32"/>
  <c r="AC23" i="32" s="1"/>
  <c r="L129" i="31"/>
  <c r="O8" i="32"/>
  <c r="AA8" i="32" s="1"/>
  <c r="V41" i="31"/>
  <c r="U42" i="31"/>
  <c r="L42" i="31"/>
  <c r="L208" i="31" s="1"/>
  <c r="V128" i="31"/>
  <c r="U129" i="31"/>
  <c r="M204" i="31"/>
  <c r="C10" i="32"/>
  <c r="Y10" i="32" s="1"/>
  <c r="E7" i="32"/>
  <c r="M109" i="31"/>
  <c r="M141" i="31"/>
  <c r="P204" i="31"/>
  <c r="W134" i="30"/>
  <c r="AB204" i="31"/>
  <c r="T7" i="30"/>
  <c r="Z9" i="32"/>
  <c r="AA24" i="32"/>
  <c r="G209" i="30"/>
  <c r="H22" i="32"/>
  <c r="AD22" i="32" s="1"/>
  <c r="AA42" i="31"/>
  <c r="AA208" i="31" s="1"/>
  <c r="AE21" i="32"/>
  <c r="L114" i="30"/>
  <c r="M88" i="30"/>
  <c r="J204" i="31"/>
  <c r="R42" i="31"/>
  <c r="Y56" i="30"/>
  <c r="S19" i="32"/>
  <c r="AE19" i="32" s="1"/>
  <c r="X134" i="30"/>
  <c r="AC129" i="31"/>
  <c r="T47" i="30"/>
  <c r="M209" i="30"/>
  <c r="M144" i="31"/>
  <c r="Q6" i="32"/>
  <c r="AC6" i="32" s="1"/>
  <c r="S51" i="31"/>
  <c r="AG11" i="32"/>
  <c r="Y146" i="30"/>
  <c r="Y51" i="31"/>
  <c r="W129" i="31"/>
  <c r="N3" i="32"/>
  <c r="N16" i="32" s="1"/>
  <c r="U7" i="30"/>
  <c r="X7" i="30" s="1"/>
  <c r="AA7" i="30" s="1"/>
  <c r="AD7" i="30" s="1"/>
  <c r="M9" i="32"/>
  <c r="Y9" i="32" s="1"/>
  <c r="S141" i="31"/>
  <c r="J209" i="30"/>
  <c r="Y22" i="32"/>
  <c r="M146" i="30"/>
  <c r="Y122" i="30"/>
  <c r="Y117" i="31"/>
  <c r="S8" i="32"/>
  <c r="AE8" i="32" s="1"/>
  <c r="X129" i="31"/>
  <c r="AE11" i="32"/>
  <c r="AB141" i="31"/>
  <c r="AG6" i="32"/>
  <c r="I6" i="32"/>
  <c r="AE6" i="32" s="1"/>
  <c r="G80" i="30"/>
  <c r="F19" i="32"/>
  <c r="S46" i="30"/>
  <c r="R47" i="30"/>
  <c r="R218" i="30" s="1"/>
  <c r="K8" i="32"/>
  <c r="Y209" i="30"/>
  <c r="AB149" i="30"/>
  <c r="F9" i="32"/>
  <c r="AB9" i="32" s="1"/>
  <c r="T129" i="31"/>
  <c r="Q134" i="30"/>
  <c r="L134" i="30"/>
  <c r="G141" i="31"/>
  <c r="V46" i="33"/>
  <c r="V47" i="33" s="1"/>
  <c r="V155" i="33" s="1"/>
  <c r="J149" i="30"/>
  <c r="Y19" i="31"/>
  <c r="AB117" i="31"/>
  <c r="T8" i="32"/>
  <c r="AE204" i="31"/>
  <c r="Y149" i="30"/>
  <c r="AE24" i="32"/>
  <c r="AE146" i="30"/>
  <c r="CX155" i="33"/>
  <c r="AE122" i="30"/>
  <c r="X47" i="33"/>
  <c r="X155" i="33" s="1"/>
  <c r="Y47" i="33"/>
  <c r="Y155" i="33" s="1"/>
  <c r="AK47" i="33"/>
  <c r="AK155" i="33" s="1"/>
  <c r="BU47" i="33"/>
  <c r="BU155" i="33" s="1"/>
  <c r="CG47" i="33"/>
  <c r="CG155" i="33" s="1"/>
  <c r="EB47" i="33"/>
  <c r="CE127" i="33"/>
  <c r="CH127" i="33" s="1"/>
  <c r="EH47" i="33"/>
  <c r="AA47" i="33"/>
  <c r="AA155" i="33" s="1"/>
  <c r="AM47" i="33"/>
  <c r="AM155" i="33" s="1"/>
  <c r="AY47" i="33"/>
  <c r="AY155" i="33" s="1"/>
  <c r="CI47" i="33"/>
  <c r="CI155" i="33" s="1"/>
  <c r="DO71" i="33"/>
  <c r="DR71" i="33" s="1"/>
  <c r="DU71" i="33" s="1"/>
  <c r="DX71" i="33" s="1"/>
  <c r="EA71" i="33" s="1"/>
  <c r="BY94" i="33"/>
  <c r="CB94" i="33" s="1"/>
  <c r="CE94" i="33" s="1"/>
  <c r="CH94" i="33" s="1"/>
  <c r="CK94" i="33" s="1"/>
  <c r="CN94" i="33" s="1"/>
  <c r="CQ94" i="33" s="1"/>
  <c r="AX117" i="33"/>
  <c r="BA117" i="33" s="1"/>
  <c r="BD117" i="33" s="1"/>
  <c r="BD119" i="33" s="1"/>
  <c r="DM154" i="33"/>
  <c r="BY67" i="33"/>
  <c r="CB67" i="33" s="1"/>
  <c r="CE67" i="33" s="1"/>
  <c r="CH67" i="33" s="1"/>
  <c r="CK67" i="33" s="1"/>
  <c r="CN67" i="33" s="1"/>
  <c r="CQ67" i="33" s="1"/>
  <c r="CT67" i="33" s="1"/>
  <c r="CW67" i="33" s="1"/>
  <c r="CZ67" i="33" s="1"/>
  <c r="DC67" i="33" s="1"/>
  <c r="DF67" i="33" s="1"/>
  <c r="DI67" i="33" s="1"/>
  <c r="DL67" i="33" s="1"/>
  <c r="CZ93" i="33"/>
  <c r="DC93" i="33" s="1"/>
  <c r="DF93" i="33" s="1"/>
  <c r="DI93" i="33" s="1"/>
  <c r="DL93" i="33" s="1"/>
  <c r="CE126" i="33"/>
  <c r="CH126" i="33" s="1"/>
  <c r="CB124" i="33"/>
  <c r="CE124" i="33" s="1"/>
  <c r="CH124" i="33" s="1"/>
  <c r="CK124" i="33" s="1"/>
  <c r="CN124" i="33" s="1"/>
  <c r="CQ124" i="33" s="1"/>
  <c r="CT124" i="33" s="1"/>
  <c r="CW124" i="33" s="1"/>
  <c r="CZ124" i="33" s="1"/>
  <c r="DC124" i="33" s="1"/>
  <c r="DF124" i="33" s="1"/>
  <c r="DI124" i="33" s="1"/>
  <c r="DL124" i="33" s="1"/>
  <c r="DO124" i="33" s="1"/>
  <c r="DR124" i="33" s="1"/>
  <c r="DU124" i="33" s="1"/>
  <c r="DX124" i="33" s="1"/>
  <c r="EA124" i="33" s="1"/>
  <c r="ED124" i="33" s="1"/>
  <c r="EG124" i="33" s="1"/>
  <c r="EJ124" i="33" s="1"/>
  <c r="EM124" i="33" s="1"/>
  <c r="EP124" i="33" s="1"/>
  <c r="ES124" i="33" s="1"/>
  <c r="EV124" i="33" s="1"/>
  <c r="EY124" i="33" s="1"/>
  <c r="AE47" i="33"/>
  <c r="AE155" i="33" s="1"/>
  <c r="AQ47" i="33"/>
  <c r="AQ155" i="33" s="1"/>
  <c r="BO47" i="33"/>
  <c r="BO155" i="33" s="1"/>
  <c r="CA47" i="33"/>
  <c r="CA155" i="33" s="1"/>
  <c r="H57" i="33"/>
  <c r="CN56" i="33"/>
  <c r="CQ56" i="33" s="1"/>
  <c r="CT56" i="33" s="1"/>
  <c r="CW56" i="33" s="1"/>
  <c r="CZ56" i="33" s="1"/>
  <c r="DC56" i="33" s="1"/>
  <c r="DF56" i="33" s="1"/>
  <c r="DI56" i="33" s="1"/>
  <c r="DL56" i="33" s="1"/>
  <c r="DO56" i="33" s="1"/>
  <c r="DR56" i="33" s="1"/>
  <c r="DU56" i="33" s="1"/>
  <c r="DX56" i="33" s="1"/>
  <c r="EA56" i="33" s="1"/>
  <c r="ED56" i="33" s="1"/>
  <c r="EG56" i="33" s="1"/>
  <c r="EJ56" i="33" s="1"/>
  <c r="EM56" i="33" s="1"/>
  <c r="EP56" i="33" s="1"/>
  <c r="ES56" i="33" s="1"/>
  <c r="EV56" i="33" s="1"/>
  <c r="EY56" i="33" s="1"/>
  <c r="CH95" i="33"/>
  <c r="CK95" i="33" s="1"/>
  <c r="CN95" i="33" s="1"/>
  <c r="CQ95" i="33" s="1"/>
  <c r="CT95" i="33" s="1"/>
  <c r="CW95" i="33" s="1"/>
  <c r="CZ95" i="33" s="1"/>
  <c r="DC95" i="33" s="1"/>
  <c r="DF95" i="33" s="1"/>
  <c r="DI95" i="33" s="1"/>
  <c r="DL95" i="33" s="1"/>
  <c r="DL127" i="33"/>
  <c r="DO127" i="33" s="1"/>
  <c r="DR127" i="33" s="1"/>
  <c r="H160" i="33"/>
  <c r="DW47" i="33"/>
  <c r="BM25" i="33"/>
  <c r="BP25" i="33" s="1"/>
  <c r="BP160" i="33" s="1"/>
  <c r="BE47" i="33"/>
  <c r="BE155" i="33" s="1"/>
  <c r="BC47" i="33"/>
  <c r="BC155" i="33" s="1"/>
  <c r="BK47" i="33"/>
  <c r="BK155" i="33" s="1"/>
  <c r="BQ47" i="33"/>
  <c r="BQ155" i="33" s="1"/>
  <c r="BW47" i="33"/>
  <c r="BW155" i="33" s="1"/>
  <c r="CM47" i="33"/>
  <c r="CM155" i="33" s="1"/>
  <c r="CS47" i="33"/>
  <c r="CS155" i="33" s="1"/>
  <c r="CY47" i="33"/>
  <c r="DE47" i="33"/>
  <c r="DQ47" i="33"/>
  <c r="N25" i="33"/>
  <c r="K160" i="33"/>
  <c r="DD154" i="33"/>
  <c r="CY154" i="33"/>
  <c r="F47" i="33"/>
  <c r="F155" i="33" s="1"/>
  <c r="L47" i="33"/>
  <c r="L155" i="33" s="1"/>
  <c r="R47" i="33"/>
  <c r="R155" i="33" s="1"/>
  <c r="EN154" i="33"/>
  <c r="H119" i="33"/>
  <c r="K131" i="33"/>
  <c r="H153" i="33"/>
  <c r="H158" i="33"/>
  <c r="N120" i="33"/>
  <c r="N131" i="33" s="1"/>
  <c r="H131" i="33"/>
  <c r="DV47" i="33"/>
  <c r="BV135" i="33"/>
  <c r="BS153" i="33"/>
  <c r="N149" i="33"/>
  <c r="Q149" i="33" s="1"/>
  <c r="T149" i="33" s="1"/>
  <c r="W149" i="33" s="1"/>
  <c r="Z149" i="33" s="1"/>
  <c r="AC149" i="33" s="1"/>
  <c r="AF149" i="33" s="1"/>
  <c r="AI149" i="33" s="1"/>
  <c r="AL149" i="33" s="1"/>
  <c r="AO149" i="33" s="1"/>
  <c r="AR149" i="33" s="1"/>
  <c r="AU149" i="33" s="1"/>
  <c r="AX149" i="33" s="1"/>
  <c r="BA149" i="33" s="1"/>
  <c r="K153" i="33"/>
  <c r="W135" i="33"/>
  <c r="CZ134" i="33"/>
  <c r="DC132" i="33"/>
  <c r="BG153" i="33"/>
  <c r="BJ135" i="33"/>
  <c r="DF135" i="33"/>
  <c r="DC153" i="33"/>
  <c r="DO133" i="33"/>
  <c r="EK154" i="33"/>
  <c r="Q119" i="33"/>
  <c r="T112" i="33"/>
  <c r="CB115" i="33"/>
  <c r="CE115" i="33" s="1"/>
  <c r="CH115" i="33" s="1"/>
  <c r="CK115" i="33" s="1"/>
  <c r="BY119" i="33"/>
  <c r="CW112" i="33"/>
  <c r="N119" i="33"/>
  <c r="K119" i="33"/>
  <c r="BM112" i="33"/>
  <c r="DH154" i="33"/>
  <c r="N53" i="33"/>
  <c r="K57" i="33"/>
  <c r="BJ49" i="33"/>
  <c r="BG57" i="33"/>
  <c r="W49" i="33"/>
  <c r="Z49" i="33" s="1"/>
  <c r="AC49" i="33" s="1"/>
  <c r="Q13" i="33"/>
  <c r="N16" i="33"/>
  <c r="Q16" i="33" s="1"/>
  <c r="T16" i="33" s="1"/>
  <c r="W16" i="33" s="1"/>
  <c r="Z16" i="33" s="1"/>
  <c r="AC16" i="33" s="1"/>
  <c r="AF16" i="33" s="1"/>
  <c r="AI16" i="33" s="1"/>
  <c r="AL16" i="33" s="1"/>
  <c r="AO16" i="33" s="1"/>
  <c r="AR16" i="33" s="1"/>
  <c r="AU16" i="33" s="1"/>
  <c r="AX16" i="33" s="1"/>
  <c r="BA16" i="33" s="1"/>
  <c r="BD16" i="33" s="1"/>
  <c r="BG16" i="33" s="1"/>
  <c r="BJ16" i="33" s="1"/>
  <c r="BM16" i="33" s="1"/>
  <c r="BP16" i="33" s="1"/>
  <c r="BS16" i="33" s="1"/>
  <c r="BV16" i="33" s="1"/>
  <c r="BY16" i="33" s="1"/>
  <c r="CB16" i="33" s="1"/>
  <c r="CE16" i="33" s="1"/>
  <c r="CH16" i="33" s="1"/>
  <c r="CK16" i="33" s="1"/>
  <c r="CN16" i="33" s="1"/>
  <c r="CQ16" i="33" s="1"/>
  <c r="CT16" i="33" s="1"/>
  <c r="CW16" i="33" s="1"/>
  <c r="CZ16" i="33" s="1"/>
  <c r="DC16" i="33" s="1"/>
  <c r="DF16" i="33" s="1"/>
  <c r="DI16" i="33" s="1"/>
  <c r="DL16" i="33" s="1"/>
  <c r="DO16" i="33" s="1"/>
  <c r="DR16" i="33" s="1"/>
  <c r="DU16" i="33" s="1"/>
  <c r="DX16" i="33" s="1"/>
  <c r="EA16" i="33" s="1"/>
  <c r="ED16" i="33" s="1"/>
  <c r="EG16" i="33" s="1"/>
  <c r="EJ16" i="33" s="1"/>
  <c r="EM16" i="33" s="1"/>
  <c r="EP16" i="33" s="1"/>
  <c r="ES16" i="33" s="1"/>
  <c r="EV16" i="33" s="1"/>
  <c r="EY16" i="33" s="1"/>
  <c r="K158" i="33"/>
  <c r="K24" i="33"/>
  <c r="H24" i="33"/>
  <c r="CY155" i="33"/>
  <c r="DQ154" i="33"/>
  <c r="CX154" i="33"/>
  <c r="DJ154" i="33"/>
  <c r="EK47" i="33"/>
  <c r="I47" i="33"/>
  <c r="I155" i="33" s="1"/>
  <c r="O47" i="33"/>
  <c r="O155" i="33" s="1"/>
  <c r="U47" i="33"/>
  <c r="U155" i="33" s="1"/>
  <c r="AB47" i="33"/>
  <c r="AB155" i="33" s="1"/>
  <c r="AH47" i="33"/>
  <c r="AH155" i="33" s="1"/>
  <c r="AZ47" i="33"/>
  <c r="AZ155" i="33" s="1"/>
  <c r="BL47" i="33"/>
  <c r="BL155" i="33" s="1"/>
  <c r="BR47" i="33"/>
  <c r="BR155" i="33" s="1"/>
  <c r="BX47" i="33"/>
  <c r="CD47" i="33"/>
  <c r="CJ47" i="33"/>
  <c r="CJ155" i="33" s="1"/>
  <c r="CP47" i="33"/>
  <c r="CP155" i="33" s="1"/>
  <c r="DB47" i="33"/>
  <c r="DH47" i="33"/>
  <c r="DS47" i="33"/>
  <c r="DY47" i="33"/>
  <c r="J47" i="33"/>
  <c r="J155" i="33" s="1"/>
  <c r="P47" i="33"/>
  <c r="P155" i="33" s="1"/>
  <c r="AD47" i="33"/>
  <c r="AD155" i="33" s="1"/>
  <c r="AP47" i="33"/>
  <c r="AP155" i="33" s="1"/>
  <c r="BH47" i="33"/>
  <c r="BH155" i="33" s="1"/>
  <c r="BN47" i="33"/>
  <c r="BN155" i="33" s="1"/>
  <c r="BT47" i="33"/>
  <c r="BT155" i="33" s="1"/>
  <c r="CF47" i="33"/>
  <c r="CF155" i="33" s="1"/>
  <c r="CL47" i="33"/>
  <c r="CL155" i="33" s="1"/>
  <c r="CR47" i="33"/>
  <c r="CR155" i="33" s="1"/>
  <c r="CX47" i="33"/>
  <c r="DD47" i="33"/>
  <c r="DJ47" i="33"/>
  <c r="DN47" i="33"/>
  <c r="DT47" i="33"/>
  <c r="EE155" i="33"/>
  <c r="BG122" i="33"/>
  <c r="BJ122" i="33" s="1"/>
  <c r="BD131" i="33"/>
  <c r="N34" i="33"/>
  <c r="Q34" i="33" s="1"/>
  <c r="T34" i="33" s="1"/>
  <c r="W34" i="33" s="1"/>
  <c r="Z34" i="33" s="1"/>
  <c r="AC34" i="33" s="1"/>
  <c r="AF34" i="33" s="1"/>
  <c r="AI34" i="33" s="1"/>
  <c r="AL34" i="33" s="1"/>
  <c r="AO34" i="33" s="1"/>
  <c r="K46" i="33"/>
  <c r="H46" i="33"/>
  <c r="DM155" i="33"/>
  <c r="DO46" i="33"/>
  <c r="BS120" i="33"/>
  <c r="EM132" i="33"/>
  <c r="DX84" i="33"/>
  <c r="EA84" i="33" s="1"/>
  <c r="K157" i="33"/>
  <c r="N31" i="33"/>
  <c r="BG157" i="33"/>
  <c r="BJ40" i="33"/>
  <c r="BG46" i="33"/>
  <c r="DF131" i="33"/>
  <c r="DI128" i="33"/>
  <c r="H157" i="33"/>
  <c r="DR25" i="33"/>
  <c r="DZ47" i="33"/>
  <c r="EF47" i="33"/>
  <c r="EI47" i="33"/>
  <c r="EO47" i="33"/>
  <c r="DS155" i="33"/>
  <c r="DB154" i="33"/>
  <c r="AI51" i="33"/>
  <c r="BV13" i="33"/>
  <c r="BG14" i="33"/>
  <c r="W15" i="33"/>
  <c r="Z15" i="33" s="1"/>
  <c r="AC15" i="33" s="1"/>
  <c r="AF15" i="33" s="1"/>
  <c r="AI15" i="33" s="1"/>
  <c r="AL15" i="33" s="1"/>
  <c r="AO15" i="33" s="1"/>
  <c r="AR15" i="33" s="1"/>
  <c r="AU15" i="33" s="1"/>
  <c r="AX15" i="33" s="1"/>
  <c r="BA15" i="33" s="1"/>
  <c r="BD15" i="33" s="1"/>
  <c r="BG15" i="33" s="1"/>
  <c r="BJ15" i="33" s="1"/>
  <c r="BM15" i="33" s="1"/>
  <c r="BP15" i="33" s="1"/>
  <c r="BS15" i="33" s="1"/>
  <c r="BV15" i="33" s="1"/>
  <c r="BY15" i="33" s="1"/>
  <c r="CB15" i="33" s="1"/>
  <c r="CE15" i="33" s="1"/>
  <c r="CH15" i="33" s="1"/>
  <c r="CK15" i="33" s="1"/>
  <c r="CN15" i="33" s="1"/>
  <c r="CQ15" i="33" s="1"/>
  <c r="CT15" i="33" s="1"/>
  <c r="CW15" i="33" s="1"/>
  <c r="CZ15" i="33" s="1"/>
  <c r="DC15" i="33" s="1"/>
  <c r="DF15" i="33" s="1"/>
  <c r="DI15" i="33" s="1"/>
  <c r="DL15" i="33" s="1"/>
  <c r="DO15" i="33" s="1"/>
  <c r="DR15" i="33" s="1"/>
  <c r="DU15" i="33" s="1"/>
  <c r="DX15" i="33" s="1"/>
  <c r="EA15" i="33" s="1"/>
  <c r="ED15" i="33" s="1"/>
  <c r="EG15" i="33" s="1"/>
  <c r="EJ15" i="33" s="1"/>
  <c r="EM15" i="33" s="1"/>
  <c r="EP15" i="33" s="1"/>
  <c r="ES15" i="33" s="1"/>
  <c r="EV15" i="33" s="1"/>
  <c r="EY15" i="33" s="1"/>
  <c r="BY31" i="33"/>
  <c r="AI30" i="33"/>
  <c r="DQ155" i="33"/>
  <c r="DB155" i="33"/>
  <c r="DH155" i="33"/>
  <c r="H104" i="33"/>
  <c r="DY155" i="33"/>
  <c r="DA155" i="33"/>
  <c r="DG155" i="33"/>
  <c r="EH155" i="33"/>
  <c r="DD155" i="33"/>
  <c r="EK155" i="33"/>
  <c r="DG154" i="33"/>
  <c r="DA154" i="33"/>
  <c r="K104" i="33"/>
  <c r="DJ155" i="33"/>
  <c r="N104" i="33"/>
  <c r="BG104" i="33"/>
  <c r="CQ63" i="33"/>
  <c r="CT63" i="33" s="1"/>
  <c r="CW63" i="33" s="1"/>
  <c r="CZ63" i="33" s="1"/>
  <c r="DC63" i="33" s="1"/>
  <c r="DF63" i="33" s="1"/>
  <c r="CB59" i="33"/>
  <c r="BM104" i="33"/>
  <c r="DP155" i="33"/>
  <c r="DP154" i="33"/>
  <c r="BP104" i="33"/>
  <c r="BV104" i="33"/>
  <c r="DE155" i="33"/>
  <c r="DE154" i="33"/>
  <c r="BJ104" i="33"/>
  <c r="DS154" i="33"/>
  <c r="BS104" i="33"/>
  <c r="Q59" i="33"/>
  <c r="EH154" i="33"/>
  <c r="EN155" i="33"/>
  <c r="EL155" i="33"/>
  <c r="ED143" i="33"/>
  <c r="EG143" i="33" s="1"/>
  <c r="EJ143" i="33" s="1"/>
  <c r="EM143" i="33" s="1"/>
  <c r="EP143" i="33" s="1"/>
  <c r="ES143" i="33" s="1"/>
  <c r="EL154" i="33"/>
  <c r="EO154" i="33"/>
  <c r="EI154" i="33"/>
  <c r="EE154" i="33"/>
  <c r="EA52" i="33"/>
  <c r="ED52" i="33" s="1"/>
  <c r="EG52" i="33" s="1"/>
  <c r="EJ52" i="33" s="1"/>
  <c r="EM52" i="33" s="1"/>
  <c r="EP52" i="33" s="1"/>
  <c r="ES52" i="33" s="1"/>
  <c r="EV52" i="33" s="1"/>
  <c r="EY52" i="33" s="1"/>
  <c r="DW154" i="33"/>
  <c r="DV154" i="33"/>
  <c r="EB154" i="33"/>
  <c r="EO155" i="33"/>
  <c r="EC155" i="33"/>
  <c r="DZ155" i="33"/>
  <c r="EI155" i="33"/>
  <c r="EC154" i="33"/>
  <c r="DW155" i="33"/>
  <c r="EF155" i="33"/>
  <c r="DZ154" i="33"/>
  <c r="EB155" i="33"/>
  <c r="DY154" i="33"/>
  <c r="EA67" i="33"/>
  <c r="ED67" i="33" s="1"/>
  <c r="DV155" i="33"/>
  <c r="EF154" i="33"/>
  <c r="EG101" i="33"/>
  <c r="EJ101" i="33" s="1"/>
  <c r="EM101" i="33" s="1"/>
  <c r="EP101" i="33" s="1"/>
  <c r="ES101" i="33" s="1"/>
  <c r="EV101" i="33" s="1"/>
  <c r="EY101" i="33" s="1"/>
  <c r="G42" i="31" l="1"/>
  <c r="G208" i="31" s="1"/>
  <c r="ED93" i="33"/>
  <c r="EG93" i="33" s="1"/>
  <c r="EJ93" i="33" s="1"/>
  <c r="EM93" i="33" s="1"/>
  <c r="EP93" i="33" s="1"/>
  <c r="ES93" i="33" s="1"/>
  <c r="EV93" i="33" s="1"/>
  <c r="EY93" i="33" s="1"/>
  <c r="ED72" i="33"/>
  <c r="EG72" i="33" s="1"/>
  <c r="EJ72" i="33" s="1"/>
  <c r="EM72" i="33" s="1"/>
  <c r="EP72" i="33" s="1"/>
  <c r="ES72" i="33" s="1"/>
  <c r="EV72" i="33" s="1"/>
  <c r="EY72" i="33" s="1"/>
  <c r="ED71" i="33"/>
  <c r="EG71" i="33" s="1"/>
  <c r="EJ71" i="33" s="1"/>
  <c r="EM71" i="33" s="1"/>
  <c r="EP71" i="33" s="1"/>
  <c r="ES71" i="33" s="1"/>
  <c r="EV71" i="33" s="1"/>
  <c r="EY71" i="33" s="1"/>
  <c r="ED84" i="33"/>
  <c r="EG84" i="33" s="1"/>
  <c r="EJ84" i="33" s="1"/>
  <c r="EM84" i="33" s="1"/>
  <c r="EP84" i="33" s="1"/>
  <c r="ES84" i="33" s="1"/>
  <c r="EV84" i="33" s="1"/>
  <c r="EY84" i="33" s="1"/>
  <c r="M47" i="30"/>
  <c r="EY118" i="33"/>
  <c r="EV143" i="33"/>
  <c r="U5" i="32"/>
  <c r="U12" i="32" s="1"/>
  <c r="BS119" i="33"/>
  <c r="S42" i="31"/>
  <c r="S208" i="31" s="1"/>
  <c r="Q213" i="30"/>
  <c r="G18" i="32"/>
  <c r="G25" i="32" s="1"/>
  <c r="T208" i="31"/>
  <c r="AE42" i="31"/>
  <c r="AE208" i="31" s="1"/>
  <c r="I215" i="30"/>
  <c r="P129" i="31"/>
  <c r="W205" i="31"/>
  <c r="N214" i="30"/>
  <c r="AD209" i="31"/>
  <c r="N208" i="31"/>
  <c r="W213" i="30"/>
  <c r="Q218" i="30"/>
  <c r="AB47" i="30"/>
  <c r="AB213" i="30" s="1"/>
  <c r="Q210" i="30"/>
  <c r="Q215" i="30"/>
  <c r="Y47" i="30"/>
  <c r="Y213" i="30" s="1"/>
  <c r="I218" i="30"/>
  <c r="S47" i="30"/>
  <c r="S213" i="30" s="1"/>
  <c r="V42" i="31"/>
  <c r="V208" i="31" s="1"/>
  <c r="U20" i="32"/>
  <c r="AG20" i="32" s="1"/>
  <c r="V47" i="30"/>
  <c r="V213" i="30" s="1"/>
  <c r="DT154" i="33"/>
  <c r="H47" i="33"/>
  <c r="H155" i="33" s="1"/>
  <c r="U213" i="30"/>
  <c r="M42" i="31"/>
  <c r="M208" i="31" s="1"/>
  <c r="H208" i="31"/>
  <c r="F5" i="32"/>
  <c r="F12" i="32" s="1"/>
  <c r="X218" i="30"/>
  <c r="T205" i="31"/>
  <c r="K213" i="30"/>
  <c r="W213" i="31"/>
  <c r="X215" i="30"/>
  <c r="X213" i="30"/>
  <c r="S18" i="32"/>
  <c r="AC210" i="30"/>
  <c r="K218" i="30"/>
  <c r="Y42" i="31"/>
  <c r="Y208" i="31" s="1"/>
  <c r="O210" i="31"/>
  <c r="I214" i="30"/>
  <c r="N209" i="31"/>
  <c r="F210" i="31"/>
  <c r="P47" i="30"/>
  <c r="P213" i="30" s="1"/>
  <c r="E215" i="30"/>
  <c r="I18" i="32"/>
  <c r="I25" i="32" s="1"/>
  <c r="W218" i="30"/>
  <c r="P42" i="31"/>
  <c r="P208" i="31" s="1"/>
  <c r="DN155" i="33"/>
  <c r="V129" i="31"/>
  <c r="W215" i="30"/>
  <c r="H214" i="30"/>
  <c r="H210" i="30"/>
  <c r="W210" i="30"/>
  <c r="N215" i="30"/>
  <c r="N210" i="30"/>
  <c r="G47" i="30"/>
  <c r="N218" i="30"/>
  <c r="O213" i="30"/>
  <c r="N213" i="30"/>
  <c r="G134" i="30"/>
  <c r="M129" i="31"/>
  <c r="AB42" i="31"/>
  <c r="AB208" i="31" s="1"/>
  <c r="X208" i="31"/>
  <c r="E218" i="30"/>
  <c r="I210" i="30"/>
  <c r="E214" i="30"/>
  <c r="N205" i="31"/>
  <c r="J134" i="30"/>
  <c r="M5" i="32"/>
  <c r="M12" i="32" s="1"/>
  <c r="Z208" i="31"/>
  <c r="N18" i="32"/>
  <c r="Z18" i="32" s="1"/>
  <c r="J5" i="32"/>
  <c r="J12" i="32" s="1"/>
  <c r="N210" i="31"/>
  <c r="AE47" i="30"/>
  <c r="AE213" i="30" s="1"/>
  <c r="AE129" i="31"/>
  <c r="J129" i="31"/>
  <c r="J205" i="31" s="1"/>
  <c r="F209" i="31"/>
  <c r="AB134" i="30"/>
  <c r="AB210" i="30" s="1"/>
  <c r="H215" i="30"/>
  <c r="F208" i="31"/>
  <c r="I205" i="31"/>
  <c r="R18" i="32"/>
  <c r="R25" i="32" s="1"/>
  <c r="I213" i="30"/>
  <c r="Z209" i="31"/>
  <c r="F205" i="31"/>
  <c r="K213" i="31"/>
  <c r="AD210" i="30"/>
  <c r="F218" i="30"/>
  <c r="AD218" i="30"/>
  <c r="CC155" i="33"/>
  <c r="AF8" i="32"/>
  <c r="I5" i="32"/>
  <c r="I12" i="32" s="1"/>
  <c r="AD215" i="30"/>
  <c r="K205" i="31"/>
  <c r="AD214" i="30"/>
  <c r="K209" i="31"/>
  <c r="AD213" i="30"/>
  <c r="AC214" i="30"/>
  <c r="G129" i="31"/>
  <c r="G205" i="31" s="1"/>
  <c r="J146" i="30"/>
  <c r="J213" i="30" s="1"/>
  <c r="O210" i="30"/>
  <c r="AA210" i="30"/>
  <c r="O209" i="31"/>
  <c r="AA213" i="30"/>
  <c r="I209" i="31"/>
  <c r="AD205" i="31"/>
  <c r="AA215" i="30"/>
  <c r="AD208" i="31"/>
  <c r="I208" i="31"/>
  <c r="K5" i="32"/>
  <c r="P18" i="32"/>
  <c r="T210" i="31"/>
  <c r="AD213" i="31"/>
  <c r="O214" i="30"/>
  <c r="D22" i="32"/>
  <c r="Z22" i="32" s="1"/>
  <c r="O218" i="30"/>
  <c r="AC213" i="31"/>
  <c r="E205" i="31"/>
  <c r="S129" i="31"/>
  <c r="AG8" i="32"/>
  <c r="C5" i="32"/>
  <c r="C12" i="32" s="1"/>
  <c r="AC213" i="30"/>
  <c r="AC215" i="30"/>
  <c r="AC210" i="31"/>
  <c r="H213" i="30"/>
  <c r="DK155" i="33"/>
  <c r="BX155" i="33"/>
  <c r="E209" i="31"/>
  <c r="E208" i="31"/>
  <c r="E213" i="30"/>
  <c r="P134" i="30"/>
  <c r="Z21" i="32"/>
  <c r="AG18" i="32"/>
  <c r="H218" i="30"/>
  <c r="AE134" i="30"/>
  <c r="AC218" i="30"/>
  <c r="AC205" i="31"/>
  <c r="C25" i="32"/>
  <c r="Z205" i="31"/>
  <c r="E210" i="31"/>
  <c r="K210" i="30"/>
  <c r="E210" i="30"/>
  <c r="AA214" i="30"/>
  <c r="T18" i="32"/>
  <c r="T25" i="32" s="1"/>
  <c r="I213" i="31"/>
  <c r="I210" i="31"/>
  <c r="M134" i="30"/>
  <c r="H5" i="32"/>
  <c r="H12" i="32" s="1"/>
  <c r="H213" i="31"/>
  <c r="J208" i="31"/>
  <c r="H209" i="31"/>
  <c r="CD155" i="33"/>
  <c r="AB129" i="31"/>
  <c r="D5" i="32"/>
  <c r="D12" i="32" s="1"/>
  <c r="W210" i="31"/>
  <c r="W208" i="31"/>
  <c r="T213" i="31"/>
  <c r="H205" i="31"/>
  <c r="EG67" i="33"/>
  <c r="G114" i="30"/>
  <c r="M20" i="32"/>
  <c r="Y20" i="32" s="1"/>
  <c r="F213" i="30"/>
  <c r="BS25" i="33"/>
  <c r="BV25" i="33" s="1"/>
  <c r="O18" i="32"/>
  <c r="Z210" i="31"/>
  <c r="U214" i="30"/>
  <c r="U210" i="30"/>
  <c r="U218" i="30"/>
  <c r="Q209" i="31"/>
  <c r="Q213" i="31"/>
  <c r="G5" i="32"/>
  <c r="G12" i="32" s="1"/>
  <c r="Q210" i="31"/>
  <c r="Q205" i="31"/>
  <c r="S5" i="32"/>
  <c r="X210" i="31"/>
  <c r="X205" i="31"/>
  <c r="V134" i="30"/>
  <c r="F214" i="30"/>
  <c r="M18" i="32"/>
  <c r="Y18" i="32" s="1"/>
  <c r="F215" i="30"/>
  <c r="F210" i="30"/>
  <c r="X209" i="31"/>
  <c r="J18" i="32"/>
  <c r="Z215" i="30"/>
  <c r="Z218" i="30"/>
  <c r="Z214" i="30"/>
  <c r="Z210" i="30"/>
  <c r="BM160" i="33"/>
  <c r="Z213" i="30"/>
  <c r="K210" i="31"/>
  <c r="E5" i="32"/>
  <c r="E12" i="32" s="1"/>
  <c r="BG117" i="33"/>
  <c r="BJ117" i="33" s="1"/>
  <c r="BM117" i="33" s="1"/>
  <c r="BM119" i="33" s="1"/>
  <c r="Q153" i="33"/>
  <c r="L218" i="30"/>
  <c r="K215" i="30"/>
  <c r="E18" i="32"/>
  <c r="E25" i="32" s="1"/>
  <c r="P5" i="32"/>
  <c r="P12" i="32" s="1"/>
  <c r="O205" i="31"/>
  <c r="O213" i="31"/>
  <c r="BY104" i="33"/>
  <c r="T215" i="30"/>
  <c r="T214" i="30"/>
  <c r="H18" i="32"/>
  <c r="H25" i="32" s="1"/>
  <c r="T210" i="30"/>
  <c r="T5" i="32"/>
  <c r="AA205" i="31"/>
  <c r="AA210" i="31"/>
  <c r="AA213" i="31"/>
  <c r="AA209" i="31"/>
  <c r="L213" i="31"/>
  <c r="L209" i="31"/>
  <c r="L205" i="31"/>
  <c r="L210" i="31"/>
  <c r="O5" i="32"/>
  <c r="E3" i="32"/>
  <c r="E16" i="32" s="1"/>
  <c r="W7" i="30"/>
  <c r="Z7" i="30" s="1"/>
  <c r="AC7" i="30" s="1"/>
  <c r="Y129" i="31"/>
  <c r="R205" i="31"/>
  <c r="Q5" i="32"/>
  <c r="R213" i="31"/>
  <c r="R210" i="31"/>
  <c r="R209" i="31"/>
  <c r="R208" i="31"/>
  <c r="CN104" i="33"/>
  <c r="U209" i="31"/>
  <c r="R5" i="32"/>
  <c r="U208" i="31"/>
  <c r="U205" i="31"/>
  <c r="U213" i="31"/>
  <c r="U210" i="31"/>
  <c r="S134" i="30"/>
  <c r="BG131" i="33"/>
  <c r="N12" i="32"/>
  <c r="T218" i="30"/>
  <c r="R215" i="30"/>
  <c r="R214" i="30"/>
  <c r="R210" i="30"/>
  <c r="R213" i="30"/>
  <c r="Q18" i="32"/>
  <c r="Y134" i="30"/>
  <c r="X210" i="30"/>
  <c r="T213" i="30"/>
  <c r="AA7" i="32"/>
  <c r="F25" i="32"/>
  <c r="AB19" i="32"/>
  <c r="M114" i="30"/>
  <c r="O20" i="32"/>
  <c r="AA20" i="32" s="1"/>
  <c r="L215" i="30"/>
  <c r="L213" i="30"/>
  <c r="L210" i="30"/>
  <c r="T153" i="33"/>
  <c r="Q120" i="33"/>
  <c r="Q131" i="33" s="1"/>
  <c r="Q25" i="33"/>
  <c r="N160" i="33"/>
  <c r="DR133" i="33"/>
  <c r="DO134" i="33"/>
  <c r="DC134" i="33"/>
  <c r="DF132" i="33"/>
  <c r="W153" i="33"/>
  <c r="Z135" i="33"/>
  <c r="BV153" i="33"/>
  <c r="BY135" i="33"/>
  <c r="DI135" i="33"/>
  <c r="DF153" i="33"/>
  <c r="BM135" i="33"/>
  <c r="BM153" i="33" s="1"/>
  <c r="BJ153" i="33"/>
  <c r="N153" i="33"/>
  <c r="CB119" i="33"/>
  <c r="W112" i="33"/>
  <c r="T119" i="33"/>
  <c r="CN115" i="33"/>
  <c r="CK119" i="33"/>
  <c r="CE119" i="33"/>
  <c r="CZ112" i="33"/>
  <c r="CH119" i="33"/>
  <c r="BM49" i="33"/>
  <c r="BJ57" i="33"/>
  <c r="Q53" i="33"/>
  <c r="N57" i="33"/>
  <c r="Q24" i="33"/>
  <c r="Q158" i="33"/>
  <c r="T13" i="33"/>
  <c r="N158" i="33"/>
  <c r="BD158" i="33"/>
  <c r="BD24" i="33"/>
  <c r="K47" i="33"/>
  <c r="K155" i="33" s="1"/>
  <c r="N24" i="33"/>
  <c r="DI131" i="33"/>
  <c r="DL128" i="33"/>
  <c r="BM122" i="33"/>
  <c r="BJ131" i="33"/>
  <c r="N157" i="33"/>
  <c r="N46" i="33"/>
  <c r="Q31" i="33"/>
  <c r="EP132" i="33"/>
  <c r="ES132" i="33" s="1"/>
  <c r="DU25" i="33"/>
  <c r="DR46" i="33"/>
  <c r="BM40" i="33"/>
  <c r="BJ46" i="33"/>
  <c r="BJ157" i="33"/>
  <c r="BV120" i="33"/>
  <c r="DU127" i="33"/>
  <c r="BY13" i="33"/>
  <c r="CB31" i="33"/>
  <c r="AL51" i="33"/>
  <c r="AL30" i="33"/>
  <c r="BG158" i="33"/>
  <c r="BJ14" i="33"/>
  <c r="BG24" i="33"/>
  <c r="BG47" i="33" s="1"/>
  <c r="CE59" i="33"/>
  <c r="CB104" i="33"/>
  <c r="T59" i="33"/>
  <c r="Q104" i="33"/>
  <c r="DI63" i="33"/>
  <c r="DF104" i="33"/>
  <c r="AG5" i="32" l="1"/>
  <c r="AG12" i="32" s="1"/>
  <c r="EV132" i="33"/>
  <c r="EY143" i="33"/>
  <c r="S205" i="31"/>
  <c r="Y210" i="30"/>
  <c r="AE205" i="31"/>
  <c r="S210" i="30"/>
  <c r="V205" i="31"/>
  <c r="Y205" i="31"/>
  <c r="M205" i="31"/>
  <c r="V210" i="30"/>
  <c r="U25" i="32"/>
  <c r="BS160" i="33"/>
  <c r="AE18" i="32"/>
  <c r="AE25" i="32" s="1"/>
  <c r="N25" i="32"/>
  <c r="J210" i="30"/>
  <c r="G213" i="30"/>
  <c r="S25" i="32"/>
  <c r="AE5" i="32"/>
  <c r="AE12" i="32" s="1"/>
  <c r="P210" i="30"/>
  <c r="Y5" i="32"/>
  <c r="Y12" i="32" s="1"/>
  <c r="AB205" i="31"/>
  <c r="P205" i="31"/>
  <c r="M210" i="30"/>
  <c r="Z5" i="32"/>
  <c r="Z12" i="32" s="1"/>
  <c r="K12" i="32"/>
  <c r="BG155" i="33"/>
  <c r="AB5" i="32"/>
  <c r="AB12" i="32" s="1"/>
  <c r="G210" i="30"/>
  <c r="AE210" i="30"/>
  <c r="S12" i="32"/>
  <c r="D25" i="32"/>
  <c r="AA18" i="32"/>
  <c r="AA25" i="32" s="1"/>
  <c r="Z25" i="32"/>
  <c r="BJ119" i="33"/>
  <c r="AB18" i="32"/>
  <c r="AB25" i="32" s="1"/>
  <c r="P25" i="32"/>
  <c r="Y25" i="32"/>
  <c r="AG25" i="32"/>
  <c r="T120" i="33"/>
  <c r="T131" i="33" s="1"/>
  <c r="BG119" i="33"/>
  <c r="EJ67" i="33"/>
  <c r="EM67" i="33" s="1"/>
  <c r="EP67" i="33" s="1"/>
  <c r="ES67" i="33" s="1"/>
  <c r="EV67" i="33" s="1"/>
  <c r="EY67" i="33" s="1"/>
  <c r="M25" i="32"/>
  <c r="O25" i="32"/>
  <c r="J25" i="32"/>
  <c r="AF18" i="32"/>
  <c r="AF25" i="32" s="1"/>
  <c r="N47" i="33"/>
  <c r="N155" i="33" s="1"/>
  <c r="AD18" i="32"/>
  <c r="AD25" i="32" s="1"/>
  <c r="Q25" i="32"/>
  <c r="AC18" i="32"/>
  <c r="AC25" i="32" s="1"/>
  <c r="R12" i="32"/>
  <c r="AD5" i="32"/>
  <c r="AD12" i="32" s="1"/>
  <c r="O12" i="32"/>
  <c r="AA5" i="32"/>
  <c r="AA12" i="32" s="1"/>
  <c r="M213" i="30"/>
  <c r="Q12" i="32"/>
  <c r="AC5" i="32"/>
  <c r="AC12" i="32" s="1"/>
  <c r="T12" i="32"/>
  <c r="AF5" i="32"/>
  <c r="AF12" i="32" s="1"/>
  <c r="Q160" i="33"/>
  <c r="T25" i="33"/>
  <c r="DI132" i="33"/>
  <c r="DI134" i="33" s="1"/>
  <c r="DF134" i="33"/>
  <c r="CB135" i="33"/>
  <c r="BY153" i="33"/>
  <c r="Z153" i="33"/>
  <c r="AC135" i="33"/>
  <c r="DI153" i="33"/>
  <c r="DL135" i="33"/>
  <c r="DR134" i="33"/>
  <c r="DU133" i="33"/>
  <c r="DC112" i="33"/>
  <c r="CQ115" i="33"/>
  <c r="CN119" i="33"/>
  <c r="W119" i="33"/>
  <c r="Z112" i="33"/>
  <c r="BP49" i="33"/>
  <c r="BM57" i="33"/>
  <c r="T53" i="33"/>
  <c r="Q57" i="33"/>
  <c r="T158" i="33"/>
  <c r="T24" i="33"/>
  <c r="W13" i="33"/>
  <c r="DU46" i="33"/>
  <c r="DX25" i="33"/>
  <c r="Q157" i="33"/>
  <c r="T31" i="33"/>
  <c r="Q46" i="33"/>
  <c r="Q47" i="33" s="1"/>
  <c r="Q155" i="33" s="1"/>
  <c r="BP122" i="33"/>
  <c r="BM131" i="33"/>
  <c r="BY120" i="33"/>
  <c r="DO128" i="33"/>
  <c r="DL131" i="33"/>
  <c r="DX127" i="33"/>
  <c r="BM46" i="33"/>
  <c r="BP40" i="33"/>
  <c r="BM157" i="33"/>
  <c r="CE31" i="33"/>
  <c r="AO30" i="33"/>
  <c r="BY25" i="33"/>
  <c r="BV160" i="33"/>
  <c r="BM14" i="33"/>
  <c r="BJ158" i="33"/>
  <c r="BJ24" i="33"/>
  <c r="BJ47" i="33" s="1"/>
  <c r="BJ155" i="33" s="1"/>
  <c r="AO51" i="33"/>
  <c r="CB13" i="33"/>
  <c r="DL63" i="33"/>
  <c r="DI104" i="33"/>
  <c r="W59" i="33"/>
  <c r="T104" i="33"/>
  <c r="CH59" i="33"/>
  <c r="CE104" i="33"/>
  <c r="EM53" i="33"/>
  <c r="EY132" i="33" l="1"/>
  <c r="W120" i="33"/>
  <c r="W131" i="33" s="1"/>
  <c r="T160" i="33"/>
  <c r="W25" i="33"/>
  <c r="CE135" i="33"/>
  <c r="CB153" i="33"/>
  <c r="DX133" i="33"/>
  <c r="DU134" i="33"/>
  <c r="AF135" i="33"/>
  <c r="AC153" i="33"/>
  <c r="DO135" i="33"/>
  <c r="DL153" i="33"/>
  <c r="CT115" i="33"/>
  <c r="CQ119" i="33"/>
  <c r="AC112" i="33"/>
  <c r="Z119" i="33"/>
  <c r="DF112" i="33"/>
  <c r="W53" i="33"/>
  <c r="T57" i="33"/>
  <c r="BS49" i="33"/>
  <c r="BP57" i="33"/>
  <c r="W158" i="33"/>
  <c r="W24" i="33"/>
  <c r="Z13" i="33"/>
  <c r="BS122" i="33"/>
  <c r="BP131" i="33"/>
  <c r="DR128" i="33"/>
  <c r="DO131" i="33"/>
  <c r="EA127" i="33"/>
  <c r="CB120" i="33"/>
  <c r="W31" i="33"/>
  <c r="T157" i="33"/>
  <c r="T46" i="33"/>
  <c r="T47" i="33" s="1"/>
  <c r="T155" i="33" s="1"/>
  <c r="DX46" i="33"/>
  <c r="EA25" i="33"/>
  <c r="BS40" i="33"/>
  <c r="BP157" i="33"/>
  <c r="BP46" i="33"/>
  <c r="AR30" i="33"/>
  <c r="AR51" i="33"/>
  <c r="BP14" i="33"/>
  <c r="BM24" i="33"/>
  <c r="BM47" i="33" s="1"/>
  <c r="BM155" i="33" s="1"/>
  <c r="BM158" i="33"/>
  <c r="CE13" i="33"/>
  <c r="BY160" i="33"/>
  <c r="CB25" i="33"/>
  <c r="CH31" i="33"/>
  <c r="CH104" i="33"/>
  <c r="CK59" i="33"/>
  <c r="Z59" i="33"/>
  <c r="W104" i="33"/>
  <c r="DO63" i="33"/>
  <c r="DL104" i="33"/>
  <c r="EP53" i="33"/>
  <c r="ES53" i="33" s="1"/>
  <c r="EV53" i="33" s="1"/>
  <c r="EY53" i="33" s="1"/>
  <c r="Z120" i="33" l="1"/>
  <c r="Z131" i="33" s="1"/>
  <c r="W160" i="33"/>
  <c r="Z25" i="33"/>
  <c r="DO153" i="33"/>
  <c r="DR135" i="33"/>
  <c r="EA133" i="33"/>
  <c r="DX134" i="33"/>
  <c r="AI135" i="33"/>
  <c r="AF153" i="33"/>
  <c r="CE153" i="33"/>
  <c r="CH135" i="33"/>
  <c r="DI112" i="33"/>
  <c r="AC119" i="33"/>
  <c r="AF112" i="33"/>
  <c r="CW115" i="33"/>
  <c r="CT119" i="33"/>
  <c r="BS57" i="33"/>
  <c r="BV49" i="33"/>
  <c r="Z53" i="33"/>
  <c r="W57" i="33"/>
  <c r="Z158" i="33"/>
  <c r="Z24" i="33"/>
  <c r="AC13" i="33"/>
  <c r="EA46" i="33"/>
  <c r="ED25" i="33"/>
  <c r="ED127" i="33"/>
  <c r="EG127" i="33" s="1"/>
  <c r="EJ127" i="33" s="1"/>
  <c r="EM127" i="33" s="1"/>
  <c r="EP127" i="33" s="1"/>
  <c r="ES127" i="33" s="1"/>
  <c r="EV127" i="33" s="1"/>
  <c r="EY127" i="33" s="1"/>
  <c r="DU128" i="33"/>
  <c r="DR131" i="33"/>
  <c r="BS46" i="33"/>
  <c r="BV40" i="33"/>
  <c r="BS157" i="33"/>
  <c r="W46" i="33"/>
  <c r="W47" i="33" s="1"/>
  <c r="W155" i="33" s="1"/>
  <c r="Z31" i="33"/>
  <c r="W157" i="33"/>
  <c r="CE120" i="33"/>
  <c r="BV122" i="33"/>
  <c r="BS131" i="33"/>
  <c r="AU51" i="33"/>
  <c r="CE25" i="33"/>
  <c r="CB160" i="33"/>
  <c r="CH13" i="33"/>
  <c r="BS14" i="33"/>
  <c r="BP158" i="33"/>
  <c r="BP24" i="33"/>
  <c r="BP47" i="33" s="1"/>
  <c r="BP155" i="33" s="1"/>
  <c r="AU30" i="33"/>
  <c r="CK31" i="33"/>
  <c r="CK104" i="33"/>
  <c r="CN59" i="33"/>
  <c r="AC59" i="33"/>
  <c r="Z104" i="33"/>
  <c r="DO104" i="33"/>
  <c r="DR63" i="33"/>
  <c r="AC120" i="33" l="1"/>
  <c r="AC131" i="33" s="1"/>
  <c r="Z160" i="33"/>
  <c r="AC25" i="33"/>
  <c r="CH153" i="33"/>
  <c r="CK135" i="33"/>
  <c r="ED133" i="33"/>
  <c r="EA134" i="33"/>
  <c r="DU135" i="33"/>
  <c r="DR153" i="33"/>
  <c r="AL135" i="33"/>
  <c r="AI153" i="33"/>
  <c r="AI112" i="33"/>
  <c r="AF119" i="33"/>
  <c r="CZ115" i="33"/>
  <c r="CW119" i="33"/>
  <c r="DL112" i="33"/>
  <c r="AC53" i="33"/>
  <c r="Z57" i="33"/>
  <c r="BY49" i="33"/>
  <c r="BV57" i="33"/>
  <c r="AF13" i="33"/>
  <c r="AC158" i="33"/>
  <c r="AC24" i="33"/>
  <c r="CH120" i="33"/>
  <c r="BV46" i="33"/>
  <c r="BY40" i="33"/>
  <c r="BV157" i="33"/>
  <c r="ED46" i="33"/>
  <c r="EG25" i="33"/>
  <c r="BY122" i="33"/>
  <c r="BV131" i="33"/>
  <c r="Z157" i="33"/>
  <c r="AC31" i="33"/>
  <c r="Z46" i="33"/>
  <c r="Z47" i="33" s="1"/>
  <c r="Z155" i="33" s="1"/>
  <c r="DX128" i="33"/>
  <c r="DX131" i="33" s="1"/>
  <c r="DU131" i="33"/>
  <c r="AX30" i="33"/>
  <c r="CK13" i="33"/>
  <c r="CN31" i="33"/>
  <c r="CQ31" i="33" s="1"/>
  <c r="CT31" i="33" s="1"/>
  <c r="CW31" i="33" s="1"/>
  <c r="CZ31" i="33" s="1"/>
  <c r="DC31" i="33" s="1"/>
  <c r="DF31" i="33" s="1"/>
  <c r="DI31" i="33" s="1"/>
  <c r="BV14" i="33"/>
  <c r="BS158" i="33"/>
  <c r="BS24" i="33"/>
  <c r="BS47" i="33" s="1"/>
  <c r="BS155" i="33" s="1"/>
  <c r="AX51" i="33"/>
  <c r="CE160" i="33"/>
  <c r="CH25" i="33"/>
  <c r="DR104" i="33"/>
  <c r="DU63" i="33"/>
  <c r="AC104" i="33"/>
  <c r="AF59" i="33"/>
  <c r="CN105" i="33"/>
  <c r="CQ59" i="33"/>
  <c r="AF120" i="33" l="1"/>
  <c r="AI120" i="33" s="1"/>
  <c r="AF25" i="33"/>
  <c r="AC160" i="33"/>
  <c r="AO135" i="33"/>
  <c r="AL153" i="33"/>
  <c r="EG133" i="33"/>
  <c r="ED134" i="33"/>
  <c r="CN135" i="33"/>
  <c r="CK153" i="33"/>
  <c r="DX135" i="33"/>
  <c r="DU153" i="33"/>
  <c r="DC115" i="33"/>
  <c r="CZ119" i="33"/>
  <c r="DO112" i="33"/>
  <c r="AI119" i="33"/>
  <c r="AL112" i="33"/>
  <c r="CB49" i="33"/>
  <c r="BY57" i="33"/>
  <c r="AF53" i="33"/>
  <c r="AC57" i="33"/>
  <c r="AI13" i="33"/>
  <c r="AF158" i="33"/>
  <c r="AF24" i="33"/>
  <c r="AC157" i="33"/>
  <c r="AF31" i="33"/>
  <c r="AC46" i="33"/>
  <c r="AC47" i="33" s="1"/>
  <c r="AC155" i="33" s="1"/>
  <c r="BY46" i="33"/>
  <c r="BY157" i="33"/>
  <c r="CB40" i="33"/>
  <c r="EA128" i="33"/>
  <c r="EA131" i="33" s="1"/>
  <c r="EG46" i="33"/>
  <c r="EJ25" i="33"/>
  <c r="CK120" i="33"/>
  <c r="CB122" i="33"/>
  <c r="BY131" i="33"/>
  <c r="CN13" i="33"/>
  <c r="BA30" i="33"/>
  <c r="BA51" i="33"/>
  <c r="BY14" i="33"/>
  <c r="BV158" i="33"/>
  <c r="BV24" i="33"/>
  <c r="BV47" i="33" s="1"/>
  <c r="BV155" i="33" s="1"/>
  <c r="CH160" i="33"/>
  <c r="CK25" i="33"/>
  <c r="CQ104" i="33"/>
  <c r="CT59" i="33"/>
  <c r="AF104" i="33"/>
  <c r="AI59" i="33"/>
  <c r="DX63" i="33"/>
  <c r="DX104" i="33" s="1"/>
  <c r="DU104" i="33"/>
  <c r="AF131" i="33" l="1"/>
  <c r="AI25" i="33"/>
  <c r="AF160" i="33"/>
  <c r="DX153" i="33"/>
  <c r="EA135" i="33"/>
  <c r="EJ133" i="33"/>
  <c r="EG134" i="33"/>
  <c r="CQ135" i="33"/>
  <c r="CN153" i="33"/>
  <c r="AO153" i="33"/>
  <c r="AR135" i="33"/>
  <c r="DR112" i="33"/>
  <c r="AO112" i="33"/>
  <c r="AL119" i="33"/>
  <c r="DF115" i="33"/>
  <c r="DC119" i="33"/>
  <c r="AI53" i="33"/>
  <c r="AF57" i="33"/>
  <c r="CE49" i="33"/>
  <c r="CB57" i="33"/>
  <c r="AI24" i="33"/>
  <c r="AI158" i="33"/>
  <c r="AL13" i="33"/>
  <c r="AI131" i="33"/>
  <c r="AL120" i="33"/>
  <c r="CN120" i="33"/>
  <c r="CB46" i="33"/>
  <c r="CB157" i="33"/>
  <c r="CE40" i="33"/>
  <c r="CE122" i="33"/>
  <c r="CB131" i="33"/>
  <c r="ED128" i="33"/>
  <c r="ED131" i="33" s="1"/>
  <c r="EM25" i="33"/>
  <c r="EJ46" i="33"/>
  <c r="AF46" i="33"/>
  <c r="AF47" i="33" s="1"/>
  <c r="AF157" i="33"/>
  <c r="AI31" i="33"/>
  <c r="BD30" i="33"/>
  <c r="CK160" i="33"/>
  <c r="CN25" i="33"/>
  <c r="CB14" i="33"/>
  <c r="BY158" i="33"/>
  <c r="BY24" i="33"/>
  <c r="BY47" i="33" s="1"/>
  <c r="BY155" i="33" s="1"/>
  <c r="BD51" i="33"/>
  <c r="CQ13" i="33"/>
  <c r="AL59" i="33"/>
  <c r="AI104" i="33"/>
  <c r="CW59" i="33"/>
  <c r="CT104" i="33"/>
  <c r="EA63" i="33"/>
  <c r="ED63" i="33" s="1"/>
  <c r="AF155" i="33" l="1"/>
  <c r="AI160" i="33"/>
  <c r="AL25" i="33"/>
  <c r="ED135" i="33"/>
  <c r="EA153" i="33"/>
  <c r="AR153" i="33"/>
  <c r="AU135" i="33"/>
  <c r="EM133" i="33"/>
  <c r="EJ134" i="33"/>
  <c r="CT135" i="33"/>
  <c r="CQ153" i="33"/>
  <c r="AR112" i="33"/>
  <c r="AO119" i="33"/>
  <c r="DU112" i="33"/>
  <c r="DI115" i="33"/>
  <c r="DF119" i="33"/>
  <c r="CH49" i="33"/>
  <c r="CE57" i="33"/>
  <c r="AL53" i="33"/>
  <c r="AI57" i="33"/>
  <c r="AL158" i="33"/>
  <c r="AO13" i="33"/>
  <c r="AL24" i="33"/>
  <c r="AO120" i="33"/>
  <c r="AL131" i="33"/>
  <c r="CQ120" i="33"/>
  <c r="AL31" i="33"/>
  <c r="AI157" i="33"/>
  <c r="AI46" i="33"/>
  <c r="AI47" i="33" s="1"/>
  <c r="AI155" i="33" s="1"/>
  <c r="EM46" i="33"/>
  <c r="EP25" i="33"/>
  <c r="CH122" i="33"/>
  <c r="CE131" i="33"/>
  <c r="CH40" i="33"/>
  <c r="CE157" i="33"/>
  <c r="CE46" i="33"/>
  <c r="EG128" i="33"/>
  <c r="CQ25" i="33"/>
  <c r="CE14" i="33"/>
  <c r="CB24" i="33"/>
  <c r="CB47" i="33" s="1"/>
  <c r="CB155" i="33" s="1"/>
  <c r="CB158" i="33"/>
  <c r="BG51" i="33"/>
  <c r="BJ51" i="33" s="1"/>
  <c r="BM51" i="33" s="1"/>
  <c r="BP51" i="33" s="1"/>
  <c r="BS51" i="33" s="1"/>
  <c r="BV51" i="33" s="1"/>
  <c r="BY51" i="33" s="1"/>
  <c r="CB51" i="33" s="1"/>
  <c r="CE51" i="33" s="1"/>
  <c r="CH51" i="33" s="1"/>
  <c r="CK51" i="33" s="1"/>
  <c r="BD57" i="33"/>
  <c r="CT13" i="33"/>
  <c r="ED104" i="33"/>
  <c r="CW105" i="33"/>
  <c r="CZ59" i="33"/>
  <c r="AL104" i="33"/>
  <c r="AO59" i="33"/>
  <c r="EG131" i="33" l="1"/>
  <c r="EJ128" i="33"/>
  <c r="EM128" i="33" s="1"/>
  <c r="EP128" i="33" s="1"/>
  <c r="ES128" i="33" s="1"/>
  <c r="EV128" i="33" s="1"/>
  <c r="EY128" i="33" s="1"/>
  <c r="EP46" i="33"/>
  <c r="ES25" i="33"/>
  <c r="AO25" i="33"/>
  <c r="AL160" i="33"/>
  <c r="AX135" i="33"/>
  <c r="AU153" i="33"/>
  <c r="CW135" i="33"/>
  <c r="CW153" i="33" s="1"/>
  <c r="CT153" i="33"/>
  <c r="EP133" i="33"/>
  <c r="EM134" i="33"/>
  <c r="EG135" i="33"/>
  <c r="ED153" i="33"/>
  <c r="DX112" i="33"/>
  <c r="EA112" i="33" s="1"/>
  <c r="ED112" i="33" s="1"/>
  <c r="EG112" i="33" s="1"/>
  <c r="EJ112" i="33" s="1"/>
  <c r="EM112" i="33" s="1"/>
  <c r="EP112" i="33" s="1"/>
  <c r="ES112" i="33" s="1"/>
  <c r="DL115" i="33"/>
  <c r="DI119" i="33"/>
  <c r="AU112" i="33"/>
  <c r="AR119" i="33"/>
  <c r="CH57" i="33"/>
  <c r="CK49" i="33"/>
  <c r="AO53" i="33"/>
  <c r="AL57" i="33"/>
  <c r="AR13" i="33"/>
  <c r="AO158" i="33"/>
  <c r="AO24" i="33"/>
  <c r="AR120" i="33"/>
  <c r="AO131" i="33"/>
  <c r="AL157" i="33"/>
  <c r="AO31" i="33"/>
  <c r="AL46" i="33"/>
  <c r="AL47" i="33" s="1"/>
  <c r="AL155" i="33" s="1"/>
  <c r="CH46" i="33"/>
  <c r="CH157" i="33"/>
  <c r="CK40" i="33"/>
  <c r="CK122" i="33"/>
  <c r="CH131" i="33"/>
  <c r="CT120" i="33"/>
  <c r="CH14" i="33"/>
  <c r="CE24" i="33"/>
  <c r="CE47" i="33" s="1"/>
  <c r="CE155" i="33" s="1"/>
  <c r="CE158" i="33"/>
  <c r="CT25" i="33"/>
  <c r="CW13" i="33"/>
  <c r="AR59" i="33"/>
  <c r="AO104" i="33"/>
  <c r="DC59" i="33"/>
  <c r="CZ105" i="33"/>
  <c r="EG63" i="33"/>
  <c r="EJ131" i="33" l="1"/>
  <c r="EG104" i="33"/>
  <c r="EJ63" i="33"/>
  <c r="EM63" i="33" s="1"/>
  <c r="EP63" i="33" s="1"/>
  <c r="ES63" i="33" s="1"/>
  <c r="EV63" i="33" s="1"/>
  <c r="EY63" i="33" s="1"/>
  <c r="EV112" i="33"/>
  <c r="EP134" i="33"/>
  <c r="ES133" i="33"/>
  <c r="ES46" i="33"/>
  <c r="EV25" i="33"/>
  <c r="AO160" i="33"/>
  <c r="AR25" i="33"/>
  <c r="EG153" i="33"/>
  <c r="EJ135" i="33"/>
  <c r="BA135" i="33"/>
  <c r="BA153" i="33" s="1"/>
  <c r="AX153" i="33"/>
  <c r="DO115" i="33"/>
  <c r="DL119" i="33"/>
  <c r="AU119" i="33"/>
  <c r="AX112" i="33"/>
  <c r="AR53" i="33"/>
  <c r="AO57" i="33"/>
  <c r="CK57" i="33"/>
  <c r="CN49" i="33"/>
  <c r="AU13" i="33"/>
  <c r="AR158" i="33"/>
  <c r="AR24" i="33"/>
  <c r="AU120" i="33"/>
  <c r="AR131" i="33"/>
  <c r="CW120" i="33"/>
  <c r="CK46" i="33"/>
  <c r="CN40" i="33"/>
  <c r="CK157" i="33"/>
  <c r="AO157" i="33"/>
  <c r="AR31" i="33"/>
  <c r="AO46" i="33"/>
  <c r="AO47" i="33" s="1"/>
  <c r="AO155" i="33" s="1"/>
  <c r="CN122" i="33"/>
  <c r="CK131" i="33"/>
  <c r="EM131" i="33"/>
  <c r="CW25" i="33"/>
  <c r="CZ13" i="33"/>
  <c r="CK14" i="33"/>
  <c r="CH158" i="33"/>
  <c r="CH24" i="33"/>
  <c r="CH47" i="33" s="1"/>
  <c r="CH155" i="33" s="1"/>
  <c r="EJ104" i="33"/>
  <c r="DC105" i="33"/>
  <c r="DC104" i="33"/>
  <c r="DF59" i="33"/>
  <c r="AR104" i="33"/>
  <c r="AU59" i="33"/>
  <c r="EY25" i="33" l="1"/>
  <c r="EY46" i="33" s="1"/>
  <c r="EV46" i="33"/>
  <c r="EV133" i="33"/>
  <c r="ES134" i="33"/>
  <c r="EY112" i="33"/>
  <c r="AR160" i="33"/>
  <c r="AU25" i="33"/>
  <c r="EM135" i="33"/>
  <c r="EJ153" i="33"/>
  <c r="AX119" i="33"/>
  <c r="BA112" i="33"/>
  <c r="BA119" i="33" s="1"/>
  <c r="DR115" i="33"/>
  <c r="DO119" i="33"/>
  <c r="CN57" i="33"/>
  <c r="CQ49" i="33"/>
  <c r="AU53" i="33"/>
  <c r="AR57" i="33"/>
  <c r="AU158" i="33"/>
  <c r="AU24" i="33"/>
  <c r="AX13" i="33"/>
  <c r="AU131" i="33"/>
  <c r="AX120" i="33"/>
  <c r="CQ122" i="33"/>
  <c r="CN131" i="33"/>
  <c r="CQ40" i="33"/>
  <c r="CN46" i="33"/>
  <c r="AU31" i="33"/>
  <c r="AR157" i="33"/>
  <c r="AR46" i="33"/>
  <c r="AR47" i="33" s="1"/>
  <c r="AR155" i="33" s="1"/>
  <c r="CZ120" i="33"/>
  <c r="CN14" i="33"/>
  <c r="CK24" i="33"/>
  <c r="CK47" i="33" s="1"/>
  <c r="CK155" i="33" s="1"/>
  <c r="CK158" i="33"/>
  <c r="DC13" i="33"/>
  <c r="CZ25" i="33"/>
  <c r="DI59" i="33"/>
  <c r="DF105" i="33"/>
  <c r="EM104" i="33"/>
  <c r="AX59" i="33"/>
  <c r="AU104" i="33"/>
  <c r="EY133" i="33" l="1"/>
  <c r="EY134" i="33" s="1"/>
  <c r="EV134" i="33"/>
  <c r="EP131" i="33"/>
  <c r="AX25" i="33"/>
  <c r="AU160" i="33"/>
  <c r="EP135" i="33"/>
  <c r="EM153" i="33"/>
  <c r="DU115" i="33"/>
  <c r="DR119" i="33"/>
  <c r="AX53" i="33"/>
  <c r="AU57" i="33"/>
  <c r="CT49" i="33"/>
  <c r="CQ57" i="33"/>
  <c r="BA13" i="33"/>
  <c r="AX24" i="33"/>
  <c r="AX158" i="33"/>
  <c r="BA120" i="33"/>
  <c r="BA131" i="33" s="1"/>
  <c r="AX131" i="33"/>
  <c r="CT122" i="33"/>
  <c r="CQ131" i="33"/>
  <c r="DC120" i="33"/>
  <c r="AX31" i="33"/>
  <c r="AU157" i="33"/>
  <c r="AU46" i="33"/>
  <c r="AU47" i="33" s="1"/>
  <c r="AU155" i="33" s="1"/>
  <c r="CT40" i="33"/>
  <c r="CQ46" i="33"/>
  <c r="DF13" i="33"/>
  <c r="DC25" i="33"/>
  <c r="CQ14" i="33"/>
  <c r="CN24" i="33"/>
  <c r="DL59" i="33"/>
  <c r="DI105" i="33"/>
  <c r="AX104" i="33"/>
  <c r="BA59" i="33"/>
  <c r="BA104" i="33" s="1"/>
  <c r="ES131" i="33" l="1"/>
  <c r="EP104" i="33"/>
  <c r="EP153" i="33"/>
  <c r="ES135" i="33"/>
  <c r="BA25" i="33"/>
  <c r="BA160" i="33" s="1"/>
  <c r="AX160" i="33"/>
  <c r="DX115" i="33"/>
  <c r="EA115" i="33" s="1"/>
  <c r="ED115" i="33" s="1"/>
  <c r="EG115" i="33" s="1"/>
  <c r="EJ115" i="33" s="1"/>
  <c r="EM115" i="33" s="1"/>
  <c r="EP115" i="33" s="1"/>
  <c r="ES115" i="33" s="1"/>
  <c r="DU119" i="33"/>
  <c r="CW49" i="33"/>
  <c r="CT57" i="33"/>
  <c r="BA53" i="33"/>
  <c r="AX57" i="33"/>
  <c r="BA24" i="33"/>
  <c r="BA158" i="33"/>
  <c r="BA31" i="33"/>
  <c r="AX157" i="33"/>
  <c r="AX46" i="33"/>
  <c r="AX47" i="33" s="1"/>
  <c r="AX155" i="33" s="1"/>
  <c r="CW40" i="33"/>
  <c r="CT46" i="33"/>
  <c r="DF120" i="33"/>
  <c r="DI120" i="33" s="1"/>
  <c r="DL120" i="33" s="1"/>
  <c r="DO120" i="33" s="1"/>
  <c r="DR120" i="33" s="1"/>
  <c r="DU120" i="33" s="1"/>
  <c r="DX120" i="33" s="1"/>
  <c r="EA120" i="33" s="1"/>
  <c r="ED120" i="33" s="1"/>
  <c r="EG120" i="33" s="1"/>
  <c r="EJ120" i="33" s="1"/>
  <c r="EM120" i="33" s="1"/>
  <c r="EP120" i="33" s="1"/>
  <c r="ES120" i="33" s="1"/>
  <c r="EV120" i="33" s="1"/>
  <c r="EY120" i="33" s="1"/>
  <c r="CW122" i="33"/>
  <c r="CT131" i="33"/>
  <c r="CN154" i="33"/>
  <c r="CN155" i="33" s="1"/>
  <c r="CN47" i="33"/>
  <c r="CT14" i="33"/>
  <c r="CQ24" i="33"/>
  <c r="CQ47" i="33" s="1"/>
  <c r="CQ155" i="33" s="1"/>
  <c r="DF25" i="33"/>
  <c r="DI13" i="33"/>
  <c r="DL105" i="33"/>
  <c r="DO59" i="33"/>
  <c r="EV115" i="33" l="1"/>
  <c r="ES119" i="33"/>
  <c r="EY131" i="33"/>
  <c r="EV131" i="33"/>
  <c r="ES104" i="33"/>
  <c r="EV135" i="33"/>
  <c r="ES153" i="33"/>
  <c r="DX119" i="33"/>
  <c r="BD53" i="33"/>
  <c r="BG53" i="33" s="1"/>
  <c r="BJ53" i="33" s="1"/>
  <c r="BM53" i="33" s="1"/>
  <c r="BA57" i="33"/>
  <c r="CZ49" i="33"/>
  <c r="CW57" i="33"/>
  <c r="CZ122" i="33"/>
  <c r="CW131" i="33"/>
  <c r="BA46" i="33"/>
  <c r="BA47" i="33" s="1"/>
  <c r="BA155" i="33" s="1"/>
  <c r="BD31" i="33"/>
  <c r="BA157" i="33"/>
  <c r="CZ40" i="33"/>
  <c r="CW46" i="33"/>
  <c r="CW14" i="33"/>
  <c r="CT24" i="33"/>
  <c r="CT47" i="33" s="1"/>
  <c r="CT155" i="33" s="1"/>
  <c r="DL13" i="33"/>
  <c r="DI25" i="33"/>
  <c r="DR59" i="33"/>
  <c r="DO105" i="33"/>
  <c r="EY115" i="33" l="1"/>
  <c r="EY119" i="33" s="1"/>
  <c r="EV119" i="33"/>
  <c r="EV104" i="33"/>
  <c r="EY104" i="33"/>
  <c r="EY135" i="33"/>
  <c r="EY153" i="33" s="1"/>
  <c r="EV153" i="33"/>
  <c r="EA119" i="33"/>
  <c r="CZ57" i="33"/>
  <c r="DC49" i="33"/>
  <c r="BD157" i="33"/>
  <c r="BD46" i="33"/>
  <c r="BD47" i="33" s="1"/>
  <c r="BD155" i="33" s="1"/>
  <c r="DC40" i="33"/>
  <c r="CZ46" i="33"/>
  <c r="DC122" i="33"/>
  <c r="CZ131" i="33"/>
  <c r="DO13" i="33"/>
  <c r="CZ14" i="33"/>
  <c r="CW24" i="33"/>
  <c r="DU59" i="33"/>
  <c r="DR105" i="33"/>
  <c r="ED119" i="33" l="1"/>
  <c r="DC57" i="33"/>
  <c r="DF49" i="33"/>
  <c r="DF122" i="33"/>
  <c r="DI122" i="33" s="1"/>
  <c r="DL122" i="33" s="1"/>
  <c r="DO122" i="33" s="1"/>
  <c r="DR122" i="33" s="1"/>
  <c r="DU122" i="33" s="1"/>
  <c r="DX122" i="33" s="1"/>
  <c r="EA122" i="33" s="1"/>
  <c r="ED122" i="33" s="1"/>
  <c r="EG122" i="33" s="1"/>
  <c r="EJ122" i="33" s="1"/>
  <c r="EM122" i="33" s="1"/>
  <c r="EP122" i="33" s="1"/>
  <c r="ES122" i="33" s="1"/>
  <c r="EV122" i="33" s="1"/>
  <c r="EY122" i="33" s="1"/>
  <c r="DC131" i="33"/>
  <c r="DF40" i="33"/>
  <c r="DC46" i="33"/>
  <c r="CW154" i="33"/>
  <c r="CW155" i="33"/>
  <c r="CW47" i="33"/>
  <c r="DC14" i="33"/>
  <c r="CZ24" i="33"/>
  <c r="DR13" i="33"/>
  <c r="DU105" i="33"/>
  <c r="DX59" i="33"/>
  <c r="EG119" i="33" l="1"/>
  <c r="DI49" i="33"/>
  <c r="DF57" i="33"/>
  <c r="DI40" i="33"/>
  <c r="DI46" i="33" s="1"/>
  <c r="DF46" i="33"/>
  <c r="CZ154" i="33"/>
  <c r="CZ155" i="33"/>
  <c r="CZ47" i="33"/>
  <c r="DF14" i="33"/>
  <c r="DC24" i="33"/>
  <c r="DU13" i="33"/>
  <c r="DX105" i="33"/>
  <c r="EA59" i="33"/>
  <c r="EA104" i="33" s="1"/>
  <c r="EJ119" i="33" l="1"/>
  <c r="DL49" i="33"/>
  <c r="DI57" i="33"/>
  <c r="DC155" i="33"/>
  <c r="DC154" i="33"/>
  <c r="DC47" i="33"/>
  <c r="DX13" i="33"/>
  <c r="DI14" i="33"/>
  <c r="DF24" i="33"/>
  <c r="EA105" i="33"/>
  <c r="ED59" i="33"/>
  <c r="EP119" i="33" l="1"/>
  <c r="EM119" i="33"/>
  <c r="DO49" i="33"/>
  <c r="DL57" i="33"/>
  <c r="DF154" i="33"/>
  <c r="DF155" i="33"/>
  <c r="DF47" i="33"/>
  <c r="DL14" i="33"/>
  <c r="DI24" i="33"/>
  <c r="EA13" i="33"/>
  <c r="ED13" i="33" s="1"/>
  <c r="ED105" i="33"/>
  <c r="EG59" i="33"/>
  <c r="DO57" i="33" l="1"/>
  <c r="DR49" i="33"/>
  <c r="DI154" i="33"/>
  <c r="DI155" i="33"/>
  <c r="DI47" i="33"/>
  <c r="DO14" i="33"/>
  <c r="DL24" i="33"/>
  <c r="EJ59" i="33"/>
  <c r="EG105" i="33"/>
  <c r="DR57" i="33" l="1"/>
  <c r="DU49" i="33"/>
  <c r="DL47" i="33"/>
  <c r="DL154" i="33"/>
  <c r="DL155" i="33"/>
  <c r="DR14" i="33"/>
  <c r="DO24" i="33"/>
  <c r="EG13" i="33"/>
  <c r="EJ105" i="33"/>
  <c r="EM59" i="33"/>
  <c r="DX49" i="33" l="1"/>
  <c r="DU57" i="33"/>
  <c r="DO47" i="33"/>
  <c r="DO154" i="33"/>
  <c r="DO155" i="33"/>
  <c r="DU14" i="33"/>
  <c r="DR24" i="33"/>
  <c r="EJ13" i="33"/>
  <c r="EM105" i="33"/>
  <c r="EP59" i="33"/>
  <c r="EP105" i="33" l="1"/>
  <c r="ES59" i="33"/>
  <c r="EA49" i="33"/>
  <c r="DX57" i="33"/>
  <c r="DR47" i="33"/>
  <c r="DR154" i="33"/>
  <c r="DR155" i="33"/>
  <c r="DX14" i="33"/>
  <c r="DU24" i="33"/>
  <c r="EM13" i="33"/>
  <c r="EV59" i="33" l="1"/>
  <c r="ES105" i="33"/>
  <c r="ED49" i="33"/>
  <c r="EA57" i="33"/>
  <c r="EA14" i="33"/>
  <c r="DX24" i="33"/>
  <c r="DU47" i="33"/>
  <c r="DU154" i="33"/>
  <c r="DU155" i="33"/>
  <c r="EP13" i="33"/>
  <c r="ES13" i="33" s="1"/>
  <c r="EV13" i="33" s="1"/>
  <c r="EY13" i="33" s="1"/>
  <c r="EY59" i="33" l="1"/>
  <c r="EY105" i="33" s="1"/>
  <c r="EV105" i="33"/>
  <c r="ED57" i="33"/>
  <c r="EG49" i="33"/>
  <c r="DX47" i="33"/>
  <c r="DX154" i="33"/>
  <c r="DX155" i="33"/>
  <c r="ED14" i="33"/>
  <c r="EA24" i="33"/>
  <c r="EG57" i="33" l="1"/>
  <c r="EJ49" i="33"/>
  <c r="EA47" i="33"/>
  <c r="EA154" i="33"/>
  <c r="EA155" i="33"/>
  <c r="EG14" i="33"/>
  <c r="ED24" i="33"/>
  <c r="EM49" i="33" l="1"/>
  <c r="EJ57" i="33"/>
  <c r="EJ14" i="33"/>
  <c r="EG24" i="33"/>
  <c r="ED47" i="33"/>
  <c r="ED154" i="33"/>
  <c r="ED155" i="33"/>
  <c r="EP49" i="33" l="1"/>
  <c r="EM57" i="33"/>
  <c r="EG47" i="33"/>
  <c r="EG154" i="33"/>
  <c r="EG155" i="33"/>
  <c r="EM14" i="33"/>
  <c r="EJ24" i="33"/>
  <c r="EP57" i="33" l="1"/>
  <c r="ES49" i="33"/>
  <c r="EP14" i="33"/>
  <c r="EM24" i="33"/>
  <c r="EJ47" i="33"/>
  <c r="EJ154" i="33"/>
  <c r="EJ155" i="33"/>
  <c r="EV49" i="33" l="1"/>
  <c r="ES57" i="33"/>
  <c r="EP24" i="33"/>
  <c r="EP155" i="33" s="1"/>
  <c r="ES14" i="33"/>
  <c r="EM47" i="33"/>
  <c r="EM154" i="33"/>
  <c r="EM155" i="33"/>
  <c r="EV57" i="33" l="1"/>
  <c r="EY49" i="33"/>
  <c r="EY57" i="33" s="1"/>
  <c r="EP47" i="33"/>
  <c r="EP154" i="33"/>
  <c r="EV14" i="33"/>
  <c r="ES24" i="33"/>
  <c r="ES47" i="33" l="1"/>
  <c r="ES155" i="33"/>
  <c r="ES154" i="33"/>
  <c r="EY14" i="33"/>
  <c r="EY24" i="33" s="1"/>
  <c r="EV24" i="33"/>
  <c r="EV47" i="33" l="1"/>
  <c r="EV155" i="33"/>
  <c r="EV154" i="33"/>
  <c r="EY154" i="33"/>
  <c r="EY155" i="33"/>
  <c r="EY47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Veth Onde</author>
    <author>NCFLPCDLAP008</author>
  </authors>
  <commentList>
    <comment ref="BT50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Veth Onde:</t>
        </r>
        <r>
          <rPr>
            <sz val="9"/>
            <color indexed="81"/>
            <rFont val="Tahoma"/>
            <family val="2"/>
          </rPr>
          <t xml:space="preserve">
with X1931 conversion loss</t>
        </r>
      </text>
    </comment>
    <comment ref="EB127" authorId="1" shapeId="0" xr:uid="{00000000-0006-0000-0300-000002000000}">
      <text>
        <r>
          <rPr>
            <b/>
            <sz val="12"/>
            <color indexed="81"/>
            <rFont val="Tahoma"/>
            <family val="2"/>
          </rPr>
          <t>to be used to X1931</t>
        </r>
      </text>
    </comment>
  </commentList>
</comments>
</file>

<file path=xl/sharedStrings.xml><?xml version="1.0" encoding="utf-8"?>
<sst xmlns="http://schemas.openxmlformats.org/spreadsheetml/2006/main" count="1323" uniqueCount="458">
  <si>
    <t xml:space="preserve">  =  SAMPLE PRODUCTION</t>
  </si>
  <si>
    <t># of Working Days :</t>
  </si>
  <si>
    <t>21 days</t>
  </si>
  <si>
    <t>NO.</t>
  </si>
  <si>
    <t>CUSTOMER</t>
  </si>
  <si>
    <t>ITEM</t>
  </si>
  <si>
    <t>MODEL</t>
  </si>
  <si>
    <t>#</t>
  </si>
  <si>
    <t>VIPER-C 2D(JCY)</t>
  </si>
  <si>
    <t>VIPER-C 4D(JCY)</t>
  </si>
  <si>
    <t>HGST</t>
  </si>
  <si>
    <t>COBRA-E (OB)</t>
  </si>
  <si>
    <t>SUB TOTAL</t>
  </si>
  <si>
    <t>FJ2X</t>
  </si>
  <si>
    <t>TOSHIBA</t>
  </si>
  <si>
    <t>FJ2X-C</t>
  </si>
  <si>
    <t>FJ4X</t>
  </si>
  <si>
    <t>FL4X</t>
  </si>
  <si>
    <t>FJ1X-C</t>
  </si>
  <si>
    <t>FJ1Y</t>
  </si>
  <si>
    <t>FK2TX-B</t>
  </si>
  <si>
    <t>FI2CJ</t>
  </si>
  <si>
    <t>FF2CJ</t>
  </si>
  <si>
    <t>FJ2CJ</t>
  </si>
  <si>
    <t>SEAGATE</t>
  </si>
  <si>
    <t>AVENGER</t>
  </si>
  <si>
    <t>KESTREL 2D</t>
  </si>
  <si>
    <t>KESTREL 3D</t>
  </si>
  <si>
    <t xml:space="preserve">SPM TOTAL </t>
  </si>
  <si>
    <t>CK06</t>
  </si>
  <si>
    <t>CK07</t>
  </si>
  <si>
    <t>CK08</t>
  </si>
  <si>
    <t>CK10</t>
  </si>
  <si>
    <t>UFF TOTAL</t>
  </si>
  <si>
    <t>QYH (Diup)</t>
  </si>
  <si>
    <t xml:space="preserve">TYC </t>
  </si>
  <si>
    <t>MARS 1D (In-House)</t>
  </si>
  <si>
    <t>SUB-TOTAL</t>
  </si>
  <si>
    <t>AL13SE FCC ST2</t>
  </si>
  <si>
    <t>RC5Y/RB5Y ST2</t>
  </si>
  <si>
    <t>RD6Y ST2</t>
  </si>
  <si>
    <t>RB3Y / RC3Y SA</t>
  </si>
  <si>
    <t>PARTS TOTAL</t>
  </si>
  <si>
    <t>G TOTAL</t>
  </si>
  <si>
    <t>RH7Y / RJ9Y ST2</t>
  </si>
  <si>
    <t>FIREBOLT ST1</t>
  </si>
  <si>
    <t>M11P (Step Hub)</t>
  </si>
  <si>
    <t>SKYLIGHT 1D/2D ST1</t>
  </si>
  <si>
    <t>TYC 3P (DIUP)</t>
  </si>
  <si>
    <t>TYC  (DIUP)</t>
  </si>
  <si>
    <t>TCVR TOTAL</t>
  </si>
  <si>
    <t>ACT TOTAL</t>
  </si>
  <si>
    <t>BCO-UFF</t>
  </si>
  <si>
    <t>BCO-ACT</t>
  </si>
  <si>
    <t>NCFS</t>
  </si>
  <si>
    <t>=  revised</t>
  </si>
  <si>
    <t>ROSEWOOD 2D ST1</t>
  </si>
  <si>
    <t>L00029915</t>
  </si>
  <si>
    <t>ROSEWOOD 1D SA</t>
  </si>
  <si>
    <t>L00040596</t>
  </si>
  <si>
    <t>L00042578</t>
  </si>
  <si>
    <t>L00045145</t>
  </si>
  <si>
    <t>AL15SE 4P</t>
  </si>
  <si>
    <t>LMB (DIUP)</t>
  </si>
  <si>
    <t>RC3Y</t>
  </si>
  <si>
    <t>RK3YA</t>
  </si>
  <si>
    <t>Invty</t>
  </si>
  <si>
    <t>SALES</t>
  </si>
  <si>
    <t>BCO - CBD</t>
  </si>
  <si>
    <t>CBD TOTAL</t>
  </si>
  <si>
    <t>in K pcs</t>
  </si>
  <si>
    <t>SPM</t>
  </si>
  <si>
    <t>UFF</t>
  </si>
  <si>
    <t>ACT</t>
  </si>
  <si>
    <t>AL15SE 1P</t>
  </si>
  <si>
    <t>AL14SX 1P</t>
  </si>
  <si>
    <t>RWD 1D R3- no ramp</t>
  </si>
  <si>
    <t>RWD-2D D2 
(Mosfet)</t>
  </si>
  <si>
    <t>SKYBOLT 3D (LD)</t>
  </si>
  <si>
    <t>SKYBOLT 4D (LP)</t>
  </si>
  <si>
    <t>QYH  (In-House)</t>
  </si>
  <si>
    <t>CK11A</t>
  </si>
  <si>
    <t>CK12A</t>
  </si>
  <si>
    <t>X520 (CC03C)</t>
  </si>
  <si>
    <t>J90 (AK01C)</t>
  </si>
  <si>
    <t>X815 (JK01)</t>
  </si>
  <si>
    <t>X249 (JK03)</t>
  </si>
  <si>
    <t>X99 (JK04)</t>
  </si>
  <si>
    <t>X395 (JK05)</t>
  </si>
  <si>
    <t>X1028 (JK06)</t>
  </si>
  <si>
    <t>AL14SX 2/3P</t>
  </si>
  <si>
    <t>RWD 1D R3 +Fiducial removal (CA2 MOLD ) (RHC)</t>
  </si>
  <si>
    <t>RWD 1D R3- no ramp (RHC)</t>
  </si>
  <si>
    <t>RWD1D R3 (Sb-NaOH - Prime)</t>
  </si>
  <si>
    <t>RWD 1D R3 (Sb REWORK)</t>
  </si>
  <si>
    <t xml:space="preserve">RWD 1D R3 
(Casting Mosfet) </t>
  </si>
  <si>
    <t>RWD 1D R3.5 (+MOSFET) 
no ramp</t>
  </si>
  <si>
    <t>RWD 1D R3.5  (+MOSFET)</t>
  </si>
  <si>
    <t>RWD 2D D2 
(Mosfet)</t>
  </si>
  <si>
    <t>X1781 (CC05)</t>
  </si>
  <si>
    <t>X1766 (CC06)</t>
  </si>
  <si>
    <t>X1413 (CC07)</t>
  </si>
  <si>
    <t>X1413 (CC08)</t>
  </si>
  <si>
    <t>RWD 2D D2 
(No ramp)</t>
  </si>
  <si>
    <t>X968 R (CK17C)</t>
  </si>
  <si>
    <t>X968 L (CK18C)</t>
  </si>
  <si>
    <t>RWD 2D D2 
(Mosfet)  (RHC+Pop up)</t>
  </si>
  <si>
    <t>RWD 2D D2 
(Mosfet)  (Pop up)</t>
  </si>
  <si>
    <t>M11P (New Ramp-RTV) GC530N01A</t>
  </si>
  <si>
    <t>RWD 7MM 2D D1</t>
  </si>
  <si>
    <t>TOTAL</t>
  </si>
  <si>
    <t>EK05</t>
  </si>
  <si>
    <t>EK06</t>
  </si>
  <si>
    <t>EK07</t>
  </si>
  <si>
    <t>EK08</t>
  </si>
  <si>
    <t>RWD 1D R3 (CA2 MOLD )</t>
  </si>
  <si>
    <t>X951 (CK16C)</t>
  </si>
  <si>
    <t xml:space="preserve">EK01 </t>
  </si>
  <si>
    <t xml:space="preserve">EK02 </t>
  </si>
  <si>
    <t xml:space="preserve">EK03 </t>
  </si>
  <si>
    <t xml:space="preserve">EK04 </t>
  </si>
  <si>
    <t>PRODUCTION</t>
  </si>
  <si>
    <t>SPM ONLY</t>
  </si>
  <si>
    <t>CBD</t>
  </si>
  <si>
    <t>TOP COVER</t>
  </si>
  <si>
    <t>X940 R (CC01C)</t>
  </si>
  <si>
    <t>X940 L (CC02C)</t>
  </si>
  <si>
    <t>X1181 R (CK13)</t>
  </si>
  <si>
    <t>X1181 L (CK14C)</t>
  </si>
  <si>
    <t>X1030 (CC04A)</t>
  </si>
  <si>
    <t>X1323 (AE31C)</t>
  </si>
  <si>
    <t>X1323 (AE32C)</t>
  </si>
  <si>
    <t>X1780 (EB02B</t>
  </si>
  <si>
    <t>X1780 (EB01B)</t>
  </si>
  <si>
    <t>GAP</t>
  </si>
  <si>
    <t>X1743, X1744 (J0020K10)</t>
  </si>
  <si>
    <t>X2079 (AD720K01)</t>
  </si>
  <si>
    <t>SP2</t>
  </si>
  <si>
    <t>Rev. 5-2</t>
  </si>
  <si>
    <t>X1931  R (ED120K0B)</t>
  </si>
  <si>
    <t>X1931  L (ED120K02B)</t>
  </si>
  <si>
    <t>X1930 R (EC120K01F)</t>
  </si>
  <si>
    <t>X1930 L (EC120K02F)</t>
  </si>
  <si>
    <t>EK05 SAMPLE</t>
  </si>
  <si>
    <t>EK05 SA MPLE</t>
  </si>
  <si>
    <t>EK06 SAMPLE</t>
  </si>
  <si>
    <t>X1311(AG81D) Blower - US</t>
  </si>
  <si>
    <t>X1311 (AG91E) Axial Fan - US</t>
  </si>
  <si>
    <t>X1311(AG81D) Blower - China</t>
  </si>
  <si>
    <t>X1311 (AG91E) Axial Fan - China</t>
  </si>
  <si>
    <t>EK07 SAMPLE</t>
  </si>
  <si>
    <t>R40W12BNS1NL9-07Z06 (C2184)</t>
  </si>
  <si>
    <t>Rev. 6-2</t>
  </si>
  <si>
    <t>Microsoft</t>
  </si>
  <si>
    <t>Intel</t>
  </si>
  <si>
    <t xml:space="preserve">Samsung
</t>
  </si>
  <si>
    <t>U92C</t>
  </si>
  <si>
    <t>Samsung</t>
  </si>
  <si>
    <t>DVA-B(F10T-G5)</t>
  </si>
  <si>
    <t>DVA-C(F10T-GA5)</t>
  </si>
  <si>
    <t>R40W12BS1NL9-07T02
(Sedona)</t>
  </si>
  <si>
    <t>R40W12BS5NL9-07T11
(A5R)</t>
  </si>
  <si>
    <t>R40W12BNS1NL9-07TAA41_F (H21/Hanuman) sample</t>
  </si>
  <si>
    <t>R40W12BNS1NL9-07TAA41_F (H21/Hanuman)</t>
  </si>
  <si>
    <t>R40W12BS1NL9-07AA41
(Catherina)</t>
  </si>
  <si>
    <t>R40W12BGNL9-07AA42
(Centipede)</t>
  </si>
  <si>
    <t>Z19W12MS1A5-52K091</t>
  </si>
  <si>
    <t>Z19W12MS1A5-52K09</t>
  </si>
  <si>
    <t>X1249 L (EC020K01)</t>
  </si>
  <si>
    <t>X1249 R (EC020K02)</t>
  </si>
  <si>
    <t>B CO+SPM</t>
  </si>
  <si>
    <t>Zojirushi</t>
  </si>
  <si>
    <t>KYOCERA</t>
  </si>
  <si>
    <t>ROCKWELL</t>
  </si>
  <si>
    <t>NICHICON 
(H.K.)</t>
  </si>
  <si>
    <t>COTE
ENTERPRISES /
BDW TECH</t>
  </si>
  <si>
    <t>COTE 
ENTERPRISES
(HK)</t>
  </si>
  <si>
    <t>FUJIFILM 
BUSINESS EQUIP
SHANGHAI</t>
  </si>
  <si>
    <t>ZHEJIANG 
AISIN ELITE
MACHY &amp; ELECTR</t>
  </si>
  <si>
    <t>LG ELECTRONICS
-GUMI</t>
  </si>
  <si>
    <t>APPOTRONICS</t>
  </si>
  <si>
    <t>YANGZHOU 
G-NOVA
OPTOELECTRONIC</t>
  </si>
  <si>
    <t>API 
KOREA</t>
  </si>
  <si>
    <t>LS ELECTRIC</t>
  </si>
  <si>
    <t>COWAY</t>
  </si>
  <si>
    <t>Mitsubishi</t>
  </si>
  <si>
    <t>Hitachi</t>
  </si>
  <si>
    <t>Twitter/Wiwynn</t>
  </si>
  <si>
    <t>Hyve</t>
  </si>
  <si>
    <t>DJT80RB1DS2-B01J34</t>
  </si>
  <si>
    <t>D05F-24PH 20(EX)</t>
  </si>
  <si>
    <t>M34313-16</t>
  </si>
  <si>
    <t>D06K-24TU 87(AX) F</t>
  </si>
  <si>
    <t>D06T-12PS5 04B(MA)</t>
  </si>
  <si>
    <t>D08K-24TU(AX)</t>
  </si>
  <si>
    <t>D09A-24TS1 07B(EX)</t>
  </si>
  <si>
    <t>W40S12BGA5-51J991</t>
  </si>
  <si>
    <t>W40S12BGA5-58K06</t>
  </si>
  <si>
    <t>T92T12MHA7-53Z996 F</t>
  </si>
  <si>
    <t>T92T12MHA7-53Z992</t>
  </si>
  <si>
    <t>T92T12MMA7-51</t>
  </si>
  <si>
    <t>T80T12MMA7-51</t>
  </si>
  <si>
    <t>G12C24BGAZ-51</t>
  </si>
  <si>
    <t>V35131-51LS</t>
  </si>
  <si>
    <t>G85G24MS1BZ-51K14</t>
  </si>
  <si>
    <t>G85G24MS4AZ-51K14</t>
  </si>
  <si>
    <t>G85G24MS6AZ-51K14</t>
  </si>
  <si>
    <t>D08R-20TH 01B(CX)</t>
  </si>
  <si>
    <t>D08R-20TH 05B(CX)</t>
  </si>
  <si>
    <t>D06K-24TU 92(AX) F</t>
  </si>
  <si>
    <t>U60R18MHAB-51J81</t>
  </si>
  <si>
    <t>D06K-24TU 69B(AX)</t>
  </si>
  <si>
    <t>U12E12BS2J3-57J23</t>
  </si>
  <si>
    <t>U12E12MS2AB3-57J23</t>
  </si>
  <si>
    <t>U12E12MS2AB3-57J231</t>
  </si>
  <si>
    <t>U12E12MS4A3-57J233</t>
  </si>
  <si>
    <t>U12E12BS2H3-57J233</t>
  </si>
  <si>
    <t>V40S12BS4ED5-07T101</t>
  </si>
  <si>
    <t>W40S12BS4EC5-07AA5 NCVH</t>
  </si>
  <si>
    <t>W40S12BS4EC5-07AA52</t>
  </si>
  <si>
    <t>SPM+BCO</t>
  </si>
  <si>
    <t>SPM+ B CO TOTAL</t>
  </si>
  <si>
    <t>X2067 R (ED220K01A)</t>
  </si>
  <si>
    <t>X2067 L (ED220K02A)</t>
  </si>
  <si>
    <t>APRIL 2022</t>
  </si>
  <si>
    <t>MAY 2022</t>
  </si>
  <si>
    <t>JUNE 2022</t>
  </si>
  <si>
    <t>FJ2CJ (2022Y EOL expectation)</t>
  </si>
  <si>
    <t>NVIDIA TOTAL</t>
  </si>
  <si>
    <t>JULY 2022</t>
  </si>
  <si>
    <t>AUG 2022</t>
  </si>
  <si>
    <t>SEPT. 2022</t>
  </si>
  <si>
    <t xml:space="preserve">SP2
</t>
  </si>
  <si>
    <t xml:space="preserve">DCF D09A-12PU 11AH3(K) </t>
  </si>
  <si>
    <t>DCF   D34666-57BUF1_NCFL</t>
  </si>
  <si>
    <t xml:space="preserve">X2298 (AD520K02A) 
* X1844 next model </t>
    <phoneticPr fontId="2"/>
  </si>
  <si>
    <t xml:space="preserve">X2427 (AD520K03) 
 * X1035 next model </t>
    <phoneticPr fontId="2"/>
  </si>
  <si>
    <t xml:space="preserve">X2408 AXIAL FAN  
* X1311 next model </t>
    <phoneticPr fontId="2"/>
  </si>
  <si>
    <t xml:space="preserve">X2408 BLOWER     
* X1311 next model </t>
    <phoneticPr fontId="2"/>
  </si>
  <si>
    <t xml:space="preserve">X1844 (AD520K02)  
 (2022Y EOL expectation) </t>
    <phoneticPr fontId="2"/>
  </si>
  <si>
    <t>X1035 (AD520K01)
 (2022Y EOL expectation)</t>
    <phoneticPr fontId="2"/>
  </si>
  <si>
    <t>X951 (CK16C)    
 (EOL in CQ3)</t>
    <phoneticPr fontId="2"/>
  </si>
  <si>
    <t>X1035 (AD520K01)   
(2022Y EOL expectation)</t>
    <phoneticPr fontId="2"/>
  </si>
  <si>
    <t xml:space="preserve">X1844 (AD520K02)
(2022Y EOL expectation) </t>
    <phoneticPr fontId="2"/>
  </si>
  <si>
    <t xml:space="preserve">X2298 (AD520K02A) 
* X1844 next model </t>
    <phoneticPr fontId="2"/>
  </si>
  <si>
    <t xml:space="preserve">X2427 (AD520K03)  
* X1035 next model </t>
    <phoneticPr fontId="2"/>
  </si>
  <si>
    <t xml:space="preserve">X2408 BLOWER     
* X1311 next model </t>
    <phoneticPr fontId="2"/>
  </si>
  <si>
    <t>V60E12BS2D3-07A257 
(ARCADIA)</t>
    <phoneticPr fontId="2"/>
  </si>
  <si>
    <t>DIORITE 
(EC429K01A)</t>
    <phoneticPr fontId="2"/>
  </si>
  <si>
    <t>V60E12BS2D3-07A258 
(INDUS)</t>
    <phoneticPr fontId="2"/>
  </si>
  <si>
    <t>V80T12BS1B3-07A25 
(RACKBACK)</t>
    <phoneticPr fontId="2"/>
  </si>
  <si>
    <t>V80T12BS1B3-07A25A1
(RACKBACK2)</t>
    <phoneticPr fontId="2"/>
  </si>
  <si>
    <t>R40W12BS1NL9-07T11 
(C19/Ventus)</t>
    <phoneticPr fontId="2"/>
  </si>
  <si>
    <t>R40W12BS1NL9-07AA41
(EVERGLADES/Catherina)</t>
    <phoneticPr fontId="2"/>
  </si>
  <si>
    <t>R40W12BS1NL9-07AA41_F 
(H21/Hanuman)</t>
    <phoneticPr fontId="2"/>
  </si>
  <si>
    <t>R40W12BS1NM9-07T10 
(Trinity1U)</t>
    <phoneticPr fontId="2"/>
  </si>
  <si>
    <t xml:space="preserve">X1311(AG81D) Blower-China 
(2023Y EOL expectation) </t>
  </si>
  <si>
    <t xml:space="preserve">X1311 (AG91E) Axial Fan-China 
(2023Y EOL expectation) </t>
  </si>
  <si>
    <t xml:space="preserve">X1311(AG81D) Blower-US 
(2023Y EOL expectation) </t>
  </si>
  <si>
    <t xml:space="preserve">X1311 (AG91E) Axial Fan-US 
(2023Y EOL expectation) </t>
  </si>
  <si>
    <t>X2079 (AD720K01) (EOL March 2023)</t>
  </si>
  <si>
    <t xml:space="preserve">NCFL PRODUCTION MONTHLY PLANNING (SALES) </t>
  </si>
  <si>
    <t>X2079 BRG RHS (CW)</t>
  </si>
  <si>
    <t>X2079 BRG LHS (CCW)</t>
  </si>
  <si>
    <t>X2079 BRG</t>
  </si>
  <si>
    <t>Rev. 5-3</t>
  </si>
  <si>
    <t>X2745 (AD720K02)
* X2079 next model</t>
  </si>
  <si>
    <t>OCT. 2022</t>
  </si>
  <si>
    <t>NOV. 2022</t>
  </si>
  <si>
    <t>DEC. 2022</t>
  </si>
  <si>
    <t>X2639 (JK11)</t>
  </si>
  <si>
    <t>DCF   R40W12BS1NL9-07A97_NCFL
(C19) (WITH FINGERGUARD)</t>
  </si>
  <si>
    <t>Rev. 6-3</t>
  </si>
  <si>
    <t>Rev. 7-1</t>
  </si>
  <si>
    <t>Rev. 7-2</t>
  </si>
  <si>
    <t>Rev. 7-4</t>
  </si>
  <si>
    <t>Rev. 7-4 vs Rev. 8-1</t>
  </si>
  <si>
    <t>Rev. 8-1</t>
  </si>
  <si>
    <t>= revised</t>
  </si>
  <si>
    <t>22 days</t>
  </si>
  <si>
    <t>20 days</t>
  </si>
  <si>
    <t>25 days</t>
  </si>
  <si>
    <t>27 days</t>
  </si>
  <si>
    <t>23 days</t>
  </si>
  <si>
    <t>26 days</t>
  </si>
  <si>
    <t>19 days</t>
  </si>
  <si>
    <t>24 days</t>
  </si>
  <si>
    <t>2021</t>
  </si>
  <si>
    <t>MAY 19</t>
  </si>
  <si>
    <t>JUNE 19</t>
  </si>
  <si>
    <t>JULY 19</t>
  </si>
  <si>
    <t>AUG 19</t>
  </si>
  <si>
    <t>SEPT 19</t>
  </si>
  <si>
    <t>OCT 19</t>
  </si>
  <si>
    <t>NOV 19</t>
  </si>
  <si>
    <t>DEC 19</t>
  </si>
  <si>
    <t>JAN 20</t>
  </si>
  <si>
    <t>FEB 20</t>
  </si>
  <si>
    <t>MAR 20</t>
  </si>
  <si>
    <t>APR 20</t>
  </si>
  <si>
    <t>MAY 20</t>
  </si>
  <si>
    <t>JUNE 20</t>
  </si>
  <si>
    <t>JULY 20</t>
  </si>
  <si>
    <t>AUG 20</t>
  </si>
  <si>
    <t>SEPT 20</t>
  </si>
  <si>
    <t>OCT 20</t>
  </si>
  <si>
    <t>NOV 20</t>
  </si>
  <si>
    <t>DEC 20</t>
  </si>
  <si>
    <t>JAN 21</t>
  </si>
  <si>
    <t>FEB 21</t>
  </si>
  <si>
    <t>MAR 21</t>
  </si>
  <si>
    <t>APR 21</t>
  </si>
  <si>
    <t>MAY 21</t>
  </si>
  <si>
    <t>JUN 21</t>
  </si>
  <si>
    <t>JUL 21</t>
  </si>
  <si>
    <t>AUG 21</t>
  </si>
  <si>
    <t>SEP 21</t>
  </si>
  <si>
    <t>SEPT.</t>
  </si>
  <si>
    <t xml:space="preserve"> </t>
    <phoneticPr fontId="2"/>
  </si>
  <si>
    <t>OCT 21</t>
    <phoneticPr fontId="2"/>
  </si>
  <si>
    <t xml:space="preserve"> </t>
    <phoneticPr fontId="2"/>
  </si>
  <si>
    <t>NOV 21</t>
    <phoneticPr fontId="2"/>
  </si>
  <si>
    <t>DEC 21</t>
    <phoneticPr fontId="2"/>
  </si>
  <si>
    <t>JAN 22</t>
  </si>
  <si>
    <t>FEB 22</t>
  </si>
  <si>
    <t>MAR 22</t>
  </si>
  <si>
    <t>APR 22</t>
  </si>
  <si>
    <t>MAY 22</t>
  </si>
  <si>
    <t>JUN 22</t>
  </si>
  <si>
    <t>JUL 22</t>
  </si>
  <si>
    <t>AUG 22</t>
  </si>
  <si>
    <t>SEP 22</t>
  </si>
  <si>
    <t>OCT 22</t>
  </si>
  <si>
    <t>NOV 22</t>
  </si>
  <si>
    <t>DEC 22</t>
  </si>
  <si>
    <t>INVTY</t>
  </si>
  <si>
    <t>PRODN.</t>
  </si>
  <si>
    <t>TSB TOTAL</t>
  </si>
  <si>
    <t>L00064535</t>
  </si>
  <si>
    <t>RWD 1D R3 (CA2 MOLD ) (RHC)</t>
  </si>
  <si>
    <t>RWD 1D R3 (Sb-NaOH - Prime)</t>
  </si>
  <si>
    <t xml:space="preserve">RWD 7MM 1D R3 </t>
  </si>
  <si>
    <t>RWD 1D R3.5 (+MOSFET)  NO RAMP</t>
  </si>
  <si>
    <t>RWD 2D D2 (Mosfet)</t>
  </si>
  <si>
    <t>RWD 2D D2  (No ramp)</t>
  </si>
  <si>
    <t>RWD 2D D2  (RHC+Pop up)</t>
  </si>
  <si>
    <t>RWD 2D D2   (Pop up)</t>
  </si>
  <si>
    <t>L00030019</t>
  </si>
  <si>
    <t xml:space="preserve"> </t>
    <phoneticPr fontId="2"/>
  </si>
  <si>
    <t xml:space="preserve">Seagate HOLD MOTOR TOTAL </t>
    <phoneticPr fontId="2"/>
  </si>
  <si>
    <t>TYC  (SAE)</t>
  </si>
  <si>
    <t>18 days</t>
  </si>
  <si>
    <t>X1781 (CC05)  70%</t>
    <phoneticPr fontId="2"/>
  </si>
  <si>
    <t>X1766 (CC06) **EOL</t>
  </si>
  <si>
    <t>X1413 R (CC07) **EOL</t>
  </si>
  <si>
    <t>X1413 L (CC08) **EOL</t>
  </si>
  <si>
    <t xml:space="preserve"> </t>
  </si>
  <si>
    <t>100498774</t>
  </si>
  <si>
    <t>X1780 (EB01B) 60%</t>
    <phoneticPr fontId="2"/>
  </si>
  <si>
    <t>100498776</t>
  </si>
  <si>
    <t>X1780 (EB02B) 60%</t>
    <phoneticPr fontId="2"/>
  </si>
  <si>
    <t xml:space="preserve">X1930 R / X2465  (EC120K01F) 40% </t>
  </si>
  <si>
    <t xml:space="preserve">X1930 L / X2465 (EC120K02F) 40%   </t>
  </si>
  <si>
    <t xml:space="preserve">X1931 R / X2294 R (ED120K01B) 70%  </t>
  </si>
  <si>
    <t xml:space="preserve">X1931 L / X2294 L (ED120K02B) 70%  </t>
  </si>
  <si>
    <t>X1181 R (CK13) **EOL</t>
  </si>
  <si>
    <t>X1181 L (CK14C) **EOL</t>
  </si>
  <si>
    <t>X951 (CK16C) (EOL in Sept 2022)</t>
  </si>
  <si>
    <t>X968 R (CK17C) **EOL</t>
  </si>
  <si>
    <t>X968 L (CK18C) **EOL</t>
  </si>
  <si>
    <t>X1035 (AD520K01) (2022Y EOL expectation)</t>
  </si>
  <si>
    <t xml:space="preserve">X1844 (AD520K02) (2022Y EOL expectation) </t>
  </si>
  <si>
    <t>100586882</t>
  </si>
  <si>
    <t xml:space="preserve">X2408 AXIAL FAN  
* X1311 next model </t>
    <phoneticPr fontId="2"/>
  </si>
  <si>
    <t xml:space="preserve">X2408 BLOWER     
* X1311 next model </t>
    <phoneticPr fontId="2"/>
  </si>
  <si>
    <t>L00128271</t>
  </si>
  <si>
    <t xml:space="preserve">X1311(AG81D) Blower-China 
(2023Y EOL expectation) </t>
    <phoneticPr fontId="2"/>
  </si>
  <si>
    <t xml:space="preserve">X1311 (AG91E) Axial Fan-China 
(2023Y EOL expectation) </t>
    <phoneticPr fontId="2"/>
  </si>
  <si>
    <t xml:space="preserve">X1311(AG81D) Blower-US 
(2023Y EOL expectation) </t>
    <phoneticPr fontId="2"/>
  </si>
  <si>
    <t xml:space="preserve">X1311 (AG91E) Axial Fan-US 
(2023Y EOL expectation) </t>
    <phoneticPr fontId="2"/>
  </si>
  <si>
    <t>100492219</t>
  </si>
  <si>
    <t>X1323 R (AE31C)</t>
  </si>
  <si>
    <t>100492218</t>
  </si>
  <si>
    <t>X1323 L (AE32C)</t>
  </si>
  <si>
    <t>L00128272</t>
  </si>
  <si>
    <t>L00128273</t>
  </si>
  <si>
    <t>100388202</t>
  </si>
  <si>
    <t>J90 (AK01C) **EOL</t>
  </si>
  <si>
    <t xml:space="preserve">UFF TOTAL Mass Pro model Total </t>
    <phoneticPr fontId="2"/>
  </si>
  <si>
    <t xml:space="preserve">EOL MODEL INVENTORY </t>
    <phoneticPr fontId="2"/>
  </si>
  <si>
    <t>OCT 21</t>
    <phoneticPr fontId="2"/>
  </si>
  <si>
    <t>NOV 21</t>
    <phoneticPr fontId="2"/>
  </si>
  <si>
    <t xml:space="preserve"> </t>
    <phoneticPr fontId="2"/>
  </si>
  <si>
    <t>DEC 21</t>
    <phoneticPr fontId="2"/>
  </si>
  <si>
    <t xml:space="preserve">X395 (JK05) ( apply to X1781)   </t>
    <phoneticPr fontId="2"/>
  </si>
  <si>
    <t>X1743, X1744 (JK10) (apply to X1930/31)</t>
    <phoneticPr fontId="2"/>
  </si>
  <si>
    <t>L00127601</t>
  </si>
  <si>
    <t>EK05 (SAMPLE)</t>
  </si>
  <si>
    <t>B CO CBD</t>
  </si>
  <si>
    <t>BRG TOTAL</t>
  </si>
  <si>
    <t>DIORITE 
(EC429K01A)</t>
    <phoneticPr fontId="2"/>
  </si>
  <si>
    <t>V80T12BS1B3-07A25 
(RACKBACK)</t>
    <phoneticPr fontId="2"/>
  </si>
  <si>
    <t>R40W12BS1NL9-07T11 
(C19/Ventus)</t>
    <phoneticPr fontId="2"/>
  </si>
  <si>
    <t>R40W12BS1NL9-07AA41 
(C21/EVERGLADES/Catherina)</t>
  </si>
  <si>
    <t>R40W12BS1NL9-07AA41_F 
(H21/Hanuman)</t>
    <phoneticPr fontId="2"/>
  </si>
  <si>
    <t>R40W12BS1NM9-07T10 
(Trinity1U)</t>
    <phoneticPr fontId="2"/>
  </si>
  <si>
    <t xml:space="preserve">G TOTAL EXCLUDED HOLD Motor </t>
    <phoneticPr fontId="2"/>
  </si>
  <si>
    <t xml:space="preserve">G TOTAL (Included Hold motor) </t>
    <phoneticPr fontId="2"/>
  </si>
  <si>
    <t>ROSEWOOD</t>
  </si>
  <si>
    <t>M11P</t>
  </si>
  <si>
    <r>
      <t xml:space="preserve">NCFL PRODUCTION MONTHLY PLANNING </t>
    </r>
    <r>
      <rPr>
        <b/>
        <sz val="11"/>
        <color rgb="FFFF0000"/>
        <rFont val="Meiryo UI"/>
        <family val="3"/>
        <charset val="128"/>
      </rPr>
      <t xml:space="preserve">(PRODN) </t>
    </r>
  </si>
  <si>
    <t xml:space="preserve">SPS-2
</t>
    <phoneticPr fontId="2"/>
  </si>
  <si>
    <t>X2745 (AD720K02)
* X2079 next model</t>
    <phoneticPr fontId="2"/>
  </si>
  <si>
    <t>X2079 (AD720K01) 
(EOL March 2023)</t>
    <phoneticPr fontId="2"/>
  </si>
  <si>
    <t>R40W12BS1NL9-07AA41 
(EVERGLADES/Catherina)</t>
    <phoneticPr fontId="2"/>
  </si>
  <si>
    <t>R40W12BS1NL9-07AA41_F 
(H21/Hanuman)</t>
    <phoneticPr fontId="2"/>
  </si>
  <si>
    <t>R40W12BS1NM9-07T10 
(Trinity1U)</t>
    <phoneticPr fontId="2"/>
  </si>
  <si>
    <t>R40W12BS1NL9-07T11 
(C19/Ventus)</t>
    <phoneticPr fontId="2"/>
  </si>
  <si>
    <t>V80T12BS1B3-07A25A1
(RACKBACK2)</t>
    <phoneticPr fontId="2"/>
  </si>
  <si>
    <t>V80T12BS1B3-07A25 
(RACKBACK)</t>
    <phoneticPr fontId="2"/>
  </si>
  <si>
    <t>V60E12BS2D3-07A258 
(INDUS)</t>
    <phoneticPr fontId="2"/>
  </si>
  <si>
    <t>V60E12BS2D3-07A257 
(ARCADIA)</t>
    <phoneticPr fontId="2"/>
  </si>
  <si>
    <t>DIORITE 
(EC429K01A)</t>
    <phoneticPr fontId="2"/>
  </si>
  <si>
    <t>SPS-2 TOTAL</t>
    <phoneticPr fontId="2"/>
  </si>
  <si>
    <t>SPS-2 TOTAL</t>
    <phoneticPr fontId="2"/>
  </si>
  <si>
    <t>SPS-2</t>
    <phoneticPr fontId="2"/>
  </si>
  <si>
    <t>SPS-2</t>
    <phoneticPr fontId="2"/>
  </si>
  <si>
    <t>SPS-2</t>
    <phoneticPr fontId="2"/>
  </si>
  <si>
    <t>JAN 23</t>
  </si>
  <si>
    <t>FEB 23</t>
  </si>
  <si>
    <t>MAR 23</t>
  </si>
  <si>
    <t>V80T12BS1B3-07A25A1
(RACKBACK2)</t>
  </si>
  <si>
    <t>L00134207</t>
  </si>
  <si>
    <t xml:space="preserve">X2427 (AD520K03)  
* X1035 next model </t>
  </si>
  <si>
    <t>SEP</t>
    <phoneticPr fontId="2"/>
  </si>
  <si>
    <t>DEC</t>
    <phoneticPr fontId="2"/>
  </si>
  <si>
    <t>MAR</t>
    <phoneticPr fontId="2"/>
  </si>
  <si>
    <t>X2674 R (EC120K01G)
*X1930 next model</t>
  </si>
  <si>
    <t>X2674 L (EC120K02G)
*X1930 next model</t>
  </si>
  <si>
    <t>X2676 R (ED120K01C)
*X1931 next model</t>
  </si>
  <si>
    <t>X2676 L (ED120K02C)
*X1931 next model</t>
  </si>
  <si>
    <t>EK07B</t>
  </si>
  <si>
    <t>EK08B</t>
  </si>
  <si>
    <t>L00137119</t>
  </si>
  <si>
    <t>L00137120</t>
  </si>
  <si>
    <t>L00137190</t>
  </si>
  <si>
    <t>L00137191</t>
  </si>
  <si>
    <t>APR 23</t>
  </si>
  <si>
    <t>MAY 23</t>
  </si>
  <si>
    <t>JUN 23</t>
  </si>
  <si>
    <t>V60E12BS2D3-07A258 
(INDUS)</t>
  </si>
  <si>
    <t>V60E12BS2D3-07A257 
(ARCADIA)</t>
  </si>
  <si>
    <t>V60E12BS2D3-07A257_NCFL AT</t>
  </si>
  <si>
    <t>X3049 
* X2745 next model</t>
  </si>
  <si>
    <r>
      <t>X2079 PRQ  (AD720K0</t>
    </r>
    <r>
      <rPr>
        <b/>
        <sz val="12"/>
        <color rgb="FF0070C0"/>
        <rFont val="Meiryo UI"/>
        <family val="2"/>
      </rPr>
      <t>3</t>
    </r>
    <r>
      <rPr>
        <b/>
        <sz val="12"/>
        <rFont val="Meiryo UI"/>
        <family val="2"/>
      </rPr>
      <t>) (minor change)</t>
    </r>
  </si>
  <si>
    <t>Rev. 1-1  January 04, 2023</t>
  </si>
  <si>
    <t xml:space="preserve">X2745 (AD720K02)
* X2079 next model MP </t>
  </si>
  <si>
    <t>C17H54BS1ME-07A25A1
(Endurance)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</si>
</sst>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43" formatCode="_-* #,##0.00_-;\-* #,##0.00_-;_-* &quot;-&quot;??_-;_-@_-"/>
    <numFmt numFmtId="164" formatCode="_(* #,##0_);_(* \(#,##0\);_(* &quot;-&quot;_);_(@_)"/>
    <numFmt numFmtId="165" formatCode="_(&quot;$&quot;* #,##0.00_);_(&quot;$&quot;* \(#,##0.00\);_(&quot;$&quot;* &quot;-&quot;??_);_(@_)"/>
    <numFmt numFmtId="166" formatCode="#,##0.0_);[Red]\(#,##0.0\)"/>
    <numFmt numFmtId="167" formatCode="0.0_ "/>
    <numFmt numFmtId="168" formatCode="#,##0_ ;[Red]\-#,##0\ "/>
    <numFmt numFmtId="169" formatCode="_-* #,##0_-;\-* #,##0_-;_-* &quot;-&quot;??_-;_-@_-"/>
    <numFmt numFmtId="170" formatCode="#,##0.0_ ;[Red]\-#,##0.0\ "/>
    <numFmt numFmtId="171" formatCode="0_);[Red]\(0\)"/>
    <numFmt numFmtId="172" formatCode="#,##0.00_ ;[Red]\-#,##0.00\ "/>
    <numFmt numFmtId="173" formatCode="#,##0.00;[Red]#,##0.00"/>
    <numFmt numFmtId="174" formatCode="_(* #,##0.0_);_(* \(#,##0.0\);_(* &quot;-&quot;_);_(@_)"/>
    <numFmt numFmtId="175" formatCode="#,##0.000_ ;[Red]\-#,##0.000\ "/>
    <numFmt numFmtId="176" formatCode="0.0_);[Red]\(0.0\)"/>
    <numFmt numFmtId="177" formatCode="#,##0.000_);[Red]\(#,##0.000\)"/>
    <numFmt numFmtId="178" formatCode="#,##0.0;[Red]\-#,##0.0"/>
  </numFmts>
  <fonts count="25">
    <font>
      <sz val="8"/>
      <name val="Trebuchet MS"/>
      <family val="2"/>
    </font>
    <font>
      <sz val="8"/>
      <name val="Trebuchet MS"/>
      <family val="2"/>
    </font>
    <font>
      <sz val="6"/>
      <name val="ＭＳ Ｐゴシック"/>
      <family val="3"/>
      <charset val="128"/>
    </font>
    <font>
      <b/>
      <sz val="8"/>
      <name val="Trebuchet MS"/>
      <family val="2"/>
    </font>
    <font>
      <sz val="9"/>
      <name val="Trebuchet MS"/>
      <family val="2"/>
    </font>
    <font>
      <sz val="8"/>
      <color theme="0"/>
      <name val="Trebuchet MS"/>
      <family val="2"/>
    </font>
    <font>
      <b/>
      <sz val="12"/>
      <name val="Meiryo UI"/>
      <family val="2"/>
    </font>
    <font>
      <b/>
      <sz val="14"/>
      <name val="Meiryo UI"/>
      <family val="2"/>
    </font>
    <font>
      <b/>
      <sz val="12"/>
      <color theme="1"/>
      <name val="Meiryo UI"/>
      <family val="2"/>
    </font>
    <font>
      <b/>
      <sz val="13"/>
      <name val="Meiryo UI"/>
      <family val="2"/>
    </font>
    <font>
      <b/>
      <sz val="12"/>
      <color rgb="FFFF0000"/>
      <name val="Meiryo UI"/>
      <family val="2"/>
    </font>
    <font>
      <b/>
      <sz val="14"/>
      <color theme="1"/>
      <name val="Meiryo UI"/>
      <family val="2"/>
    </font>
    <font>
      <b/>
      <sz val="12"/>
      <color rgb="FF1903BD"/>
      <name val="Meiryo UI"/>
      <family val="2"/>
    </font>
    <font>
      <b/>
      <sz val="15"/>
      <name val="Meiryo UI"/>
      <family val="2"/>
    </font>
    <font>
      <b/>
      <sz val="12"/>
      <color theme="0"/>
      <name val="Meiryo UI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Meiryo UI"/>
      <family val="3"/>
      <charset val="128"/>
    </font>
    <font>
      <b/>
      <sz val="11"/>
      <color rgb="FFFF000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2"/>
      <color rgb="FF0070C0"/>
      <name val="Meiryo UI"/>
      <family val="2"/>
    </font>
    <font>
      <b/>
      <sz val="12"/>
      <color indexed="81"/>
      <name val="Tahoma"/>
      <family val="2"/>
    </font>
    <font>
      <b/>
      <sz val="8"/>
      <name val="Meiryo UI"/>
      <family val="2"/>
    </font>
    <font>
      <b/>
      <u/>
      <sz val="12"/>
      <name val="Meiryo UI"/>
      <family val="2"/>
    </font>
    <font>
      <b/>
      <u/>
      <sz val="12"/>
      <color theme="1"/>
      <name val="Meiryo UI"/>
      <family val="2"/>
    </font>
  </fonts>
  <fills count="2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7997070223090304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6" tint="0.79998168889431442"/>
        <bgColor indexed="64"/>
      </patternFill>
    </fill>
  </fills>
  <borders count="10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dotted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/>
      <diagonal/>
    </border>
    <border>
      <left style="medium">
        <color indexed="64"/>
      </left>
      <right style="thin">
        <color auto="1"/>
      </right>
      <top style="hair">
        <color auto="1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842">
    <xf numFmtId="0" fontId="0" fillId="0" borderId="0" xfId="0"/>
    <xf numFmtId="169" fontId="0" fillId="0" borderId="0" xfId="3" applyNumberFormat="1" applyFont="1"/>
    <xf numFmtId="0" fontId="0" fillId="0" borderId="0" xfId="0" applyAlignment="1">
      <alignment horizontal="center"/>
    </xf>
    <xf numFmtId="169" fontId="4" fillId="0" borderId="68" xfId="3" applyNumberFormat="1" applyFont="1" applyBorder="1"/>
    <xf numFmtId="169" fontId="4" fillId="0" borderId="0" xfId="3" applyNumberFormat="1" applyFont="1"/>
    <xf numFmtId="0" fontId="5" fillId="0" borderId="0" xfId="0" applyFont="1"/>
    <xf numFmtId="0" fontId="0" fillId="0" borderId="0" xfId="0" applyFont="1"/>
    <xf numFmtId="169" fontId="4" fillId="0" borderId="6" xfId="3" applyNumberFormat="1" applyFont="1" applyBorder="1"/>
    <xf numFmtId="17" fontId="3" fillId="0" borderId="0" xfId="0" applyNumberFormat="1" applyFont="1" applyBorder="1" applyAlignment="1">
      <alignment horizontal="center"/>
    </xf>
    <xf numFmtId="169" fontId="4" fillId="0" borderId="0" xfId="3" applyNumberFormat="1" applyFont="1" applyBorder="1"/>
    <xf numFmtId="169" fontId="3" fillId="0" borderId="0" xfId="3" applyNumberFormat="1" applyFont="1" applyBorder="1"/>
    <xf numFmtId="168" fontId="4" fillId="0" borderId="68" xfId="3" applyNumberFormat="1" applyFont="1" applyBorder="1"/>
    <xf numFmtId="17" fontId="3" fillId="12" borderId="68" xfId="0" applyNumberFormat="1" applyFont="1" applyFill="1" applyBorder="1" applyAlignment="1">
      <alignment horizontal="center"/>
    </xf>
    <xf numFmtId="169" fontId="3" fillId="12" borderId="11" xfId="3" applyNumberFormat="1" applyFont="1" applyFill="1" applyBorder="1"/>
    <xf numFmtId="169" fontId="3" fillId="12" borderId="14" xfId="3" applyNumberFormat="1" applyFont="1" applyFill="1" applyBorder="1"/>
    <xf numFmtId="0" fontId="4" fillId="12" borderId="68" xfId="0" applyFont="1" applyFill="1" applyBorder="1"/>
    <xf numFmtId="168" fontId="3" fillId="12" borderId="14" xfId="3" applyNumberFormat="1" applyFont="1" applyFill="1" applyBorder="1"/>
    <xf numFmtId="0" fontId="4" fillId="12" borderId="76" xfId="0" applyFont="1" applyFill="1" applyBorder="1"/>
    <xf numFmtId="169" fontId="0" fillId="0" borderId="0" xfId="0" applyNumberFormat="1"/>
    <xf numFmtId="0" fontId="6" fillId="0" borderId="0" xfId="0" applyFont="1" applyAlignment="1">
      <alignment vertical="center"/>
    </xf>
    <xf numFmtId="0" fontId="6" fillId="0" borderId="0" xfId="0" applyFont="1" applyFill="1" applyAlignment="1">
      <alignment vertical="center"/>
    </xf>
    <xf numFmtId="170" fontId="6" fillId="0" borderId="0" xfId="0" applyNumberFormat="1" applyFont="1" applyAlignment="1">
      <alignment vertical="center"/>
    </xf>
    <xf numFmtId="0" fontId="6" fillId="0" borderId="0" xfId="0" quotePrefix="1" applyFont="1" applyAlignment="1">
      <alignment vertical="center"/>
    </xf>
    <xf numFmtId="166" fontId="6" fillId="0" borderId="0" xfId="0" quotePrefix="1" applyNumberFormat="1" applyFont="1" applyFill="1" applyAlignment="1">
      <alignment vertical="center"/>
    </xf>
    <xf numFmtId="0" fontId="6" fillId="0" borderId="0" xfId="0" quotePrefix="1" applyFont="1" applyFill="1" applyAlignment="1">
      <alignment horizontal="left" vertical="center"/>
    </xf>
    <xf numFmtId="0" fontId="6" fillId="6" borderId="0" xfId="0" applyFont="1" applyFill="1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65" xfId="2" quotePrefix="1" applyNumberFormat="1" applyFont="1" applyFill="1" applyBorder="1" applyAlignment="1">
      <alignment horizontal="center" vertical="center"/>
    </xf>
    <xf numFmtId="0" fontId="7" fillId="0" borderId="65" xfId="2" quotePrefix="1" applyNumberFormat="1" applyFont="1" applyFill="1" applyBorder="1" applyAlignment="1">
      <alignment horizontal="center" vertical="center"/>
    </xf>
    <xf numFmtId="0" fontId="7" fillId="0" borderId="3" xfId="2" applyNumberFormat="1" applyFont="1" applyFill="1" applyBorder="1" applyAlignment="1">
      <alignment horizontal="center" vertical="center"/>
    </xf>
    <xf numFmtId="16" fontId="6" fillId="0" borderId="4" xfId="2" quotePrefix="1" applyNumberFormat="1" applyFont="1" applyFill="1" applyBorder="1" applyAlignment="1">
      <alignment horizontal="center" vertical="center"/>
    </xf>
    <xf numFmtId="0" fontId="6" fillId="0" borderId="3" xfId="2" quotePrefix="1" applyNumberFormat="1" applyFont="1" applyFill="1" applyBorder="1" applyAlignment="1">
      <alignment horizontal="center" vertical="center"/>
    </xf>
    <xf numFmtId="16" fontId="6" fillId="0" borderId="4" xfId="2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center"/>
    </xf>
    <xf numFmtId="49" fontId="6" fillId="2" borderId="8" xfId="0" applyNumberFormat="1" applyFont="1" applyFill="1" applyBorder="1" applyAlignment="1">
      <alignment horizontal="center" vertical="center"/>
    </xf>
    <xf numFmtId="49" fontId="6" fillId="13" borderId="8" xfId="0" applyNumberFormat="1" applyFont="1" applyFill="1" applyBorder="1" applyAlignment="1">
      <alignment horizontal="center" vertical="center"/>
    </xf>
    <xf numFmtId="49" fontId="7" fillId="2" borderId="64" xfId="0" quotePrefix="1" applyNumberFormat="1" applyFont="1" applyFill="1" applyBorder="1" applyAlignment="1">
      <alignment horizontal="center" vertical="center"/>
    </xf>
    <xf numFmtId="49" fontId="7" fillId="2" borderId="8" xfId="0" quotePrefix="1" applyNumberFormat="1" applyFont="1" applyFill="1" applyBorder="1" applyAlignment="1">
      <alignment horizontal="center" vertical="center"/>
    </xf>
    <xf numFmtId="49" fontId="6" fillId="2" borderId="84" xfId="0" quotePrefix="1" applyNumberFormat="1" applyFont="1" applyFill="1" applyBorder="1" applyAlignment="1">
      <alignment horizontal="center" vertical="top"/>
    </xf>
    <xf numFmtId="49" fontId="6" fillId="2" borderId="64" xfId="0" applyNumberFormat="1" applyFont="1" applyFill="1" applyBorder="1" applyAlignment="1">
      <alignment horizontal="center" vertical="center"/>
    </xf>
    <xf numFmtId="49" fontId="6" fillId="2" borderId="9" xfId="0" applyNumberFormat="1" applyFont="1" applyFill="1" applyBorder="1" applyAlignment="1">
      <alignment horizontal="center" vertical="top"/>
    </xf>
    <xf numFmtId="49" fontId="6" fillId="13" borderId="9" xfId="0" applyNumberFormat="1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13" borderId="14" xfId="0" applyFont="1" applyFill="1" applyBorder="1" applyAlignment="1">
      <alignment horizontal="center" vertical="center"/>
    </xf>
    <xf numFmtId="0" fontId="6" fillId="2" borderId="85" xfId="0" applyFont="1" applyFill="1" applyBorder="1" applyAlignment="1">
      <alignment horizontal="center" vertical="center"/>
    </xf>
    <xf numFmtId="0" fontId="6" fillId="2" borderId="86" xfId="0" applyFont="1" applyFill="1" applyBorder="1" applyAlignment="1">
      <alignment horizontal="center" vertical="center"/>
    </xf>
    <xf numFmtId="0" fontId="7" fillId="2" borderId="85" xfId="0" applyFont="1" applyFill="1" applyBorder="1" applyAlignment="1">
      <alignment horizontal="center" vertical="center"/>
    </xf>
    <xf numFmtId="0" fontId="7" fillId="13" borderId="14" xfId="0" applyFont="1" applyFill="1" applyBorder="1" applyAlignment="1">
      <alignment horizontal="center" vertical="center"/>
    </xf>
    <xf numFmtId="0" fontId="6" fillId="13" borderId="15" xfId="0" applyFont="1" applyFill="1" applyBorder="1" applyAlignment="1">
      <alignment horizontal="center" vertical="center"/>
    </xf>
    <xf numFmtId="0" fontId="6" fillId="0" borderId="16" xfId="0" applyFont="1" applyFill="1" applyBorder="1" applyAlignment="1">
      <alignment vertical="center"/>
    </xf>
    <xf numFmtId="0" fontId="6" fillId="0" borderId="0" xfId="0" applyFont="1" applyFill="1" applyBorder="1" applyAlignment="1">
      <alignment vertical="center"/>
    </xf>
    <xf numFmtId="0" fontId="6" fillId="0" borderId="50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vertical="center"/>
    </xf>
    <xf numFmtId="170" fontId="6" fillId="0" borderId="20" xfId="0" applyNumberFormat="1" applyFont="1" applyFill="1" applyBorder="1" applyAlignment="1">
      <alignment vertical="center"/>
    </xf>
    <xf numFmtId="170" fontId="6" fillId="0" borderId="18" xfId="0" applyNumberFormat="1" applyFont="1" applyFill="1" applyBorder="1" applyAlignment="1">
      <alignment vertical="center"/>
    </xf>
    <xf numFmtId="170" fontId="6" fillId="0" borderId="19" xfId="0" applyNumberFormat="1" applyFont="1" applyFill="1" applyBorder="1" applyAlignment="1">
      <alignment vertical="center"/>
    </xf>
    <xf numFmtId="170" fontId="6" fillId="5" borderId="20" xfId="0" applyNumberFormat="1" applyFont="1" applyFill="1" applyBorder="1" applyAlignment="1">
      <alignment vertical="center"/>
    </xf>
    <xf numFmtId="170" fontId="6" fillId="5" borderId="18" xfId="0" applyNumberFormat="1" applyFont="1" applyFill="1" applyBorder="1" applyAlignment="1">
      <alignment vertical="center"/>
    </xf>
    <xf numFmtId="170" fontId="6" fillId="5" borderId="19" xfId="0" applyNumberFormat="1" applyFont="1" applyFill="1" applyBorder="1" applyAlignment="1">
      <alignment vertical="center"/>
    </xf>
    <xf numFmtId="170" fontId="6" fillId="0" borderId="50" xfId="0" applyNumberFormat="1" applyFont="1" applyFill="1" applyBorder="1" applyAlignment="1">
      <alignment vertical="center"/>
    </xf>
    <xf numFmtId="170" fontId="7" fillId="0" borderId="87" xfId="0" applyNumberFormat="1" applyFont="1" applyFill="1" applyBorder="1" applyAlignment="1">
      <alignment vertical="center"/>
    </xf>
    <xf numFmtId="170" fontId="7" fillId="0" borderId="19" xfId="0" applyNumberFormat="1" applyFont="1" applyFill="1" applyBorder="1" applyAlignment="1">
      <alignment vertical="center"/>
    </xf>
    <xf numFmtId="170" fontId="6" fillId="5" borderId="50" xfId="0" applyNumberFormat="1" applyFont="1" applyFill="1" applyBorder="1" applyAlignment="1">
      <alignment vertical="center"/>
    </xf>
    <xf numFmtId="170" fontId="6" fillId="5" borderId="87" xfId="0" applyNumberFormat="1" applyFont="1" applyFill="1" applyBorder="1" applyAlignment="1">
      <alignment vertical="center"/>
    </xf>
    <xf numFmtId="0" fontId="6" fillId="3" borderId="5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vertical="center"/>
    </xf>
    <xf numFmtId="0" fontId="6" fillId="0" borderId="26" xfId="0" applyFont="1" applyFill="1" applyBorder="1" applyAlignment="1">
      <alignment horizontal="center" vertical="center"/>
    </xf>
    <xf numFmtId="170" fontId="6" fillId="6" borderId="20" xfId="0" applyNumberFormat="1" applyFont="1" applyFill="1" applyBorder="1" applyAlignment="1">
      <alignment vertical="center"/>
    </xf>
    <xf numFmtId="170" fontId="6" fillId="6" borderId="18" xfId="0" applyNumberFormat="1" applyFont="1" applyFill="1" applyBorder="1" applyAlignment="1">
      <alignment vertical="center"/>
    </xf>
    <xf numFmtId="170" fontId="6" fillId="6" borderId="19" xfId="0" applyNumberFormat="1" applyFont="1" applyFill="1" applyBorder="1" applyAlignment="1">
      <alignment vertical="center"/>
    </xf>
    <xf numFmtId="170" fontId="8" fillId="0" borderId="20" xfId="0" applyNumberFormat="1" applyFont="1" applyFill="1" applyBorder="1" applyAlignment="1">
      <alignment vertical="center"/>
    </xf>
    <xf numFmtId="170" fontId="6" fillId="0" borderId="87" xfId="0" applyNumberFormat="1" applyFont="1" applyFill="1" applyBorder="1" applyAlignment="1">
      <alignment vertical="center"/>
    </xf>
    <xf numFmtId="0" fontId="6" fillId="0" borderId="39" xfId="0" applyFont="1" applyFill="1" applyBorder="1" applyAlignment="1">
      <alignment vertical="center"/>
    </xf>
    <xf numFmtId="0" fontId="6" fillId="0" borderId="40" xfId="0" applyFont="1" applyFill="1" applyBorder="1" applyAlignment="1">
      <alignment vertical="center"/>
    </xf>
    <xf numFmtId="0" fontId="6" fillId="0" borderId="45" xfId="0" applyFont="1" applyFill="1" applyBorder="1" applyAlignment="1">
      <alignment horizontal="center" vertical="center"/>
    </xf>
    <xf numFmtId="0" fontId="6" fillId="0" borderId="75" xfId="0" applyFont="1" applyFill="1" applyBorder="1" applyAlignment="1">
      <alignment vertical="center"/>
    </xf>
    <xf numFmtId="170" fontId="6" fillId="6" borderId="75" xfId="0" applyNumberFormat="1" applyFont="1" applyFill="1" applyBorder="1" applyAlignment="1">
      <alignment vertical="center"/>
    </xf>
    <xf numFmtId="170" fontId="6" fillId="6" borderId="67" xfId="0" applyNumberFormat="1" applyFont="1" applyFill="1" applyBorder="1" applyAlignment="1">
      <alignment vertical="center"/>
    </xf>
    <xf numFmtId="170" fontId="6" fillId="6" borderId="45" xfId="0" applyNumberFormat="1" applyFont="1" applyFill="1" applyBorder="1" applyAlignment="1">
      <alignment vertical="center"/>
    </xf>
    <xf numFmtId="170" fontId="6" fillId="8" borderId="75" xfId="0" applyNumberFormat="1" applyFont="1" applyFill="1" applyBorder="1" applyAlignment="1">
      <alignment vertical="center"/>
    </xf>
    <xf numFmtId="170" fontId="6" fillId="5" borderId="67" xfId="0" applyNumberFormat="1" applyFont="1" applyFill="1" applyBorder="1" applyAlignment="1">
      <alignment vertical="center"/>
    </xf>
    <xf numFmtId="170" fontId="6" fillId="5" borderId="45" xfId="0" applyNumberFormat="1" applyFont="1" applyFill="1" applyBorder="1" applyAlignment="1">
      <alignment vertical="center"/>
    </xf>
    <xf numFmtId="170" fontId="6" fillId="5" borderId="75" xfId="0" applyNumberFormat="1" applyFont="1" applyFill="1" applyBorder="1" applyAlignment="1">
      <alignment vertical="center"/>
    </xf>
    <xf numFmtId="170" fontId="6" fillId="0" borderId="67" xfId="0" applyNumberFormat="1" applyFont="1" applyFill="1" applyBorder="1" applyAlignment="1">
      <alignment vertical="center"/>
    </xf>
    <xf numFmtId="170" fontId="6" fillId="0" borderId="75" xfId="0" applyNumberFormat="1" applyFont="1" applyFill="1" applyBorder="1" applyAlignment="1">
      <alignment vertical="center"/>
    </xf>
    <xf numFmtId="170" fontId="6" fillId="0" borderId="45" xfId="0" applyNumberFormat="1" applyFont="1" applyFill="1" applyBorder="1" applyAlignment="1">
      <alignment vertical="center"/>
    </xf>
    <xf numFmtId="170" fontId="6" fillId="0" borderId="63" xfId="0" applyNumberFormat="1" applyFont="1" applyFill="1" applyBorder="1" applyAlignment="1">
      <alignment vertical="center"/>
    </xf>
    <xf numFmtId="170" fontId="7" fillId="0" borderId="88" xfId="0" applyNumberFormat="1" applyFont="1" applyFill="1" applyBorder="1" applyAlignment="1">
      <alignment vertical="center"/>
    </xf>
    <xf numFmtId="170" fontId="7" fillId="0" borderId="45" xfId="0" applyNumberFormat="1" applyFont="1" applyFill="1" applyBorder="1" applyAlignment="1">
      <alignment vertical="center"/>
    </xf>
    <xf numFmtId="170" fontId="6" fillId="0" borderId="88" xfId="0" applyNumberFormat="1" applyFont="1" applyFill="1" applyBorder="1" applyAlignment="1">
      <alignment vertical="center"/>
    </xf>
    <xf numFmtId="0" fontId="6" fillId="0" borderId="44" xfId="0" applyFont="1" applyFill="1" applyBorder="1" applyAlignment="1">
      <alignment vertical="center"/>
    </xf>
    <xf numFmtId="0" fontId="6" fillId="0" borderId="44" xfId="0" applyFont="1" applyFill="1" applyBorder="1" applyAlignment="1">
      <alignment horizontal="center" vertical="center"/>
    </xf>
    <xf numFmtId="0" fontId="7" fillId="0" borderId="61" xfId="0" applyFont="1" applyFill="1" applyBorder="1" applyAlignment="1">
      <alignment horizontal="center" vertical="center"/>
    </xf>
    <xf numFmtId="170" fontId="6" fillId="0" borderId="41" xfId="0" applyNumberFormat="1" applyFont="1" applyFill="1" applyBorder="1" applyAlignment="1">
      <alignment vertical="center"/>
    </xf>
    <xf numFmtId="170" fontId="6" fillId="0" borderId="42" xfId="0" applyNumberFormat="1" applyFont="1" applyFill="1" applyBorder="1" applyAlignment="1">
      <alignment vertical="center"/>
    </xf>
    <xf numFmtId="170" fontId="6" fillId="0" borderId="43" xfId="0" applyNumberFormat="1" applyFont="1" applyFill="1" applyBorder="1" applyAlignment="1">
      <alignment vertical="center"/>
    </xf>
    <xf numFmtId="170" fontId="6" fillId="0" borderId="54" xfId="0" applyNumberFormat="1" applyFont="1" applyFill="1" applyBorder="1" applyAlignment="1">
      <alignment vertical="center"/>
    </xf>
    <xf numFmtId="170" fontId="7" fillId="0" borderId="42" xfId="0" applyNumberFormat="1" applyFont="1" applyFill="1" applyBorder="1" applyAlignment="1">
      <alignment vertical="center"/>
    </xf>
    <xf numFmtId="170" fontId="7" fillId="0" borderId="43" xfId="0" applyNumberFormat="1" applyFont="1" applyFill="1" applyBorder="1" applyAlignment="1">
      <alignment vertical="center"/>
    </xf>
    <xf numFmtId="170" fontId="6" fillId="0" borderId="40" xfId="0" applyNumberFormat="1" applyFont="1" applyFill="1" applyBorder="1" applyAlignment="1">
      <alignment vertical="center"/>
    </xf>
    <xf numFmtId="0" fontId="6" fillId="0" borderId="16" xfId="0" applyFont="1" applyBorder="1" applyAlignment="1">
      <alignment vertical="center"/>
    </xf>
    <xf numFmtId="0" fontId="6" fillId="0" borderId="53" xfId="0" applyFont="1" applyFill="1" applyBorder="1" applyAlignment="1">
      <alignment horizontal="center" vertical="center"/>
    </xf>
    <xf numFmtId="0" fontId="6" fillId="0" borderId="20" xfId="0" quotePrefix="1" applyFont="1" applyFill="1" applyBorder="1" applyAlignment="1">
      <alignment horizontal="left" vertical="center"/>
    </xf>
    <xf numFmtId="170" fontId="6" fillId="0" borderId="25" xfId="0" applyNumberFormat="1" applyFont="1" applyFill="1" applyBorder="1" applyAlignment="1">
      <alignment vertical="center"/>
    </xf>
    <xf numFmtId="170" fontId="6" fillId="14" borderId="26" xfId="0" applyNumberFormat="1" applyFont="1" applyFill="1" applyBorder="1" applyAlignment="1">
      <alignment vertical="center"/>
    </xf>
    <xf numFmtId="170" fontId="6" fillId="0" borderId="26" xfId="0" applyNumberFormat="1" applyFont="1" applyFill="1" applyBorder="1" applyAlignment="1">
      <alignment vertical="center"/>
    </xf>
    <xf numFmtId="170" fontId="6" fillId="0" borderId="36" xfId="0" applyNumberFormat="1" applyFont="1" applyFill="1" applyBorder="1" applyAlignment="1">
      <alignment vertical="center"/>
    </xf>
    <xf numFmtId="170" fontId="7" fillId="0" borderId="89" xfId="0" applyNumberFormat="1" applyFont="1" applyFill="1" applyBorder="1" applyAlignment="1">
      <alignment vertical="center"/>
    </xf>
    <xf numFmtId="170" fontId="7" fillId="0" borderId="26" xfId="0" applyNumberFormat="1" applyFont="1" applyFill="1" applyBorder="1" applyAlignment="1">
      <alignment vertical="center"/>
    </xf>
    <xf numFmtId="170" fontId="6" fillId="0" borderId="89" xfId="0" applyNumberFormat="1" applyFont="1" applyFill="1" applyBorder="1" applyAlignment="1">
      <alignment vertical="center"/>
    </xf>
    <xf numFmtId="0" fontId="6" fillId="0" borderId="53" xfId="0" quotePrefix="1" applyFont="1" applyFill="1" applyBorder="1" applyAlignment="1">
      <alignment horizontal="center" vertical="center"/>
    </xf>
    <xf numFmtId="0" fontId="6" fillId="0" borderId="17" xfId="0" quotePrefix="1" applyFont="1" applyFill="1" applyBorder="1" applyAlignment="1">
      <alignment horizontal="left" vertical="center"/>
    </xf>
    <xf numFmtId="170" fontId="6" fillId="14" borderId="19" xfId="0" applyNumberFormat="1" applyFont="1" applyFill="1" applyBorder="1" applyAlignment="1">
      <alignment vertical="center"/>
    </xf>
    <xf numFmtId="172" fontId="6" fillId="0" borderId="19" xfId="0" applyNumberFormat="1" applyFont="1" applyFill="1" applyBorder="1" applyAlignment="1">
      <alignment vertical="center"/>
    </xf>
    <xf numFmtId="172" fontId="6" fillId="5" borderId="20" xfId="0" applyNumberFormat="1" applyFont="1" applyFill="1" applyBorder="1" applyAlignment="1">
      <alignment vertical="center"/>
    </xf>
    <xf numFmtId="0" fontId="6" fillId="0" borderId="19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left" vertical="center" wrapText="1"/>
    </xf>
    <xf numFmtId="0" fontId="6" fillId="10" borderId="19" xfId="0" applyFont="1" applyFill="1" applyBorder="1" applyAlignment="1">
      <alignment horizontal="center" vertical="center"/>
    </xf>
    <xf numFmtId="0" fontId="6" fillId="10" borderId="17" xfId="0" applyFont="1" applyFill="1" applyBorder="1" applyAlignment="1">
      <alignment horizontal="left" vertical="center" wrapText="1"/>
    </xf>
    <xf numFmtId="170" fontId="6" fillId="10" borderId="20" xfId="0" applyNumberFormat="1" applyFont="1" applyFill="1" applyBorder="1" applyAlignment="1">
      <alignment vertical="center"/>
    </xf>
    <xf numFmtId="170" fontId="6" fillId="10" borderId="18" xfId="0" applyNumberFormat="1" applyFont="1" applyFill="1" applyBorder="1" applyAlignment="1">
      <alignment vertical="center"/>
    </xf>
    <xf numFmtId="170" fontId="6" fillId="10" borderId="19" xfId="0" applyNumberFormat="1" applyFont="1" applyFill="1" applyBorder="1" applyAlignment="1">
      <alignment vertical="center"/>
    </xf>
    <xf numFmtId="170" fontId="6" fillId="10" borderId="50" xfId="0" applyNumberFormat="1" applyFont="1" applyFill="1" applyBorder="1" applyAlignment="1">
      <alignment vertical="center"/>
    </xf>
    <xf numFmtId="0" fontId="6" fillId="10" borderId="53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left" vertical="center" wrapText="1" shrinkToFit="1"/>
    </xf>
    <xf numFmtId="170" fontId="6" fillId="8" borderId="20" xfId="0" applyNumberFormat="1" applyFont="1" applyFill="1" applyBorder="1" applyAlignment="1">
      <alignment vertical="center"/>
    </xf>
    <xf numFmtId="170" fontId="7" fillId="0" borderId="25" xfId="0" applyNumberFormat="1" applyFont="1" applyFill="1" applyBorder="1" applyAlignment="1">
      <alignment vertical="center"/>
    </xf>
    <xf numFmtId="173" fontId="6" fillId="0" borderId="0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horizontal="left" vertical="center"/>
    </xf>
    <xf numFmtId="0" fontId="6" fillId="5" borderId="53" xfId="0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9" fillId="0" borderId="39" xfId="0" applyFont="1" applyBorder="1" applyAlignment="1">
      <alignment vertical="center"/>
    </xf>
    <xf numFmtId="0" fontId="9" fillId="0" borderId="44" xfId="0" applyFont="1" applyFill="1" applyBorder="1" applyAlignment="1">
      <alignment vertical="center"/>
    </xf>
    <xf numFmtId="0" fontId="6" fillId="0" borderId="60" xfId="0" applyFont="1" applyBorder="1" applyAlignment="1">
      <alignment horizontal="center" vertical="center"/>
    </xf>
    <xf numFmtId="0" fontId="7" fillId="0" borderId="62" xfId="0" applyFont="1" applyBorder="1" applyAlignment="1">
      <alignment horizontal="center" vertical="center"/>
    </xf>
    <xf numFmtId="170" fontId="9" fillId="0" borderId="23" xfId="0" applyNumberFormat="1" applyFont="1" applyFill="1" applyBorder="1" applyAlignment="1">
      <alignment vertical="center"/>
    </xf>
    <xf numFmtId="170" fontId="9" fillId="0" borderId="66" xfId="0" applyNumberFormat="1" applyFont="1" applyFill="1" applyBorder="1" applyAlignment="1">
      <alignment vertical="center"/>
    </xf>
    <xf numFmtId="170" fontId="9" fillId="0" borderId="22" xfId="0" applyNumberFormat="1" applyFont="1" applyFill="1" applyBorder="1" applyAlignment="1">
      <alignment vertical="center"/>
    </xf>
    <xf numFmtId="170" fontId="9" fillId="0" borderId="90" xfId="0" applyNumberFormat="1" applyFont="1" applyFill="1" applyBorder="1" applyAlignment="1">
      <alignment vertical="center"/>
    </xf>
    <xf numFmtId="170" fontId="9" fillId="0" borderId="24" xfId="0" applyNumberFormat="1" applyFont="1" applyFill="1" applyBorder="1" applyAlignment="1">
      <alignment vertical="center"/>
    </xf>
    <xf numFmtId="170" fontId="6" fillId="0" borderId="23" xfId="0" applyNumberFormat="1" applyFont="1" applyFill="1" applyBorder="1" applyAlignment="1">
      <alignment vertical="center"/>
    </xf>
    <xf numFmtId="170" fontId="6" fillId="0" borderId="66" xfId="0" applyNumberFormat="1" applyFont="1" applyFill="1" applyBorder="1" applyAlignment="1">
      <alignment vertical="center"/>
    </xf>
    <xf numFmtId="170" fontId="6" fillId="0" borderId="22" xfId="0" applyNumberFormat="1" applyFont="1" applyFill="1" applyBorder="1" applyAlignment="1">
      <alignment vertical="center"/>
    </xf>
    <xf numFmtId="170" fontId="6" fillId="0" borderId="90" xfId="0" applyNumberFormat="1" applyFont="1" applyFill="1" applyBorder="1" applyAlignment="1">
      <alignment vertical="center"/>
    </xf>
    <xf numFmtId="170" fontId="6" fillId="0" borderId="24" xfId="0" applyNumberFormat="1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6" fillId="0" borderId="30" xfId="0" applyFont="1" applyBorder="1" applyAlignment="1">
      <alignment vertical="center"/>
    </xf>
    <xf numFmtId="0" fontId="6" fillId="0" borderId="31" xfId="0" applyFont="1" applyFill="1" applyBorder="1" applyAlignment="1">
      <alignment vertical="center"/>
    </xf>
    <xf numFmtId="0" fontId="6" fillId="0" borderId="31" xfId="0" applyFont="1" applyBorder="1" applyAlignment="1">
      <alignment horizontal="center" vertical="center"/>
    </xf>
    <xf numFmtId="0" fontId="6" fillId="0" borderId="55" xfId="0" applyFont="1" applyBorder="1" applyAlignment="1">
      <alignment horizontal="center" vertical="center"/>
    </xf>
    <xf numFmtId="170" fontId="6" fillId="0" borderId="33" xfId="0" applyNumberFormat="1" applyFont="1" applyFill="1" applyBorder="1" applyAlignment="1">
      <alignment vertical="center"/>
    </xf>
    <xf numFmtId="170" fontId="6" fillId="0" borderId="30" xfId="0" applyNumberFormat="1" applyFont="1" applyFill="1" applyBorder="1" applyAlignment="1">
      <alignment vertical="center"/>
    </xf>
    <xf numFmtId="170" fontId="6" fillId="0" borderId="32" xfId="0" applyNumberFormat="1" applyFont="1" applyFill="1" applyBorder="1" applyAlignment="1">
      <alignment vertical="center"/>
    </xf>
    <xf numFmtId="170" fontId="6" fillId="0" borderId="56" xfId="0" applyNumberFormat="1" applyFont="1" applyFill="1" applyBorder="1" applyAlignment="1">
      <alignment vertical="center"/>
    </xf>
    <xf numFmtId="170" fontId="7" fillId="0" borderId="30" xfId="0" applyNumberFormat="1" applyFont="1" applyFill="1" applyBorder="1" applyAlignment="1">
      <alignment vertical="center"/>
    </xf>
    <xf numFmtId="170" fontId="7" fillId="0" borderId="32" xfId="0" applyNumberFormat="1" applyFont="1" applyFill="1" applyBorder="1" applyAlignment="1">
      <alignment vertical="center"/>
    </xf>
    <xf numFmtId="170" fontId="6" fillId="0" borderId="31" xfId="0" applyNumberFormat="1" applyFont="1" applyFill="1" applyBorder="1" applyAlignment="1">
      <alignment vertical="center"/>
    </xf>
    <xf numFmtId="170" fontId="6" fillId="0" borderId="0" xfId="1" applyNumberFormat="1" applyFont="1" applyAlignment="1">
      <alignment vertical="center"/>
    </xf>
    <xf numFmtId="170" fontId="6" fillId="0" borderId="0" xfId="1" applyNumberFormat="1" applyFont="1" applyFill="1" applyAlignment="1">
      <alignment vertical="center"/>
    </xf>
    <xf numFmtId="170" fontId="7" fillId="0" borderId="16" xfId="1" applyNumberFormat="1" applyFont="1" applyFill="1" applyBorder="1" applyAlignment="1">
      <alignment vertical="center"/>
    </xf>
    <xf numFmtId="170" fontId="7" fillId="0" borderId="0" xfId="1" applyNumberFormat="1" applyFont="1" applyFill="1" applyBorder="1" applyAlignment="1">
      <alignment vertical="center"/>
    </xf>
    <xf numFmtId="170" fontId="6" fillId="0" borderId="74" xfId="1" applyNumberFormat="1" applyFont="1" applyBorder="1" applyAlignment="1">
      <alignment vertical="center"/>
    </xf>
    <xf numFmtId="170" fontId="6" fillId="0" borderId="16" xfId="1" applyNumberFormat="1" applyFont="1" applyFill="1" applyBorder="1" applyAlignment="1">
      <alignment vertical="center"/>
    </xf>
    <xf numFmtId="170" fontId="6" fillId="0" borderId="0" xfId="1" applyNumberFormat="1" applyFont="1" applyFill="1" applyBorder="1" applyAlignment="1">
      <alignment vertical="center"/>
    </xf>
    <xf numFmtId="0" fontId="6" fillId="0" borderId="46" xfId="0" applyFont="1" applyFill="1" applyBorder="1" applyAlignment="1">
      <alignment vertical="center"/>
    </xf>
    <xf numFmtId="0" fontId="6" fillId="0" borderId="47" xfId="0" applyFont="1" applyFill="1" applyBorder="1" applyAlignment="1">
      <alignment vertical="center"/>
    </xf>
    <xf numFmtId="0" fontId="6" fillId="0" borderId="47" xfId="0" applyFont="1" applyFill="1" applyBorder="1" applyAlignment="1">
      <alignment horizontal="center" vertical="center"/>
    </xf>
    <xf numFmtId="0" fontId="6" fillId="0" borderId="36" xfId="0" applyFont="1" applyBorder="1" applyAlignment="1">
      <alignment vertical="center"/>
    </xf>
    <xf numFmtId="170" fontId="6" fillId="0" borderId="38" xfId="0" applyNumberFormat="1" applyFont="1" applyFill="1" applyBorder="1" applyAlignment="1">
      <alignment vertical="center"/>
    </xf>
    <xf numFmtId="170" fontId="6" fillId="0" borderId="48" xfId="0" applyNumberFormat="1" applyFont="1" applyFill="1" applyBorder="1" applyAlignment="1">
      <alignment vertical="center"/>
    </xf>
    <xf numFmtId="170" fontId="7" fillId="0" borderId="91" xfId="0" applyNumberFormat="1" applyFont="1" applyFill="1" applyBorder="1" applyAlignment="1">
      <alignment vertical="center"/>
    </xf>
    <xf numFmtId="170" fontId="7" fillId="0" borderId="38" xfId="0" applyNumberFormat="1" applyFont="1" applyFill="1" applyBorder="1" applyAlignment="1">
      <alignment vertical="center"/>
    </xf>
    <xf numFmtId="170" fontId="6" fillId="0" borderId="91" xfId="0" applyNumberFormat="1" applyFont="1" applyFill="1" applyBorder="1" applyAlignment="1">
      <alignment vertical="center"/>
    </xf>
    <xf numFmtId="0" fontId="6" fillId="0" borderId="49" xfId="0" applyFont="1" applyFill="1" applyBorder="1" applyAlignment="1">
      <alignment vertical="center"/>
    </xf>
    <xf numFmtId="0" fontId="6" fillId="0" borderId="28" xfId="0" applyFont="1" applyFill="1" applyBorder="1" applyAlignment="1">
      <alignment vertical="center"/>
    </xf>
    <xf numFmtId="0" fontId="6" fillId="0" borderId="28" xfId="0" applyFont="1" applyFill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170" fontId="6" fillId="0" borderId="17" xfId="0" applyNumberFormat="1" applyFont="1" applyFill="1" applyBorder="1" applyAlignment="1">
      <alignment vertical="center"/>
    </xf>
    <xf numFmtId="164" fontId="6" fillId="0" borderId="20" xfId="1" applyFont="1" applyFill="1" applyBorder="1" applyAlignment="1">
      <alignment vertical="center"/>
    </xf>
    <xf numFmtId="164" fontId="6" fillId="0" borderId="50" xfId="1" applyFont="1" applyFill="1" applyBorder="1" applyAlignment="1">
      <alignment vertical="center"/>
    </xf>
    <xf numFmtId="174" fontId="6" fillId="0" borderId="20" xfId="1" applyNumberFormat="1" applyFont="1" applyFill="1" applyBorder="1" applyAlignment="1">
      <alignment vertical="center"/>
    </xf>
    <xf numFmtId="0" fontId="6" fillId="3" borderId="17" xfId="0" applyFont="1" applyFill="1" applyBorder="1" applyAlignment="1">
      <alignment vertical="center"/>
    </xf>
    <xf numFmtId="0" fontId="6" fillId="0" borderId="58" xfId="0" applyFont="1" applyFill="1" applyBorder="1" applyAlignment="1">
      <alignment horizontal="center" vertical="center"/>
    </xf>
    <xf numFmtId="0" fontId="6" fillId="0" borderId="51" xfId="0" applyFont="1" applyFill="1" applyBorder="1" applyAlignment="1">
      <alignment horizontal="center" vertical="center"/>
    </xf>
    <xf numFmtId="170" fontId="6" fillId="0" borderId="21" xfId="0" applyNumberFormat="1" applyFont="1" applyFill="1" applyBorder="1" applyAlignment="1">
      <alignment vertical="center"/>
    </xf>
    <xf numFmtId="170" fontId="6" fillId="0" borderId="27" xfId="0" applyNumberFormat="1" applyFont="1" applyFill="1" applyBorder="1" applyAlignment="1">
      <alignment vertical="center"/>
    </xf>
    <xf numFmtId="170" fontId="6" fillId="0" borderId="28" xfId="0" applyNumberFormat="1" applyFont="1" applyFill="1" applyBorder="1" applyAlignment="1">
      <alignment vertical="center"/>
    </xf>
    <xf numFmtId="170" fontId="6" fillId="0" borderId="57" xfId="0" applyNumberFormat="1" applyFont="1" applyFill="1" applyBorder="1" applyAlignment="1">
      <alignment vertical="center"/>
    </xf>
    <xf numFmtId="170" fontId="7" fillId="0" borderId="49" xfId="0" applyNumberFormat="1" applyFont="1" applyFill="1" applyBorder="1" applyAlignment="1">
      <alignment vertical="center"/>
    </xf>
    <xf numFmtId="170" fontId="7" fillId="0" borderId="28" xfId="0" applyNumberFormat="1" applyFont="1" applyFill="1" applyBorder="1" applyAlignment="1">
      <alignment vertical="center"/>
    </xf>
    <xf numFmtId="170" fontId="6" fillId="0" borderId="49" xfId="0" applyNumberFormat="1" applyFont="1" applyFill="1" applyBorder="1" applyAlignment="1">
      <alignment vertical="center"/>
    </xf>
    <xf numFmtId="0" fontId="6" fillId="0" borderId="49" xfId="0" applyFont="1" applyBorder="1" applyAlignment="1">
      <alignment vertical="center"/>
    </xf>
    <xf numFmtId="0" fontId="6" fillId="3" borderId="63" xfId="0" applyFont="1" applyFill="1" applyBorder="1" applyAlignment="1">
      <alignment horizontal="center" vertical="center"/>
    </xf>
    <xf numFmtId="0" fontId="6" fillId="3" borderId="75" xfId="0" applyFont="1" applyFill="1" applyBorder="1" applyAlignment="1">
      <alignment vertical="center"/>
    </xf>
    <xf numFmtId="0" fontId="6" fillId="0" borderId="42" xfId="0" applyFont="1" applyFill="1" applyBorder="1" applyAlignment="1">
      <alignment vertical="center"/>
    </xf>
    <xf numFmtId="0" fontId="6" fillId="0" borderId="43" xfId="0" applyFont="1" applyFill="1" applyBorder="1" applyAlignment="1">
      <alignment vertical="center"/>
    </xf>
    <xf numFmtId="0" fontId="7" fillId="0" borderId="41" xfId="0" applyFont="1" applyFill="1" applyBorder="1" applyAlignment="1">
      <alignment horizontal="center" vertical="center"/>
    </xf>
    <xf numFmtId="0" fontId="6" fillId="5" borderId="50" xfId="0" applyFont="1" applyFill="1" applyBorder="1" applyAlignment="1">
      <alignment horizontal="center" vertical="center" wrapText="1"/>
    </xf>
    <xf numFmtId="0" fontId="6" fillId="15" borderId="20" xfId="0" applyFont="1" applyFill="1" applyBorder="1" applyAlignment="1">
      <alignment horizontal="left" vertical="center"/>
    </xf>
    <xf numFmtId="0" fontId="6" fillId="0" borderId="27" xfId="0" applyFont="1" applyFill="1" applyBorder="1" applyAlignment="1">
      <alignment vertical="center"/>
    </xf>
    <xf numFmtId="0" fontId="6" fillId="0" borderId="0" xfId="0" applyFont="1" applyBorder="1" applyAlignment="1">
      <alignment vertical="center"/>
    </xf>
    <xf numFmtId="0" fontId="6" fillId="0" borderId="27" xfId="0" applyFont="1" applyFill="1" applyBorder="1" applyAlignment="1">
      <alignment horizontal="left" vertical="center"/>
    </xf>
    <xf numFmtId="0" fontId="6" fillId="5" borderId="79" xfId="0" applyFont="1" applyFill="1" applyBorder="1" applyAlignment="1">
      <alignment horizontal="center" vertical="center" wrapText="1"/>
    </xf>
    <xf numFmtId="170" fontId="8" fillId="0" borderId="19" xfId="0" applyNumberFormat="1" applyFont="1" applyFill="1" applyBorder="1" applyAlignment="1">
      <alignment vertical="center"/>
    </xf>
    <xf numFmtId="170" fontId="6" fillId="0" borderId="58" xfId="0" applyNumberFormat="1" applyFont="1" applyFill="1" applyBorder="1" applyAlignment="1">
      <alignment vertical="center"/>
    </xf>
    <xf numFmtId="170" fontId="7" fillId="0" borderId="58" xfId="0" applyNumberFormat="1" applyFont="1" applyFill="1" applyBorder="1" applyAlignment="1">
      <alignment vertical="center"/>
    </xf>
    <xf numFmtId="170" fontId="6" fillId="6" borderId="37" xfId="0" applyNumberFormat="1" applyFont="1" applyFill="1" applyBorder="1" applyAlignment="1">
      <alignment vertical="center"/>
    </xf>
    <xf numFmtId="0" fontId="6" fillId="0" borderId="28" xfId="0" applyFont="1" applyBorder="1" applyAlignment="1">
      <alignment vertical="center"/>
    </xf>
    <xf numFmtId="170" fontId="6" fillId="6" borderId="17" xfId="0" applyNumberFormat="1" applyFont="1" applyFill="1" applyBorder="1" applyAlignment="1">
      <alignment vertical="center"/>
    </xf>
    <xf numFmtId="170" fontId="6" fillId="5" borderId="17" xfId="0" applyNumberFormat="1" applyFont="1" applyFill="1" applyBorder="1" applyAlignment="1">
      <alignment vertical="center"/>
    </xf>
    <xf numFmtId="170" fontId="6" fillId="0" borderId="53" xfId="0" applyNumberFormat="1" applyFont="1" applyFill="1" applyBorder="1" applyAlignment="1">
      <alignment vertical="center"/>
    </xf>
    <xf numFmtId="170" fontId="7" fillId="0" borderId="18" xfId="0" applyNumberFormat="1" applyFont="1" applyFill="1" applyBorder="1" applyAlignment="1">
      <alignment vertical="center"/>
    </xf>
    <xf numFmtId="170" fontId="6" fillId="5" borderId="53" xfId="0" applyNumberFormat="1" applyFont="1" applyFill="1" applyBorder="1" applyAlignment="1">
      <alignment vertical="center"/>
    </xf>
    <xf numFmtId="0" fontId="6" fillId="0" borderId="26" xfId="0" applyFont="1" applyFill="1" applyBorder="1" applyAlignment="1">
      <alignment horizontal="center" vertical="center" wrapText="1"/>
    </xf>
    <xf numFmtId="0" fontId="6" fillId="0" borderId="20" xfId="0" applyFont="1" applyFill="1" applyBorder="1" applyAlignment="1">
      <alignment horizontal="left" vertical="center"/>
    </xf>
    <xf numFmtId="170" fontId="6" fillId="16" borderId="17" xfId="0" applyNumberFormat="1" applyFont="1" applyFill="1" applyBorder="1" applyAlignment="1">
      <alignment vertical="center"/>
    </xf>
    <xf numFmtId="172" fontId="6" fillId="16" borderId="18" xfId="0" applyNumberFormat="1" applyFont="1" applyFill="1" applyBorder="1" applyAlignment="1">
      <alignment vertical="center"/>
    </xf>
    <xf numFmtId="170" fontId="6" fillId="16" borderId="18" xfId="0" applyNumberFormat="1" applyFont="1" applyFill="1" applyBorder="1" applyAlignment="1">
      <alignment vertical="center"/>
    </xf>
    <xf numFmtId="0" fontId="6" fillId="0" borderId="51" xfId="0" applyFont="1" applyFill="1" applyBorder="1" applyAlignment="1">
      <alignment horizontal="center" vertical="center" wrapText="1"/>
    </xf>
    <xf numFmtId="0" fontId="6" fillId="0" borderId="50" xfId="0" applyFont="1" applyFill="1" applyBorder="1" applyAlignment="1">
      <alignment horizontal="center" vertical="center" wrapText="1"/>
    </xf>
    <xf numFmtId="170" fontId="10" fillId="0" borderId="20" xfId="0" applyNumberFormat="1" applyFont="1" applyFill="1" applyBorder="1" applyAlignment="1">
      <alignment vertical="center"/>
    </xf>
    <xf numFmtId="170" fontId="10" fillId="0" borderId="25" xfId="0" applyNumberFormat="1" applyFont="1" applyFill="1" applyBorder="1" applyAlignment="1">
      <alignment vertical="center"/>
    </xf>
    <xf numFmtId="170" fontId="10" fillId="0" borderId="26" xfId="0" applyNumberFormat="1" applyFont="1" applyFill="1" applyBorder="1" applyAlignment="1">
      <alignment vertical="center"/>
    </xf>
    <xf numFmtId="170" fontId="8" fillId="0" borderId="25" xfId="0" applyNumberFormat="1" applyFont="1" applyFill="1" applyBorder="1" applyAlignment="1">
      <alignment vertical="center"/>
    </xf>
    <xf numFmtId="170" fontId="8" fillId="0" borderId="26" xfId="0" applyNumberFormat="1" applyFont="1" applyFill="1" applyBorder="1" applyAlignment="1">
      <alignment vertical="center"/>
    </xf>
    <xf numFmtId="172" fontId="8" fillId="0" borderId="25" xfId="0" applyNumberFormat="1" applyFont="1" applyFill="1" applyBorder="1" applyAlignment="1">
      <alignment vertical="center"/>
    </xf>
    <xf numFmtId="172" fontId="8" fillId="0" borderId="26" xfId="0" applyNumberFormat="1" applyFont="1" applyFill="1" applyBorder="1" applyAlignment="1">
      <alignment vertical="center"/>
    </xf>
    <xf numFmtId="170" fontId="8" fillId="0" borderId="50" xfId="0" applyNumberFormat="1" applyFont="1" applyFill="1" applyBorder="1" applyAlignment="1">
      <alignment vertical="center"/>
    </xf>
    <xf numFmtId="170" fontId="11" fillId="0" borderId="89" xfId="0" applyNumberFormat="1" applyFont="1" applyFill="1" applyBorder="1" applyAlignment="1">
      <alignment vertical="center"/>
    </xf>
    <xf numFmtId="170" fontId="11" fillId="0" borderId="26" xfId="0" applyNumberFormat="1" applyFont="1" applyFill="1" applyBorder="1" applyAlignment="1">
      <alignment vertical="center"/>
    </xf>
    <xf numFmtId="170" fontId="8" fillId="0" borderId="89" xfId="0" applyNumberFormat="1" applyFont="1" applyFill="1" applyBorder="1" applyAlignment="1">
      <alignment vertical="center"/>
    </xf>
    <xf numFmtId="170" fontId="10" fillId="6" borderId="20" xfId="0" applyNumberFormat="1" applyFont="1" applyFill="1" applyBorder="1" applyAlignment="1">
      <alignment vertical="center"/>
    </xf>
    <xf numFmtId="170" fontId="10" fillId="6" borderId="25" xfId="0" applyNumberFormat="1" applyFont="1" applyFill="1" applyBorder="1" applyAlignment="1">
      <alignment vertical="center"/>
    </xf>
    <xf numFmtId="170" fontId="10" fillId="6" borderId="26" xfId="0" applyNumberFormat="1" applyFont="1" applyFill="1" applyBorder="1" applyAlignment="1">
      <alignment vertical="center"/>
    </xf>
    <xf numFmtId="170" fontId="8" fillId="6" borderId="25" xfId="0" applyNumberFormat="1" applyFont="1" applyFill="1" applyBorder="1" applyAlignment="1">
      <alignment vertical="center"/>
    </xf>
    <xf numFmtId="170" fontId="8" fillId="6" borderId="26" xfId="0" applyNumberFormat="1" applyFont="1" applyFill="1" applyBorder="1" applyAlignment="1">
      <alignment vertical="center"/>
    </xf>
    <xf numFmtId="170" fontId="8" fillId="6" borderId="20" xfId="0" applyNumberFormat="1" applyFont="1" applyFill="1" applyBorder="1" applyAlignment="1">
      <alignment vertical="center"/>
    </xf>
    <xf numFmtId="172" fontId="8" fillId="6" borderId="25" xfId="0" applyNumberFormat="1" applyFont="1" applyFill="1" applyBorder="1" applyAlignment="1">
      <alignment vertical="center"/>
    </xf>
    <xf numFmtId="172" fontId="8" fillId="6" borderId="26" xfId="0" applyNumberFormat="1" applyFont="1" applyFill="1" applyBorder="1" applyAlignment="1">
      <alignment vertical="center"/>
    </xf>
    <xf numFmtId="170" fontId="10" fillId="6" borderId="17" xfId="0" applyNumberFormat="1" applyFont="1" applyFill="1" applyBorder="1" applyAlignment="1">
      <alignment vertical="center"/>
    </xf>
    <xf numFmtId="170" fontId="10" fillId="6" borderId="18" xfId="0" applyNumberFormat="1" applyFont="1" applyFill="1" applyBorder="1" applyAlignment="1">
      <alignment vertical="center"/>
    </xf>
    <xf numFmtId="170" fontId="10" fillId="6" borderId="19" xfId="0" applyNumberFormat="1" applyFont="1" applyFill="1" applyBorder="1" applyAlignment="1">
      <alignment vertical="center"/>
    </xf>
    <xf numFmtId="170" fontId="8" fillId="6" borderId="18" xfId="0" applyNumberFormat="1" applyFont="1" applyFill="1" applyBorder="1" applyAlignment="1">
      <alignment vertical="center"/>
    </xf>
    <xf numFmtId="170" fontId="8" fillId="6" borderId="19" xfId="0" applyNumberFormat="1" applyFont="1" applyFill="1" applyBorder="1" applyAlignment="1">
      <alignment vertical="center"/>
    </xf>
    <xf numFmtId="170" fontId="8" fillId="6" borderId="17" xfId="0" applyNumberFormat="1" applyFont="1" applyFill="1" applyBorder="1" applyAlignment="1">
      <alignment vertical="center"/>
    </xf>
    <xf numFmtId="172" fontId="8" fillId="6" borderId="18" xfId="0" applyNumberFormat="1" applyFont="1" applyFill="1" applyBorder="1" applyAlignment="1">
      <alignment vertical="center"/>
    </xf>
    <xf numFmtId="172" fontId="8" fillId="6" borderId="19" xfId="0" applyNumberFormat="1" applyFont="1" applyFill="1" applyBorder="1" applyAlignment="1">
      <alignment vertical="center"/>
    </xf>
    <xf numFmtId="170" fontId="8" fillId="0" borderId="18" xfId="0" applyNumberFormat="1" applyFont="1" applyFill="1" applyBorder="1" applyAlignment="1">
      <alignment vertical="center"/>
    </xf>
    <xf numFmtId="170" fontId="8" fillId="0" borderId="17" xfId="0" applyNumberFormat="1" applyFont="1" applyFill="1" applyBorder="1" applyAlignment="1">
      <alignment vertical="center"/>
    </xf>
    <xf numFmtId="0" fontId="6" fillId="0" borderId="20" xfId="0" applyFont="1" applyFill="1" applyBorder="1" applyAlignment="1">
      <alignment horizontal="left" vertical="center" wrapText="1"/>
    </xf>
    <xf numFmtId="170" fontId="8" fillId="5" borderId="18" xfId="0" applyNumberFormat="1" applyFont="1" applyFill="1" applyBorder="1" applyAlignment="1">
      <alignment vertical="center"/>
    </xf>
    <xf numFmtId="170" fontId="6" fillId="0" borderId="52" xfId="0" applyNumberFormat="1" applyFont="1" applyFill="1" applyBorder="1" applyAlignment="1">
      <alignment vertical="center"/>
    </xf>
    <xf numFmtId="170" fontId="6" fillId="6" borderId="26" xfId="0" applyNumberFormat="1" applyFont="1" applyFill="1" applyBorder="1" applyAlignment="1">
      <alignment vertical="center"/>
    </xf>
    <xf numFmtId="170" fontId="6" fillId="6" borderId="58" xfId="0" applyNumberFormat="1" applyFont="1" applyFill="1" applyBorder="1" applyAlignment="1">
      <alignment vertical="center"/>
    </xf>
    <xf numFmtId="170" fontId="8" fillId="6" borderId="50" xfId="0" applyNumberFormat="1" applyFont="1" applyFill="1" applyBorder="1" applyAlignment="1">
      <alignment vertical="center"/>
    </xf>
    <xf numFmtId="170" fontId="7" fillId="6" borderId="87" xfId="0" applyNumberFormat="1" applyFont="1" applyFill="1" applyBorder="1" applyAlignment="1">
      <alignment vertical="center"/>
    </xf>
    <xf numFmtId="170" fontId="7" fillId="6" borderId="26" xfId="0" applyNumberFormat="1" applyFont="1" applyFill="1" applyBorder="1" applyAlignment="1">
      <alignment vertical="center"/>
    </xf>
    <xf numFmtId="170" fontId="6" fillId="6" borderId="87" xfId="0" applyNumberFormat="1" applyFont="1" applyFill="1" applyBorder="1" applyAlignment="1">
      <alignment vertical="center"/>
    </xf>
    <xf numFmtId="0" fontId="6" fillId="6" borderId="20" xfId="0" applyFont="1" applyFill="1" applyBorder="1" applyAlignment="1">
      <alignment horizontal="left" vertical="center" wrapText="1"/>
    </xf>
    <xf numFmtId="172" fontId="6" fillId="6" borderId="18" xfId="0" applyNumberFormat="1" applyFont="1" applyFill="1" applyBorder="1" applyAlignment="1">
      <alignment vertical="center"/>
    </xf>
    <xf numFmtId="172" fontId="6" fillId="6" borderId="26" xfId="0" applyNumberFormat="1" applyFont="1" applyFill="1" applyBorder="1" applyAlignment="1">
      <alignment vertical="center"/>
    </xf>
    <xf numFmtId="175" fontId="6" fillId="6" borderId="18" xfId="0" applyNumberFormat="1" applyFont="1" applyFill="1" applyBorder="1" applyAlignment="1">
      <alignment vertical="center"/>
    </xf>
    <xf numFmtId="170" fontId="8" fillId="6" borderId="53" xfId="0" applyNumberFormat="1" applyFont="1" applyFill="1" applyBorder="1" applyAlignment="1">
      <alignment vertical="center"/>
    </xf>
    <xf numFmtId="170" fontId="8" fillId="0" borderId="53" xfId="0" applyNumberFormat="1" applyFont="1" applyFill="1" applyBorder="1" applyAlignment="1">
      <alignment vertical="center"/>
    </xf>
    <xf numFmtId="170" fontId="6" fillId="6" borderId="25" xfId="0" applyNumberFormat="1" applyFont="1" applyFill="1" applyBorder="1" applyAlignment="1">
      <alignment vertical="center"/>
    </xf>
    <xf numFmtId="170" fontId="8" fillId="0" borderId="52" xfId="0" applyNumberFormat="1" applyFont="1" applyFill="1" applyBorder="1" applyAlignment="1">
      <alignment vertical="center"/>
    </xf>
    <xf numFmtId="0" fontId="8" fillId="6" borderId="20" xfId="0" applyFont="1" applyFill="1" applyBorder="1" applyAlignment="1">
      <alignment horizontal="left" vertical="center"/>
    </xf>
    <xf numFmtId="170" fontId="11" fillId="6" borderId="87" xfId="0" applyNumberFormat="1" applyFont="1" applyFill="1" applyBorder="1" applyAlignment="1">
      <alignment vertical="center"/>
    </xf>
    <xf numFmtId="170" fontId="11" fillId="6" borderId="19" xfId="0" applyNumberFormat="1" applyFont="1" applyFill="1" applyBorder="1" applyAlignment="1">
      <alignment vertical="center"/>
    </xf>
    <xf numFmtId="170" fontId="8" fillId="6" borderId="87" xfId="0" applyNumberFormat="1" applyFont="1" applyFill="1" applyBorder="1" applyAlignment="1">
      <alignment vertical="center"/>
    </xf>
    <xf numFmtId="0" fontId="6" fillId="0" borderId="57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left" vertical="center"/>
    </xf>
    <xf numFmtId="170" fontId="10" fillId="0" borderId="21" xfId="0" applyNumberFormat="1" applyFont="1" applyFill="1" applyBorder="1" applyAlignment="1">
      <alignment vertical="center"/>
    </xf>
    <xf numFmtId="170" fontId="10" fillId="0" borderId="27" xfId="0" applyNumberFormat="1" applyFont="1" applyFill="1" applyBorder="1" applyAlignment="1">
      <alignment vertical="center"/>
    </xf>
    <xf numFmtId="170" fontId="10" fillId="0" borderId="28" xfId="0" applyNumberFormat="1" applyFont="1" applyFill="1" applyBorder="1" applyAlignment="1">
      <alignment vertical="center"/>
    </xf>
    <xf numFmtId="170" fontId="8" fillId="0" borderId="27" xfId="0" applyNumberFormat="1" applyFont="1" applyFill="1" applyBorder="1" applyAlignment="1">
      <alignment vertical="center"/>
    </xf>
    <xf numFmtId="170" fontId="8" fillId="0" borderId="28" xfId="0" applyNumberFormat="1" applyFont="1" applyFill="1" applyBorder="1" applyAlignment="1">
      <alignment vertical="center"/>
    </xf>
    <xf numFmtId="170" fontId="8" fillId="0" borderId="21" xfId="0" applyNumberFormat="1" applyFont="1" applyFill="1" applyBorder="1" applyAlignment="1">
      <alignment vertical="center"/>
    </xf>
    <xf numFmtId="172" fontId="8" fillId="0" borderId="27" xfId="0" applyNumberFormat="1" applyFont="1" applyFill="1" applyBorder="1" applyAlignment="1">
      <alignment vertical="center"/>
    </xf>
    <xf numFmtId="172" fontId="8" fillId="0" borderId="28" xfId="0" applyNumberFormat="1" applyFont="1" applyFill="1" applyBorder="1" applyAlignment="1">
      <alignment vertical="center"/>
    </xf>
    <xf numFmtId="172" fontId="8" fillId="0" borderId="21" xfId="0" applyNumberFormat="1" applyFont="1" applyFill="1" applyBorder="1" applyAlignment="1">
      <alignment vertical="center"/>
    </xf>
    <xf numFmtId="170" fontId="8" fillId="0" borderId="57" xfId="0" applyNumberFormat="1" applyFont="1" applyFill="1" applyBorder="1" applyAlignment="1">
      <alignment vertical="center"/>
    </xf>
    <xf numFmtId="170" fontId="11" fillId="0" borderId="49" xfId="0" applyNumberFormat="1" applyFont="1" applyFill="1" applyBorder="1" applyAlignment="1">
      <alignment vertical="center"/>
    </xf>
    <xf numFmtId="170" fontId="11" fillId="0" borderId="28" xfId="0" applyNumberFormat="1" applyFont="1" applyFill="1" applyBorder="1" applyAlignment="1">
      <alignment vertical="center"/>
    </xf>
    <xf numFmtId="170" fontId="8" fillId="0" borderId="49" xfId="0" applyNumberFormat="1" applyFont="1" applyFill="1" applyBorder="1" applyAlignment="1">
      <alignment vertical="center"/>
    </xf>
    <xf numFmtId="172" fontId="8" fillId="0" borderId="20" xfId="0" applyNumberFormat="1" applyFont="1" applyFill="1" applyBorder="1" applyAlignment="1">
      <alignment vertical="center"/>
    </xf>
    <xf numFmtId="0" fontId="6" fillId="0" borderId="39" xfId="0" applyFont="1" applyBorder="1" applyAlignment="1">
      <alignment vertical="center"/>
    </xf>
    <xf numFmtId="0" fontId="6" fillId="0" borderId="54" xfId="0" applyFont="1" applyFill="1" applyBorder="1" applyAlignment="1">
      <alignment horizontal="center" vertical="center" wrapText="1"/>
    </xf>
    <xf numFmtId="0" fontId="6" fillId="15" borderId="41" xfId="0" applyFont="1" applyFill="1" applyBorder="1" applyAlignment="1">
      <alignment horizontal="left" vertical="center"/>
    </xf>
    <xf numFmtId="0" fontId="6" fillId="0" borderId="30" xfId="0" applyFont="1" applyBorder="1" applyAlignment="1">
      <alignment horizontal="center" vertical="center"/>
    </xf>
    <xf numFmtId="0" fontId="7" fillId="0" borderId="55" xfId="0" applyFont="1" applyBorder="1" applyAlignment="1">
      <alignment horizontal="center" vertical="center"/>
    </xf>
    <xf numFmtId="0" fontId="6" fillId="0" borderId="30" xfId="0" applyFont="1" applyFill="1" applyBorder="1" applyAlignment="1">
      <alignment vertical="center"/>
    </xf>
    <xf numFmtId="170" fontId="6" fillId="0" borderId="70" xfId="0" applyNumberFormat="1" applyFont="1" applyFill="1" applyBorder="1" applyAlignment="1">
      <alignment vertical="center"/>
    </xf>
    <xf numFmtId="170" fontId="7" fillId="0" borderId="70" xfId="0" applyNumberFormat="1" applyFont="1" applyFill="1" applyBorder="1" applyAlignment="1">
      <alignment vertical="center"/>
    </xf>
    <xf numFmtId="170" fontId="6" fillId="0" borderId="71" xfId="0" applyNumberFormat="1" applyFont="1" applyFill="1" applyBorder="1" applyAlignment="1">
      <alignment vertical="center"/>
    </xf>
    <xf numFmtId="170" fontId="6" fillId="0" borderId="69" xfId="0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74" xfId="0" applyFont="1" applyBorder="1" applyAlignment="1">
      <alignment horizontal="center" vertical="center"/>
    </xf>
    <xf numFmtId="170" fontId="6" fillId="0" borderId="29" xfId="0" applyNumberFormat="1" applyFont="1" applyFill="1" applyBorder="1" applyAlignment="1">
      <alignment vertical="center"/>
    </xf>
    <xf numFmtId="170" fontId="6" fillId="0" borderId="0" xfId="0" applyNumberFormat="1" applyFont="1" applyFill="1" applyBorder="1" applyAlignment="1">
      <alignment vertical="center"/>
    </xf>
    <xf numFmtId="170" fontId="6" fillId="0" borderId="51" xfId="0" applyNumberFormat="1" applyFont="1" applyFill="1" applyBorder="1" applyAlignment="1">
      <alignment vertical="center"/>
    </xf>
    <xf numFmtId="170" fontId="7" fillId="0" borderId="16" xfId="0" applyNumberFormat="1" applyFont="1" applyFill="1" applyBorder="1" applyAlignment="1">
      <alignment vertical="center"/>
    </xf>
    <xf numFmtId="170" fontId="7" fillId="0" borderId="0" xfId="0" applyNumberFormat="1" applyFont="1" applyFill="1" applyBorder="1" applyAlignment="1">
      <alignment vertical="center"/>
    </xf>
    <xf numFmtId="170" fontId="6" fillId="0" borderId="92" xfId="0" applyNumberFormat="1" applyFont="1" applyFill="1" applyBorder="1" applyAlignment="1">
      <alignment vertical="center"/>
    </xf>
    <xf numFmtId="170" fontId="6" fillId="0" borderId="72" xfId="0" applyNumberFormat="1" applyFont="1" applyFill="1" applyBorder="1" applyAlignment="1">
      <alignment vertical="center"/>
    </xf>
    <xf numFmtId="170" fontId="6" fillId="0" borderId="35" xfId="0" applyNumberFormat="1" applyFont="1" applyFill="1" applyBorder="1" applyAlignment="1">
      <alignment vertical="center"/>
    </xf>
    <xf numFmtId="170" fontId="6" fillId="0" borderId="93" xfId="0" applyNumberFormat="1" applyFont="1" applyFill="1" applyBorder="1" applyAlignment="1">
      <alignment vertical="center"/>
    </xf>
    <xf numFmtId="170" fontId="6" fillId="0" borderId="59" xfId="0" applyNumberFormat="1" applyFont="1" applyFill="1" applyBorder="1" applyAlignment="1">
      <alignment vertical="center"/>
    </xf>
    <xf numFmtId="170" fontId="6" fillId="0" borderId="34" xfId="0" applyNumberFormat="1" applyFont="1" applyFill="1" applyBorder="1" applyAlignment="1">
      <alignment vertical="center"/>
    </xf>
    <xf numFmtId="170" fontId="6" fillId="0" borderId="74" xfId="0" applyNumberFormat="1" applyFont="1" applyFill="1" applyBorder="1" applyAlignment="1">
      <alignment vertical="center"/>
    </xf>
    <xf numFmtId="170" fontId="6" fillId="0" borderId="16" xfId="0" applyNumberFormat="1" applyFont="1" applyFill="1" applyBorder="1" applyAlignment="1">
      <alignment vertical="center"/>
    </xf>
    <xf numFmtId="175" fontId="6" fillId="0" borderId="0" xfId="0" applyNumberFormat="1" applyFont="1" applyFill="1" applyBorder="1" applyAlignment="1">
      <alignment vertical="center"/>
    </xf>
    <xf numFmtId="0" fontId="6" fillId="2" borderId="46" xfId="0" applyFont="1" applyFill="1" applyBorder="1" applyAlignment="1">
      <alignment horizontal="center" vertical="center"/>
    </xf>
    <xf numFmtId="0" fontId="6" fillId="2" borderId="47" xfId="0" applyFont="1" applyFill="1" applyBorder="1" applyAlignment="1">
      <alignment horizontal="center" vertical="center"/>
    </xf>
    <xf numFmtId="0" fontId="6" fillId="2" borderId="9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Continuous" vertical="center"/>
    </xf>
    <xf numFmtId="49" fontId="6" fillId="2" borderId="65" xfId="0" quotePrefix="1" applyNumberFormat="1" applyFont="1" applyFill="1" applyBorder="1" applyAlignment="1">
      <alignment horizontal="centerContinuous" vertical="center"/>
    </xf>
    <xf numFmtId="49" fontId="6" fillId="2" borderId="3" xfId="0" applyNumberFormat="1" applyFont="1" applyFill="1" applyBorder="1" applyAlignment="1">
      <alignment horizontal="centerContinuous" vertical="center"/>
    </xf>
    <xf numFmtId="49" fontId="6" fillId="13" borderId="3" xfId="0" applyNumberFormat="1" applyFont="1" applyFill="1" applyBorder="1" applyAlignment="1">
      <alignment horizontal="centerContinuous" vertical="center"/>
    </xf>
    <xf numFmtId="49" fontId="7" fillId="2" borderId="65" xfId="0" quotePrefix="1" applyNumberFormat="1" applyFont="1" applyFill="1" applyBorder="1" applyAlignment="1">
      <alignment horizontal="right" vertical="center"/>
    </xf>
    <xf numFmtId="49" fontId="7" fillId="2" borderId="3" xfId="0" quotePrefix="1" applyNumberFormat="1" applyFont="1" applyFill="1" applyBorder="1" applyAlignment="1">
      <alignment horizontal="right" vertical="center"/>
    </xf>
    <xf numFmtId="49" fontId="6" fillId="2" borderId="94" xfId="0" quotePrefix="1" applyNumberFormat="1" applyFont="1" applyFill="1" applyBorder="1" applyAlignment="1">
      <alignment horizontal="center" vertical="top"/>
    </xf>
    <xf numFmtId="49" fontId="6" fillId="2" borderId="65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vertical="center"/>
    </xf>
    <xf numFmtId="49" fontId="6" fillId="2" borderId="4" xfId="0" applyNumberFormat="1" applyFont="1" applyFill="1" applyBorder="1" applyAlignment="1">
      <alignment vertical="center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top"/>
    </xf>
    <xf numFmtId="49" fontId="6" fillId="2" borderId="3" xfId="0" quotePrefix="1" applyNumberFormat="1" applyFont="1" applyFill="1" applyBorder="1" applyAlignment="1">
      <alignment horizontal="centerContinuous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13" borderId="4" xfId="0" applyNumberFormat="1" applyFont="1" applyFill="1" applyBorder="1" applyAlignment="1">
      <alignment horizontal="centerContinuous" vertical="center"/>
    </xf>
    <xf numFmtId="170" fontId="6" fillId="8" borderId="18" xfId="0" applyNumberFormat="1" applyFont="1" applyFill="1" applyBorder="1" applyAlignment="1">
      <alignment vertical="center"/>
    </xf>
    <xf numFmtId="0" fontId="12" fillId="6" borderId="57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left" vertical="center"/>
    </xf>
    <xf numFmtId="170" fontId="10" fillId="6" borderId="21" xfId="0" applyNumberFormat="1" applyFont="1" applyFill="1" applyBorder="1" applyAlignment="1">
      <alignment vertical="center"/>
    </xf>
    <xf numFmtId="170" fontId="10" fillId="6" borderId="27" xfId="0" applyNumberFormat="1" applyFont="1" applyFill="1" applyBorder="1" applyAlignment="1">
      <alignment vertical="center"/>
    </xf>
    <xf numFmtId="170" fontId="10" fillId="6" borderId="28" xfId="0" applyNumberFormat="1" applyFont="1" applyFill="1" applyBorder="1" applyAlignment="1">
      <alignment vertical="center"/>
    </xf>
    <xf numFmtId="170" fontId="8" fillId="6" borderId="27" xfId="0" applyNumberFormat="1" applyFont="1" applyFill="1" applyBorder="1" applyAlignment="1">
      <alignment vertical="center"/>
    </xf>
    <xf numFmtId="170" fontId="8" fillId="6" borderId="28" xfId="0" applyNumberFormat="1" applyFont="1" applyFill="1" applyBorder="1" applyAlignment="1">
      <alignment vertical="center"/>
    </xf>
    <xf numFmtId="170" fontId="8" fillId="6" borderId="21" xfId="0" applyNumberFormat="1" applyFont="1" applyFill="1" applyBorder="1" applyAlignment="1">
      <alignment vertical="center"/>
    </xf>
    <xf numFmtId="172" fontId="8" fillId="6" borderId="27" xfId="0" applyNumberFormat="1" applyFont="1" applyFill="1" applyBorder="1" applyAlignment="1">
      <alignment vertical="center"/>
    </xf>
    <xf numFmtId="172" fontId="8" fillId="6" borderId="28" xfId="0" applyNumberFormat="1" applyFont="1" applyFill="1" applyBorder="1" applyAlignment="1">
      <alignment vertical="center"/>
    </xf>
    <xf numFmtId="170" fontId="8" fillId="6" borderId="57" xfId="0" applyNumberFormat="1" applyFont="1" applyFill="1" applyBorder="1" applyAlignment="1">
      <alignment vertical="center"/>
    </xf>
    <xf numFmtId="170" fontId="11" fillId="6" borderId="49" xfId="0" applyNumberFormat="1" applyFont="1" applyFill="1" applyBorder="1" applyAlignment="1">
      <alignment vertical="center"/>
    </xf>
    <xf numFmtId="170" fontId="11" fillId="6" borderId="28" xfId="0" applyNumberFormat="1" applyFont="1" applyFill="1" applyBorder="1" applyAlignment="1">
      <alignment vertical="center"/>
    </xf>
    <xf numFmtId="170" fontId="8" fillId="6" borderId="49" xfId="0" applyNumberFormat="1" applyFont="1" applyFill="1" applyBorder="1" applyAlignment="1">
      <alignment vertical="center"/>
    </xf>
    <xf numFmtId="0" fontId="6" fillId="0" borderId="54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center"/>
    </xf>
    <xf numFmtId="0" fontId="7" fillId="0" borderId="55" xfId="0" applyFont="1" applyFill="1" applyBorder="1" applyAlignment="1">
      <alignment horizontal="center" vertical="center"/>
    </xf>
    <xf numFmtId="170" fontId="7" fillId="0" borderId="69" xfId="0" applyNumberFormat="1" applyFont="1" applyFill="1" applyBorder="1" applyAlignment="1">
      <alignment vertical="center"/>
    </xf>
    <xf numFmtId="0" fontId="6" fillId="0" borderId="46" xfId="0" applyFont="1" applyBorder="1" applyAlignment="1">
      <alignment vertical="center"/>
    </xf>
    <xf numFmtId="0" fontId="6" fillId="0" borderId="53" xfId="0" applyFont="1" applyFill="1" applyBorder="1" applyAlignment="1">
      <alignment horizontal="center" vertical="center" wrapText="1"/>
    </xf>
    <xf numFmtId="170" fontId="6" fillId="0" borderId="37" xfId="0" applyNumberFormat="1" applyFont="1" applyFill="1" applyBorder="1" applyAlignment="1">
      <alignment vertical="center"/>
    </xf>
    <xf numFmtId="170" fontId="6" fillId="0" borderId="95" xfId="0" applyNumberFormat="1" applyFont="1" applyFill="1" applyBorder="1" applyAlignment="1">
      <alignment vertical="center"/>
    </xf>
    <xf numFmtId="0" fontId="6" fillId="16" borderId="53" xfId="0" applyFont="1" applyFill="1" applyBorder="1" applyAlignment="1">
      <alignment horizontal="center" vertical="center" wrapText="1"/>
    </xf>
    <xf numFmtId="0" fontId="6" fillId="6" borderId="17" xfId="0" applyFont="1" applyFill="1" applyBorder="1" applyAlignment="1">
      <alignment horizontal="left" vertical="center" wrapText="1"/>
    </xf>
    <xf numFmtId="170" fontId="6" fillId="16" borderId="19" xfId="0" applyNumberFormat="1" applyFont="1" applyFill="1" applyBorder="1" applyAlignment="1">
      <alignment vertical="center"/>
    </xf>
    <xf numFmtId="170" fontId="6" fillId="16" borderId="20" xfId="0" applyNumberFormat="1" applyFont="1" applyFill="1" applyBorder="1" applyAlignment="1">
      <alignment vertical="center"/>
    </xf>
    <xf numFmtId="172" fontId="6" fillId="16" borderId="19" xfId="0" applyNumberFormat="1" applyFont="1" applyFill="1" applyBorder="1" applyAlignment="1">
      <alignment vertical="center"/>
    </xf>
    <xf numFmtId="0" fontId="6" fillId="16" borderId="57" xfId="0" applyFont="1" applyFill="1" applyBorder="1" applyAlignment="1">
      <alignment horizontal="center" vertical="center" wrapText="1"/>
    </xf>
    <xf numFmtId="0" fontId="6" fillId="6" borderId="21" xfId="0" applyFont="1" applyFill="1" applyBorder="1" applyAlignment="1">
      <alignment horizontal="left" vertical="center" wrapText="1"/>
    </xf>
    <xf numFmtId="170" fontId="6" fillId="6" borderId="21" xfId="0" applyNumberFormat="1" applyFont="1" applyFill="1" applyBorder="1" applyAlignment="1">
      <alignment vertical="center"/>
    </xf>
    <xf numFmtId="170" fontId="6" fillId="6" borderId="27" xfId="0" applyNumberFormat="1" applyFont="1" applyFill="1" applyBorder="1" applyAlignment="1">
      <alignment vertical="center"/>
    </xf>
    <xf numFmtId="170" fontId="6" fillId="6" borderId="28" xfId="0" applyNumberFormat="1" applyFont="1" applyFill="1" applyBorder="1" applyAlignment="1">
      <alignment vertical="center"/>
    </xf>
    <xf numFmtId="170" fontId="6" fillId="8" borderId="27" xfId="0" applyNumberFormat="1" applyFont="1" applyFill="1" applyBorder="1" applyAlignment="1">
      <alignment vertical="center"/>
    </xf>
    <xf numFmtId="170" fontId="6" fillId="6" borderId="49" xfId="0" applyNumberFormat="1" applyFont="1" applyFill="1" applyBorder="1" applyAlignment="1">
      <alignment vertical="center"/>
    </xf>
    <xf numFmtId="170" fontId="6" fillId="16" borderId="27" xfId="0" applyNumberFormat="1" applyFont="1" applyFill="1" applyBorder="1" applyAlignment="1">
      <alignment vertical="center"/>
    </xf>
    <xf numFmtId="170" fontId="6" fillId="16" borderId="28" xfId="0" applyNumberFormat="1" applyFont="1" applyFill="1" applyBorder="1" applyAlignment="1">
      <alignment vertical="center"/>
    </xf>
    <xf numFmtId="170" fontId="6" fillId="16" borderId="21" xfId="0" applyNumberFormat="1" applyFont="1" applyFill="1" applyBorder="1" applyAlignment="1">
      <alignment vertical="center"/>
    </xf>
    <xf numFmtId="172" fontId="6" fillId="16" borderId="28" xfId="0" applyNumberFormat="1" applyFont="1" applyFill="1" applyBorder="1" applyAlignment="1">
      <alignment vertical="center"/>
    </xf>
    <xf numFmtId="0" fontId="6" fillId="16" borderId="26" xfId="0" applyFont="1" applyFill="1" applyBorder="1" applyAlignment="1">
      <alignment horizontal="center" vertical="center" wrapText="1"/>
    </xf>
    <xf numFmtId="0" fontId="6" fillId="6" borderId="96" xfId="0" applyFont="1" applyFill="1" applyBorder="1" applyAlignment="1">
      <alignment horizontal="left" vertical="center" wrapText="1"/>
    </xf>
    <xf numFmtId="170" fontId="6" fillId="8" borderId="25" xfId="0" applyNumberFormat="1" applyFont="1" applyFill="1" applyBorder="1" applyAlignment="1">
      <alignment vertical="center"/>
    </xf>
    <xf numFmtId="170" fontId="6" fillId="16" borderId="25" xfId="0" applyNumberFormat="1" applyFont="1" applyFill="1" applyBorder="1" applyAlignment="1">
      <alignment vertical="center"/>
    </xf>
    <xf numFmtId="170" fontId="6" fillId="16" borderId="26" xfId="0" applyNumberFormat="1" applyFont="1" applyFill="1" applyBorder="1" applyAlignment="1">
      <alignment vertical="center"/>
    </xf>
    <xf numFmtId="0" fontId="6" fillId="0" borderId="51" xfId="0" applyFont="1" applyFill="1" applyBorder="1" applyAlignment="1">
      <alignment vertical="center"/>
    </xf>
    <xf numFmtId="0" fontId="6" fillId="0" borderId="96" xfId="0" applyFont="1" applyFill="1" applyBorder="1" applyAlignment="1">
      <alignment horizontal="left" vertical="center" wrapText="1"/>
    </xf>
    <xf numFmtId="0" fontId="6" fillId="0" borderId="32" xfId="0" applyFont="1" applyFill="1" applyBorder="1" applyAlignment="1">
      <alignment vertical="center"/>
    </xf>
    <xf numFmtId="0" fontId="6" fillId="0" borderId="32" xfId="0" applyFont="1" applyFill="1" applyBorder="1" applyAlignment="1">
      <alignment horizontal="center" vertical="center"/>
    </xf>
    <xf numFmtId="170" fontId="6" fillId="0" borderId="55" xfId="0" applyNumberFormat="1" applyFont="1" applyFill="1" applyBorder="1" applyAlignment="1">
      <alignment vertical="center"/>
    </xf>
    <xf numFmtId="0" fontId="6" fillId="6" borderId="37" xfId="0" applyFont="1" applyFill="1" applyBorder="1" applyAlignment="1">
      <alignment horizontal="center" vertical="center"/>
    </xf>
    <xf numFmtId="0" fontId="6" fillId="6" borderId="97" xfId="0" applyFont="1" applyFill="1" applyBorder="1" applyAlignment="1">
      <alignment horizontal="left" vertical="center"/>
    </xf>
    <xf numFmtId="170" fontId="6" fillId="6" borderId="97" xfId="0" applyNumberFormat="1" applyFont="1" applyFill="1" applyBorder="1" applyAlignment="1">
      <alignment vertical="center"/>
    </xf>
    <xf numFmtId="170" fontId="6" fillId="6" borderId="81" xfId="0" applyNumberFormat="1" applyFont="1" applyFill="1" applyBorder="1" applyAlignment="1">
      <alignment vertical="center"/>
    </xf>
    <xf numFmtId="170" fontId="7" fillId="6" borderId="98" xfId="0" applyNumberFormat="1" applyFont="1" applyFill="1" applyBorder="1" applyAlignment="1">
      <alignment vertical="center"/>
    </xf>
    <xf numFmtId="170" fontId="7" fillId="6" borderId="81" xfId="0" applyNumberFormat="1" applyFont="1" applyFill="1" applyBorder="1" applyAlignment="1">
      <alignment vertical="center"/>
    </xf>
    <xf numFmtId="170" fontId="6" fillId="6" borderId="98" xfId="0" applyNumberFormat="1" applyFont="1" applyFill="1" applyBorder="1" applyAlignment="1">
      <alignment vertical="center"/>
    </xf>
    <xf numFmtId="170" fontId="6" fillId="0" borderId="81" xfId="0" applyNumberFormat="1" applyFont="1" applyFill="1" applyBorder="1" applyAlignment="1">
      <alignment vertical="center"/>
    </xf>
    <xf numFmtId="170" fontId="6" fillId="0" borderId="97" xfId="0" applyNumberFormat="1" applyFont="1" applyFill="1" applyBorder="1" applyAlignment="1">
      <alignment vertical="center"/>
    </xf>
    <xf numFmtId="0" fontId="6" fillId="6" borderId="45" xfId="0" applyFont="1" applyFill="1" applyBorder="1" applyAlignment="1">
      <alignment horizontal="center" vertical="center"/>
    </xf>
    <xf numFmtId="0" fontId="6" fillId="6" borderId="99" xfId="0" applyFont="1" applyFill="1" applyBorder="1" applyAlignment="1">
      <alignment horizontal="left" vertical="center"/>
    </xf>
    <xf numFmtId="170" fontId="6" fillId="6" borderId="99" xfId="0" applyNumberFormat="1" applyFont="1" applyFill="1" applyBorder="1" applyAlignment="1">
      <alignment vertical="center"/>
    </xf>
    <xf numFmtId="170" fontId="6" fillId="6" borderId="82" xfId="0" applyNumberFormat="1" applyFont="1" applyFill="1" applyBorder="1" applyAlignment="1">
      <alignment vertical="center"/>
    </xf>
    <xf numFmtId="170" fontId="7" fillId="6" borderId="100" xfId="0" applyNumberFormat="1" applyFont="1" applyFill="1" applyBorder="1" applyAlignment="1">
      <alignment vertical="center"/>
    </xf>
    <xf numFmtId="170" fontId="7" fillId="6" borderId="82" xfId="0" applyNumberFormat="1" applyFont="1" applyFill="1" applyBorder="1" applyAlignment="1">
      <alignment vertical="center"/>
    </xf>
    <xf numFmtId="170" fontId="6" fillId="6" borderId="100" xfId="0" applyNumberFormat="1" applyFont="1" applyFill="1" applyBorder="1" applyAlignment="1">
      <alignment vertical="center"/>
    </xf>
    <xf numFmtId="170" fontId="6" fillId="0" borderId="82" xfId="0" applyNumberFormat="1" applyFont="1" applyFill="1" applyBorder="1" applyAlignment="1">
      <alignment vertical="center"/>
    </xf>
    <xf numFmtId="0" fontId="6" fillId="0" borderId="17" xfId="0" applyFont="1" applyFill="1" applyBorder="1" applyAlignment="1">
      <alignment vertical="center" wrapText="1"/>
    </xf>
    <xf numFmtId="170" fontId="6" fillId="6" borderId="53" xfId="0" applyNumberFormat="1" applyFont="1" applyFill="1" applyBorder="1" applyAlignment="1">
      <alignment vertical="center"/>
    </xf>
    <xf numFmtId="0" fontId="6" fillId="0" borderId="101" xfId="0" applyFont="1" applyFill="1" applyBorder="1" applyAlignment="1">
      <alignment vertical="center"/>
    </xf>
    <xf numFmtId="170" fontId="6" fillId="0" borderId="73" xfId="0" applyNumberFormat="1" applyFont="1" applyFill="1" applyBorder="1" applyAlignment="1">
      <alignment vertical="center"/>
    </xf>
    <xf numFmtId="170" fontId="7" fillId="0" borderId="102" xfId="0" applyNumberFormat="1" applyFont="1" applyFill="1" applyBorder="1" applyAlignment="1">
      <alignment vertical="center"/>
    </xf>
    <xf numFmtId="170" fontId="6" fillId="0" borderId="102" xfId="0" applyNumberFormat="1" applyFont="1" applyFill="1" applyBorder="1" applyAlignment="1">
      <alignment vertical="center"/>
    </xf>
    <xf numFmtId="0" fontId="6" fillId="0" borderId="96" xfId="0" applyFont="1" applyFill="1" applyBorder="1" applyAlignment="1">
      <alignment vertical="center"/>
    </xf>
    <xf numFmtId="172" fontId="6" fillId="0" borderId="25" xfId="0" applyNumberFormat="1" applyFont="1" applyFill="1" applyBorder="1" applyAlignment="1">
      <alignment vertical="center"/>
    </xf>
    <xf numFmtId="172" fontId="6" fillId="0" borderId="26" xfId="0" applyNumberFormat="1" applyFont="1" applyFill="1" applyBorder="1" applyAlignment="1">
      <alignment vertical="center"/>
    </xf>
    <xf numFmtId="0" fontId="6" fillId="0" borderId="43" xfId="0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vertical="center"/>
    </xf>
    <xf numFmtId="172" fontId="6" fillId="0" borderId="40" xfId="0" applyNumberFormat="1" applyFont="1" applyFill="1" applyBorder="1" applyAlignment="1">
      <alignment vertical="center"/>
    </xf>
    <xf numFmtId="172" fontId="6" fillId="0" borderId="43" xfId="0" applyNumberFormat="1" applyFont="1" applyFill="1" applyBorder="1" applyAlignment="1">
      <alignment vertical="center"/>
    </xf>
    <xf numFmtId="0" fontId="13" fillId="0" borderId="16" xfId="0" applyFont="1" applyFill="1" applyBorder="1" applyAlignment="1">
      <alignment vertical="center"/>
    </xf>
    <xf numFmtId="0" fontId="13" fillId="0" borderId="30" xfId="0" applyFont="1" applyFill="1" applyBorder="1" applyAlignment="1">
      <alignment vertical="center"/>
    </xf>
    <xf numFmtId="0" fontId="13" fillId="0" borderId="31" xfId="0" applyFont="1" applyFill="1" applyBorder="1" applyAlignment="1">
      <alignment vertical="center"/>
    </xf>
    <xf numFmtId="170" fontId="7" fillId="0" borderId="55" xfId="0" applyNumberFormat="1" applyFont="1" applyFill="1" applyBorder="1" applyAlignment="1">
      <alignment vertical="center"/>
    </xf>
    <xf numFmtId="170" fontId="7" fillId="0" borderId="31" xfId="0" applyNumberFormat="1" applyFont="1" applyFill="1" applyBorder="1" applyAlignment="1">
      <alignment vertical="center"/>
    </xf>
    <xf numFmtId="0" fontId="13" fillId="0" borderId="0" xfId="0" applyFont="1" applyFill="1" applyAlignment="1">
      <alignment vertical="center"/>
    </xf>
    <xf numFmtId="164" fontId="6" fillId="0" borderId="0" xfId="1" applyFont="1" applyFill="1" applyAlignment="1">
      <alignment vertical="center"/>
    </xf>
    <xf numFmtId="164" fontId="6" fillId="0" borderId="0" xfId="1" applyFont="1" applyAlignment="1">
      <alignment vertical="center"/>
    </xf>
    <xf numFmtId="0" fontId="14" fillId="5" borderId="0" xfId="0" applyFont="1" applyFill="1" applyAlignment="1">
      <alignment vertical="center"/>
    </xf>
    <xf numFmtId="170" fontId="14" fillId="5" borderId="0" xfId="0" applyNumberFormat="1" applyFont="1" applyFill="1" applyAlignment="1">
      <alignment vertical="center"/>
    </xf>
    <xf numFmtId="170" fontId="14" fillId="0" borderId="0" xfId="0" applyNumberFormat="1" applyFont="1" applyFill="1" applyAlignment="1">
      <alignment vertical="center"/>
    </xf>
    <xf numFmtId="0" fontId="14" fillId="0" borderId="0" xfId="0" applyFont="1" applyFill="1" applyAlignment="1">
      <alignment vertical="center"/>
    </xf>
    <xf numFmtId="0" fontId="17" fillId="0" borderId="0" xfId="0" applyFont="1" applyAlignment="1">
      <alignment vertical="center"/>
    </xf>
    <xf numFmtId="166" fontId="17" fillId="0" borderId="0" xfId="0" quotePrefix="1" applyNumberFormat="1" applyFont="1" applyAlignment="1">
      <alignment vertical="center"/>
    </xf>
    <xf numFmtId="0" fontId="17" fillId="7" borderId="0" xfId="0" applyFont="1" applyFill="1" applyAlignment="1">
      <alignment vertical="center"/>
    </xf>
    <xf numFmtId="0" fontId="17" fillId="0" borderId="0" xfId="0" applyFont="1" applyFill="1" applyAlignment="1">
      <alignment vertical="center"/>
    </xf>
    <xf numFmtId="0" fontId="17" fillId="0" borderId="1" xfId="0" applyFont="1" applyBorder="1" applyAlignment="1">
      <alignment vertical="center"/>
    </xf>
    <xf numFmtId="0" fontId="17" fillId="0" borderId="2" xfId="0" applyFont="1" applyBorder="1" applyAlignment="1">
      <alignment vertical="center"/>
    </xf>
    <xf numFmtId="0" fontId="17" fillId="0" borderId="65" xfId="2" applyNumberFormat="1" applyFont="1" applyFill="1" applyBorder="1" applyAlignment="1">
      <alignment horizontal="centerContinuous" vertical="center"/>
    </xf>
    <xf numFmtId="0" fontId="17" fillId="0" borderId="3" xfId="2" applyNumberFormat="1" applyFont="1" applyFill="1" applyBorder="1" applyAlignment="1">
      <alignment horizontal="centerContinuous" vertical="center"/>
    </xf>
    <xf numFmtId="0" fontId="17" fillId="0" borderId="4" xfId="2" applyNumberFormat="1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/>
    </xf>
    <xf numFmtId="49" fontId="17" fillId="2" borderId="64" xfId="0" quotePrefix="1" applyNumberFormat="1" applyFont="1" applyFill="1" applyBorder="1" applyAlignment="1">
      <alignment horizontal="centerContinuous" vertical="center"/>
    </xf>
    <xf numFmtId="49" fontId="17" fillId="2" borderId="8" xfId="0" quotePrefix="1" applyNumberFormat="1" applyFont="1" applyFill="1" applyBorder="1" applyAlignment="1">
      <alignment horizontal="centerContinuous" vertical="center"/>
    </xf>
    <xf numFmtId="49" fontId="17" fillId="2" borderId="9" xfId="0" quotePrefix="1" applyNumberFormat="1" applyFont="1" applyFill="1" applyBorder="1" applyAlignment="1">
      <alignment horizontal="centerContinuous" vertical="center"/>
    </xf>
    <xf numFmtId="0" fontId="17" fillId="0" borderId="0" xfId="0" applyFont="1" applyAlignment="1">
      <alignment horizontal="center" vertical="center"/>
    </xf>
    <xf numFmtId="0" fontId="17" fillId="2" borderId="10" xfId="0" applyFont="1" applyFill="1" applyBorder="1" applyAlignment="1">
      <alignment horizontal="center" vertical="center"/>
    </xf>
    <xf numFmtId="0" fontId="17" fillId="2" borderId="11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/>
    </xf>
    <xf numFmtId="0" fontId="17" fillId="2" borderId="13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5" xfId="0" applyFont="1" applyFill="1" applyBorder="1" applyAlignment="1">
      <alignment horizontal="center" vertical="center"/>
    </xf>
    <xf numFmtId="0" fontId="17" fillId="2" borderId="13" xfId="0" quotePrefix="1" applyFont="1" applyFill="1" applyBorder="1" applyAlignment="1">
      <alignment horizontal="center" vertical="center"/>
    </xf>
    <xf numFmtId="0" fontId="17" fillId="2" borderId="14" xfId="0" quotePrefix="1" applyFont="1" applyFill="1" applyBorder="1" applyAlignment="1">
      <alignment horizontal="center" vertical="center"/>
    </xf>
    <xf numFmtId="168" fontId="17" fillId="0" borderId="0" xfId="1" applyNumberFormat="1" applyFont="1" applyFill="1" applyAlignment="1">
      <alignment vertical="center"/>
    </xf>
    <xf numFmtId="0" fontId="17" fillId="0" borderId="49" xfId="0" applyFont="1" applyBorder="1" applyAlignment="1">
      <alignment vertical="center"/>
    </xf>
    <xf numFmtId="0" fontId="17" fillId="0" borderId="28" xfId="0" applyFont="1" applyFill="1" applyBorder="1" applyAlignment="1">
      <alignment vertical="center"/>
    </xf>
    <xf numFmtId="0" fontId="17" fillId="5" borderId="50" xfId="0" applyFont="1" applyFill="1" applyBorder="1" applyAlignment="1">
      <alignment horizontal="center" vertical="center"/>
    </xf>
    <xf numFmtId="0" fontId="17" fillId="0" borderId="49" xfId="0" applyFont="1" applyFill="1" applyBorder="1" applyAlignment="1">
      <alignment vertical="center"/>
    </xf>
    <xf numFmtId="0" fontId="17" fillId="0" borderId="50" xfId="0" applyFont="1" applyFill="1" applyBorder="1" applyAlignment="1">
      <alignment horizontal="center" vertical="center"/>
    </xf>
    <xf numFmtId="0" fontId="17" fillId="0" borderId="19" xfId="0" applyFont="1" applyFill="1" applyBorder="1" applyAlignment="1">
      <alignment vertical="center"/>
    </xf>
    <xf numFmtId="0" fontId="17" fillId="0" borderId="26" xfId="0" applyFont="1" applyFill="1" applyBorder="1" applyAlignment="1">
      <alignment vertical="center"/>
    </xf>
    <xf numFmtId="0" fontId="17" fillId="0" borderId="28" xfId="0" applyFont="1" applyFill="1" applyBorder="1" applyAlignment="1">
      <alignment vertical="center" wrapText="1"/>
    </xf>
    <xf numFmtId="0" fontId="17" fillId="0" borderId="19" xfId="0" applyFont="1" applyFill="1" applyBorder="1" applyAlignment="1">
      <alignment vertical="center" wrapText="1"/>
    </xf>
    <xf numFmtId="0" fontId="17" fillId="0" borderId="45" xfId="0" applyFont="1" applyFill="1" applyBorder="1" applyAlignment="1">
      <alignment vertical="center"/>
    </xf>
    <xf numFmtId="0" fontId="17" fillId="0" borderId="42" xfId="0" applyFont="1" applyFill="1" applyBorder="1" applyAlignment="1">
      <alignment vertical="center"/>
    </xf>
    <xf numFmtId="0" fontId="17" fillId="0" borderId="43" xfId="0" applyFont="1" applyFill="1" applyBorder="1" applyAlignment="1">
      <alignment vertical="center"/>
    </xf>
    <xf numFmtId="0" fontId="17" fillId="0" borderId="56" xfId="0" applyFont="1" applyFill="1" applyBorder="1" applyAlignment="1">
      <alignment horizontal="center" vertical="center"/>
    </xf>
    <xf numFmtId="0" fontId="17" fillId="0" borderId="30" xfId="0" applyFont="1" applyBorder="1" applyAlignment="1">
      <alignment vertical="center"/>
    </xf>
    <xf numFmtId="0" fontId="17" fillId="0" borderId="31" xfId="0" applyFont="1" applyFill="1" applyBorder="1" applyAlignment="1">
      <alignment vertical="center"/>
    </xf>
    <xf numFmtId="0" fontId="17" fillId="0" borderId="31" xfId="0" applyFont="1" applyFill="1" applyBorder="1" applyAlignment="1">
      <alignment horizontal="center" vertical="center"/>
    </xf>
    <xf numFmtId="164" fontId="17" fillId="0" borderId="0" xfId="1" applyFont="1" applyAlignment="1">
      <alignment vertical="center"/>
    </xf>
    <xf numFmtId="164" fontId="17" fillId="0" borderId="0" xfId="1" applyFont="1" applyFill="1" applyAlignment="1">
      <alignment vertical="center"/>
    </xf>
    <xf numFmtId="0" fontId="17" fillId="0" borderId="16" xfId="0" applyFont="1" applyFill="1" applyBorder="1" applyAlignment="1">
      <alignment vertical="center"/>
    </xf>
    <xf numFmtId="0" fontId="17" fillId="0" borderId="77" xfId="0" applyFont="1" applyFill="1" applyBorder="1" applyAlignment="1">
      <alignment vertical="center"/>
    </xf>
    <xf numFmtId="0" fontId="17" fillId="0" borderId="50" xfId="0" quotePrefix="1" applyFont="1" applyFill="1" applyBorder="1" applyAlignment="1">
      <alignment horizontal="center" vertical="center"/>
    </xf>
    <xf numFmtId="0" fontId="17" fillId="0" borderId="20" xfId="0" applyFont="1" applyFill="1" applyBorder="1" applyAlignment="1">
      <alignment vertical="center"/>
    </xf>
    <xf numFmtId="170" fontId="17" fillId="0" borderId="18" xfId="0" applyNumberFormat="1" applyFont="1" applyFill="1" applyBorder="1" applyAlignment="1">
      <alignment vertical="center"/>
    </xf>
    <xf numFmtId="166" fontId="17" fillId="0" borderId="20" xfId="0" applyNumberFormat="1" applyFont="1" applyFill="1" applyBorder="1" applyAlignment="1">
      <alignment vertical="center"/>
    </xf>
    <xf numFmtId="170" fontId="17" fillId="5" borderId="18" xfId="0" applyNumberFormat="1" applyFont="1" applyFill="1" applyBorder="1" applyAlignment="1">
      <alignment vertical="center"/>
    </xf>
    <xf numFmtId="0" fontId="17" fillId="0" borderId="51" xfId="0" applyFont="1" applyFill="1" applyBorder="1" applyAlignment="1">
      <alignment vertical="center"/>
    </xf>
    <xf numFmtId="0" fontId="17" fillId="3" borderId="50" xfId="0" quotePrefix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vertical="center"/>
    </xf>
    <xf numFmtId="0" fontId="17" fillId="4" borderId="26" xfId="0" quotePrefix="1" applyFont="1" applyFill="1" applyBorder="1" applyAlignment="1">
      <alignment horizontal="center" vertical="center"/>
    </xf>
    <xf numFmtId="0" fontId="17" fillId="4" borderId="52" xfId="0" quotePrefix="1" applyFont="1" applyFill="1" applyBorder="1" applyAlignment="1">
      <alignment horizontal="center" vertical="center"/>
    </xf>
    <xf numFmtId="0" fontId="17" fillId="0" borderId="75" xfId="0" applyFont="1" applyFill="1" applyBorder="1" applyAlignment="1">
      <alignment vertical="center"/>
    </xf>
    <xf numFmtId="170" fontId="17" fillId="0" borderId="67" xfId="0" applyNumberFormat="1" applyFont="1" applyFill="1" applyBorder="1" applyAlignment="1">
      <alignment vertical="center"/>
    </xf>
    <xf numFmtId="166" fontId="17" fillId="0" borderId="75" xfId="0" applyNumberFormat="1" applyFont="1" applyFill="1" applyBorder="1" applyAlignment="1">
      <alignment vertical="center"/>
    </xf>
    <xf numFmtId="0" fontId="17" fillId="0" borderId="39" xfId="0" applyFont="1" applyFill="1" applyBorder="1" applyAlignment="1">
      <alignment vertical="center"/>
    </xf>
    <xf numFmtId="0" fontId="17" fillId="0" borderId="54" xfId="0" applyFont="1" applyFill="1" applyBorder="1" applyAlignment="1">
      <alignment vertical="center"/>
    </xf>
    <xf numFmtId="0" fontId="17" fillId="0" borderId="60" xfId="0" applyFont="1" applyBorder="1" applyAlignment="1">
      <alignment horizontal="center" vertical="center"/>
    </xf>
    <xf numFmtId="0" fontId="17" fillId="0" borderId="41" xfId="0" applyFont="1" applyFill="1" applyBorder="1" applyAlignment="1">
      <alignment horizontal="center" vertical="center"/>
    </xf>
    <xf numFmtId="170" fontId="17" fillId="0" borderId="42" xfId="0" applyNumberFormat="1" applyFont="1" applyFill="1" applyBorder="1" applyAlignment="1">
      <alignment vertical="center"/>
    </xf>
    <xf numFmtId="166" fontId="17" fillId="0" borderId="41" xfId="0" applyNumberFormat="1" applyFont="1" applyFill="1" applyBorder="1" applyAlignment="1">
      <alignment vertical="center"/>
    </xf>
    <xf numFmtId="0" fontId="17" fillId="0" borderId="16" xfId="0" applyFont="1" applyBorder="1" applyAlignment="1">
      <alignment vertical="center"/>
    </xf>
    <xf numFmtId="0" fontId="17" fillId="0" borderId="0" xfId="0" applyFont="1" applyFill="1" applyBorder="1" applyAlignment="1">
      <alignment vertical="center" wrapText="1"/>
    </xf>
    <xf numFmtId="0" fontId="17" fillId="5" borderId="26" xfId="0" quotePrefix="1" applyFont="1" applyFill="1" applyBorder="1" applyAlignment="1">
      <alignment horizontal="center" vertical="center"/>
    </xf>
    <xf numFmtId="0" fontId="17" fillId="5" borderId="20" xfId="0" quotePrefix="1" applyFont="1" applyFill="1" applyBorder="1" applyAlignment="1">
      <alignment horizontal="left" vertical="center"/>
    </xf>
    <xf numFmtId="170" fontId="17" fillId="0" borderId="25" xfId="0" applyNumberFormat="1" applyFont="1" applyFill="1" applyBorder="1" applyAlignment="1">
      <alignment vertical="center"/>
    </xf>
    <xf numFmtId="166" fontId="17" fillId="5" borderId="20" xfId="0" applyNumberFormat="1" applyFont="1" applyFill="1" applyBorder="1" applyAlignment="1">
      <alignment vertical="center"/>
    </xf>
    <xf numFmtId="0" fontId="17" fillId="5" borderId="53" xfId="0" quotePrefix="1" applyFont="1" applyFill="1" applyBorder="1" applyAlignment="1">
      <alignment horizontal="center" vertical="center"/>
    </xf>
    <xf numFmtId="0" fontId="17" fillId="5" borderId="17" xfId="0" quotePrefix="1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vertical="center"/>
    </xf>
    <xf numFmtId="0" fontId="17" fillId="0" borderId="53" xfId="0" quotePrefix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vertical="center" wrapText="1"/>
    </xf>
    <xf numFmtId="0" fontId="17" fillId="9" borderId="17" xfId="0" applyFont="1" applyFill="1" applyBorder="1" applyAlignment="1">
      <alignment horizontal="left" vertical="center" wrapText="1"/>
    </xf>
    <xf numFmtId="166" fontId="17" fillId="9" borderId="20" xfId="0" applyNumberFormat="1" applyFont="1" applyFill="1" applyBorder="1" applyAlignment="1">
      <alignment vertical="center"/>
    </xf>
    <xf numFmtId="0" fontId="17" fillId="11" borderId="17" xfId="0" applyFont="1" applyFill="1" applyBorder="1" applyAlignment="1">
      <alignment horizontal="left" vertical="center" wrapText="1"/>
    </xf>
    <xf numFmtId="0" fontId="17" fillId="0" borderId="17" xfId="0" applyFont="1" applyFill="1" applyBorder="1" applyAlignment="1">
      <alignment horizontal="left" vertical="center" wrapText="1" shrinkToFit="1"/>
    </xf>
    <xf numFmtId="0" fontId="17" fillId="8" borderId="53" xfId="0" quotePrefix="1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horizontal="left" vertical="center"/>
    </xf>
    <xf numFmtId="0" fontId="17" fillId="5" borderId="17" xfId="0" applyFont="1" applyFill="1" applyBorder="1" applyAlignment="1">
      <alignment horizontal="left" vertical="center"/>
    </xf>
    <xf numFmtId="0" fontId="17" fillId="0" borderId="39" xfId="0" applyFont="1" applyBorder="1" applyAlignment="1">
      <alignment vertical="center"/>
    </xf>
    <xf numFmtId="0" fontId="17" fillId="0" borderId="44" xfId="0" applyFont="1" applyFill="1" applyBorder="1" applyAlignment="1">
      <alignment vertical="center"/>
    </xf>
    <xf numFmtId="0" fontId="17" fillId="0" borderId="62" xfId="0" applyFont="1" applyBorder="1" applyAlignment="1">
      <alignment horizontal="center" vertical="center"/>
    </xf>
    <xf numFmtId="170" fontId="17" fillId="0" borderId="66" xfId="0" applyNumberFormat="1" applyFont="1" applyFill="1" applyBorder="1" applyAlignment="1">
      <alignment vertical="center"/>
    </xf>
    <xf numFmtId="166" fontId="17" fillId="0" borderId="23" xfId="0" applyNumberFormat="1" applyFont="1" applyFill="1" applyBorder="1" applyAlignment="1">
      <alignment vertical="center"/>
    </xf>
    <xf numFmtId="0" fontId="17" fillId="0" borderId="31" xfId="0" applyFont="1" applyBorder="1" applyAlignment="1">
      <alignment horizontal="center" vertical="center"/>
    </xf>
    <xf numFmtId="0" fontId="17" fillId="0" borderId="55" xfId="0" applyFont="1" applyBorder="1" applyAlignment="1">
      <alignment horizontal="center" vertical="center"/>
    </xf>
    <xf numFmtId="170" fontId="17" fillId="0" borderId="30" xfId="0" applyNumberFormat="1" applyFont="1" applyFill="1" applyBorder="1" applyAlignment="1">
      <alignment vertical="center"/>
    </xf>
    <xf numFmtId="166" fontId="17" fillId="0" borderId="33" xfId="0" applyNumberFormat="1" applyFont="1" applyFill="1" applyBorder="1" applyAlignment="1">
      <alignment vertical="center"/>
    </xf>
    <xf numFmtId="170" fontId="17" fillId="0" borderId="0" xfId="1" applyNumberFormat="1" applyFont="1" applyFill="1" applyAlignment="1">
      <alignment vertical="center"/>
    </xf>
    <xf numFmtId="0" fontId="17" fillId="0" borderId="46" xfId="0" applyFont="1" applyFill="1" applyBorder="1" applyAlignment="1">
      <alignment vertical="center"/>
    </xf>
    <xf numFmtId="0" fontId="17" fillId="0" borderId="47" xfId="0" applyFont="1" applyFill="1" applyBorder="1" applyAlignment="1">
      <alignment vertical="center"/>
    </xf>
    <xf numFmtId="0" fontId="17" fillId="0" borderId="59" xfId="0" applyFont="1" applyFill="1" applyBorder="1" applyAlignment="1">
      <alignment horizontal="center" vertical="center"/>
    </xf>
    <xf numFmtId="0" fontId="17" fillId="0" borderId="36" xfId="0" applyFont="1" applyBorder="1" applyAlignment="1">
      <alignment vertical="center"/>
    </xf>
    <xf numFmtId="170" fontId="17" fillId="0" borderId="38" xfId="0" applyNumberFormat="1" applyFont="1" applyFill="1" applyBorder="1" applyAlignment="1">
      <alignment vertical="center"/>
    </xf>
    <xf numFmtId="166" fontId="17" fillId="0" borderId="36" xfId="0" applyNumberFormat="1" applyFont="1" applyFill="1" applyBorder="1" applyAlignment="1">
      <alignment vertical="center"/>
    </xf>
    <xf numFmtId="0" fontId="17" fillId="0" borderId="53" xfId="0" applyFont="1" applyFill="1" applyBorder="1" applyAlignment="1">
      <alignment horizontal="center" vertical="center"/>
    </xf>
    <xf numFmtId="0" fontId="17" fillId="0" borderId="17" xfId="0" applyFont="1" applyBorder="1" applyAlignment="1">
      <alignment vertical="center"/>
    </xf>
    <xf numFmtId="0" fontId="17" fillId="3" borderId="53" xfId="0" applyFont="1" applyFill="1" applyBorder="1" applyAlignment="1">
      <alignment horizontal="center" vertical="center"/>
    </xf>
    <xf numFmtId="0" fontId="17" fillId="3" borderId="17" xfId="0" applyFont="1" applyFill="1" applyBorder="1" applyAlignment="1">
      <alignment vertical="center"/>
    </xf>
    <xf numFmtId="170" fontId="17" fillId="0" borderId="19" xfId="0" applyNumberFormat="1" applyFont="1" applyFill="1" applyBorder="1" applyAlignment="1">
      <alignment vertical="center"/>
    </xf>
    <xf numFmtId="0" fontId="17" fillId="0" borderId="57" xfId="0" applyFont="1" applyFill="1" applyBorder="1" applyAlignment="1">
      <alignment horizontal="center" vertical="center"/>
    </xf>
    <xf numFmtId="0" fontId="17" fillId="3" borderId="51" xfId="0" applyFont="1" applyFill="1" applyBorder="1" applyAlignment="1">
      <alignment horizontal="center" vertical="center"/>
    </xf>
    <xf numFmtId="0" fontId="17" fillId="3" borderId="75" xfId="0" applyFont="1" applyFill="1" applyBorder="1" applyAlignment="1">
      <alignment vertical="center"/>
    </xf>
    <xf numFmtId="168" fontId="17" fillId="0" borderId="42" xfId="1" applyNumberFormat="1" applyFont="1" applyFill="1" applyBorder="1" applyAlignment="1">
      <alignment vertical="center"/>
    </xf>
    <xf numFmtId="168" fontId="17" fillId="0" borderId="43" xfId="1" applyNumberFormat="1" applyFont="1" applyFill="1" applyBorder="1" applyAlignment="1">
      <alignment vertical="center"/>
    </xf>
    <xf numFmtId="168" fontId="17" fillId="0" borderId="60" xfId="1" applyNumberFormat="1" applyFont="1" applyFill="1" applyBorder="1" applyAlignment="1">
      <alignment horizontal="center" vertical="center"/>
    </xf>
    <xf numFmtId="168" fontId="17" fillId="0" borderId="41" xfId="1" applyNumberFormat="1" applyFont="1" applyFill="1" applyBorder="1" applyAlignment="1">
      <alignment vertical="center"/>
    </xf>
    <xf numFmtId="170" fontId="17" fillId="0" borderId="43" xfId="0" applyNumberFormat="1" applyFont="1" applyFill="1" applyBorder="1" applyAlignment="1">
      <alignment vertical="center"/>
    </xf>
    <xf numFmtId="170" fontId="17" fillId="0" borderId="41" xfId="1" applyNumberFormat="1" applyFont="1" applyFill="1" applyBorder="1" applyAlignment="1">
      <alignment vertical="center"/>
    </xf>
    <xf numFmtId="0" fontId="17" fillId="0" borderId="0" xfId="0" applyFont="1" applyFill="1" applyBorder="1" applyAlignment="1">
      <alignment horizontal="center" vertical="center"/>
    </xf>
    <xf numFmtId="170" fontId="17" fillId="0" borderId="0" xfId="0" applyNumberFormat="1" applyFont="1" applyFill="1" applyBorder="1" applyAlignment="1">
      <alignment vertical="center"/>
    </xf>
    <xf numFmtId="167" fontId="17" fillId="0" borderId="0" xfId="0" applyNumberFormat="1" applyFont="1" applyFill="1" applyBorder="1" applyAlignment="1">
      <alignment vertical="center"/>
    </xf>
    <xf numFmtId="170" fontId="17" fillId="0" borderId="0" xfId="0" applyNumberFormat="1" applyFont="1" applyFill="1" applyAlignment="1">
      <alignment vertical="center"/>
    </xf>
    <xf numFmtId="170" fontId="17" fillId="0" borderId="65" xfId="2" applyNumberFormat="1" applyFont="1" applyFill="1" applyBorder="1" applyAlignment="1">
      <alignment horizontal="centerContinuous" vertical="center"/>
    </xf>
    <xf numFmtId="170" fontId="17" fillId="2" borderId="13" xfId="0" applyNumberFormat="1" applyFont="1" applyFill="1" applyBorder="1" applyAlignment="1">
      <alignment horizontal="center" vertical="center"/>
    </xf>
    <xf numFmtId="0" fontId="17" fillId="0" borderId="34" xfId="0" applyFont="1" applyBorder="1" applyAlignment="1">
      <alignment vertical="center"/>
    </xf>
    <xf numFmtId="0" fontId="17" fillId="0" borderId="35" xfId="0" applyFont="1" applyFill="1" applyBorder="1" applyAlignment="1">
      <alignment horizontal="left" vertical="center"/>
    </xf>
    <xf numFmtId="0" fontId="17" fillId="0" borderId="48" xfId="0" applyFont="1" applyFill="1" applyBorder="1" applyAlignment="1">
      <alignment horizontal="center" vertical="center" wrapText="1"/>
    </xf>
    <xf numFmtId="0" fontId="17" fillId="0" borderId="36" xfId="0" applyFont="1" applyFill="1" applyBorder="1" applyAlignment="1">
      <alignment horizontal="left" vertical="center"/>
    </xf>
    <xf numFmtId="170" fontId="17" fillId="0" borderId="37" xfId="0" applyNumberFormat="1" applyFont="1" applyFill="1" applyBorder="1" applyAlignment="1">
      <alignment vertical="center"/>
    </xf>
    <xf numFmtId="0" fontId="17" fillId="0" borderId="27" xfId="0" applyFont="1" applyFill="1" applyBorder="1" applyAlignment="1">
      <alignment vertical="center"/>
    </xf>
    <xf numFmtId="0" fontId="17" fillId="0" borderId="50" xfId="0" applyFont="1" applyFill="1" applyBorder="1" applyAlignment="1">
      <alignment horizontal="center" vertical="center" wrapText="1"/>
    </xf>
    <xf numFmtId="0" fontId="17" fillId="0" borderId="20" xfId="0" applyFont="1" applyFill="1" applyBorder="1" applyAlignment="1">
      <alignment horizontal="left" vertical="center"/>
    </xf>
    <xf numFmtId="0" fontId="17" fillId="0" borderId="57" xfId="0" applyFont="1" applyFill="1" applyBorder="1" applyAlignment="1">
      <alignment horizontal="center" vertical="center" wrapText="1"/>
    </xf>
    <xf numFmtId="0" fontId="17" fillId="0" borderId="21" xfId="0" applyFont="1" applyFill="1" applyBorder="1" applyAlignment="1">
      <alignment horizontal="left" vertical="center"/>
    </xf>
    <xf numFmtId="170" fontId="17" fillId="0" borderId="28" xfId="0" applyNumberFormat="1" applyFont="1" applyFill="1" applyBorder="1" applyAlignment="1">
      <alignment vertical="center"/>
    </xf>
    <xf numFmtId="166" fontId="17" fillId="0" borderId="21" xfId="0" applyNumberFormat="1" applyFont="1" applyFill="1" applyBorder="1" applyAlignment="1">
      <alignment vertical="center"/>
    </xf>
    <xf numFmtId="0" fontId="17" fillId="0" borderId="34" xfId="0" applyFont="1" applyFill="1" applyBorder="1" applyAlignment="1">
      <alignment vertical="center"/>
    </xf>
    <xf numFmtId="0" fontId="17" fillId="5" borderId="48" xfId="0" applyFont="1" applyFill="1" applyBorder="1" applyAlignment="1">
      <alignment horizontal="center" vertical="center" wrapText="1"/>
    </xf>
    <xf numFmtId="0" fontId="17" fillId="5" borderId="36" xfId="0" applyFont="1" applyFill="1" applyBorder="1" applyAlignment="1">
      <alignment horizontal="left" vertical="center" wrapText="1"/>
    </xf>
    <xf numFmtId="166" fontId="17" fillId="0" borderId="36" xfId="0" applyNumberFormat="1" applyFont="1" applyFill="1" applyBorder="1" applyAlignment="1">
      <alignment vertical="center" wrapText="1"/>
    </xf>
    <xf numFmtId="0" fontId="17" fillId="5" borderId="57" xfId="0" applyFont="1" applyFill="1" applyBorder="1" applyAlignment="1">
      <alignment horizontal="center" vertical="center" wrapText="1"/>
    </xf>
    <xf numFmtId="0" fontId="17" fillId="5" borderId="53" xfId="0" applyFont="1" applyFill="1" applyBorder="1" applyAlignment="1">
      <alignment horizontal="center" vertical="center" wrapText="1"/>
    </xf>
    <xf numFmtId="166" fontId="17" fillId="0" borderId="17" xfId="0" applyNumberFormat="1" applyFont="1" applyFill="1" applyBorder="1" applyAlignment="1">
      <alignment vertical="center"/>
    </xf>
    <xf numFmtId="0" fontId="17" fillId="5" borderId="51" xfId="0" applyFont="1" applyFill="1" applyBorder="1" applyAlignment="1">
      <alignment horizontal="center" vertical="center" wrapText="1"/>
    </xf>
    <xf numFmtId="0" fontId="17" fillId="5" borderId="29" xfId="0" applyFont="1" applyFill="1" applyBorder="1" applyAlignment="1">
      <alignment horizontal="left" vertical="center"/>
    </xf>
    <xf numFmtId="170" fontId="17" fillId="0" borderId="27" xfId="0" applyNumberFormat="1" applyFont="1" applyFill="1" applyBorder="1" applyAlignment="1">
      <alignment vertical="center"/>
    </xf>
    <xf numFmtId="166" fontId="17" fillId="0" borderId="29" xfId="0" applyNumberFormat="1" applyFont="1" applyFill="1" applyBorder="1" applyAlignment="1">
      <alignment vertical="center"/>
    </xf>
    <xf numFmtId="0" fontId="17" fillId="0" borderId="80" xfId="0" applyFont="1" applyFill="1" applyBorder="1" applyAlignment="1">
      <alignment horizontal="left" vertical="center"/>
    </xf>
    <xf numFmtId="170" fontId="17" fillId="5" borderId="38" xfId="0" applyNumberFormat="1" applyFont="1" applyFill="1" applyBorder="1" applyAlignment="1">
      <alignment vertical="center"/>
    </xf>
    <xf numFmtId="0" fontId="17" fillId="5" borderId="50" xfId="0" applyFont="1" applyFill="1" applyBorder="1" applyAlignment="1">
      <alignment horizontal="center" vertical="center" wrapText="1"/>
    </xf>
    <xf numFmtId="170" fontId="19" fillId="0" borderId="25" xfId="0" applyNumberFormat="1" applyFont="1" applyFill="1" applyBorder="1" applyAlignment="1">
      <alignment vertical="center"/>
    </xf>
    <xf numFmtId="0" fontId="17" fillId="0" borderId="20" xfId="0" applyFont="1" applyFill="1" applyBorder="1" applyAlignment="1">
      <alignment horizontal="left" vertical="center" wrapText="1"/>
    </xf>
    <xf numFmtId="0" fontId="18" fillId="6" borderId="50" xfId="0" applyFont="1" applyFill="1" applyBorder="1" applyAlignment="1">
      <alignment horizontal="center" vertical="center" wrapText="1"/>
    </xf>
    <xf numFmtId="0" fontId="18" fillId="0" borderId="50" xfId="0" applyFont="1" applyFill="1" applyBorder="1" applyAlignment="1">
      <alignment horizontal="center" vertical="center" wrapText="1"/>
    </xf>
    <xf numFmtId="170" fontId="17" fillId="6" borderId="18" xfId="0" applyNumberFormat="1" applyFont="1" applyFill="1" applyBorder="1" applyAlignment="1">
      <alignment vertical="center"/>
    </xf>
    <xf numFmtId="166" fontId="17" fillId="6" borderId="20" xfId="0" applyNumberFormat="1" applyFont="1" applyFill="1" applyBorder="1" applyAlignment="1">
      <alignment vertical="center"/>
    </xf>
    <xf numFmtId="0" fontId="17" fillId="6" borderId="20" xfId="0" applyFont="1" applyFill="1" applyBorder="1" applyAlignment="1">
      <alignment horizontal="left" vertical="center" wrapText="1"/>
    </xf>
    <xf numFmtId="0" fontId="17" fillId="6" borderId="20" xfId="0" applyFont="1" applyFill="1" applyBorder="1" applyAlignment="1">
      <alignment horizontal="left" vertical="center"/>
    </xf>
    <xf numFmtId="0" fontId="17" fillId="6" borderId="50" xfId="0" applyFont="1" applyFill="1" applyBorder="1" applyAlignment="1">
      <alignment horizontal="center" vertical="center" wrapText="1"/>
    </xf>
    <xf numFmtId="0" fontId="18" fillId="6" borderId="51" xfId="0" applyFont="1" applyFill="1" applyBorder="1" applyAlignment="1">
      <alignment horizontal="center" vertical="center" wrapText="1"/>
    </xf>
    <xf numFmtId="0" fontId="18" fillId="0" borderId="51" xfId="0" applyFont="1" applyFill="1" applyBorder="1" applyAlignment="1">
      <alignment horizontal="center" vertical="center" wrapText="1"/>
    </xf>
    <xf numFmtId="170" fontId="19" fillId="6" borderId="18" xfId="0" applyNumberFormat="1" applyFont="1" applyFill="1" applyBorder="1" applyAlignment="1">
      <alignment vertical="center"/>
    </xf>
    <xf numFmtId="170" fontId="19" fillId="0" borderId="18" xfId="0" applyNumberFormat="1" applyFont="1" applyFill="1" applyBorder="1" applyAlignment="1">
      <alignment vertical="center"/>
    </xf>
    <xf numFmtId="170" fontId="19" fillId="0" borderId="27" xfId="0" applyNumberFormat="1" applyFont="1" applyFill="1" applyBorder="1" applyAlignment="1">
      <alignment vertical="center"/>
    </xf>
    <xf numFmtId="0" fontId="17" fillId="0" borderId="54" xfId="0" applyFont="1" applyFill="1" applyBorder="1" applyAlignment="1">
      <alignment horizontal="center" vertical="center" wrapText="1"/>
    </xf>
    <xf numFmtId="0" fontId="17" fillId="0" borderId="41" xfId="0" applyFont="1" applyFill="1" applyBorder="1" applyAlignment="1">
      <alignment horizontal="left" vertical="center"/>
    </xf>
    <xf numFmtId="170" fontId="17" fillId="0" borderId="40" xfId="0" applyNumberFormat="1" applyFont="1" applyFill="1" applyBorder="1" applyAlignment="1">
      <alignment vertical="center"/>
    </xf>
    <xf numFmtId="0" fontId="17" fillId="0" borderId="40" xfId="0" applyFont="1" applyFill="1" applyBorder="1" applyAlignment="1">
      <alignment vertical="center"/>
    </xf>
    <xf numFmtId="0" fontId="17" fillId="0" borderId="44" xfId="0" applyFont="1" applyBorder="1" applyAlignment="1">
      <alignment horizontal="center" vertical="center"/>
    </xf>
    <xf numFmtId="0" fontId="17" fillId="0" borderId="61" xfId="0" applyFont="1" applyBorder="1" applyAlignment="1">
      <alignment horizontal="center" vertical="center"/>
    </xf>
    <xf numFmtId="170" fontId="17" fillId="0" borderId="39" xfId="0" applyNumberFormat="1" applyFont="1" applyFill="1" applyBorder="1" applyAlignment="1">
      <alignment vertical="center"/>
    </xf>
    <xf numFmtId="0" fontId="18" fillId="6" borderId="63" xfId="0" applyFont="1" applyFill="1" applyBorder="1" applyAlignment="1">
      <alignment horizontal="center" vertical="center"/>
    </xf>
    <xf numFmtId="0" fontId="17" fillId="6" borderId="75" xfId="0" applyFont="1" applyFill="1" applyBorder="1" applyAlignment="1">
      <alignment vertical="center"/>
    </xf>
    <xf numFmtId="170" fontId="17" fillId="6" borderId="67" xfId="0" applyNumberFormat="1" applyFont="1" applyFill="1" applyBorder="1" applyAlignment="1">
      <alignment vertical="center"/>
    </xf>
    <xf numFmtId="166" fontId="17" fillId="6" borderId="75" xfId="0" applyNumberFormat="1" applyFont="1" applyFill="1" applyBorder="1" applyAlignment="1">
      <alignment vertical="center"/>
    </xf>
    <xf numFmtId="170" fontId="19" fillId="6" borderId="45" xfId="0" applyNumberFormat="1" applyFont="1" applyFill="1" applyBorder="1" applyAlignment="1">
      <alignment vertical="center"/>
    </xf>
    <xf numFmtId="170" fontId="19" fillId="6" borderId="67" xfId="0" applyNumberFormat="1" applyFont="1" applyFill="1" applyBorder="1" applyAlignment="1">
      <alignment vertical="center"/>
    </xf>
    <xf numFmtId="0" fontId="17" fillId="0" borderId="54" xfId="0" applyFont="1" applyFill="1" applyBorder="1" applyAlignment="1">
      <alignment horizontal="center" vertical="center"/>
    </xf>
    <xf numFmtId="0" fontId="17" fillId="0" borderId="61" xfId="0" applyFont="1" applyFill="1" applyBorder="1" applyAlignment="1">
      <alignment vertical="center"/>
    </xf>
    <xf numFmtId="0" fontId="17" fillId="0" borderId="31" xfId="0" applyFont="1" applyBorder="1" applyAlignment="1">
      <alignment vertical="center"/>
    </xf>
    <xf numFmtId="170" fontId="17" fillId="0" borderId="31" xfId="1" applyNumberFormat="1" applyFont="1" applyFill="1" applyBorder="1" applyAlignment="1">
      <alignment vertical="center"/>
    </xf>
    <xf numFmtId="164" fontId="17" fillId="0" borderId="31" xfId="1" applyFont="1" applyBorder="1" applyAlignment="1">
      <alignment vertical="center"/>
    </xf>
    <xf numFmtId="0" fontId="17" fillId="0" borderId="46" xfId="0" applyFont="1" applyBorder="1" applyAlignment="1">
      <alignment vertical="center"/>
    </xf>
    <xf numFmtId="0" fontId="17" fillId="7" borderId="51" xfId="0" applyFont="1" applyFill="1" applyBorder="1" applyAlignment="1">
      <alignment horizontal="center" vertical="center"/>
    </xf>
    <xf numFmtId="0" fontId="17" fillId="6" borderId="29" xfId="0" applyFont="1" applyFill="1" applyBorder="1" applyAlignment="1">
      <alignment vertical="center"/>
    </xf>
    <xf numFmtId="170" fontId="17" fillId="6" borderId="27" xfId="0" applyNumberFormat="1" applyFont="1" applyFill="1" applyBorder="1" applyAlignment="1">
      <alignment vertical="center"/>
    </xf>
    <xf numFmtId="0" fontId="17" fillId="5" borderId="57" xfId="0" applyFont="1" applyFill="1" applyBorder="1" applyAlignment="1">
      <alignment horizontal="center" vertical="center"/>
    </xf>
    <xf numFmtId="0" fontId="17" fillId="5" borderId="21" xfId="0" applyFont="1" applyFill="1" applyBorder="1" applyAlignment="1">
      <alignment vertical="center"/>
    </xf>
    <xf numFmtId="170" fontId="17" fillId="5" borderId="73" xfId="0" applyNumberFormat="1" applyFont="1" applyFill="1" applyBorder="1" applyAlignment="1">
      <alignment vertical="center"/>
    </xf>
    <xf numFmtId="166" fontId="17" fillId="5" borderId="21" xfId="0" applyNumberFormat="1" applyFont="1" applyFill="1" applyBorder="1" applyAlignment="1">
      <alignment vertical="center"/>
    </xf>
    <xf numFmtId="0" fontId="17" fillId="5" borderId="48" xfId="0" applyFont="1" applyFill="1" applyBorder="1" applyAlignment="1">
      <alignment horizontal="center" vertical="center"/>
    </xf>
    <xf numFmtId="0" fontId="17" fillId="5" borderId="36" xfId="0" applyFont="1" applyFill="1" applyBorder="1" applyAlignment="1">
      <alignment vertical="center" shrinkToFit="1"/>
    </xf>
    <xf numFmtId="166" fontId="17" fillId="5" borderId="36" xfId="0" applyNumberFormat="1" applyFont="1" applyFill="1" applyBorder="1" applyAlignment="1">
      <alignment vertical="center"/>
    </xf>
    <xf numFmtId="0" fontId="17" fillId="5" borderId="20" xfId="0" applyFont="1" applyFill="1" applyBorder="1" applyAlignment="1">
      <alignment vertical="center" shrinkToFit="1"/>
    </xf>
    <xf numFmtId="170" fontId="17" fillId="5" borderId="25" xfId="0" applyNumberFormat="1" applyFont="1" applyFill="1" applyBorder="1" applyAlignment="1">
      <alignment vertical="center"/>
    </xf>
    <xf numFmtId="0" fontId="17" fillId="5" borderId="54" xfId="0" applyFont="1" applyFill="1" applyBorder="1" applyAlignment="1">
      <alignment horizontal="center" vertical="center"/>
    </xf>
    <xf numFmtId="0" fontId="17" fillId="5" borderId="41" xfId="0" applyFont="1" applyFill="1" applyBorder="1" applyAlignment="1">
      <alignment vertical="center" shrinkToFit="1"/>
    </xf>
    <xf numFmtId="170" fontId="17" fillId="5" borderId="40" xfId="0" applyNumberFormat="1" applyFont="1" applyFill="1" applyBorder="1" applyAlignment="1">
      <alignment vertical="center"/>
    </xf>
    <xf numFmtId="166" fontId="17" fillId="5" borderId="41" xfId="0" applyNumberFormat="1" applyFont="1" applyFill="1" applyBorder="1" applyAlignment="1">
      <alignment vertical="center"/>
    </xf>
    <xf numFmtId="0" fontId="17" fillId="0" borderId="55" xfId="0" applyFont="1" applyFill="1" applyBorder="1" applyAlignment="1">
      <alignment vertical="center"/>
    </xf>
    <xf numFmtId="170" fontId="17" fillId="0" borderId="70" xfId="0" applyNumberFormat="1" applyFont="1" applyFill="1" applyBorder="1" applyAlignment="1">
      <alignment vertical="center"/>
    </xf>
    <xf numFmtId="0" fontId="17" fillId="0" borderId="31" xfId="0" applyFont="1" applyFill="1" applyBorder="1" applyAlignment="1">
      <alignment horizontal="centerContinuous" vertical="center"/>
    </xf>
    <xf numFmtId="0" fontId="17" fillId="0" borderId="32" xfId="0" applyFont="1" applyBorder="1" applyAlignment="1">
      <alignment horizontal="center" vertical="center"/>
    </xf>
    <xf numFmtId="170" fontId="17" fillId="0" borderId="69" xfId="0" applyNumberFormat="1" applyFont="1" applyFill="1" applyBorder="1" applyAlignment="1">
      <alignment vertical="center"/>
    </xf>
    <xf numFmtId="0" fontId="17" fillId="5" borderId="53" xfId="0" applyFont="1" applyFill="1" applyBorder="1" applyAlignment="1">
      <alignment horizontal="center" vertical="center"/>
    </xf>
    <xf numFmtId="0" fontId="17" fillId="0" borderId="17" xfId="0" applyFont="1" applyFill="1" applyBorder="1" applyAlignment="1">
      <alignment vertical="center" shrinkToFit="1"/>
    </xf>
    <xf numFmtId="0" fontId="17" fillId="0" borderId="20" xfId="0" applyFont="1" applyFill="1" applyBorder="1" applyAlignment="1">
      <alignment vertical="center" shrinkToFit="1"/>
    </xf>
    <xf numFmtId="0" fontId="17" fillId="6" borderId="17" xfId="0" applyFont="1" applyFill="1" applyBorder="1" applyAlignment="1">
      <alignment vertical="center" shrinkToFit="1"/>
    </xf>
    <xf numFmtId="0" fontId="17" fillId="6" borderId="20" xfId="0" applyFont="1" applyFill="1" applyBorder="1" applyAlignment="1">
      <alignment vertical="center" shrinkToFit="1"/>
    </xf>
    <xf numFmtId="170" fontId="17" fillId="0" borderId="71" xfId="0" applyNumberFormat="1" applyFont="1" applyFill="1" applyBorder="1" applyAlignment="1">
      <alignment vertical="center"/>
    </xf>
    <xf numFmtId="166" fontId="17" fillId="0" borderId="55" xfId="0" applyNumberFormat="1" applyFont="1" applyFill="1" applyBorder="1" applyAlignment="1">
      <alignment vertical="center"/>
    </xf>
    <xf numFmtId="0" fontId="17" fillId="0" borderId="51" xfId="0" applyFont="1" applyFill="1" applyBorder="1" applyAlignment="1">
      <alignment horizontal="center" vertical="center"/>
    </xf>
    <xf numFmtId="170" fontId="17" fillId="6" borderId="81" xfId="0" applyNumberFormat="1" applyFont="1" applyFill="1" applyBorder="1" applyAlignment="1">
      <alignment vertical="center"/>
    </xf>
    <xf numFmtId="170" fontId="17" fillId="6" borderId="37" xfId="0" applyNumberFormat="1" applyFont="1" applyFill="1" applyBorder="1" applyAlignment="1">
      <alignment vertical="center"/>
    </xf>
    <xf numFmtId="170" fontId="17" fillId="6" borderId="82" xfId="0" applyNumberFormat="1" applyFont="1" applyFill="1" applyBorder="1" applyAlignment="1">
      <alignment vertical="center"/>
    </xf>
    <xf numFmtId="170" fontId="17" fillId="6" borderId="45" xfId="0" applyNumberFormat="1" applyFont="1" applyFill="1" applyBorder="1" applyAlignment="1">
      <alignment vertical="center"/>
    </xf>
    <xf numFmtId="170" fontId="17" fillId="0" borderId="45" xfId="0" applyNumberFormat="1" applyFont="1" applyFill="1" applyBorder="1" applyAlignment="1">
      <alignment vertical="center"/>
    </xf>
    <xf numFmtId="0" fontId="17" fillId="6" borderId="20" xfId="0" applyFont="1" applyFill="1" applyBorder="1" applyAlignment="1">
      <alignment vertical="center" wrapText="1"/>
    </xf>
    <xf numFmtId="0" fontId="17" fillId="0" borderId="78" xfId="0" applyFont="1" applyFill="1" applyBorder="1" applyAlignment="1">
      <alignment vertical="center" shrinkToFit="1"/>
    </xf>
    <xf numFmtId="170" fontId="17" fillId="0" borderId="73" xfId="0" applyNumberFormat="1" applyFont="1" applyFill="1" applyBorder="1" applyAlignment="1">
      <alignment vertical="center"/>
    </xf>
    <xf numFmtId="0" fontId="17" fillId="0" borderId="78" xfId="0" applyFont="1" applyFill="1" applyBorder="1" applyAlignment="1">
      <alignment vertical="center" wrapText="1" shrinkToFit="1"/>
    </xf>
    <xf numFmtId="0" fontId="17" fillId="6" borderId="78" xfId="0" applyFont="1" applyFill="1" applyBorder="1" applyAlignment="1">
      <alignment vertical="center" wrapText="1" shrinkToFit="1"/>
    </xf>
    <xf numFmtId="0" fontId="17" fillId="6" borderId="78" xfId="0" applyFont="1" applyFill="1" applyBorder="1" applyAlignment="1">
      <alignment vertical="center" shrinkToFit="1"/>
    </xf>
    <xf numFmtId="170" fontId="17" fillId="0" borderId="79" xfId="0" applyNumberFormat="1" applyFont="1" applyFill="1" applyBorder="1" applyAlignment="1">
      <alignment vertical="center"/>
    </xf>
    <xf numFmtId="170" fontId="17" fillId="6" borderId="25" xfId="0" applyNumberFormat="1" applyFont="1" applyFill="1" applyBorder="1" applyAlignment="1">
      <alignment vertical="center"/>
    </xf>
    <xf numFmtId="166" fontId="17" fillId="6" borderId="29" xfId="0" applyNumberFormat="1" applyFont="1" applyFill="1" applyBorder="1" applyAlignment="1">
      <alignment vertical="center"/>
    </xf>
    <xf numFmtId="166" fontId="17" fillId="6" borderId="17" xfId="0" applyNumberFormat="1" applyFont="1" applyFill="1" applyBorder="1" applyAlignment="1">
      <alignment vertical="center"/>
    </xf>
    <xf numFmtId="166" fontId="17" fillId="6" borderId="21" xfId="0" applyNumberFormat="1" applyFont="1" applyFill="1" applyBorder="1" applyAlignment="1">
      <alignment vertical="center"/>
    </xf>
    <xf numFmtId="170" fontId="17" fillId="6" borderId="40" xfId="0" applyNumberFormat="1" applyFont="1" applyFill="1" applyBorder="1" applyAlignment="1">
      <alignment vertical="center"/>
    </xf>
    <xf numFmtId="0" fontId="17" fillId="0" borderId="71" xfId="0" applyFont="1" applyBorder="1" applyAlignment="1">
      <alignment vertical="center"/>
    </xf>
    <xf numFmtId="170" fontId="17" fillId="0" borderId="71" xfId="0" applyNumberFormat="1" applyFont="1" applyBorder="1" applyAlignment="1">
      <alignment vertical="center"/>
    </xf>
    <xf numFmtId="170" fontId="17" fillId="0" borderId="0" xfId="0" applyNumberFormat="1" applyFont="1" applyAlignment="1">
      <alignment vertical="center"/>
    </xf>
    <xf numFmtId="0" fontId="17" fillId="0" borderId="26" xfId="0" applyFont="1" applyFill="1" applyBorder="1" applyAlignment="1">
      <alignment horizontal="center" vertical="center"/>
    </xf>
    <xf numFmtId="0" fontId="17" fillId="0" borderId="17" xfId="0" quotePrefix="1" applyFont="1" applyFill="1" applyBorder="1" applyAlignment="1">
      <alignment horizontal="left" vertical="center"/>
    </xf>
    <xf numFmtId="166" fontId="17" fillId="0" borderId="18" xfId="0" applyNumberFormat="1" applyFont="1" applyFill="1" applyBorder="1" applyAlignment="1">
      <alignment vertical="center"/>
    </xf>
    <xf numFmtId="166" fontId="17" fillId="0" borderId="19" xfId="0" applyNumberFormat="1" applyFont="1" applyFill="1" applyBorder="1" applyAlignment="1">
      <alignment vertical="center"/>
    </xf>
    <xf numFmtId="0" fontId="17" fillId="0" borderId="21" xfId="0" applyFont="1" applyFill="1" applyBorder="1" applyAlignment="1">
      <alignment vertical="center"/>
    </xf>
    <xf numFmtId="166" fontId="17" fillId="0" borderId="24" xfId="0" applyNumberFormat="1" applyFont="1" applyFill="1" applyBorder="1" applyAlignment="1">
      <alignment vertical="center"/>
    </xf>
    <xf numFmtId="166" fontId="17" fillId="0" borderId="22" xfId="0" applyNumberFormat="1" applyFont="1" applyFill="1" applyBorder="1" applyAlignment="1">
      <alignment vertical="center"/>
    </xf>
    <xf numFmtId="170" fontId="17" fillId="5" borderId="19" xfId="0" applyNumberFormat="1" applyFont="1" applyFill="1" applyBorder="1" applyAlignment="1">
      <alignment vertical="center"/>
    </xf>
    <xf numFmtId="0" fontId="17" fillId="0" borderId="26" xfId="0" quotePrefix="1" applyFont="1" applyFill="1" applyBorder="1" applyAlignment="1">
      <alignment horizontal="center" vertical="center"/>
    </xf>
    <xf numFmtId="0" fontId="17" fillId="0" borderId="52" xfId="0" quotePrefix="1" applyFont="1" applyFill="1" applyBorder="1" applyAlignment="1">
      <alignment horizontal="center" vertical="center"/>
    </xf>
    <xf numFmtId="0" fontId="17" fillId="0" borderId="72" xfId="0" applyFont="1" applyFill="1" applyBorder="1" applyAlignment="1">
      <alignment vertical="center" wrapText="1"/>
    </xf>
    <xf numFmtId="0" fontId="17" fillId="5" borderId="37" xfId="0" quotePrefix="1" applyFont="1" applyFill="1" applyBorder="1" applyAlignment="1">
      <alignment horizontal="center" vertical="center"/>
    </xf>
    <xf numFmtId="0" fontId="17" fillId="0" borderId="36" xfId="0" quotePrefix="1" applyFont="1" applyFill="1" applyBorder="1" applyAlignment="1">
      <alignment horizontal="left" vertical="center"/>
    </xf>
    <xf numFmtId="170" fontId="17" fillId="0" borderId="26" xfId="0" applyNumberFormat="1" applyFont="1" applyFill="1" applyBorder="1" applyAlignment="1">
      <alignment vertical="center"/>
    </xf>
    <xf numFmtId="0" fontId="17" fillId="0" borderId="17" xfId="0" quotePrefix="1" applyFont="1" applyFill="1" applyBorder="1" applyAlignment="1">
      <alignment horizontal="left" vertical="center" wrapText="1"/>
    </xf>
    <xf numFmtId="170" fontId="17" fillId="10" borderId="19" xfId="0" applyNumberFormat="1" applyFont="1" applyFill="1" applyBorder="1" applyAlignment="1">
      <alignment vertical="center"/>
    </xf>
    <xf numFmtId="0" fontId="17" fillId="0" borderId="60" xfId="0" applyFont="1" applyFill="1" applyBorder="1" applyAlignment="1">
      <alignment horizontal="center" vertical="center"/>
    </xf>
    <xf numFmtId="0" fontId="17" fillId="0" borderId="41" xfId="0" applyFont="1" applyFill="1" applyBorder="1" applyAlignment="1">
      <alignment vertical="center"/>
    </xf>
    <xf numFmtId="171" fontId="17" fillId="0" borderId="41" xfId="0" applyNumberFormat="1" applyFont="1" applyFill="1" applyBorder="1" applyAlignment="1">
      <alignment vertical="center"/>
    </xf>
    <xf numFmtId="167" fontId="17" fillId="0" borderId="41" xfId="0" applyNumberFormat="1" applyFont="1" applyFill="1" applyBorder="1" applyAlignment="1">
      <alignment vertical="center"/>
    </xf>
    <xf numFmtId="0" fontId="17" fillId="0" borderId="35" xfId="0" applyFont="1" applyFill="1" applyBorder="1" applyAlignment="1">
      <alignment vertical="center"/>
    </xf>
    <xf numFmtId="0" fontId="17" fillId="5" borderId="36" xfId="0" applyFont="1" applyFill="1" applyBorder="1" applyAlignment="1">
      <alignment horizontal="left" vertical="center"/>
    </xf>
    <xf numFmtId="170" fontId="17" fillId="0" borderId="58" xfId="0" applyNumberFormat="1" applyFont="1" applyFill="1" applyBorder="1" applyAlignment="1">
      <alignment vertical="center"/>
    </xf>
    <xf numFmtId="170" fontId="19" fillId="0" borderId="26" xfId="0" applyNumberFormat="1" applyFont="1" applyFill="1" applyBorder="1" applyAlignment="1">
      <alignment vertical="center"/>
    </xf>
    <xf numFmtId="170" fontId="17" fillId="6" borderId="26" xfId="0" applyNumberFormat="1" applyFont="1" applyFill="1" applyBorder="1" applyAlignment="1">
      <alignment vertical="center"/>
    </xf>
    <xf numFmtId="0" fontId="17" fillId="6" borderId="51" xfId="0" applyFont="1" applyFill="1" applyBorder="1" applyAlignment="1">
      <alignment horizontal="center" vertical="center" wrapText="1"/>
    </xf>
    <xf numFmtId="0" fontId="17" fillId="0" borderId="51" xfId="0" applyFont="1" applyFill="1" applyBorder="1" applyAlignment="1">
      <alignment horizontal="center" vertical="center" wrapText="1"/>
    </xf>
    <xf numFmtId="170" fontId="19" fillId="6" borderId="19" xfId="0" applyNumberFormat="1" applyFont="1" applyFill="1" applyBorder="1" applyAlignment="1">
      <alignment vertical="center"/>
    </xf>
    <xf numFmtId="170" fontId="19" fillId="0" borderId="19" xfId="0" applyNumberFormat="1" applyFont="1" applyFill="1" applyBorder="1" applyAlignment="1">
      <alignment vertical="center"/>
    </xf>
    <xf numFmtId="170" fontId="19" fillId="0" borderId="28" xfId="0" applyNumberFormat="1" applyFont="1" applyFill="1" applyBorder="1" applyAlignment="1">
      <alignment vertical="center"/>
    </xf>
    <xf numFmtId="0" fontId="17" fillId="5" borderId="20" xfId="0" applyFont="1" applyFill="1" applyBorder="1" applyAlignment="1">
      <alignment vertical="center"/>
    </xf>
    <xf numFmtId="0" fontId="17" fillId="0" borderId="63" xfId="0" applyFont="1" applyFill="1" applyBorder="1" applyAlignment="1">
      <alignment horizontal="center" vertical="center"/>
    </xf>
    <xf numFmtId="170" fontId="17" fillId="6" borderId="43" xfId="0" applyNumberFormat="1" applyFont="1" applyFill="1" applyBorder="1" applyAlignment="1">
      <alignment vertical="center"/>
    </xf>
    <xf numFmtId="166" fontId="17" fillId="6" borderId="41" xfId="0" applyNumberFormat="1" applyFont="1" applyFill="1" applyBorder="1" applyAlignment="1">
      <alignment vertical="center"/>
    </xf>
    <xf numFmtId="0" fontId="17" fillId="0" borderId="36" xfId="0" applyFont="1" applyFill="1" applyBorder="1" applyAlignment="1">
      <alignment vertical="center"/>
    </xf>
    <xf numFmtId="170" fontId="17" fillId="6" borderId="28" xfId="0" applyNumberFormat="1" applyFont="1" applyFill="1" applyBorder="1" applyAlignment="1">
      <alignment vertical="center"/>
    </xf>
    <xf numFmtId="0" fontId="17" fillId="0" borderId="41" xfId="0" applyFont="1" applyFill="1" applyBorder="1" applyAlignment="1">
      <alignment vertical="center" shrinkToFit="1"/>
    </xf>
    <xf numFmtId="0" fontId="17" fillId="0" borderId="17" xfId="0" applyFont="1" applyFill="1" applyBorder="1" applyAlignment="1">
      <alignment vertical="center" wrapText="1" shrinkToFit="1"/>
    </xf>
    <xf numFmtId="0" fontId="17" fillId="0" borderId="20" xfId="0" applyFont="1" applyFill="1" applyBorder="1" applyAlignment="1">
      <alignment vertical="center" wrapText="1" shrinkToFit="1"/>
    </xf>
    <xf numFmtId="0" fontId="17" fillId="6" borderId="20" xfId="0" applyFont="1" applyFill="1" applyBorder="1" applyAlignment="1">
      <alignment vertical="center" wrapText="1" shrinkToFit="1"/>
    </xf>
    <xf numFmtId="0" fontId="17" fillId="0" borderId="83" xfId="0" applyFont="1" applyFill="1" applyBorder="1" applyAlignment="1">
      <alignment vertical="center" wrapText="1" shrinkToFit="1"/>
    </xf>
    <xf numFmtId="0" fontId="17" fillId="0" borderId="75" xfId="0" applyFont="1" applyFill="1" applyBorder="1" applyAlignment="1">
      <alignment vertical="center" wrapText="1" shrinkToFit="1"/>
    </xf>
    <xf numFmtId="0" fontId="17" fillId="6" borderId="29" xfId="0" applyFont="1" applyFill="1" applyBorder="1" applyAlignment="1">
      <alignment vertical="center" shrinkToFit="1"/>
    </xf>
    <xf numFmtId="170" fontId="17" fillId="6" borderId="19" xfId="0" applyNumberFormat="1" applyFont="1" applyFill="1" applyBorder="1" applyAlignment="1">
      <alignment vertical="center"/>
    </xf>
    <xf numFmtId="0" fontId="17" fillId="0" borderId="29" xfId="0" applyFont="1" applyFill="1" applyBorder="1" applyAlignment="1">
      <alignment vertical="center" shrinkToFit="1"/>
    </xf>
    <xf numFmtId="170" fontId="17" fillId="0" borderId="50" xfId="0" applyNumberFormat="1" applyFont="1" applyFill="1" applyBorder="1" applyAlignment="1">
      <alignment vertical="center"/>
    </xf>
    <xf numFmtId="0" fontId="17" fillId="5" borderId="63" xfId="0" applyFont="1" applyFill="1" applyBorder="1" applyAlignment="1">
      <alignment horizontal="center" vertical="center"/>
    </xf>
    <xf numFmtId="0" fontId="17" fillId="6" borderId="75" xfId="0" applyFont="1" applyFill="1" applyBorder="1" applyAlignment="1">
      <alignment vertical="center" shrinkToFit="1"/>
    </xf>
    <xf numFmtId="0" fontId="17" fillId="0" borderId="74" xfId="0" applyFont="1" applyFill="1" applyBorder="1" applyAlignment="1">
      <alignment vertical="center"/>
    </xf>
    <xf numFmtId="166" fontId="17" fillId="0" borderId="71" xfId="0" applyNumberFormat="1" applyFont="1" applyFill="1" applyBorder="1" applyAlignment="1">
      <alignment vertical="center"/>
    </xf>
    <xf numFmtId="176" fontId="17" fillId="0" borderId="36" xfId="0" applyNumberFormat="1" applyFont="1" applyFill="1" applyBorder="1" applyAlignment="1">
      <alignment vertical="center"/>
    </xf>
    <xf numFmtId="176" fontId="17" fillId="0" borderId="20" xfId="0" applyNumberFormat="1" applyFont="1" applyFill="1" applyBorder="1" applyAlignment="1">
      <alignment vertical="center"/>
    </xf>
    <xf numFmtId="176" fontId="17" fillId="0" borderId="75" xfId="0" applyNumberFormat="1" applyFont="1" applyFill="1" applyBorder="1" applyAlignment="1">
      <alignment vertical="center"/>
    </xf>
    <xf numFmtId="176" fontId="17" fillId="0" borderId="41" xfId="1" applyNumberFormat="1" applyFont="1" applyFill="1" applyBorder="1" applyAlignment="1">
      <alignment vertical="center"/>
    </xf>
    <xf numFmtId="176" fontId="17" fillId="0" borderId="41" xfId="0" applyNumberFormat="1" applyFont="1" applyFill="1" applyBorder="1" applyAlignment="1">
      <alignment vertical="center"/>
    </xf>
    <xf numFmtId="176" fontId="17" fillId="0" borderId="38" xfId="0" applyNumberFormat="1" applyFont="1" applyFill="1" applyBorder="1" applyAlignment="1">
      <alignment vertical="center"/>
    </xf>
    <xf numFmtId="176" fontId="17" fillId="0" borderId="19" xfId="0" applyNumberFormat="1" applyFont="1" applyFill="1" applyBorder="1" applyAlignment="1">
      <alignment vertical="center"/>
    </xf>
    <xf numFmtId="176" fontId="17" fillId="0" borderId="45" xfId="0" applyNumberFormat="1" applyFont="1" applyFill="1" applyBorder="1" applyAlignment="1">
      <alignment vertical="center"/>
    </xf>
    <xf numFmtId="176" fontId="17" fillId="0" borderId="43" xfId="0" applyNumberFormat="1" applyFont="1" applyFill="1" applyBorder="1" applyAlignment="1">
      <alignment vertical="center"/>
    </xf>
    <xf numFmtId="0" fontId="17" fillId="0" borderId="71" xfId="0" applyFont="1" applyBorder="1" applyAlignment="1">
      <alignment horizontal="center" vertical="center"/>
    </xf>
    <xf numFmtId="176" fontId="17" fillId="0" borderId="18" xfId="0" applyNumberFormat="1" applyFont="1" applyFill="1" applyBorder="1" applyAlignment="1">
      <alignment vertical="center"/>
    </xf>
    <xf numFmtId="176" fontId="17" fillId="0" borderId="67" xfId="0" applyNumberFormat="1" applyFont="1" applyFill="1" applyBorder="1" applyAlignment="1">
      <alignment vertical="center"/>
    </xf>
    <xf numFmtId="176" fontId="6" fillId="0" borderId="26" xfId="0" applyNumberFormat="1" applyFont="1" applyFill="1" applyBorder="1" applyAlignment="1">
      <alignment vertical="center"/>
    </xf>
    <xf numFmtId="176" fontId="6" fillId="0" borderId="99" xfId="0" applyNumberFormat="1" applyFont="1" applyFill="1" applyBorder="1" applyAlignment="1">
      <alignment vertical="center"/>
    </xf>
    <xf numFmtId="176" fontId="8" fillId="0" borderId="28" xfId="0" applyNumberFormat="1" applyFont="1" applyFill="1" applyBorder="1" applyAlignment="1">
      <alignment vertical="center"/>
    </xf>
    <xf numFmtId="0" fontId="6" fillId="6" borderId="50" xfId="0" applyFont="1" applyFill="1" applyBorder="1" applyAlignment="1">
      <alignment horizontal="center" vertical="center" wrapText="1"/>
    </xf>
    <xf numFmtId="172" fontId="6" fillId="0" borderId="0" xfId="0" applyNumberFormat="1" applyFont="1" applyAlignment="1">
      <alignment vertical="center"/>
    </xf>
    <xf numFmtId="49" fontId="6" fillId="2" borderId="103" xfId="0" quotePrefix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2" xfId="0" applyNumberFormat="1" applyFont="1" applyFill="1" applyBorder="1" applyAlignment="1">
      <alignment horizontal="center" vertical="center"/>
    </xf>
    <xf numFmtId="170" fontId="6" fillId="0" borderId="44" xfId="0" applyNumberFormat="1" applyFont="1" applyFill="1" applyBorder="1" applyAlignment="1">
      <alignment vertical="center"/>
    </xf>
    <xf numFmtId="0" fontId="6" fillId="17" borderId="17" xfId="0" applyFont="1" applyFill="1" applyBorder="1" applyAlignment="1">
      <alignment vertical="center" wrapText="1"/>
    </xf>
    <xf numFmtId="170" fontId="6" fillId="17" borderId="17" xfId="0" applyNumberFormat="1" applyFont="1" applyFill="1" applyBorder="1" applyAlignment="1">
      <alignment vertical="center"/>
    </xf>
    <xf numFmtId="170" fontId="6" fillId="17" borderId="18" xfId="0" applyNumberFormat="1" applyFont="1" applyFill="1" applyBorder="1" applyAlignment="1">
      <alignment vertical="center"/>
    </xf>
    <xf numFmtId="170" fontId="6" fillId="17" borderId="19" xfId="0" applyNumberFormat="1" applyFont="1" applyFill="1" applyBorder="1" applyAlignment="1">
      <alignment vertical="center"/>
    </xf>
    <xf numFmtId="170" fontId="6" fillId="17" borderId="53" xfId="0" applyNumberFormat="1" applyFont="1" applyFill="1" applyBorder="1" applyAlignment="1">
      <alignment vertical="center"/>
    </xf>
    <xf numFmtId="170" fontId="7" fillId="17" borderId="87" xfId="0" applyNumberFormat="1" applyFont="1" applyFill="1" applyBorder="1" applyAlignment="1">
      <alignment vertical="center"/>
    </xf>
    <xf numFmtId="170" fontId="7" fillId="17" borderId="18" xfId="0" applyNumberFormat="1" applyFont="1" applyFill="1" applyBorder="1" applyAlignment="1">
      <alignment vertical="center"/>
    </xf>
    <xf numFmtId="170" fontId="6" fillId="17" borderId="87" xfId="0" applyNumberFormat="1" applyFont="1" applyFill="1" applyBorder="1" applyAlignment="1">
      <alignment vertical="center"/>
    </xf>
    <xf numFmtId="0" fontId="6" fillId="0" borderId="3" xfId="2" applyNumberFormat="1" applyFont="1" applyFill="1" applyBorder="1" applyAlignment="1">
      <alignment horizontal="center" vertical="center"/>
    </xf>
    <xf numFmtId="0" fontId="6" fillId="0" borderId="4" xfId="2" applyNumberFormat="1" applyFont="1" applyFill="1" applyBorder="1" applyAlignment="1">
      <alignment horizontal="center" vertical="center"/>
    </xf>
    <xf numFmtId="0" fontId="6" fillId="0" borderId="65" xfId="2" applyNumberFormat="1" applyFont="1" applyFill="1" applyBorder="1" applyAlignment="1">
      <alignment horizontal="center" vertical="center"/>
    </xf>
    <xf numFmtId="170" fontId="8" fillId="8" borderId="20" xfId="0" applyNumberFormat="1" applyFont="1" applyFill="1" applyBorder="1" applyAlignment="1">
      <alignment vertical="center"/>
    </xf>
    <xf numFmtId="0" fontId="6" fillId="18" borderId="0" xfId="0" applyFont="1" applyFill="1" applyAlignment="1">
      <alignment vertical="center"/>
    </xf>
    <xf numFmtId="0" fontId="6" fillId="18" borderId="4" xfId="2" applyNumberFormat="1" applyFont="1" applyFill="1" applyBorder="1" applyAlignment="1">
      <alignment horizontal="center" vertical="center"/>
    </xf>
    <xf numFmtId="49" fontId="6" fillId="18" borderId="9" xfId="0" applyNumberFormat="1" applyFont="1" applyFill="1" applyBorder="1" applyAlignment="1">
      <alignment horizontal="center" vertical="center"/>
    </xf>
    <xf numFmtId="0" fontId="6" fillId="18" borderId="15" xfId="0" applyFont="1" applyFill="1" applyBorder="1" applyAlignment="1">
      <alignment horizontal="center" vertical="center"/>
    </xf>
    <xf numFmtId="170" fontId="6" fillId="18" borderId="20" xfId="0" applyNumberFormat="1" applyFont="1" applyFill="1" applyBorder="1" applyAlignment="1">
      <alignment vertical="center"/>
    </xf>
    <xf numFmtId="170" fontId="6" fillId="18" borderId="75" xfId="0" applyNumberFormat="1" applyFont="1" applyFill="1" applyBorder="1" applyAlignment="1">
      <alignment vertical="center"/>
    </xf>
    <xf numFmtId="170" fontId="6" fillId="18" borderId="41" xfId="0" applyNumberFormat="1" applyFont="1" applyFill="1" applyBorder="1" applyAlignment="1">
      <alignment vertical="center"/>
    </xf>
    <xf numFmtId="170" fontId="6" fillId="18" borderId="23" xfId="0" applyNumberFormat="1" applyFont="1" applyFill="1" applyBorder="1" applyAlignment="1">
      <alignment vertical="center"/>
    </xf>
    <xf numFmtId="170" fontId="6" fillId="18" borderId="33" xfId="0" applyNumberFormat="1" applyFont="1" applyFill="1" applyBorder="1" applyAlignment="1">
      <alignment vertical="center"/>
    </xf>
    <xf numFmtId="170" fontId="6" fillId="18" borderId="0" xfId="1" applyNumberFormat="1" applyFont="1" applyFill="1" applyAlignment="1">
      <alignment vertical="center"/>
    </xf>
    <xf numFmtId="170" fontId="6" fillId="18" borderId="36" xfId="0" applyNumberFormat="1" applyFont="1" applyFill="1" applyBorder="1" applyAlignment="1">
      <alignment vertical="center"/>
    </xf>
    <xf numFmtId="174" fontId="6" fillId="18" borderId="20" xfId="1" applyNumberFormat="1" applyFont="1" applyFill="1" applyBorder="1" applyAlignment="1">
      <alignment vertical="center"/>
    </xf>
    <xf numFmtId="170" fontId="6" fillId="18" borderId="21" xfId="0" applyNumberFormat="1" applyFont="1" applyFill="1" applyBorder="1" applyAlignment="1">
      <alignment vertical="center"/>
    </xf>
    <xf numFmtId="170" fontId="6" fillId="18" borderId="17" xfId="0" applyNumberFormat="1" applyFont="1" applyFill="1" applyBorder="1" applyAlignment="1">
      <alignment vertical="center"/>
    </xf>
    <xf numFmtId="170" fontId="8" fillId="18" borderId="20" xfId="0" applyNumberFormat="1" applyFont="1" applyFill="1" applyBorder="1" applyAlignment="1">
      <alignment vertical="center"/>
    </xf>
    <xf numFmtId="170" fontId="8" fillId="18" borderId="17" xfId="0" applyNumberFormat="1" applyFont="1" applyFill="1" applyBorder="1" applyAlignment="1">
      <alignment vertical="center"/>
    </xf>
    <xf numFmtId="170" fontId="8" fillId="18" borderId="21" xfId="0" applyNumberFormat="1" applyFont="1" applyFill="1" applyBorder="1" applyAlignment="1">
      <alignment vertical="center"/>
    </xf>
    <xf numFmtId="170" fontId="6" fillId="18" borderId="0" xfId="0" applyNumberFormat="1" applyFont="1" applyFill="1" applyBorder="1" applyAlignment="1">
      <alignment vertical="center"/>
    </xf>
    <xf numFmtId="49" fontId="6" fillId="18" borderId="4" xfId="0" applyNumberFormat="1" applyFont="1" applyFill="1" applyBorder="1" applyAlignment="1">
      <alignment horizontal="centerContinuous" vertical="center"/>
    </xf>
    <xf numFmtId="170" fontId="6" fillId="18" borderId="55" xfId="0" applyNumberFormat="1" applyFont="1" applyFill="1" applyBorder="1" applyAlignment="1">
      <alignment vertical="center"/>
    </xf>
    <xf numFmtId="170" fontId="6" fillId="18" borderId="97" xfId="0" applyNumberFormat="1" applyFont="1" applyFill="1" applyBorder="1" applyAlignment="1">
      <alignment vertical="center"/>
    </xf>
    <xf numFmtId="176" fontId="6" fillId="18" borderId="99" xfId="0" applyNumberFormat="1" applyFont="1" applyFill="1" applyBorder="1" applyAlignment="1">
      <alignment vertical="center"/>
    </xf>
    <xf numFmtId="164" fontId="6" fillId="18" borderId="0" xfId="1" applyFont="1" applyFill="1" applyAlignment="1">
      <alignment vertical="center"/>
    </xf>
    <xf numFmtId="49" fontId="6" fillId="18" borderId="4" xfId="0" applyNumberFormat="1" applyFont="1" applyFill="1" applyBorder="1" applyAlignment="1">
      <alignment horizontal="center" vertical="center"/>
    </xf>
    <xf numFmtId="170" fontId="6" fillId="18" borderId="44" xfId="0" applyNumberFormat="1" applyFont="1" applyFill="1" applyBorder="1" applyAlignment="1">
      <alignment vertical="center"/>
    </xf>
    <xf numFmtId="49" fontId="6" fillId="18" borderId="2" xfId="0" applyNumberFormat="1" applyFont="1" applyFill="1" applyBorder="1" applyAlignment="1">
      <alignment horizontal="center" vertical="center"/>
    </xf>
    <xf numFmtId="170" fontId="6" fillId="19" borderId="17" xfId="0" applyNumberFormat="1" applyFont="1" applyFill="1" applyBorder="1" applyAlignment="1">
      <alignment vertical="center"/>
    </xf>
    <xf numFmtId="170" fontId="6" fillId="19" borderId="18" xfId="0" applyNumberFormat="1" applyFont="1" applyFill="1" applyBorder="1" applyAlignment="1">
      <alignment vertical="center"/>
    </xf>
    <xf numFmtId="170" fontId="6" fillId="19" borderId="26" xfId="0" applyNumberFormat="1" applyFont="1" applyFill="1" applyBorder="1" applyAlignment="1">
      <alignment vertical="center"/>
    </xf>
    <xf numFmtId="170" fontId="6" fillId="6" borderId="50" xfId="0" applyNumberFormat="1" applyFont="1" applyFill="1" applyBorder="1" applyAlignment="1">
      <alignment vertical="center"/>
    </xf>
    <xf numFmtId="170" fontId="7" fillId="6" borderId="89" xfId="0" applyNumberFormat="1" applyFont="1" applyFill="1" applyBorder="1" applyAlignment="1">
      <alignment vertical="center"/>
    </xf>
    <xf numFmtId="170" fontId="6" fillId="6" borderId="89" xfId="0" applyNumberFormat="1" applyFont="1" applyFill="1" applyBorder="1" applyAlignment="1">
      <alignment vertical="center"/>
    </xf>
    <xf numFmtId="0" fontId="6" fillId="6" borderId="75" xfId="0" applyFont="1" applyFill="1" applyBorder="1" applyAlignment="1">
      <alignment horizontal="left" vertical="center" wrapText="1"/>
    </xf>
    <xf numFmtId="170" fontId="6" fillId="6" borderId="63" xfId="0" applyNumberFormat="1" applyFont="1" applyFill="1" applyBorder="1" applyAlignment="1">
      <alignment vertical="center"/>
    </xf>
    <xf numFmtId="170" fontId="7" fillId="6" borderId="88" xfId="0" applyNumberFormat="1" applyFont="1" applyFill="1" applyBorder="1" applyAlignment="1">
      <alignment vertical="center"/>
    </xf>
    <xf numFmtId="170" fontId="7" fillId="6" borderId="45" xfId="0" applyNumberFormat="1" applyFont="1" applyFill="1" applyBorder="1" applyAlignment="1">
      <alignment vertical="center"/>
    </xf>
    <xf numFmtId="170" fontId="6" fillId="6" borderId="88" xfId="0" applyNumberFormat="1" applyFont="1" applyFill="1" applyBorder="1" applyAlignment="1">
      <alignment vertical="center"/>
    </xf>
    <xf numFmtId="0" fontId="6" fillId="17" borderId="53" xfId="0" applyFont="1" applyFill="1" applyBorder="1" applyAlignment="1">
      <alignment horizontal="center" vertical="center"/>
    </xf>
    <xf numFmtId="170" fontId="6" fillId="20" borderId="17" xfId="0" applyNumberFormat="1" applyFont="1" applyFill="1" applyBorder="1" applyAlignment="1">
      <alignment vertical="center"/>
    </xf>
    <xf numFmtId="170" fontId="8" fillId="20" borderId="20" xfId="0" applyNumberFormat="1" applyFont="1" applyFill="1" applyBorder="1" applyAlignment="1">
      <alignment vertical="center"/>
    </xf>
    <xf numFmtId="0" fontId="6" fillId="0" borderId="28" xfId="0" applyFont="1" applyFill="1" applyBorder="1" applyAlignment="1">
      <alignment horizontal="left" vertical="center"/>
    </xf>
    <xf numFmtId="0" fontId="6" fillId="5" borderId="53" xfId="0" applyFont="1" applyFill="1" applyBorder="1" applyAlignment="1">
      <alignment horizontal="center" vertical="center" wrapText="1"/>
    </xf>
    <xf numFmtId="0" fontId="6" fillId="15" borderId="17" xfId="0" applyFont="1" applyFill="1" applyBorder="1" applyAlignment="1">
      <alignment horizontal="left" vertical="center"/>
    </xf>
    <xf numFmtId="0" fontId="6" fillId="0" borderId="44" xfId="0" applyFont="1" applyBorder="1" applyAlignment="1">
      <alignment vertical="center"/>
    </xf>
    <xf numFmtId="0" fontId="6" fillId="0" borderId="61" xfId="0" applyFont="1" applyBorder="1" applyAlignment="1">
      <alignment vertical="center"/>
    </xf>
    <xf numFmtId="170" fontId="6" fillId="0" borderId="55" xfId="2" applyNumberFormat="1" applyFont="1" applyFill="1" applyBorder="1" applyAlignment="1">
      <alignment horizontal="centerContinuous" vertical="center"/>
    </xf>
    <xf numFmtId="170" fontId="6" fillId="0" borderId="30" xfId="2" applyNumberFormat="1" applyFont="1" applyFill="1" applyBorder="1" applyAlignment="1">
      <alignment horizontal="centerContinuous" vertical="center"/>
    </xf>
    <xf numFmtId="170" fontId="6" fillId="0" borderId="31" xfId="2" applyNumberFormat="1" applyFont="1" applyFill="1" applyBorder="1" applyAlignment="1">
      <alignment horizontal="centerContinuous" vertical="center"/>
    </xf>
    <xf numFmtId="0" fontId="6" fillId="0" borderId="30" xfId="2" applyNumberFormat="1" applyFont="1" applyFill="1" applyBorder="1" applyAlignment="1">
      <alignment horizontal="centerContinuous" vertical="center"/>
    </xf>
    <xf numFmtId="0" fontId="6" fillId="0" borderId="31" xfId="2" applyNumberFormat="1" applyFont="1" applyFill="1" applyBorder="1" applyAlignment="1">
      <alignment horizontal="centerContinuous" vertical="center"/>
    </xf>
    <xf numFmtId="0" fontId="6" fillId="0" borderId="55" xfId="2" applyNumberFormat="1" applyFont="1" applyFill="1" applyBorder="1" applyAlignment="1">
      <alignment horizontal="centerContinuous" vertical="center"/>
    </xf>
    <xf numFmtId="0" fontId="6" fillId="18" borderId="55" xfId="2" applyNumberFormat="1" applyFont="1" applyFill="1" applyBorder="1" applyAlignment="1">
      <alignment horizontal="center" vertical="center"/>
    </xf>
    <xf numFmtId="0" fontId="6" fillId="0" borderId="104" xfId="0" applyFont="1" applyBorder="1" applyAlignment="1">
      <alignment vertical="center"/>
    </xf>
    <xf numFmtId="0" fontId="10" fillId="6" borderId="50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45" xfId="0" applyFont="1" applyFill="1" applyBorder="1" applyAlignment="1">
      <alignment horizontal="center" vertical="center" wrapText="1"/>
    </xf>
    <xf numFmtId="177" fontId="6" fillId="0" borderId="0" xfId="0" applyNumberFormat="1" applyFont="1" applyAlignment="1">
      <alignment vertical="center"/>
    </xf>
    <xf numFmtId="0" fontId="10" fillId="0" borderId="53" xfId="0" applyFont="1" applyFill="1" applyBorder="1" applyAlignment="1">
      <alignment horizontal="center" vertical="center"/>
    </xf>
    <xf numFmtId="0" fontId="20" fillId="0" borderId="50" xfId="0" applyFont="1" applyFill="1" applyBorder="1" applyAlignment="1">
      <alignment horizontal="center" vertical="center" wrapText="1"/>
    </xf>
    <xf numFmtId="178" fontId="6" fillId="0" borderId="36" xfId="0" applyNumberFormat="1" applyFont="1" applyFill="1" applyBorder="1" applyAlignment="1">
      <alignment vertical="center"/>
    </xf>
    <xf numFmtId="178" fontId="6" fillId="0" borderId="20" xfId="1" applyNumberFormat="1" applyFont="1" applyFill="1" applyBorder="1" applyAlignment="1">
      <alignment vertical="center"/>
    </xf>
    <xf numFmtId="178" fontId="6" fillId="0" borderId="20" xfId="0" applyNumberFormat="1" applyFont="1" applyFill="1" applyBorder="1" applyAlignment="1">
      <alignment vertical="center"/>
    </xf>
    <xf numFmtId="178" fontId="6" fillId="0" borderId="21" xfId="0" applyNumberFormat="1" applyFont="1" applyFill="1" applyBorder="1" applyAlignment="1">
      <alignment vertical="center"/>
    </xf>
    <xf numFmtId="178" fontId="6" fillId="0" borderId="75" xfId="0" applyNumberFormat="1" applyFont="1" applyFill="1" applyBorder="1" applyAlignment="1">
      <alignment vertical="center"/>
    </xf>
    <xf numFmtId="178" fontId="6" fillId="18" borderId="36" xfId="0" applyNumberFormat="1" applyFont="1" applyFill="1" applyBorder="1" applyAlignment="1">
      <alignment vertical="center"/>
    </xf>
    <xf numFmtId="178" fontId="6" fillId="18" borderId="20" xfId="1" applyNumberFormat="1" applyFont="1" applyFill="1" applyBorder="1" applyAlignment="1">
      <alignment vertical="center"/>
    </xf>
    <xf numFmtId="178" fontId="6" fillId="18" borderId="20" xfId="0" applyNumberFormat="1" applyFont="1" applyFill="1" applyBorder="1" applyAlignment="1">
      <alignment vertical="center"/>
    </xf>
    <xf numFmtId="178" fontId="6" fillId="18" borderId="21" xfId="0" applyNumberFormat="1" applyFont="1" applyFill="1" applyBorder="1" applyAlignment="1">
      <alignment vertical="center"/>
    </xf>
    <xf numFmtId="178" fontId="6" fillId="18" borderId="75" xfId="0" applyNumberFormat="1" applyFont="1" applyFill="1" applyBorder="1" applyAlignment="1">
      <alignment vertical="center"/>
    </xf>
    <xf numFmtId="0" fontId="20" fillId="6" borderId="50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49" fontId="6" fillId="2" borderId="64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6" fillId="0" borderId="31" xfId="2" applyNumberFormat="1" applyFont="1" applyFill="1" applyBorder="1" applyAlignment="1">
      <alignment horizontal="center" vertical="center"/>
    </xf>
    <xf numFmtId="0" fontId="6" fillId="0" borderId="55" xfId="2" applyNumberFormat="1" applyFont="1" applyFill="1" applyBorder="1" applyAlignment="1">
      <alignment horizontal="center" vertical="center"/>
    </xf>
    <xf numFmtId="0" fontId="6" fillId="0" borderId="30" xfId="2" applyNumberFormat="1" applyFont="1" applyFill="1" applyBorder="1" applyAlignment="1">
      <alignment horizontal="center" vertical="center"/>
    </xf>
    <xf numFmtId="49" fontId="6" fillId="2" borderId="65" xfId="0" quotePrefix="1" applyNumberFormat="1" applyFont="1" applyFill="1" applyBorder="1" applyAlignment="1">
      <alignment horizontal="center" vertical="center"/>
    </xf>
    <xf numFmtId="170" fontId="23" fillId="5" borderId="19" xfId="0" applyNumberFormat="1" applyFont="1" applyFill="1" applyBorder="1" applyAlignment="1">
      <alignment vertical="center"/>
    </xf>
    <xf numFmtId="170" fontId="23" fillId="0" borderId="19" xfId="0" applyNumberFormat="1" applyFont="1" applyFill="1" applyBorder="1" applyAlignment="1">
      <alignment vertical="center"/>
    </xf>
    <xf numFmtId="170" fontId="23" fillId="0" borderId="38" xfId="0" applyNumberFormat="1" applyFont="1" applyFill="1" applyBorder="1" applyAlignment="1">
      <alignment vertical="center"/>
    </xf>
    <xf numFmtId="170" fontId="23" fillId="0" borderId="45" xfId="0" applyNumberFormat="1" applyFont="1" applyFill="1" applyBorder="1" applyAlignment="1">
      <alignment vertical="center"/>
    </xf>
    <xf numFmtId="170" fontId="23" fillId="0" borderId="18" xfId="0" applyNumberFormat="1" applyFont="1" applyFill="1" applyBorder="1" applyAlignment="1">
      <alignment vertical="center"/>
    </xf>
    <xf numFmtId="170" fontId="23" fillId="5" borderId="18" xfId="0" applyNumberFormat="1" applyFont="1" applyFill="1" applyBorder="1" applyAlignment="1">
      <alignment vertical="center"/>
    </xf>
    <xf numFmtId="170" fontId="24" fillId="0" borderId="26" xfId="0" applyNumberFormat="1" applyFont="1" applyFill="1" applyBorder="1" applyAlignment="1">
      <alignment vertical="center"/>
    </xf>
    <xf numFmtId="170" fontId="23" fillId="0" borderId="26" xfId="0" applyNumberFormat="1" applyFont="1" applyFill="1" applyBorder="1" applyAlignment="1">
      <alignment vertical="center"/>
    </xf>
    <xf numFmtId="170" fontId="24" fillId="0" borderId="28" xfId="0" applyNumberFormat="1" applyFont="1" applyFill="1" applyBorder="1" applyAlignment="1">
      <alignment vertical="center"/>
    </xf>
    <xf numFmtId="170" fontId="23" fillId="0" borderId="25" xfId="0" applyNumberFormat="1" applyFont="1" applyFill="1" applyBorder="1" applyAlignment="1">
      <alignment vertical="center"/>
    </xf>
    <xf numFmtId="170" fontId="23" fillId="6" borderId="26" xfId="0" applyNumberFormat="1" applyFont="1" applyFill="1" applyBorder="1" applyAlignment="1">
      <alignment vertical="center"/>
    </xf>
    <xf numFmtId="170" fontId="24" fillId="6" borderId="19" xfId="0" applyNumberFormat="1" applyFont="1" applyFill="1" applyBorder="1" applyAlignment="1">
      <alignment vertical="center"/>
    </xf>
    <xf numFmtId="170" fontId="23" fillId="17" borderId="18" xfId="0" applyNumberFormat="1" applyFont="1" applyFill="1" applyBorder="1" applyAlignment="1">
      <alignment vertical="center"/>
    </xf>
    <xf numFmtId="170" fontId="23" fillId="0" borderId="37" xfId="0" applyNumberFormat="1" applyFont="1" applyFill="1" applyBorder="1" applyAlignment="1">
      <alignment vertical="center"/>
    </xf>
    <xf numFmtId="0" fontId="6" fillId="0" borderId="30" xfId="2" applyNumberFormat="1" applyFont="1" applyFill="1" applyBorder="1" applyAlignment="1">
      <alignment horizontal="center" vertical="center"/>
    </xf>
    <xf numFmtId="0" fontId="6" fillId="0" borderId="31" xfId="2" applyNumberFormat="1" applyFont="1" applyFill="1" applyBorder="1" applyAlignment="1">
      <alignment horizontal="center" vertical="center"/>
    </xf>
    <xf numFmtId="0" fontId="6" fillId="0" borderId="55" xfId="2" applyNumberFormat="1" applyFont="1" applyFill="1" applyBorder="1" applyAlignment="1">
      <alignment horizontal="center" vertical="center"/>
    </xf>
    <xf numFmtId="49" fontId="6" fillId="2" borderId="65" xfId="0" quotePrefix="1" applyNumberFormat="1" applyFont="1" applyFill="1" applyBorder="1" applyAlignment="1">
      <alignment horizontal="center" vertical="center"/>
    </xf>
    <xf numFmtId="49" fontId="6" fillId="2" borderId="3" xfId="0" quotePrefix="1" applyNumberFormat="1" applyFont="1" applyFill="1" applyBorder="1" applyAlignment="1">
      <alignment horizontal="center" vertical="center"/>
    </xf>
    <xf numFmtId="49" fontId="6" fillId="2" borderId="64" xfId="0" quotePrefix="1" applyNumberFormat="1" applyFont="1" applyFill="1" applyBorder="1" applyAlignment="1">
      <alignment horizontal="center" vertical="center"/>
    </xf>
    <xf numFmtId="49" fontId="6" fillId="2" borderId="8" xfId="0" quotePrefix="1" applyNumberFormat="1" applyFont="1" applyFill="1" applyBorder="1" applyAlignment="1">
      <alignment horizontal="center" vertical="center"/>
    </xf>
    <xf numFmtId="0" fontId="7" fillId="0" borderId="30" xfId="2" applyNumberFormat="1" applyFont="1" applyFill="1" applyBorder="1" applyAlignment="1">
      <alignment horizontal="center"/>
    </xf>
    <xf numFmtId="0" fontId="7" fillId="0" borderId="31" xfId="2" applyNumberFormat="1" applyFont="1" applyFill="1" applyBorder="1" applyAlignment="1">
      <alignment horizontal="center"/>
    </xf>
    <xf numFmtId="0" fontId="7" fillId="0" borderId="55" xfId="2" applyNumberFormat="1" applyFont="1" applyFill="1" applyBorder="1" applyAlignment="1">
      <alignment horizontal="center"/>
    </xf>
    <xf numFmtId="170" fontId="6" fillId="21" borderId="26" xfId="0" applyNumberFormat="1" applyFont="1" applyFill="1" applyBorder="1" applyAlignment="1">
      <alignment vertical="center"/>
    </xf>
  </cellXfs>
  <cellStyles count="4">
    <cellStyle name="Comma" xfId="3" builtinId="3"/>
    <cellStyle name="Comma [0]" xfId="1" builtinId="6"/>
    <cellStyle name="Currency" xfId="2" builtinId="4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66FFFF"/>
      <color rgb="FF1903B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</xdr:row>
      <xdr:rowOff>0</xdr:rowOff>
    </xdr:from>
    <xdr:to>
      <xdr:col>14</xdr:col>
      <xdr:colOff>835895</xdr:colOff>
      <xdr:row>2</xdr:row>
      <xdr:rowOff>231522</xdr:rowOff>
    </xdr:to>
    <xdr:sp macro="" textlink="">
      <xdr:nvSpPr>
        <xdr:cNvPr id="94" name="AutoShape 26356">
          <a:extLst>
            <a:ext uri="{FF2B5EF4-FFF2-40B4-BE49-F238E27FC236}">
              <a16:creationId xmlns:a16="http://schemas.microsoft.com/office/drawing/2014/main" id="{00000000-0008-0000-0000-00005E000000}"/>
            </a:ext>
          </a:extLst>
        </xdr:cNvPr>
        <xdr:cNvSpPr>
          <a:spLocks noChangeArrowheads="1"/>
        </xdr:cNvSpPr>
      </xdr:nvSpPr>
      <xdr:spPr bwMode="auto">
        <a:xfrm>
          <a:off x="4229746" y="387458"/>
          <a:ext cx="835895" cy="2315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102577</xdr:colOff>
      <xdr:row>4</xdr:row>
      <xdr:rowOff>29308</xdr:rowOff>
    </xdr:from>
    <xdr:to>
      <xdr:col>11</xdr:col>
      <xdr:colOff>498231</xdr:colOff>
      <xdr:row>7</xdr:row>
      <xdr:rowOff>29308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82865" y="703385"/>
          <a:ext cx="395654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102577</xdr:colOff>
      <xdr:row>4</xdr:row>
      <xdr:rowOff>29308</xdr:rowOff>
    </xdr:from>
    <xdr:to>
      <xdr:col>11</xdr:col>
      <xdr:colOff>498231</xdr:colOff>
      <xdr:row>7</xdr:row>
      <xdr:rowOff>29308</xdr:rowOff>
    </xdr:to>
    <xdr:sp macro="" textlink="">
      <xdr:nvSpPr>
        <xdr:cNvPr id="3" name="Right Arrow 1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3985846" y="703385"/>
          <a:ext cx="395654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102577</xdr:colOff>
      <xdr:row>17</xdr:row>
      <xdr:rowOff>29308</xdr:rowOff>
    </xdr:from>
    <xdr:to>
      <xdr:col>11</xdr:col>
      <xdr:colOff>498231</xdr:colOff>
      <xdr:row>20</xdr:row>
      <xdr:rowOff>29308</xdr:rowOff>
    </xdr:to>
    <xdr:sp macro="" textlink="">
      <xdr:nvSpPr>
        <xdr:cNvPr id="4" name="Right Arrow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985846" y="703385"/>
          <a:ext cx="395654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11</xdr:col>
      <xdr:colOff>102577</xdr:colOff>
      <xdr:row>17</xdr:row>
      <xdr:rowOff>29308</xdr:rowOff>
    </xdr:from>
    <xdr:to>
      <xdr:col>11</xdr:col>
      <xdr:colOff>498231</xdr:colOff>
      <xdr:row>20</xdr:row>
      <xdr:rowOff>29308</xdr:rowOff>
    </xdr:to>
    <xdr:sp macro="" textlink="">
      <xdr:nvSpPr>
        <xdr:cNvPr id="5" name="Right Arrow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3985846" y="703385"/>
          <a:ext cx="395654" cy="3810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21</xdr:col>
      <xdr:colOff>391754</xdr:colOff>
      <xdr:row>4</xdr:row>
      <xdr:rowOff>7681</xdr:rowOff>
    </xdr:from>
    <xdr:to>
      <xdr:col>22</xdr:col>
      <xdr:colOff>311158</xdr:colOff>
      <xdr:row>7</xdr:row>
      <xdr:rowOff>7681</xdr:rowOff>
    </xdr:to>
    <xdr:sp macro="" textlink="">
      <xdr:nvSpPr>
        <xdr:cNvPr id="6" name="Right Arrow 1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7735222" y="683649"/>
          <a:ext cx="395654" cy="576109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  <xdr:twoCellAnchor>
    <xdr:from>
      <xdr:col>21</xdr:col>
      <xdr:colOff>391754</xdr:colOff>
      <xdr:row>17</xdr:row>
      <xdr:rowOff>61451</xdr:rowOff>
    </xdr:from>
    <xdr:to>
      <xdr:col>22</xdr:col>
      <xdr:colOff>311158</xdr:colOff>
      <xdr:row>20</xdr:row>
      <xdr:rowOff>61451</xdr:rowOff>
    </xdr:to>
    <xdr:sp macro="" textlink="">
      <xdr:nvSpPr>
        <xdr:cNvPr id="7" name="Right Arrow 1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7735222" y="2742278"/>
          <a:ext cx="395654" cy="576108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PH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146</xdr:col>
      <xdr:colOff>226775</xdr:colOff>
      <xdr:row>6</xdr:row>
      <xdr:rowOff>39205</xdr:rowOff>
    </xdr:from>
    <xdr:to>
      <xdr:col>154</xdr:col>
      <xdr:colOff>919590</xdr:colOff>
      <xdr:row>8</xdr:row>
      <xdr:rowOff>14244</xdr:rowOff>
    </xdr:to>
    <xdr:grpSp>
      <xdr:nvGrpSpPr>
        <xdr:cNvPr id="2" name="Group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pSpPr/>
      </xdr:nvGrpSpPr>
      <xdr:grpSpPr>
        <a:xfrm>
          <a:off x="18229025" y="1296505"/>
          <a:ext cx="8236615" cy="394139"/>
          <a:chOff x="18871409" y="107154"/>
          <a:chExt cx="4433296" cy="906741"/>
        </a:xfrm>
      </xdr:grpSpPr>
      <xdr:sp macro="" textlink="">
        <xdr:nvSpPr>
          <xdr:cNvPr id="3" name="Text Box 25189">
            <a:extLst>
              <a:ext uri="{FF2B5EF4-FFF2-40B4-BE49-F238E27FC236}">
                <a16:creationId xmlns:a16="http://schemas.microsoft.com/office/drawing/2014/main" id="{00000000-0008-0000-0300-000003000000}"/>
              </a:ext>
            </a:extLst>
          </xdr:cNvPr>
          <xdr:cNvSpPr txBox="1">
            <a:spLocks noChangeArrowheads="1"/>
          </xdr:cNvSpPr>
        </xdr:nvSpPr>
        <xdr:spPr>
          <a:xfrm>
            <a:off x="18871409" y="310027"/>
            <a:ext cx="2230081" cy="4281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</a:ln>
        </xdr:spPr>
      </xdr:sp>
      <xdr:sp macro="" textlink="">
        <xdr:nvSpPr>
          <xdr:cNvPr id="4" name="Text Box 25190">
            <a:extLst>
              <a:ext uri="{FF2B5EF4-FFF2-40B4-BE49-F238E27FC236}">
                <a16:creationId xmlns:a16="http://schemas.microsoft.com/office/drawing/2014/main" id="{00000000-0008-0000-0300-000004000000}"/>
              </a:ext>
            </a:extLst>
          </xdr:cNvPr>
          <xdr:cNvSpPr txBox="1">
            <a:spLocks noChangeArrowheads="1"/>
          </xdr:cNvSpPr>
        </xdr:nvSpPr>
        <xdr:spPr>
          <a:xfrm>
            <a:off x="18871410" y="743396"/>
            <a:ext cx="2230081" cy="27049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Mr</a:t>
            </a:r>
            <a:r>
              <a:rPr lang="en-PH" altLang="ja-JP" sz="12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. F. Yamada</a:t>
            </a:r>
          </a:p>
          <a:p>
            <a:pPr algn="ctr" rtl="0">
              <a:defRPr sz="1000"/>
            </a:pPr>
            <a:endParaRPr lang="ja-JP" altLang="en-US" sz="1200" b="1" i="0" u="none" strike="noStrike" baseline="0">
              <a:solidFill>
                <a:srgbClr val="000000"/>
              </a:solidFill>
              <a:latin typeface="Arial" panose="020B0604020202020204"/>
              <a:cs typeface="Arial" panose="020B0604020202020204"/>
            </a:endParaRPr>
          </a:p>
        </xdr:txBody>
      </xdr:sp>
      <xdr:sp macro="" textlink="">
        <xdr:nvSpPr>
          <xdr:cNvPr id="5" name="Text Box 25191">
            <a:extLst>
              <a:ext uri="{FF2B5EF4-FFF2-40B4-BE49-F238E27FC236}">
                <a16:creationId xmlns:a16="http://schemas.microsoft.com/office/drawing/2014/main" id="{00000000-0008-0000-0300-000005000000}"/>
              </a:ext>
            </a:extLst>
          </xdr:cNvPr>
          <xdr:cNvSpPr txBox="1">
            <a:spLocks noChangeArrowheads="1"/>
          </xdr:cNvSpPr>
        </xdr:nvSpPr>
        <xdr:spPr>
          <a:xfrm>
            <a:off x="18871411" y="107154"/>
            <a:ext cx="2230081" cy="2028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Approved By :</a:t>
            </a:r>
          </a:p>
        </xdr:txBody>
      </xdr:sp>
      <xdr:sp macro="" textlink="">
        <xdr:nvSpPr>
          <xdr:cNvPr id="6" name="Text Box 25192">
            <a:extLst>
              <a:ext uri="{FF2B5EF4-FFF2-40B4-BE49-F238E27FC236}">
                <a16:creationId xmlns:a16="http://schemas.microsoft.com/office/drawing/2014/main" id="{00000000-0008-0000-0300-000006000000}"/>
              </a:ext>
            </a:extLst>
          </xdr:cNvPr>
          <xdr:cNvSpPr txBox="1">
            <a:spLocks noChangeArrowheads="1"/>
          </xdr:cNvSpPr>
        </xdr:nvSpPr>
        <xdr:spPr>
          <a:xfrm>
            <a:off x="21101491" y="310027"/>
            <a:ext cx="2203212" cy="428160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</a:ln>
        </xdr:spPr>
      </xdr:sp>
      <xdr:sp macro="" textlink="">
        <xdr:nvSpPr>
          <xdr:cNvPr id="7" name="Text Box 25193">
            <a:extLst>
              <a:ext uri="{FF2B5EF4-FFF2-40B4-BE49-F238E27FC236}">
                <a16:creationId xmlns:a16="http://schemas.microsoft.com/office/drawing/2014/main" id="{00000000-0008-0000-0300-000007000000}"/>
              </a:ext>
            </a:extLst>
          </xdr:cNvPr>
          <xdr:cNvSpPr txBox="1">
            <a:spLocks noChangeArrowheads="1"/>
          </xdr:cNvSpPr>
        </xdr:nvSpPr>
        <xdr:spPr>
          <a:xfrm>
            <a:off x="21101493" y="743397"/>
            <a:ext cx="2203212" cy="270498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en-US" altLang="ja-JP" sz="12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Ms. V. Onde</a:t>
            </a:r>
          </a:p>
        </xdr:txBody>
      </xdr:sp>
      <xdr:sp macro="" textlink="">
        <xdr:nvSpPr>
          <xdr:cNvPr id="8" name="Text Box 25194">
            <a:extLst>
              <a:ext uri="{FF2B5EF4-FFF2-40B4-BE49-F238E27FC236}">
                <a16:creationId xmlns:a16="http://schemas.microsoft.com/office/drawing/2014/main" id="{00000000-0008-0000-0300-000008000000}"/>
              </a:ext>
            </a:extLst>
          </xdr:cNvPr>
          <xdr:cNvSpPr txBox="1">
            <a:spLocks noChangeArrowheads="1"/>
          </xdr:cNvSpPr>
        </xdr:nvSpPr>
        <xdr:spPr>
          <a:xfrm>
            <a:off x="21101491" y="107154"/>
            <a:ext cx="2203212" cy="202873"/>
          </a:xfrm>
          <a:prstGeom prst="rect">
            <a:avLst/>
          </a:prstGeom>
          <a:solidFill>
            <a:srgbClr val="FFFFFF"/>
          </a:solidFill>
          <a:ln w="9525">
            <a:solidFill>
              <a:srgbClr val="000000"/>
            </a:solidFill>
            <a:miter lim="800000"/>
          </a:ln>
        </xdr:spPr>
        <xdr:txBody>
          <a:bodyPr vertOverflow="clip" wrap="square" lIns="27432" tIns="22860" rIns="27432" bIns="22860" anchor="ctr" upright="1"/>
          <a:lstStyle/>
          <a:p>
            <a:pPr algn="ctr" rtl="0">
              <a:defRPr sz="1000"/>
            </a:pPr>
            <a:r>
              <a:rPr lang="ja-JP" altLang="en-US" sz="1200" b="1" i="0" u="none" strike="noStrike" baseline="0">
                <a:solidFill>
                  <a:srgbClr val="000000"/>
                </a:solidFill>
                <a:latin typeface="Arial" panose="020B0604020202020204"/>
                <a:cs typeface="Arial" panose="020B0604020202020204"/>
              </a:rPr>
              <a:t>Prepared By :</a:t>
            </a:r>
          </a:p>
        </xdr:txBody>
      </xdr:sp>
    </xdr:grpSp>
    <xdr:clientData/>
  </xdr:twoCellAnchor>
  <xdr:twoCellAnchor>
    <xdr:from>
      <xdr:col>133</xdr:col>
      <xdr:colOff>857250</xdr:colOff>
      <xdr:row>7</xdr:row>
      <xdr:rowOff>119062</xdr:rowOff>
    </xdr:from>
    <xdr:to>
      <xdr:col>134</xdr:col>
      <xdr:colOff>850011</xdr:colOff>
      <xdr:row>8</xdr:row>
      <xdr:rowOff>124972</xdr:rowOff>
    </xdr:to>
    <xdr:sp macro="" textlink="">
      <xdr:nvSpPr>
        <xdr:cNvPr id="74" name="AutoShape 26356">
          <a:extLst>
            <a:ext uri="{FF2B5EF4-FFF2-40B4-BE49-F238E27FC236}">
              <a16:creationId xmlns:a16="http://schemas.microsoft.com/office/drawing/2014/main" id="{9BEF7F30-F678-4140-8160-232BF82F7B62}"/>
            </a:ext>
          </a:extLst>
        </xdr:cNvPr>
        <xdr:cNvSpPr>
          <a:spLocks noChangeArrowheads="1"/>
        </xdr:cNvSpPr>
      </xdr:nvSpPr>
      <xdr:spPr bwMode="auto">
        <a:xfrm>
          <a:off x="6607969" y="1619250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13495</xdr:colOff>
      <xdr:row>48</xdr:row>
      <xdr:rowOff>21432</xdr:rowOff>
    </xdr:from>
    <xdr:to>
      <xdr:col>135</xdr:col>
      <xdr:colOff>6255</xdr:colOff>
      <xdr:row>48</xdr:row>
      <xdr:rowOff>241654</xdr:rowOff>
    </xdr:to>
    <xdr:sp macro="" textlink="">
      <xdr:nvSpPr>
        <xdr:cNvPr id="40" name="AutoShape 26356">
          <a:extLst>
            <a:ext uri="{FF2B5EF4-FFF2-40B4-BE49-F238E27FC236}">
              <a16:creationId xmlns:a16="http://schemas.microsoft.com/office/drawing/2014/main" id="{5D958A4A-705D-45F6-9423-17C98A440908}"/>
            </a:ext>
          </a:extLst>
        </xdr:cNvPr>
        <xdr:cNvSpPr>
          <a:spLocks noChangeArrowheads="1"/>
        </xdr:cNvSpPr>
      </xdr:nvSpPr>
      <xdr:spPr bwMode="auto">
        <a:xfrm>
          <a:off x="6691578" y="5630599"/>
          <a:ext cx="934677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133</xdr:col>
      <xdr:colOff>923926</xdr:colOff>
      <xdr:row>49</xdr:row>
      <xdr:rowOff>19050</xdr:rowOff>
    </xdr:from>
    <xdr:to>
      <xdr:col>134</xdr:col>
      <xdr:colOff>916687</xdr:colOff>
      <xdr:row>49</xdr:row>
      <xdr:rowOff>239272</xdr:rowOff>
    </xdr:to>
    <xdr:sp macro="" textlink="">
      <xdr:nvSpPr>
        <xdr:cNvPr id="43" name="AutoShape 26356">
          <a:extLst>
            <a:ext uri="{FF2B5EF4-FFF2-40B4-BE49-F238E27FC236}">
              <a16:creationId xmlns:a16="http://schemas.microsoft.com/office/drawing/2014/main" id="{BB8F7694-B731-4128-B978-EFF6142E343A}"/>
            </a:ext>
          </a:extLst>
        </xdr:cNvPr>
        <xdr:cNvSpPr>
          <a:spLocks noChangeArrowheads="1"/>
        </xdr:cNvSpPr>
      </xdr:nvSpPr>
      <xdr:spPr bwMode="auto">
        <a:xfrm>
          <a:off x="6674645" y="59959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16669</xdr:colOff>
      <xdr:row>50</xdr:row>
      <xdr:rowOff>28575</xdr:rowOff>
    </xdr:from>
    <xdr:to>
      <xdr:col>135</xdr:col>
      <xdr:colOff>9431</xdr:colOff>
      <xdr:row>50</xdr:row>
      <xdr:rowOff>248797</xdr:rowOff>
    </xdr:to>
    <xdr:sp macro="" textlink="">
      <xdr:nvSpPr>
        <xdr:cNvPr id="44" name="AutoShape 26356">
          <a:extLst>
            <a:ext uri="{FF2B5EF4-FFF2-40B4-BE49-F238E27FC236}">
              <a16:creationId xmlns:a16="http://schemas.microsoft.com/office/drawing/2014/main" id="{391D4AC1-76A3-438D-89B6-D353AFF08521}"/>
            </a:ext>
          </a:extLst>
        </xdr:cNvPr>
        <xdr:cNvSpPr>
          <a:spLocks noChangeArrowheads="1"/>
        </xdr:cNvSpPr>
      </xdr:nvSpPr>
      <xdr:spPr bwMode="auto">
        <a:xfrm>
          <a:off x="6707982" y="6255544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45244</xdr:colOff>
      <xdr:row>136</xdr:row>
      <xdr:rowOff>57151</xdr:rowOff>
    </xdr:from>
    <xdr:to>
      <xdr:col>138</xdr:col>
      <xdr:colOff>38005</xdr:colOff>
      <xdr:row>136</xdr:row>
      <xdr:rowOff>277373</xdr:rowOff>
    </xdr:to>
    <xdr:sp macro="" textlink="">
      <xdr:nvSpPr>
        <xdr:cNvPr id="13" name="AutoShape 26356">
          <a:extLst>
            <a:ext uri="{FF2B5EF4-FFF2-40B4-BE49-F238E27FC236}">
              <a16:creationId xmlns:a16="http://schemas.microsoft.com/office/drawing/2014/main" id="{2C52439E-A344-40DB-B3EF-ACC84DD0B7A0}"/>
            </a:ext>
          </a:extLst>
        </xdr:cNvPr>
        <xdr:cNvSpPr>
          <a:spLocks noChangeArrowheads="1"/>
        </xdr:cNvSpPr>
      </xdr:nvSpPr>
      <xdr:spPr bwMode="auto">
        <a:xfrm>
          <a:off x="9558338" y="26215182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30956</xdr:colOff>
      <xdr:row>136</xdr:row>
      <xdr:rowOff>30957</xdr:rowOff>
    </xdr:from>
    <xdr:to>
      <xdr:col>141</xdr:col>
      <xdr:colOff>23717</xdr:colOff>
      <xdr:row>136</xdr:row>
      <xdr:rowOff>251179</xdr:rowOff>
    </xdr:to>
    <xdr:sp macro="" textlink="">
      <xdr:nvSpPr>
        <xdr:cNvPr id="14" name="AutoShape 26356">
          <a:extLst>
            <a:ext uri="{FF2B5EF4-FFF2-40B4-BE49-F238E27FC236}">
              <a16:creationId xmlns:a16="http://schemas.microsoft.com/office/drawing/2014/main" id="{3C003AC8-BE57-4289-9736-D266D705D618}"/>
            </a:ext>
          </a:extLst>
        </xdr:cNvPr>
        <xdr:cNvSpPr>
          <a:spLocks noChangeArrowheads="1"/>
        </xdr:cNvSpPr>
      </xdr:nvSpPr>
      <xdr:spPr bwMode="auto">
        <a:xfrm>
          <a:off x="12365831" y="261889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16669</xdr:colOff>
      <xdr:row>136</xdr:row>
      <xdr:rowOff>40482</xdr:rowOff>
    </xdr:from>
    <xdr:to>
      <xdr:col>144</xdr:col>
      <xdr:colOff>9430</xdr:colOff>
      <xdr:row>136</xdr:row>
      <xdr:rowOff>260704</xdr:rowOff>
    </xdr:to>
    <xdr:sp macro="" textlink="">
      <xdr:nvSpPr>
        <xdr:cNvPr id="15" name="AutoShape 26356">
          <a:extLst>
            <a:ext uri="{FF2B5EF4-FFF2-40B4-BE49-F238E27FC236}">
              <a16:creationId xmlns:a16="http://schemas.microsoft.com/office/drawing/2014/main" id="{A0C90E24-6FA2-40BF-8B5C-8045D2B7C1A2}"/>
            </a:ext>
          </a:extLst>
        </xdr:cNvPr>
        <xdr:cNvSpPr>
          <a:spLocks noChangeArrowheads="1"/>
        </xdr:cNvSpPr>
      </xdr:nvSpPr>
      <xdr:spPr bwMode="auto">
        <a:xfrm>
          <a:off x="15173325" y="26198513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38099</xdr:colOff>
      <xdr:row>55</xdr:row>
      <xdr:rowOff>26193</xdr:rowOff>
    </xdr:from>
    <xdr:to>
      <xdr:col>138</xdr:col>
      <xdr:colOff>30860</xdr:colOff>
      <xdr:row>55</xdr:row>
      <xdr:rowOff>246415</xdr:rowOff>
    </xdr:to>
    <xdr:sp macro="" textlink="">
      <xdr:nvSpPr>
        <xdr:cNvPr id="18" name="AutoShape 26356">
          <a:extLst>
            <a:ext uri="{FF2B5EF4-FFF2-40B4-BE49-F238E27FC236}">
              <a16:creationId xmlns:a16="http://schemas.microsoft.com/office/drawing/2014/main" id="{44388EC6-9A79-40D7-BE68-B405E3DE7780}"/>
            </a:ext>
          </a:extLst>
        </xdr:cNvPr>
        <xdr:cNvSpPr>
          <a:spLocks noChangeArrowheads="1"/>
        </xdr:cNvSpPr>
      </xdr:nvSpPr>
      <xdr:spPr bwMode="auto">
        <a:xfrm>
          <a:off x="9551193" y="750331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11907</xdr:colOff>
      <xdr:row>55</xdr:row>
      <xdr:rowOff>35720</xdr:rowOff>
    </xdr:from>
    <xdr:to>
      <xdr:col>141</xdr:col>
      <xdr:colOff>4668</xdr:colOff>
      <xdr:row>55</xdr:row>
      <xdr:rowOff>255942</xdr:rowOff>
    </xdr:to>
    <xdr:sp macro="" textlink="">
      <xdr:nvSpPr>
        <xdr:cNvPr id="19" name="AutoShape 26356">
          <a:extLst>
            <a:ext uri="{FF2B5EF4-FFF2-40B4-BE49-F238E27FC236}">
              <a16:creationId xmlns:a16="http://schemas.microsoft.com/office/drawing/2014/main" id="{44B2EC27-CDBB-4C06-A6EF-5CEFF6AF8DA8}"/>
            </a:ext>
          </a:extLst>
        </xdr:cNvPr>
        <xdr:cNvSpPr>
          <a:spLocks noChangeArrowheads="1"/>
        </xdr:cNvSpPr>
      </xdr:nvSpPr>
      <xdr:spPr bwMode="auto">
        <a:xfrm>
          <a:off x="12346782" y="751284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142</xdr:col>
      <xdr:colOff>938211</xdr:colOff>
      <xdr:row>55</xdr:row>
      <xdr:rowOff>9526</xdr:rowOff>
    </xdr:from>
    <xdr:to>
      <xdr:col>143</xdr:col>
      <xdr:colOff>930973</xdr:colOff>
      <xdr:row>55</xdr:row>
      <xdr:rowOff>229748</xdr:rowOff>
    </xdr:to>
    <xdr:sp macro="" textlink="">
      <xdr:nvSpPr>
        <xdr:cNvPr id="20" name="AutoShape 26356">
          <a:extLst>
            <a:ext uri="{FF2B5EF4-FFF2-40B4-BE49-F238E27FC236}">
              <a16:creationId xmlns:a16="http://schemas.microsoft.com/office/drawing/2014/main" id="{8205EFBB-8BA4-4C69-BA94-30E0FAF25169}"/>
            </a:ext>
          </a:extLst>
        </xdr:cNvPr>
        <xdr:cNvSpPr>
          <a:spLocks noChangeArrowheads="1"/>
        </xdr:cNvSpPr>
      </xdr:nvSpPr>
      <xdr:spPr bwMode="auto">
        <a:xfrm>
          <a:off x="15154274" y="748665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139</xdr:col>
      <xdr:colOff>926306</xdr:colOff>
      <xdr:row>18</xdr:row>
      <xdr:rowOff>9525</xdr:rowOff>
    </xdr:from>
    <xdr:to>
      <xdr:col>140</xdr:col>
      <xdr:colOff>919067</xdr:colOff>
      <xdr:row>18</xdr:row>
      <xdr:rowOff>229747</xdr:rowOff>
    </xdr:to>
    <xdr:sp macro="" textlink="">
      <xdr:nvSpPr>
        <xdr:cNvPr id="21" name="AutoShape 26356">
          <a:extLst>
            <a:ext uri="{FF2B5EF4-FFF2-40B4-BE49-F238E27FC236}">
              <a16:creationId xmlns:a16="http://schemas.microsoft.com/office/drawing/2014/main" id="{FB049E10-1FE8-4BD3-B7C8-E3E9C4F6D65E}"/>
            </a:ext>
          </a:extLst>
        </xdr:cNvPr>
        <xdr:cNvSpPr>
          <a:spLocks noChangeArrowheads="1"/>
        </xdr:cNvSpPr>
      </xdr:nvSpPr>
      <xdr:spPr bwMode="auto">
        <a:xfrm>
          <a:off x="12320587" y="421243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7143</xdr:colOff>
      <xdr:row>18</xdr:row>
      <xdr:rowOff>30956</xdr:rowOff>
    </xdr:from>
    <xdr:to>
      <xdr:col>143</xdr:col>
      <xdr:colOff>940498</xdr:colOff>
      <xdr:row>19</xdr:row>
      <xdr:rowOff>1146</xdr:rowOff>
    </xdr:to>
    <xdr:sp macro="" textlink="">
      <xdr:nvSpPr>
        <xdr:cNvPr id="22" name="AutoShape 26356">
          <a:extLst>
            <a:ext uri="{FF2B5EF4-FFF2-40B4-BE49-F238E27FC236}">
              <a16:creationId xmlns:a16="http://schemas.microsoft.com/office/drawing/2014/main" id="{33C53F60-E04F-4C99-A789-5A00F148D3D9}"/>
            </a:ext>
          </a:extLst>
        </xdr:cNvPr>
        <xdr:cNvSpPr>
          <a:spLocks noChangeArrowheads="1"/>
        </xdr:cNvSpPr>
      </xdr:nvSpPr>
      <xdr:spPr bwMode="auto">
        <a:xfrm>
          <a:off x="15163799" y="4233862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2380</xdr:colOff>
      <xdr:row>18</xdr:row>
      <xdr:rowOff>26193</xdr:rowOff>
    </xdr:from>
    <xdr:to>
      <xdr:col>149</xdr:col>
      <xdr:colOff>935735</xdr:colOff>
      <xdr:row>18</xdr:row>
      <xdr:rowOff>246415</xdr:rowOff>
    </xdr:to>
    <xdr:sp macro="" textlink="">
      <xdr:nvSpPr>
        <xdr:cNvPr id="24" name="AutoShape 26356">
          <a:extLst>
            <a:ext uri="{FF2B5EF4-FFF2-40B4-BE49-F238E27FC236}">
              <a16:creationId xmlns:a16="http://schemas.microsoft.com/office/drawing/2014/main" id="{BEB6E444-4640-4B68-9AC4-54333E21F680}"/>
            </a:ext>
          </a:extLst>
        </xdr:cNvPr>
        <xdr:cNvSpPr>
          <a:spLocks noChangeArrowheads="1"/>
        </xdr:cNvSpPr>
      </xdr:nvSpPr>
      <xdr:spPr bwMode="auto">
        <a:xfrm>
          <a:off x="20802599" y="422909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139</xdr:col>
      <xdr:colOff>935831</xdr:colOff>
      <xdr:row>22</xdr:row>
      <xdr:rowOff>19050</xdr:rowOff>
    </xdr:from>
    <xdr:to>
      <xdr:col>140</xdr:col>
      <xdr:colOff>928592</xdr:colOff>
      <xdr:row>22</xdr:row>
      <xdr:rowOff>239272</xdr:rowOff>
    </xdr:to>
    <xdr:sp macro="" textlink="">
      <xdr:nvSpPr>
        <xdr:cNvPr id="25" name="AutoShape 26356">
          <a:extLst>
            <a:ext uri="{FF2B5EF4-FFF2-40B4-BE49-F238E27FC236}">
              <a16:creationId xmlns:a16="http://schemas.microsoft.com/office/drawing/2014/main" id="{0D2B7022-F2BF-44AD-96E5-AECE5E144AAF}"/>
            </a:ext>
          </a:extLst>
        </xdr:cNvPr>
        <xdr:cNvSpPr>
          <a:spLocks noChangeArrowheads="1"/>
        </xdr:cNvSpPr>
      </xdr:nvSpPr>
      <xdr:spPr bwMode="auto">
        <a:xfrm>
          <a:off x="12330112" y="522208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139</xdr:col>
      <xdr:colOff>923925</xdr:colOff>
      <xdr:row>12</xdr:row>
      <xdr:rowOff>7143</xdr:rowOff>
    </xdr:from>
    <xdr:to>
      <xdr:col>140</xdr:col>
      <xdr:colOff>916686</xdr:colOff>
      <xdr:row>12</xdr:row>
      <xdr:rowOff>227365</xdr:rowOff>
    </xdr:to>
    <xdr:sp macro="" textlink="">
      <xdr:nvSpPr>
        <xdr:cNvPr id="27" name="AutoShape 26356">
          <a:extLst>
            <a:ext uri="{FF2B5EF4-FFF2-40B4-BE49-F238E27FC236}">
              <a16:creationId xmlns:a16="http://schemas.microsoft.com/office/drawing/2014/main" id="{982419E7-8FD8-4BB2-BD3F-3C25905AD34C}"/>
            </a:ext>
          </a:extLst>
        </xdr:cNvPr>
        <xdr:cNvSpPr>
          <a:spLocks noChangeArrowheads="1"/>
        </xdr:cNvSpPr>
      </xdr:nvSpPr>
      <xdr:spPr bwMode="auto">
        <a:xfrm>
          <a:off x="12318206" y="26979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57149</xdr:colOff>
      <xdr:row>12</xdr:row>
      <xdr:rowOff>45242</xdr:rowOff>
    </xdr:from>
    <xdr:to>
      <xdr:col>153</xdr:col>
      <xdr:colOff>49910</xdr:colOff>
      <xdr:row>13</xdr:row>
      <xdr:rowOff>3527</xdr:rowOff>
    </xdr:to>
    <xdr:sp macro="" textlink="">
      <xdr:nvSpPr>
        <xdr:cNvPr id="29" name="AutoShape 26356">
          <a:extLst>
            <a:ext uri="{FF2B5EF4-FFF2-40B4-BE49-F238E27FC236}">
              <a16:creationId xmlns:a16="http://schemas.microsoft.com/office/drawing/2014/main" id="{292D8993-23EF-44A4-832E-DC65E04854C1}"/>
            </a:ext>
          </a:extLst>
        </xdr:cNvPr>
        <xdr:cNvSpPr>
          <a:spLocks noChangeArrowheads="1"/>
        </xdr:cNvSpPr>
      </xdr:nvSpPr>
      <xdr:spPr bwMode="auto">
        <a:xfrm>
          <a:off x="23679149" y="273605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42861</xdr:colOff>
      <xdr:row>14</xdr:row>
      <xdr:rowOff>19049</xdr:rowOff>
    </xdr:from>
    <xdr:to>
      <xdr:col>153</xdr:col>
      <xdr:colOff>35622</xdr:colOff>
      <xdr:row>14</xdr:row>
      <xdr:rowOff>239271</xdr:rowOff>
    </xdr:to>
    <xdr:sp macro="" textlink="">
      <xdr:nvSpPr>
        <xdr:cNvPr id="30" name="AutoShape 26356">
          <a:extLst>
            <a:ext uri="{FF2B5EF4-FFF2-40B4-BE49-F238E27FC236}">
              <a16:creationId xmlns:a16="http://schemas.microsoft.com/office/drawing/2014/main" id="{4273A4D3-48A1-4175-8B6E-77DCA0F18EF7}"/>
            </a:ext>
          </a:extLst>
        </xdr:cNvPr>
        <xdr:cNvSpPr>
          <a:spLocks noChangeArrowheads="1"/>
        </xdr:cNvSpPr>
      </xdr:nvSpPr>
      <xdr:spPr bwMode="auto">
        <a:xfrm>
          <a:off x="23664861" y="3221830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146</xdr:row>
      <xdr:rowOff>10584</xdr:rowOff>
    </xdr:from>
    <xdr:to>
      <xdr:col>143</xdr:col>
      <xdr:colOff>933355</xdr:colOff>
      <xdr:row>146</xdr:row>
      <xdr:rowOff>230980</xdr:rowOff>
    </xdr:to>
    <xdr:sp macro="" textlink="">
      <xdr:nvSpPr>
        <xdr:cNvPr id="28" name="AutoShape 26356">
          <a:extLst>
            <a:ext uri="{FF2B5EF4-FFF2-40B4-BE49-F238E27FC236}">
              <a16:creationId xmlns:a16="http://schemas.microsoft.com/office/drawing/2014/main" id="{F2B07202-F8F7-4241-9AAD-3802E70F04A6}"/>
            </a:ext>
          </a:extLst>
        </xdr:cNvPr>
        <xdr:cNvSpPr>
          <a:spLocks noChangeArrowheads="1"/>
        </xdr:cNvSpPr>
      </xdr:nvSpPr>
      <xdr:spPr bwMode="auto">
        <a:xfrm>
          <a:off x="15155333" y="27992917"/>
          <a:ext cx="933355" cy="220396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131</xdr:row>
      <xdr:rowOff>0</xdr:rowOff>
    </xdr:from>
    <xdr:to>
      <xdr:col>143</xdr:col>
      <xdr:colOff>933355</xdr:colOff>
      <xdr:row>134</xdr:row>
      <xdr:rowOff>404812</xdr:rowOff>
    </xdr:to>
    <xdr:sp macro="" textlink="">
      <xdr:nvSpPr>
        <xdr:cNvPr id="31" name="AutoShape 26356">
          <a:extLst>
            <a:ext uri="{FF2B5EF4-FFF2-40B4-BE49-F238E27FC236}">
              <a16:creationId xmlns:a16="http://schemas.microsoft.com/office/drawing/2014/main" id="{D281B1BA-FB01-468D-95C9-159FA827603F}"/>
            </a:ext>
          </a:extLst>
        </xdr:cNvPr>
        <xdr:cNvSpPr>
          <a:spLocks noChangeArrowheads="1"/>
        </xdr:cNvSpPr>
      </xdr:nvSpPr>
      <xdr:spPr bwMode="auto">
        <a:xfrm>
          <a:off x="15156656" y="25324594"/>
          <a:ext cx="933355" cy="40481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135</xdr:row>
      <xdr:rowOff>416717</xdr:rowOff>
    </xdr:from>
    <xdr:to>
      <xdr:col>146</xdr:col>
      <xdr:colOff>933355</xdr:colOff>
      <xdr:row>137</xdr:row>
      <xdr:rowOff>35718</xdr:rowOff>
    </xdr:to>
    <xdr:sp macro="" textlink="">
      <xdr:nvSpPr>
        <xdr:cNvPr id="32" name="AutoShape 26356">
          <a:extLst>
            <a:ext uri="{FF2B5EF4-FFF2-40B4-BE49-F238E27FC236}">
              <a16:creationId xmlns:a16="http://schemas.microsoft.com/office/drawing/2014/main" id="{3E88E483-FDAA-48EA-8392-E091DDD57E1D}"/>
            </a:ext>
          </a:extLst>
        </xdr:cNvPr>
        <xdr:cNvSpPr>
          <a:spLocks noChangeArrowheads="1"/>
        </xdr:cNvSpPr>
      </xdr:nvSpPr>
      <xdr:spPr bwMode="auto">
        <a:xfrm>
          <a:off x="17978438" y="26158030"/>
          <a:ext cx="933355" cy="321469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146</xdr:row>
      <xdr:rowOff>0</xdr:rowOff>
    </xdr:from>
    <xdr:to>
      <xdr:col>146</xdr:col>
      <xdr:colOff>933355</xdr:colOff>
      <xdr:row>147</xdr:row>
      <xdr:rowOff>-1</xdr:rowOff>
    </xdr:to>
    <xdr:sp macro="" textlink="">
      <xdr:nvSpPr>
        <xdr:cNvPr id="33" name="AutoShape 26356">
          <a:extLst>
            <a:ext uri="{FF2B5EF4-FFF2-40B4-BE49-F238E27FC236}">
              <a16:creationId xmlns:a16="http://schemas.microsoft.com/office/drawing/2014/main" id="{1F25182E-1E8E-44C9-AE22-DF7149C3E550}"/>
            </a:ext>
          </a:extLst>
        </xdr:cNvPr>
        <xdr:cNvSpPr>
          <a:spLocks noChangeArrowheads="1"/>
        </xdr:cNvSpPr>
      </xdr:nvSpPr>
      <xdr:spPr bwMode="auto">
        <a:xfrm>
          <a:off x="17978438" y="29777531"/>
          <a:ext cx="933355" cy="250031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147</xdr:row>
      <xdr:rowOff>0</xdr:rowOff>
    </xdr:from>
    <xdr:to>
      <xdr:col>146</xdr:col>
      <xdr:colOff>933355</xdr:colOff>
      <xdr:row>147</xdr:row>
      <xdr:rowOff>250031</xdr:rowOff>
    </xdr:to>
    <xdr:sp macro="" textlink="">
      <xdr:nvSpPr>
        <xdr:cNvPr id="34" name="AutoShape 26356">
          <a:extLst>
            <a:ext uri="{FF2B5EF4-FFF2-40B4-BE49-F238E27FC236}">
              <a16:creationId xmlns:a16="http://schemas.microsoft.com/office/drawing/2014/main" id="{9444B229-5EE0-4E88-87F4-878C0F9B2CC5}"/>
            </a:ext>
          </a:extLst>
        </xdr:cNvPr>
        <xdr:cNvSpPr>
          <a:spLocks noChangeArrowheads="1"/>
        </xdr:cNvSpPr>
      </xdr:nvSpPr>
      <xdr:spPr bwMode="auto">
        <a:xfrm>
          <a:off x="17978438" y="30027563"/>
          <a:ext cx="933355" cy="250031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131</xdr:row>
      <xdr:rowOff>0</xdr:rowOff>
    </xdr:from>
    <xdr:to>
      <xdr:col>146</xdr:col>
      <xdr:colOff>933355</xdr:colOff>
      <xdr:row>134</xdr:row>
      <xdr:rowOff>392906</xdr:rowOff>
    </xdr:to>
    <xdr:sp macro="" textlink="">
      <xdr:nvSpPr>
        <xdr:cNvPr id="35" name="AutoShape 26356">
          <a:extLst>
            <a:ext uri="{FF2B5EF4-FFF2-40B4-BE49-F238E27FC236}">
              <a16:creationId xmlns:a16="http://schemas.microsoft.com/office/drawing/2014/main" id="{F89213FE-C88D-47DA-A503-C37F453A71D8}"/>
            </a:ext>
          </a:extLst>
        </xdr:cNvPr>
        <xdr:cNvSpPr>
          <a:spLocks noChangeArrowheads="1"/>
        </xdr:cNvSpPr>
      </xdr:nvSpPr>
      <xdr:spPr bwMode="auto">
        <a:xfrm>
          <a:off x="17978438" y="25324594"/>
          <a:ext cx="933355" cy="392906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23812</xdr:colOff>
      <xdr:row>134</xdr:row>
      <xdr:rowOff>23813</xdr:rowOff>
    </xdr:from>
    <xdr:to>
      <xdr:col>150</xdr:col>
      <xdr:colOff>16573</xdr:colOff>
      <xdr:row>135</xdr:row>
      <xdr:rowOff>0</xdr:rowOff>
    </xdr:to>
    <xdr:sp macro="" textlink="">
      <xdr:nvSpPr>
        <xdr:cNvPr id="36" name="AutoShape 26356">
          <a:extLst>
            <a:ext uri="{FF2B5EF4-FFF2-40B4-BE49-F238E27FC236}">
              <a16:creationId xmlns:a16="http://schemas.microsoft.com/office/drawing/2014/main" id="{32617C9E-A5B2-44CB-86BD-3D0E52D8060C}"/>
            </a:ext>
          </a:extLst>
        </xdr:cNvPr>
        <xdr:cNvSpPr>
          <a:spLocks noChangeArrowheads="1"/>
        </xdr:cNvSpPr>
      </xdr:nvSpPr>
      <xdr:spPr bwMode="auto">
        <a:xfrm>
          <a:off x="20824031" y="25348407"/>
          <a:ext cx="933355" cy="392906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0</xdr:colOff>
      <xdr:row>136</xdr:row>
      <xdr:rowOff>0</xdr:rowOff>
    </xdr:from>
    <xdr:to>
      <xdr:col>149</xdr:col>
      <xdr:colOff>933355</xdr:colOff>
      <xdr:row>137</xdr:row>
      <xdr:rowOff>35719</xdr:rowOff>
    </xdr:to>
    <xdr:sp macro="" textlink="">
      <xdr:nvSpPr>
        <xdr:cNvPr id="37" name="AutoShape 26356">
          <a:extLst>
            <a:ext uri="{FF2B5EF4-FFF2-40B4-BE49-F238E27FC236}">
              <a16:creationId xmlns:a16="http://schemas.microsoft.com/office/drawing/2014/main" id="{971DA311-CFE3-4A1E-8469-48D23319D3C9}"/>
            </a:ext>
          </a:extLst>
        </xdr:cNvPr>
        <xdr:cNvSpPr>
          <a:spLocks noChangeArrowheads="1"/>
        </xdr:cNvSpPr>
      </xdr:nvSpPr>
      <xdr:spPr bwMode="auto">
        <a:xfrm>
          <a:off x="20800219" y="26158031"/>
          <a:ext cx="933355" cy="321469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0</xdr:colOff>
      <xdr:row>146</xdr:row>
      <xdr:rowOff>0</xdr:rowOff>
    </xdr:from>
    <xdr:to>
      <xdr:col>149</xdr:col>
      <xdr:colOff>933355</xdr:colOff>
      <xdr:row>147</xdr:row>
      <xdr:rowOff>-1</xdr:rowOff>
    </xdr:to>
    <xdr:sp macro="" textlink="">
      <xdr:nvSpPr>
        <xdr:cNvPr id="38" name="AutoShape 26356">
          <a:extLst>
            <a:ext uri="{FF2B5EF4-FFF2-40B4-BE49-F238E27FC236}">
              <a16:creationId xmlns:a16="http://schemas.microsoft.com/office/drawing/2014/main" id="{FD9D3185-E430-43E0-9219-D1AFACA6E92C}"/>
            </a:ext>
          </a:extLst>
        </xdr:cNvPr>
        <xdr:cNvSpPr>
          <a:spLocks noChangeArrowheads="1"/>
        </xdr:cNvSpPr>
      </xdr:nvSpPr>
      <xdr:spPr bwMode="auto">
        <a:xfrm>
          <a:off x="20800219" y="29777531"/>
          <a:ext cx="933355" cy="250031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0</xdr:colOff>
      <xdr:row>147</xdr:row>
      <xdr:rowOff>0</xdr:rowOff>
    </xdr:from>
    <xdr:to>
      <xdr:col>149</xdr:col>
      <xdr:colOff>933355</xdr:colOff>
      <xdr:row>147</xdr:row>
      <xdr:rowOff>250031</xdr:rowOff>
    </xdr:to>
    <xdr:sp macro="" textlink="">
      <xdr:nvSpPr>
        <xdr:cNvPr id="39" name="AutoShape 26356">
          <a:extLst>
            <a:ext uri="{FF2B5EF4-FFF2-40B4-BE49-F238E27FC236}">
              <a16:creationId xmlns:a16="http://schemas.microsoft.com/office/drawing/2014/main" id="{AB0A72D2-5487-4EEE-A542-35D0D0AA0092}"/>
            </a:ext>
          </a:extLst>
        </xdr:cNvPr>
        <xdr:cNvSpPr>
          <a:spLocks noChangeArrowheads="1"/>
        </xdr:cNvSpPr>
      </xdr:nvSpPr>
      <xdr:spPr bwMode="auto">
        <a:xfrm>
          <a:off x="20800219" y="30027563"/>
          <a:ext cx="933355" cy="250031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136</xdr:row>
      <xdr:rowOff>1</xdr:rowOff>
    </xdr:from>
    <xdr:to>
      <xdr:col>152</xdr:col>
      <xdr:colOff>933355</xdr:colOff>
      <xdr:row>137</xdr:row>
      <xdr:rowOff>11907</xdr:rowOff>
    </xdr:to>
    <xdr:sp macro="" textlink="">
      <xdr:nvSpPr>
        <xdr:cNvPr id="41" name="AutoShape 26356">
          <a:extLst>
            <a:ext uri="{FF2B5EF4-FFF2-40B4-BE49-F238E27FC236}">
              <a16:creationId xmlns:a16="http://schemas.microsoft.com/office/drawing/2014/main" id="{8D648A6B-0040-4FDB-96F4-CA0D60B3845D}"/>
            </a:ext>
          </a:extLst>
        </xdr:cNvPr>
        <xdr:cNvSpPr>
          <a:spLocks noChangeArrowheads="1"/>
        </xdr:cNvSpPr>
      </xdr:nvSpPr>
      <xdr:spPr bwMode="auto">
        <a:xfrm>
          <a:off x="23622000" y="26158032"/>
          <a:ext cx="933355" cy="297656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147</xdr:row>
      <xdr:rowOff>0</xdr:rowOff>
    </xdr:from>
    <xdr:to>
      <xdr:col>152</xdr:col>
      <xdr:colOff>933355</xdr:colOff>
      <xdr:row>147</xdr:row>
      <xdr:rowOff>250031</xdr:rowOff>
    </xdr:to>
    <xdr:sp macro="" textlink="">
      <xdr:nvSpPr>
        <xdr:cNvPr id="42" name="AutoShape 26356">
          <a:extLst>
            <a:ext uri="{FF2B5EF4-FFF2-40B4-BE49-F238E27FC236}">
              <a16:creationId xmlns:a16="http://schemas.microsoft.com/office/drawing/2014/main" id="{8EEC0128-A27D-4E7E-B3AC-AC3DF05DC943}"/>
            </a:ext>
          </a:extLst>
        </xdr:cNvPr>
        <xdr:cNvSpPr>
          <a:spLocks noChangeArrowheads="1"/>
        </xdr:cNvSpPr>
      </xdr:nvSpPr>
      <xdr:spPr bwMode="auto">
        <a:xfrm>
          <a:off x="23622000" y="30027563"/>
          <a:ext cx="933355" cy="250031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146</xdr:row>
      <xdr:rowOff>0</xdr:rowOff>
    </xdr:from>
    <xdr:to>
      <xdr:col>152</xdr:col>
      <xdr:colOff>933355</xdr:colOff>
      <xdr:row>147</xdr:row>
      <xdr:rowOff>-1</xdr:rowOff>
    </xdr:to>
    <xdr:sp macro="" textlink="">
      <xdr:nvSpPr>
        <xdr:cNvPr id="45" name="AutoShape 26356">
          <a:extLst>
            <a:ext uri="{FF2B5EF4-FFF2-40B4-BE49-F238E27FC236}">
              <a16:creationId xmlns:a16="http://schemas.microsoft.com/office/drawing/2014/main" id="{8C018A40-121C-475B-AC73-A9D716CD8934}"/>
            </a:ext>
          </a:extLst>
        </xdr:cNvPr>
        <xdr:cNvSpPr>
          <a:spLocks noChangeArrowheads="1"/>
        </xdr:cNvSpPr>
      </xdr:nvSpPr>
      <xdr:spPr bwMode="auto">
        <a:xfrm>
          <a:off x="23622000" y="29777531"/>
          <a:ext cx="933355" cy="250031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114</xdr:row>
      <xdr:rowOff>0</xdr:rowOff>
    </xdr:from>
    <xdr:to>
      <xdr:col>137</xdr:col>
      <xdr:colOff>933355</xdr:colOff>
      <xdr:row>114</xdr:row>
      <xdr:rowOff>220222</xdr:rowOff>
    </xdr:to>
    <xdr:sp macro="" textlink="">
      <xdr:nvSpPr>
        <xdr:cNvPr id="46" name="AutoShape 26356">
          <a:extLst>
            <a:ext uri="{FF2B5EF4-FFF2-40B4-BE49-F238E27FC236}">
              <a16:creationId xmlns:a16="http://schemas.microsoft.com/office/drawing/2014/main" id="{F35805B8-92D5-4DB4-AB1D-2E1165C48F5D}"/>
            </a:ext>
          </a:extLst>
        </xdr:cNvPr>
        <xdr:cNvSpPr>
          <a:spLocks noChangeArrowheads="1"/>
        </xdr:cNvSpPr>
      </xdr:nvSpPr>
      <xdr:spPr bwMode="auto">
        <a:xfrm>
          <a:off x="9513094" y="227766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115</xdr:row>
      <xdr:rowOff>0</xdr:rowOff>
    </xdr:from>
    <xdr:to>
      <xdr:col>137</xdr:col>
      <xdr:colOff>933355</xdr:colOff>
      <xdr:row>115</xdr:row>
      <xdr:rowOff>220222</xdr:rowOff>
    </xdr:to>
    <xdr:sp macro="" textlink="">
      <xdr:nvSpPr>
        <xdr:cNvPr id="47" name="AutoShape 26356">
          <a:extLst>
            <a:ext uri="{FF2B5EF4-FFF2-40B4-BE49-F238E27FC236}">
              <a16:creationId xmlns:a16="http://schemas.microsoft.com/office/drawing/2014/main" id="{A0414073-C266-436E-91F1-FC1366E9DAB2}"/>
            </a:ext>
          </a:extLst>
        </xdr:cNvPr>
        <xdr:cNvSpPr>
          <a:spLocks noChangeArrowheads="1"/>
        </xdr:cNvSpPr>
      </xdr:nvSpPr>
      <xdr:spPr bwMode="auto">
        <a:xfrm>
          <a:off x="9513094" y="230266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116</xdr:row>
      <xdr:rowOff>0</xdr:rowOff>
    </xdr:from>
    <xdr:to>
      <xdr:col>137</xdr:col>
      <xdr:colOff>933355</xdr:colOff>
      <xdr:row>116</xdr:row>
      <xdr:rowOff>220222</xdr:rowOff>
    </xdr:to>
    <xdr:sp macro="" textlink="">
      <xdr:nvSpPr>
        <xdr:cNvPr id="48" name="AutoShape 26356">
          <a:extLst>
            <a:ext uri="{FF2B5EF4-FFF2-40B4-BE49-F238E27FC236}">
              <a16:creationId xmlns:a16="http://schemas.microsoft.com/office/drawing/2014/main" id="{EAF05113-1E34-44EF-9B4C-134469FE286F}"/>
            </a:ext>
          </a:extLst>
        </xdr:cNvPr>
        <xdr:cNvSpPr>
          <a:spLocks noChangeArrowheads="1"/>
        </xdr:cNvSpPr>
      </xdr:nvSpPr>
      <xdr:spPr bwMode="auto">
        <a:xfrm>
          <a:off x="9513094" y="2327671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114</xdr:row>
      <xdr:rowOff>0</xdr:rowOff>
    </xdr:from>
    <xdr:to>
      <xdr:col>140</xdr:col>
      <xdr:colOff>933355</xdr:colOff>
      <xdr:row>114</xdr:row>
      <xdr:rowOff>220222</xdr:rowOff>
    </xdr:to>
    <xdr:sp macro="" textlink="">
      <xdr:nvSpPr>
        <xdr:cNvPr id="49" name="AutoShape 26356">
          <a:extLst>
            <a:ext uri="{FF2B5EF4-FFF2-40B4-BE49-F238E27FC236}">
              <a16:creationId xmlns:a16="http://schemas.microsoft.com/office/drawing/2014/main" id="{27FCDAFC-7424-451B-BCFB-1C9AA98F5866}"/>
            </a:ext>
          </a:extLst>
        </xdr:cNvPr>
        <xdr:cNvSpPr>
          <a:spLocks noChangeArrowheads="1"/>
        </xdr:cNvSpPr>
      </xdr:nvSpPr>
      <xdr:spPr bwMode="auto">
        <a:xfrm>
          <a:off x="12334875" y="227766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115</xdr:row>
      <xdr:rowOff>0</xdr:rowOff>
    </xdr:from>
    <xdr:to>
      <xdr:col>140</xdr:col>
      <xdr:colOff>933355</xdr:colOff>
      <xdr:row>115</xdr:row>
      <xdr:rowOff>220222</xdr:rowOff>
    </xdr:to>
    <xdr:sp macro="" textlink="">
      <xdr:nvSpPr>
        <xdr:cNvPr id="50" name="AutoShape 26356">
          <a:extLst>
            <a:ext uri="{FF2B5EF4-FFF2-40B4-BE49-F238E27FC236}">
              <a16:creationId xmlns:a16="http://schemas.microsoft.com/office/drawing/2014/main" id="{E3C99E60-93BF-4423-A2AE-0ECACD6FA463}"/>
            </a:ext>
          </a:extLst>
        </xdr:cNvPr>
        <xdr:cNvSpPr>
          <a:spLocks noChangeArrowheads="1"/>
        </xdr:cNvSpPr>
      </xdr:nvSpPr>
      <xdr:spPr bwMode="auto">
        <a:xfrm>
          <a:off x="12334875" y="230266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116</xdr:row>
      <xdr:rowOff>0</xdr:rowOff>
    </xdr:from>
    <xdr:to>
      <xdr:col>140</xdr:col>
      <xdr:colOff>933355</xdr:colOff>
      <xdr:row>116</xdr:row>
      <xdr:rowOff>220222</xdr:rowOff>
    </xdr:to>
    <xdr:sp macro="" textlink="">
      <xdr:nvSpPr>
        <xdr:cNvPr id="51" name="AutoShape 26356">
          <a:extLst>
            <a:ext uri="{FF2B5EF4-FFF2-40B4-BE49-F238E27FC236}">
              <a16:creationId xmlns:a16="http://schemas.microsoft.com/office/drawing/2014/main" id="{48D702E4-5176-44AA-93D3-D256BBDF86FE}"/>
            </a:ext>
          </a:extLst>
        </xdr:cNvPr>
        <xdr:cNvSpPr>
          <a:spLocks noChangeArrowheads="1"/>
        </xdr:cNvSpPr>
      </xdr:nvSpPr>
      <xdr:spPr bwMode="auto">
        <a:xfrm>
          <a:off x="12334875" y="2327671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115</xdr:row>
      <xdr:rowOff>0</xdr:rowOff>
    </xdr:from>
    <xdr:to>
      <xdr:col>143</xdr:col>
      <xdr:colOff>933355</xdr:colOff>
      <xdr:row>115</xdr:row>
      <xdr:rowOff>220222</xdr:rowOff>
    </xdr:to>
    <xdr:sp macro="" textlink="">
      <xdr:nvSpPr>
        <xdr:cNvPr id="52" name="AutoShape 26356">
          <a:extLst>
            <a:ext uri="{FF2B5EF4-FFF2-40B4-BE49-F238E27FC236}">
              <a16:creationId xmlns:a16="http://schemas.microsoft.com/office/drawing/2014/main" id="{C09BBB15-D892-465B-A6DD-544F039C25F8}"/>
            </a:ext>
          </a:extLst>
        </xdr:cNvPr>
        <xdr:cNvSpPr>
          <a:spLocks noChangeArrowheads="1"/>
        </xdr:cNvSpPr>
      </xdr:nvSpPr>
      <xdr:spPr bwMode="auto">
        <a:xfrm>
          <a:off x="15156656" y="230266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116</xdr:row>
      <xdr:rowOff>0</xdr:rowOff>
    </xdr:from>
    <xdr:to>
      <xdr:col>143</xdr:col>
      <xdr:colOff>933355</xdr:colOff>
      <xdr:row>116</xdr:row>
      <xdr:rowOff>220222</xdr:rowOff>
    </xdr:to>
    <xdr:sp macro="" textlink="">
      <xdr:nvSpPr>
        <xdr:cNvPr id="53" name="AutoShape 26356">
          <a:extLst>
            <a:ext uri="{FF2B5EF4-FFF2-40B4-BE49-F238E27FC236}">
              <a16:creationId xmlns:a16="http://schemas.microsoft.com/office/drawing/2014/main" id="{C0C9DAC5-5582-40B7-AFE9-245086513D5A}"/>
            </a:ext>
          </a:extLst>
        </xdr:cNvPr>
        <xdr:cNvSpPr>
          <a:spLocks noChangeArrowheads="1"/>
        </xdr:cNvSpPr>
      </xdr:nvSpPr>
      <xdr:spPr bwMode="auto">
        <a:xfrm>
          <a:off x="15156656" y="2327671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114</xdr:row>
      <xdr:rowOff>0</xdr:rowOff>
    </xdr:from>
    <xdr:to>
      <xdr:col>146</xdr:col>
      <xdr:colOff>933355</xdr:colOff>
      <xdr:row>114</xdr:row>
      <xdr:rowOff>220222</xdr:rowOff>
    </xdr:to>
    <xdr:sp macro="" textlink="">
      <xdr:nvSpPr>
        <xdr:cNvPr id="54" name="AutoShape 26356">
          <a:extLst>
            <a:ext uri="{FF2B5EF4-FFF2-40B4-BE49-F238E27FC236}">
              <a16:creationId xmlns:a16="http://schemas.microsoft.com/office/drawing/2014/main" id="{0846D051-E35B-4765-9B14-9633A5189398}"/>
            </a:ext>
          </a:extLst>
        </xdr:cNvPr>
        <xdr:cNvSpPr>
          <a:spLocks noChangeArrowheads="1"/>
        </xdr:cNvSpPr>
      </xdr:nvSpPr>
      <xdr:spPr bwMode="auto">
        <a:xfrm>
          <a:off x="17978438" y="227766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115</xdr:row>
      <xdr:rowOff>0</xdr:rowOff>
    </xdr:from>
    <xdr:to>
      <xdr:col>146</xdr:col>
      <xdr:colOff>933355</xdr:colOff>
      <xdr:row>115</xdr:row>
      <xdr:rowOff>220222</xdr:rowOff>
    </xdr:to>
    <xdr:sp macro="" textlink="">
      <xdr:nvSpPr>
        <xdr:cNvPr id="55" name="AutoShape 26356">
          <a:extLst>
            <a:ext uri="{FF2B5EF4-FFF2-40B4-BE49-F238E27FC236}">
              <a16:creationId xmlns:a16="http://schemas.microsoft.com/office/drawing/2014/main" id="{13ADFF8E-DFA3-4E80-B534-DEAC386A75F3}"/>
            </a:ext>
          </a:extLst>
        </xdr:cNvPr>
        <xdr:cNvSpPr>
          <a:spLocks noChangeArrowheads="1"/>
        </xdr:cNvSpPr>
      </xdr:nvSpPr>
      <xdr:spPr bwMode="auto">
        <a:xfrm>
          <a:off x="17978438" y="230266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116</xdr:row>
      <xdr:rowOff>0</xdr:rowOff>
    </xdr:from>
    <xdr:to>
      <xdr:col>146</xdr:col>
      <xdr:colOff>933355</xdr:colOff>
      <xdr:row>116</xdr:row>
      <xdr:rowOff>220222</xdr:rowOff>
    </xdr:to>
    <xdr:sp macro="" textlink="">
      <xdr:nvSpPr>
        <xdr:cNvPr id="56" name="AutoShape 26356">
          <a:extLst>
            <a:ext uri="{FF2B5EF4-FFF2-40B4-BE49-F238E27FC236}">
              <a16:creationId xmlns:a16="http://schemas.microsoft.com/office/drawing/2014/main" id="{1C591C03-FB85-4BEB-8945-C9469BD5F261}"/>
            </a:ext>
          </a:extLst>
        </xdr:cNvPr>
        <xdr:cNvSpPr>
          <a:spLocks noChangeArrowheads="1"/>
        </xdr:cNvSpPr>
      </xdr:nvSpPr>
      <xdr:spPr bwMode="auto">
        <a:xfrm>
          <a:off x="17978438" y="2327671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0</xdr:colOff>
      <xdr:row>113</xdr:row>
      <xdr:rowOff>0</xdr:rowOff>
    </xdr:from>
    <xdr:to>
      <xdr:col>146</xdr:col>
      <xdr:colOff>933355</xdr:colOff>
      <xdr:row>113</xdr:row>
      <xdr:rowOff>220222</xdr:rowOff>
    </xdr:to>
    <xdr:sp macro="" textlink="">
      <xdr:nvSpPr>
        <xdr:cNvPr id="57" name="AutoShape 26356">
          <a:extLst>
            <a:ext uri="{FF2B5EF4-FFF2-40B4-BE49-F238E27FC236}">
              <a16:creationId xmlns:a16="http://schemas.microsoft.com/office/drawing/2014/main" id="{41FF1837-CADF-4681-B312-F90FF619007D}"/>
            </a:ext>
          </a:extLst>
        </xdr:cNvPr>
        <xdr:cNvSpPr>
          <a:spLocks noChangeArrowheads="1"/>
        </xdr:cNvSpPr>
      </xdr:nvSpPr>
      <xdr:spPr bwMode="auto">
        <a:xfrm>
          <a:off x="17978438" y="2252662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0</xdr:colOff>
      <xdr:row>114</xdr:row>
      <xdr:rowOff>0</xdr:rowOff>
    </xdr:from>
    <xdr:to>
      <xdr:col>149</xdr:col>
      <xdr:colOff>933355</xdr:colOff>
      <xdr:row>114</xdr:row>
      <xdr:rowOff>220222</xdr:rowOff>
    </xdr:to>
    <xdr:sp macro="" textlink="">
      <xdr:nvSpPr>
        <xdr:cNvPr id="58" name="AutoShape 26356">
          <a:extLst>
            <a:ext uri="{FF2B5EF4-FFF2-40B4-BE49-F238E27FC236}">
              <a16:creationId xmlns:a16="http://schemas.microsoft.com/office/drawing/2014/main" id="{C048006E-19AB-4D12-BDC2-ED1DA3137E80}"/>
            </a:ext>
          </a:extLst>
        </xdr:cNvPr>
        <xdr:cNvSpPr>
          <a:spLocks noChangeArrowheads="1"/>
        </xdr:cNvSpPr>
      </xdr:nvSpPr>
      <xdr:spPr bwMode="auto">
        <a:xfrm>
          <a:off x="20800219" y="227766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0</xdr:colOff>
      <xdr:row>115</xdr:row>
      <xdr:rowOff>0</xdr:rowOff>
    </xdr:from>
    <xdr:to>
      <xdr:col>149</xdr:col>
      <xdr:colOff>933355</xdr:colOff>
      <xdr:row>115</xdr:row>
      <xdr:rowOff>220222</xdr:rowOff>
    </xdr:to>
    <xdr:sp macro="" textlink="">
      <xdr:nvSpPr>
        <xdr:cNvPr id="59" name="AutoShape 26356">
          <a:extLst>
            <a:ext uri="{FF2B5EF4-FFF2-40B4-BE49-F238E27FC236}">
              <a16:creationId xmlns:a16="http://schemas.microsoft.com/office/drawing/2014/main" id="{0EB5A8B9-E746-414F-AA75-8A2574BC31D8}"/>
            </a:ext>
          </a:extLst>
        </xdr:cNvPr>
        <xdr:cNvSpPr>
          <a:spLocks noChangeArrowheads="1"/>
        </xdr:cNvSpPr>
      </xdr:nvSpPr>
      <xdr:spPr bwMode="auto">
        <a:xfrm>
          <a:off x="20800219" y="230266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0</xdr:colOff>
      <xdr:row>116</xdr:row>
      <xdr:rowOff>0</xdr:rowOff>
    </xdr:from>
    <xdr:to>
      <xdr:col>149</xdr:col>
      <xdr:colOff>933355</xdr:colOff>
      <xdr:row>116</xdr:row>
      <xdr:rowOff>220222</xdr:rowOff>
    </xdr:to>
    <xdr:sp macro="" textlink="">
      <xdr:nvSpPr>
        <xdr:cNvPr id="60" name="AutoShape 26356">
          <a:extLst>
            <a:ext uri="{FF2B5EF4-FFF2-40B4-BE49-F238E27FC236}">
              <a16:creationId xmlns:a16="http://schemas.microsoft.com/office/drawing/2014/main" id="{D24BD7CB-E7A1-482F-9127-E1198C32A092}"/>
            </a:ext>
          </a:extLst>
        </xdr:cNvPr>
        <xdr:cNvSpPr>
          <a:spLocks noChangeArrowheads="1"/>
        </xdr:cNvSpPr>
      </xdr:nvSpPr>
      <xdr:spPr bwMode="auto">
        <a:xfrm>
          <a:off x="20800219" y="2327671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113</xdr:row>
      <xdr:rowOff>0</xdr:rowOff>
    </xdr:from>
    <xdr:to>
      <xdr:col>152</xdr:col>
      <xdr:colOff>933355</xdr:colOff>
      <xdr:row>113</xdr:row>
      <xdr:rowOff>220222</xdr:rowOff>
    </xdr:to>
    <xdr:sp macro="" textlink="">
      <xdr:nvSpPr>
        <xdr:cNvPr id="61" name="AutoShape 26356">
          <a:extLst>
            <a:ext uri="{FF2B5EF4-FFF2-40B4-BE49-F238E27FC236}">
              <a16:creationId xmlns:a16="http://schemas.microsoft.com/office/drawing/2014/main" id="{0AC73F7F-AC05-4B8D-9620-B07CCD384E40}"/>
            </a:ext>
          </a:extLst>
        </xdr:cNvPr>
        <xdr:cNvSpPr>
          <a:spLocks noChangeArrowheads="1"/>
        </xdr:cNvSpPr>
      </xdr:nvSpPr>
      <xdr:spPr bwMode="auto">
        <a:xfrm>
          <a:off x="23622000" y="2252662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114</xdr:row>
      <xdr:rowOff>0</xdr:rowOff>
    </xdr:from>
    <xdr:to>
      <xdr:col>152</xdr:col>
      <xdr:colOff>933355</xdr:colOff>
      <xdr:row>114</xdr:row>
      <xdr:rowOff>220222</xdr:rowOff>
    </xdr:to>
    <xdr:sp macro="" textlink="">
      <xdr:nvSpPr>
        <xdr:cNvPr id="62" name="AutoShape 26356">
          <a:extLst>
            <a:ext uri="{FF2B5EF4-FFF2-40B4-BE49-F238E27FC236}">
              <a16:creationId xmlns:a16="http://schemas.microsoft.com/office/drawing/2014/main" id="{97B50024-DE4F-4DF2-AFA0-FF2241BCDC45}"/>
            </a:ext>
          </a:extLst>
        </xdr:cNvPr>
        <xdr:cNvSpPr>
          <a:spLocks noChangeArrowheads="1"/>
        </xdr:cNvSpPr>
      </xdr:nvSpPr>
      <xdr:spPr bwMode="auto">
        <a:xfrm>
          <a:off x="23622000" y="227766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115</xdr:row>
      <xdr:rowOff>0</xdr:rowOff>
    </xdr:from>
    <xdr:to>
      <xdr:col>152</xdr:col>
      <xdr:colOff>933355</xdr:colOff>
      <xdr:row>115</xdr:row>
      <xdr:rowOff>220222</xdr:rowOff>
    </xdr:to>
    <xdr:sp macro="" textlink="">
      <xdr:nvSpPr>
        <xdr:cNvPr id="63" name="AutoShape 26356">
          <a:extLst>
            <a:ext uri="{FF2B5EF4-FFF2-40B4-BE49-F238E27FC236}">
              <a16:creationId xmlns:a16="http://schemas.microsoft.com/office/drawing/2014/main" id="{B0AFF037-13CB-400C-9D00-D24687280FEF}"/>
            </a:ext>
          </a:extLst>
        </xdr:cNvPr>
        <xdr:cNvSpPr>
          <a:spLocks noChangeArrowheads="1"/>
        </xdr:cNvSpPr>
      </xdr:nvSpPr>
      <xdr:spPr bwMode="auto">
        <a:xfrm>
          <a:off x="23622000" y="2302668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0</xdr:colOff>
      <xdr:row>116</xdr:row>
      <xdr:rowOff>0</xdr:rowOff>
    </xdr:from>
    <xdr:to>
      <xdr:col>152</xdr:col>
      <xdr:colOff>933355</xdr:colOff>
      <xdr:row>116</xdr:row>
      <xdr:rowOff>220222</xdr:rowOff>
    </xdr:to>
    <xdr:sp macro="" textlink="">
      <xdr:nvSpPr>
        <xdr:cNvPr id="64" name="AutoShape 26356">
          <a:extLst>
            <a:ext uri="{FF2B5EF4-FFF2-40B4-BE49-F238E27FC236}">
              <a16:creationId xmlns:a16="http://schemas.microsoft.com/office/drawing/2014/main" id="{ED6B71D1-2E80-4CD3-B1D4-4A88398BA816}"/>
            </a:ext>
          </a:extLst>
        </xdr:cNvPr>
        <xdr:cNvSpPr>
          <a:spLocks noChangeArrowheads="1"/>
        </xdr:cNvSpPr>
      </xdr:nvSpPr>
      <xdr:spPr bwMode="auto">
        <a:xfrm>
          <a:off x="23622000" y="2327671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70</xdr:row>
      <xdr:rowOff>250030</xdr:rowOff>
    </xdr:from>
    <xdr:to>
      <xdr:col>137</xdr:col>
      <xdr:colOff>933355</xdr:colOff>
      <xdr:row>72</xdr:row>
      <xdr:rowOff>11905</xdr:rowOff>
    </xdr:to>
    <xdr:sp macro="" textlink="">
      <xdr:nvSpPr>
        <xdr:cNvPr id="65" name="AutoShape 26356">
          <a:extLst>
            <a:ext uri="{FF2B5EF4-FFF2-40B4-BE49-F238E27FC236}">
              <a16:creationId xmlns:a16="http://schemas.microsoft.com/office/drawing/2014/main" id="{EF5F12FD-7679-4EA9-82F4-896EEAFB5054}"/>
            </a:ext>
          </a:extLst>
        </xdr:cNvPr>
        <xdr:cNvSpPr>
          <a:spLocks noChangeArrowheads="1"/>
        </xdr:cNvSpPr>
      </xdr:nvSpPr>
      <xdr:spPr bwMode="auto">
        <a:xfrm>
          <a:off x="9513094" y="10286999"/>
          <a:ext cx="933355" cy="26193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63</xdr:row>
      <xdr:rowOff>0</xdr:rowOff>
    </xdr:from>
    <xdr:to>
      <xdr:col>140</xdr:col>
      <xdr:colOff>933355</xdr:colOff>
      <xdr:row>67</xdr:row>
      <xdr:rowOff>0</xdr:rowOff>
    </xdr:to>
    <xdr:sp macro="" textlink="">
      <xdr:nvSpPr>
        <xdr:cNvPr id="66" name="AutoShape 26356">
          <a:extLst>
            <a:ext uri="{FF2B5EF4-FFF2-40B4-BE49-F238E27FC236}">
              <a16:creationId xmlns:a16="http://schemas.microsoft.com/office/drawing/2014/main" id="{A165A716-BDA0-4469-9CDF-15BE50DF50A4}"/>
            </a:ext>
          </a:extLst>
        </xdr:cNvPr>
        <xdr:cNvSpPr>
          <a:spLocks noChangeArrowheads="1"/>
        </xdr:cNvSpPr>
      </xdr:nvSpPr>
      <xdr:spPr bwMode="auto">
        <a:xfrm>
          <a:off x="12329583" y="8318500"/>
          <a:ext cx="933355" cy="24341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67</xdr:row>
      <xdr:rowOff>0</xdr:rowOff>
    </xdr:from>
    <xdr:to>
      <xdr:col>140</xdr:col>
      <xdr:colOff>933355</xdr:colOff>
      <xdr:row>68</xdr:row>
      <xdr:rowOff>1</xdr:rowOff>
    </xdr:to>
    <xdr:sp macro="" textlink="">
      <xdr:nvSpPr>
        <xdr:cNvPr id="67" name="AutoShape 26356">
          <a:extLst>
            <a:ext uri="{FF2B5EF4-FFF2-40B4-BE49-F238E27FC236}">
              <a16:creationId xmlns:a16="http://schemas.microsoft.com/office/drawing/2014/main" id="{6AAA3732-338F-435B-B176-FC99167599C5}"/>
            </a:ext>
          </a:extLst>
        </xdr:cNvPr>
        <xdr:cNvSpPr>
          <a:spLocks noChangeArrowheads="1"/>
        </xdr:cNvSpPr>
      </xdr:nvSpPr>
      <xdr:spPr bwMode="auto">
        <a:xfrm>
          <a:off x="12334875" y="9263063"/>
          <a:ext cx="933355" cy="25003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71</xdr:row>
      <xdr:rowOff>0</xdr:rowOff>
    </xdr:from>
    <xdr:to>
      <xdr:col>140</xdr:col>
      <xdr:colOff>933355</xdr:colOff>
      <xdr:row>72</xdr:row>
      <xdr:rowOff>1</xdr:rowOff>
    </xdr:to>
    <xdr:sp macro="" textlink="">
      <xdr:nvSpPr>
        <xdr:cNvPr id="68" name="AutoShape 26356">
          <a:extLst>
            <a:ext uri="{FF2B5EF4-FFF2-40B4-BE49-F238E27FC236}">
              <a16:creationId xmlns:a16="http://schemas.microsoft.com/office/drawing/2014/main" id="{3C12D559-394F-42B9-A7C0-9C846100952F}"/>
            </a:ext>
          </a:extLst>
        </xdr:cNvPr>
        <xdr:cNvSpPr>
          <a:spLocks noChangeArrowheads="1"/>
        </xdr:cNvSpPr>
      </xdr:nvSpPr>
      <xdr:spPr bwMode="auto">
        <a:xfrm>
          <a:off x="12334875" y="10287000"/>
          <a:ext cx="933355" cy="25003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62</xdr:row>
      <xdr:rowOff>11906</xdr:rowOff>
    </xdr:from>
    <xdr:to>
      <xdr:col>134</xdr:col>
      <xdr:colOff>933355</xdr:colOff>
      <xdr:row>62</xdr:row>
      <xdr:rowOff>232128</xdr:rowOff>
    </xdr:to>
    <xdr:sp macro="" textlink="">
      <xdr:nvSpPr>
        <xdr:cNvPr id="69" name="AutoShape 26356">
          <a:extLst>
            <a:ext uri="{FF2B5EF4-FFF2-40B4-BE49-F238E27FC236}">
              <a16:creationId xmlns:a16="http://schemas.microsoft.com/office/drawing/2014/main" id="{F4DA4FEC-E421-4563-8079-6580F260752F}"/>
            </a:ext>
          </a:extLst>
        </xdr:cNvPr>
        <xdr:cNvSpPr>
          <a:spLocks noChangeArrowheads="1"/>
        </xdr:cNvSpPr>
      </xdr:nvSpPr>
      <xdr:spPr bwMode="auto">
        <a:xfrm>
          <a:off x="6691313" y="8274844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63</xdr:row>
      <xdr:rowOff>0</xdr:rowOff>
    </xdr:from>
    <xdr:to>
      <xdr:col>134</xdr:col>
      <xdr:colOff>933355</xdr:colOff>
      <xdr:row>66</xdr:row>
      <xdr:rowOff>220222</xdr:rowOff>
    </xdr:to>
    <xdr:sp macro="" textlink="">
      <xdr:nvSpPr>
        <xdr:cNvPr id="70" name="AutoShape 26356">
          <a:extLst>
            <a:ext uri="{FF2B5EF4-FFF2-40B4-BE49-F238E27FC236}">
              <a16:creationId xmlns:a16="http://schemas.microsoft.com/office/drawing/2014/main" id="{0F2DAB82-65B7-4FF0-8CE8-BA3C997663B3}"/>
            </a:ext>
          </a:extLst>
        </xdr:cNvPr>
        <xdr:cNvSpPr>
          <a:spLocks noChangeArrowheads="1"/>
        </xdr:cNvSpPr>
      </xdr:nvSpPr>
      <xdr:spPr bwMode="auto">
        <a:xfrm>
          <a:off x="6691313" y="851296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67</xdr:row>
      <xdr:rowOff>0</xdr:rowOff>
    </xdr:from>
    <xdr:to>
      <xdr:col>134</xdr:col>
      <xdr:colOff>933355</xdr:colOff>
      <xdr:row>67</xdr:row>
      <xdr:rowOff>220222</xdr:rowOff>
    </xdr:to>
    <xdr:sp macro="" textlink="">
      <xdr:nvSpPr>
        <xdr:cNvPr id="71" name="AutoShape 26356">
          <a:extLst>
            <a:ext uri="{FF2B5EF4-FFF2-40B4-BE49-F238E27FC236}">
              <a16:creationId xmlns:a16="http://schemas.microsoft.com/office/drawing/2014/main" id="{1A059C25-ADD1-49F1-8A3A-F67E6F06A033}"/>
            </a:ext>
          </a:extLst>
        </xdr:cNvPr>
        <xdr:cNvSpPr>
          <a:spLocks noChangeArrowheads="1"/>
        </xdr:cNvSpPr>
      </xdr:nvSpPr>
      <xdr:spPr bwMode="auto">
        <a:xfrm>
          <a:off x="6691313" y="8763000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69</xdr:row>
      <xdr:rowOff>0</xdr:rowOff>
    </xdr:from>
    <xdr:to>
      <xdr:col>134</xdr:col>
      <xdr:colOff>933355</xdr:colOff>
      <xdr:row>69</xdr:row>
      <xdr:rowOff>220222</xdr:rowOff>
    </xdr:to>
    <xdr:sp macro="" textlink="">
      <xdr:nvSpPr>
        <xdr:cNvPr id="72" name="AutoShape 26356">
          <a:extLst>
            <a:ext uri="{FF2B5EF4-FFF2-40B4-BE49-F238E27FC236}">
              <a16:creationId xmlns:a16="http://schemas.microsoft.com/office/drawing/2014/main" id="{B084BAAC-9936-479A-B034-6654F67FB5CB}"/>
            </a:ext>
          </a:extLst>
        </xdr:cNvPr>
        <xdr:cNvSpPr>
          <a:spLocks noChangeArrowheads="1"/>
        </xdr:cNvSpPr>
      </xdr:nvSpPr>
      <xdr:spPr bwMode="auto">
        <a:xfrm>
          <a:off x="6691313" y="928687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71</xdr:row>
      <xdr:rowOff>0</xdr:rowOff>
    </xdr:from>
    <xdr:to>
      <xdr:col>134</xdr:col>
      <xdr:colOff>933355</xdr:colOff>
      <xdr:row>71</xdr:row>
      <xdr:rowOff>220222</xdr:rowOff>
    </xdr:to>
    <xdr:sp macro="" textlink="">
      <xdr:nvSpPr>
        <xdr:cNvPr id="73" name="AutoShape 26356">
          <a:extLst>
            <a:ext uri="{FF2B5EF4-FFF2-40B4-BE49-F238E27FC236}">
              <a16:creationId xmlns:a16="http://schemas.microsoft.com/office/drawing/2014/main" id="{52AA1866-8FA8-4800-9A67-37F29CA12FCD}"/>
            </a:ext>
          </a:extLst>
        </xdr:cNvPr>
        <xdr:cNvSpPr>
          <a:spLocks noChangeArrowheads="1"/>
        </xdr:cNvSpPr>
      </xdr:nvSpPr>
      <xdr:spPr bwMode="auto">
        <a:xfrm>
          <a:off x="6691313" y="9786938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70</xdr:row>
      <xdr:rowOff>0</xdr:rowOff>
    </xdr:from>
    <xdr:to>
      <xdr:col>134</xdr:col>
      <xdr:colOff>933355</xdr:colOff>
      <xdr:row>70</xdr:row>
      <xdr:rowOff>220222</xdr:rowOff>
    </xdr:to>
    <xdr:sp macro="" textlink="">
      <xdr:nvSpPr>
        <xdr:cNvPr id="75" name="AutoShape 26356">
          <a:extLst>
            <a:ext uri="{FF2B5EF4-FFF2-40B4-BE49-F238E27FC236}">
              <a16:creationId xmlns:a16="http://schemas.microsoft.com/office/drawing/2014/main" id="{30F7B8BA-5EB8-4451-AEA2-8AF3487A66E5}"/>
            </a:ext>
          </a:extLst>
        </xdr:cNvPr>
        <xdr:cNvSpPr>
          <a:spLocks noChangeArrowheads="1"/>
        </xdr:cNvSpPr>
      </xdr:nvSpPr>
      <xdr:spPr bwMode="auto">
        <a:xfrm>
          <a:off x="6691313" y="953690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89</xdr:row>
      <xdr:rowOff>0</xdr:rowOff>
    </xdr:from>
    <xdr:to>
      <xdr:col>134</xdr:col>
      <xdr:colOff>933355</xdr:colOff>
      <xdr:row>89</xdr:row>
      <xdr:rowOff>220222</xdr:rowOff>
    </xdr:to>
    <xdr:sp macro="" textlink="">
      <xdr:nvSpPr>
        <xdr:cNvPr id="76" name="AutoShape 26356">
          <a:extLst>
            <a:ext uri="{FF2B5EF4-FFF2-40B4-BE49-F238E27FC236}">
              <a16:creationId xmlns:a16="http://schemas.microsoft.com/office/drawing/2014/main" id="{05F35296-A67F-453D-AC42-B7CA4BC5438E}"/>
            </a:ext>
          </a:extLst>
        </xdr:cNvPr>
        <xdr:cNvSpPr>
          <a:spLocks noChangeArrowheads="1"/>
        </xdr:cNvSpPr>
      </xdr:nvSpPr>
      <xdr:spPr bwMode="auto">
        <a:xfrm>
          <a:off x="6691313" y="1528762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90</xdr:row>
      <xdr:rowOff>0</xdr:rowOff>
    </xdr:from>
    <xdr:to>
      <xdr:col>134</xdr:col>
      <xdr:colOff>933355</xdr:colOff>
      <xdr:row>90</xdr:row>
      <xdr:rowOff>220222</xdr:rowOff>
    </xdr:to>
    <xdr:sp macro="" textlink="">
      <xdr:nvSpPr>
        <xdr:cNvPr id="77" name="AutoShape 26356">
          <a:extLst>
            <a:ext uri="{FF2B5EF4-FFF2-40B4-BE49-F238E27FC236}">
              <a16:creationId xmlns:a16="http://schemas.microsoft.com/office/drawing/2014/main" id="{CD2286B1-7CD8-4FA8-9D4C-9294FB55F8DC}"/>
            </a:ext>
          </a:extLst>
        </xdr:cNvPr>
        <xdr:cNvSpPr>
          <a:spLocks noChangeArrowheads="1"/>
        </xdr:cNvSpPr>
      </xdr:nvSpPr>
      <xdr:spPr bwMode="auto">
        <a:xfrm>
          <a:off x="6691313" y="15537656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80</xdr:row>
      <xdr:rowOff>95248</xdr:rowOff>
    </xdr:from>
    <xdr:to>
      <xdr:col>134</xdr:col>
      <xdr:colOff>933355</xdr:colOff>
      <xdr:row>80</xdr:row>
      <xdr:rowOff>315470</xdr:rowOff>
    </xdr:to>
    <xdr:sp macro="" textlink="">
      <xdr:nvSpPr>
        <xdr:cNvPr id="78" name="AutoShape 26356">
          <a:extLst>
            <a:ext uri="{FF2B5EF4-FFF2-40B4-BE49-F238E27FC236}">
              <a16:creationId xmlns:a16="http://schemas.microsoft.com/office/drawing/2014/main" id="{1D5855EC-826D-4E6A-91D3-1E60AF1C8041}"/>
            </a:ext>
          </a:extLst>
        </xdr:cNvPr>
        <xdr:cNvSpPr>
          <a:spLocks noChangeArrowheads="1"/>
        </xdr:cNvSpPr>
      </xdr:nvSpPr>
      <xdr:spPr bwMode="auto">
        <a:xfrm>
          <a:off x="6691313" y="11632404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83</xdr:row>
      <xdr:rowOff>95248</xdr:rowOff>
    </xdr:from>
    <xdr:to>
      <xdr:col>134</xdr:col>
      <xdr:colOff>933355</xdr:colOff>
      <xdr:row>83</xdr:row>
      <xdr:rowOff>315470</xdr:rowOff>
    </xdr:to>
    <xdr:sp macro="" textlink="">
      <xdr:nvSpPr>
        <xdr:cNvPr id="79" name="AutoShape 26356">
          <a:extLst>
            <a:ext uri="{FF2B5EF4-FFF2-40B4-BE49-F238E27FC236}">
              <a16:creationId xmlns:a16="http://schemas.microsoft.com/office/drawing/2014/main" id="{6A3E6478-5092-447B-A0EE-ADBD0058D3FA}"/>
            </a:ext>
          </a:extLst>
        </xdr:cNvPr>
        <xdr:cNvSpPr>
          <a:spLocks noChangeArrowheads="1"/>
        </xdr:cNvSpPr>
      </xdr:nvSpPr>
      <xdr:spPr bwMode="auto">
        <a:xfrm>
          <a:off x="6691313" y="1288256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11906</xdr:colOff>
      <xdr:row>93</xdr:row>
      <xdr:rowOff>107156</xdr:rowOff>
    </xdr:from>
    <xdr:to>
      <xdr:col>135</xdr:col>
      <xdr:colOff>4668</xdr:colOff>
      <xdr:row>93</xdr:row>
      <xdr:rowOff>327378</xdr:rowOff>
    </xdr:to>
    <xdr:sp macro="" textlink="">
      <xdr:nvSpPr>
        <xdr:cNvPr id="80" name="AutoShape 26356">
          <a:extLst>
            <a:ext uri="{FF2B5EF4-FFF2-40B4-BE49-F238E27FC236}">
              <a16:creationId xmlns:a16="http://schemas.microsoft.com/office/drawing/2014/main" id="{95E13963-54C6-48F3-8438-8BA0E6E9747C}"/>
            </a:ext>
          </a:extLst>
        </xdr:cNvPr>
        <xdr:cNvSpPr>
          <a:spLocks noChangeArrowheads="1"/>
        </xdr:cNvSpPr>
      </xdr:nvSpPr>
      <xdr:spPr bwMode="auto">
        <a:xfrm>
          <a:off x="6703219" y="1672828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11907</xdr:colOff>
      <xdr:row>95</xdr:row>
      <xdr:rowOff>83344</xdr:rowOff>
    </xdr:from>
    <xdr:to>
      <xdr:col>135</xdr:col>
      <xdr:colOff>4669</xdr:colOff>
      <xdr:row>95</xdr:row>
      <xdr:rowOff>303566</xdr:rowOff>
    </xdr:to>
    <xdr:sp macro="" textlink="">
      <xdr:nvSpPr>
        <xdr:cNvPr id="81" name="AutoShape 26356">
          <a:extLst>
            <a:ext uri="{FF2B5EF4-FFF2-40B4-BE49-F238E27FC236}">
              <a16:creationId xmlns:a16="http://schemas.microsoft.com/office/drawing/2014/main" id="{31A22503-2DF6-4FD2-BCE2-06F9D466D1ED}"/>
            </a:ext>
          </a:extLst>
        </xdr:cNvPr>
        <xdr:cNvSpPr>
          <a:spLocks noChangeArrowheads="1"/>
        </xdr:cNvSpPr>
      </xdr:nvSpPr>
      <xdr:spPr bwMode="auto">
        <a:xfrm>
          <a:off x="6703220" y="1753790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98</xdr:row>
      <xdr:rowOff>0</xdr:rowOff>
    </xdr:from>
    <xdr:to>
      <xdr:col>134</xdr:col>
      <xdr:colOff>933355</xdr:colOff>
      <xdr:row>98</xdr:row>
      <xdr:rowOff>220222</xdr:rowOff>
    </xdr:to>
    <xdr:sp macro="" textlink="">
      <xdr:nvSpPr>
        <xdr:cNvPr id="82" name="AutoShape 26356">
          <a:extLst>
            <a:ext uri="{FF2B5EF4-FFF2-40B4-BE49-F238E27FC236}">
              <a16:creationId xmlns:a16="http://schemas.microsoft.com/office/drawing/2014/main" id="{FBD4730B-EE36-46FC-8164-2F21FED92792}"/>
            </a:ext>
          </a:extLst>
        </xdr:cNvPr>
        <xdr:cNvSpPr>
          <a:spLocks noChangeArrowheads="1"/>
        </xdr:cNvSpPr>
      </xdr:nvSpPr>
      <xdr:spPr bwMode="auto">
        <a:xfrm>
          <a:off x="6691313" y="18371344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99</xdr:row>
      <xdr:rowOff>0</xdr:rowOff>
    </xdr:from>
    <xdr:to>
      <xdr:col>134</xdr:col>
      <xdr:colOff>933355</xdr:colOff>
      <xdr:row>99</xdr:row>
      <xdr:rowOff>220222</xdr:rowOff>
    </xdr:to>
    <xdr:sp macro="" textlink="">
      <xdr:nvSpPr>
        <xdr:cNvPr id="83" name="AutoShape 26356">
          <a:extLst>
            <a:ext uri="{FF2B5EF4-FFF2-40B4-BE49-F238E27FC236}">
              <a16:creationId xmlns:a16="http://schemas.microsoft.com/office/drawing/2014/main" id="{F52839DE-F9C4-4B5D-9A96-38EEEDC0377B}"/>
            </a:ext>
          </a:extLst>
        </xdr:cNvPr>
        <xdr:cNvSpPr>
          <a:spLocks noChangeArrowheads="1"/>
        </xdr:cNvSpPr>
      </xdr:nvSpPr>
      <xdr:spPr bwMode="auto">
        <a:xfrm>
          <a:off x="6691313" y="18621375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115</xdr:row>
      <xdr:rowOff>0</xdr:rowOff>
    </xdr:from>
    <xdr:to>
      <xdr:col>134</xdr:col>
      <xdr:colOff>933355</xdr:colOff>
      <xdr:row>115</xdr:row>
      <xdr:rowOff>220222</xdr:rowOff>
    </xdr:to>
    <xdr:sp macro="" textlink="">
      <xdr:nvSpPr>
        <xdr:cNvPr id="84" name="AutoShape 26356">
          <a:extLst>
            <a:ext uri="{FF2B5EF4-FFF2-40B4-BE49-F238E27FC236}">
              <a16:creationId xmlns:a16="http://schemas.microsoft.com/office/drawing/2014/main" id="{13E13853-6959-480A-B165-D48FFF8ADEEE}"/>
            </a:ext>
          </a:extLst>
        </xdr:cNvPr>
        <xdr:cNvSpPr>
          <a:spLocks noChangeArrowheads="1"/>
        </xdr:cNvSpPr>
      </xdr:nvSpPr>
      <xdr:spPr bwMode="auto">
        <a:xfrm>
          <a:off x="6691313" y="2244328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117</xdr:row>
      <xdr:rowOff>0</xdr:rowOff>
    </xdr:from>
    <xdr:to>
      <xdr:col>134</xdr:col>
      <xdr:colOff>933355</xdr:colOff>
      <xdr:row>117</xdr:row>
      <xdr:rowOff>220222</xdr:rowOff>
    </xdr:to>
    <xdr:sp macro="" textlink="">
      <xdr:nvSpPr>
        <xdr:cNvPr id="85" name="AutoShape 26356">
          <a:extLst>
            <a:ext uri="{FF2B5EF4-FFF2-40B4-BE49-F238E27FC236}">
              <a16:creationId xmlns:a16="http://schemas.microsoft.com/office/drawing/2014/main" id="{DBCDEA37-EDC3-47AD-A58A-5D45DBBCB2C5}"/>
            </a:ext>
          </a:extLst>
        </xdr:cNvPr>
        <xdr:cNvSpPr>
          <a:spLocks noChangeArrowheads="1"/>
        </xdr:cNvSpPr>
      </xdr:nvSpPr>
      <xdr:spPr bwMode="auto">
        <a:xfrm>
          <a:off x="6691313" y="22943344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128</xdr:row>
      <xdr:rowOff>0</xdr:rowOff>
    </xdr:from>
    <xdr:to>
      <xdr:col>134</xdr:col>
      <xdr:colOff>933355</xdr:colOff>
      <xdr:row>128</xdr:row>
      <xdr:rowOff>220222</xdr:rowOff>
    </xdr:to>
    <xdr:sp macro="" textlink="">
      <xdr:nvSpPr>
        <xdr:cNvPr id="86" name="AutoShape 26356">
          <a:extLst>
            <a:ext uri="{FF2B5EF4-FFF2-40B4-BE49-F238E27FC236}">
              <a16:creationId xmlns:a16="http://schemas.microsoft.com/office/drawing/2014/main" id="{F1B67228-F75D-407D-A01E-1433FA14761B}"/>
            </a:ext>
          </a:extLst>
        </xdr:cNvPr>
        <xdr:cNvSpPr>
          <a:spLocks noChangeArrowheads="1"/>
        </xdr:cNvSpPr>
      </xdr:nvSpPr>
      <xdr:spPr bwMode="auto">
        <a:xfrm>
          <a:off x="6691313" y="23967281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134</xdr:col>
      <xdr:colOff>0</xdr:colOff>
      <xdr:row>129</xdr:row>
      <xdr:rowOff>0</xdr:rowOff>
    </xdr:from>
    <xdr:to>
      <xdr:col>134</xdr:col>
      <xdr:colOff>933355</xdr:colOff>
      <xdr:row>129</xdr:row>
      <xdr:rowOff>220222</xdr:rowOff>
    </xdr:to>
    <xdr:sp macro="" textlink="">
      <xdr:nvSpPr>
        <xdr:cNvPr id="87" name="AutoShape 26356">
          <a:extLst>
            <a:ext uri="{FF2B5EF4-FFF2-40B4-BE49-F238E27FC236}">
              <a16:creationId xmlns:a16="http://schemas.microsoft.com/office/drawing/2014/main" id="{42129F13-543E-4294-A5CF-4121992D8E56}"/>
            </a:ext>
          </a:extLst>
        </xdr:cNvPr>
        <xdr:cNvSpPr>
          <a:spLocks noChangeArrowheads="1"/>
        </xdr:cNvSpPr>
      </xdr:nvSpPr>
      <xdr:spPr bwMode="auto">
        <a:xfrm>
          <a:off x="6691313" y="24217313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90</xdr:row>
      <xdr:rowOff>0</xdr:rowOff>
    </xdr:from>
    <xdr:to>
      <xdr:col>137</xdr:col>
      <xdr:colOff>933355</xdr:colOff>
      <xdr:row>90</xdr:row>
      <xdr:rowOff>220222</xdr:rowOff>
    </xdr:to>
    <xdr:sp macro="" textlink="">
      <xdr:nvSpPr>
        <xdr:cNvPr id="88" name="AutoShape 26356">
          <a:extLst>
            <a:ext uri="{FF2B5EF4-FFF2-40B4-BE49-F238E27FC236}">
              <a16:creationId xmlns:a16="http://schemas.microsoft.com/office/drawing/2014/main" id="{A73162BF-A683-4539-81E4-425F05FF47B3}"/>
            </a:ext>
          </a:extLst>
        </xdr:cNvPr>
        <xdr:cNvSpPr>
          <a:spLocks noChangeArrowheads="1"/>
        </xdr:cNvSpPr>
      </xdr:nvSpPr>
      <xdr:spPr bwMode="auto">
        <a:xfrm>
          <a:off x="9503833" y="1586441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90</xdr:row>
      <xdr:rowOff>0</xdr:rowOff>
    </xdr:from>
    <xdr:to>
      <xdr:col>140</xdr:col>
      <xdr:colOff>933355</xdr:colOff>
      <xdr:row>90</xdr:row>
      <xdr:rowOff>220222</xdr:rowOff>
    </xdr:to>
    <xdr:sp macro="" textlink="">
      <xdr:nvSpPr>
        <xdr:cNvPr id="91" name="AutoShape 26356">
          <a:extLst>
            <a:ext uri="{FF2B5EF4-FFF2-40B4-BE49-F238E27FC236}">
              <a16:creationId xmlns:a16="http://schemas.microsoft.com/office/drawing/2014/main" id="{4F41E980-3081-43D4-9345-71E531AF0DF6}"/>
            </a:ext>
          </a:extLst>
        </xdr:cNvPr>
        <xdr:cNvSpPr>
          <a:spLocks noChangeArrowheads="1"/>
        </xdr:cNvSpPr>
      </xdr:nvSpPr>
      <xdr:spPr bwMode="auto">
        <a:xfrm>
          <a:off x="12329583" y="1586441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90</xdr:row>
      <xdr:rowOff>0</xdr:rowOff>
    </xdr:from>
    <xdr:to>
      <xdr:col>143</xdr:col>
      <xdr:colOff>933355</xdr:colOff>
      <xdr:row>90</xdr:row>
      <xdr:rowOff>220222</xdr:rowOff>
    </xdr:to>
    <xdr:sp macro="" textlink="">
      <xdr:nvSpPr>
        <xdr:cNvPr id="92" name="AutoShape 26356">
          <a:extLst>
            <a:ext uri="{FF2B5EF4-FFF2-40B4-BE49-F238E27FC236}">
              <a16:creationId xmlns:a16="http://schemas.microsoft.com/office/drawing/2014/main" id="{2A70A621-A011-4316-A932-9E887C79A08E}"/>
            </a:ext>
          </a:extLst>
        </xdr:cNvPr>
        <xdr:cNvSpPr>
          <a:spLocks noChangeArrowheads="1"/>
        </xdr:cNvSpPr>
      </xdr:nvSpPr>
      <xdr:spPr bwMode="auto">
        <a:xfrm>
          <a:off x="15155333" y="1586441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146</xdr:row>
      <xdr:rowOff>0</xdr:rowOff>
    </xdr:from>
    <xdr:to>
      <xdr:col>140</xdr:col>
      <xdr:colOff>933355</xdr:colOff>
      <xdr:row>147</xdr:row>
      <xdr:rowOff>13231</xdr:rowOff>
    </xdr:to>
    <xdr:sp macro="" textlink="">
      <xdr:nvSpPr>
        <xdr:cNvPr id="93" name="AutoShape 26356">
          <a:extLst>
            <a:ext uri="{FF2B5EF4-FFF2-40B4-BE49-F238E27FC236}">
              <a16:creationId xmlns:a16="http://schemas.microsoft.com/office/drawing/2014/main" id="{81BA3B79-0CE4-4160-BBC3-8AC93CC94253}"/>
            </a:ext>
          </a:extLst>
        </xdr:cNvPr>
        <xdr:cNvSpPr>
          <a:spLocks noChangeArrowheads="1"/>
        </xdr:cNvSpPr>
      </xdr:nvSpPr>
      <xdr:spPr bwMode="auto">
        <a:xfrm>
          <a:off x="12329583" y="29421667"/>
          <a:ext cx="933355" cy="25664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147</xdr:row>
      <xdr:rowOff>0</xdr:rowOff>
    </xdr:from>
    <xdr:to>
      <xdr:col>140</xdr:col>
      <xdr:colOff>933355</xdr:colOff>
      <xdr:row>148</xdr:row>
      <xdr:rowOff>2647</xdr:rowOff>
    </xdr:to>
    <xdr:sp macro="" textlink="">
      <xdr:nvSpPr>
        <xdr:cNvPr id="94" name="AutoShape 26356">
          <a:extLst>
            <a:ext uri="{FF2B5EF4-FFF2-40B4-BE49-F238E27FC236}">
              <a16:creationId xmlns:a16="http://schemas.microsoft.com/office/drawing/2014/main" id="{28D170E6-CF64-4CB5-8305-B3BDB217BA96}"/>
            </a:ext>
          </a:extLst>
        </xdr:cNvPr>
        <xdr:cNvSpPr>
          <a:spLocks noChangeArrowheads="1"/>
        </xdr:cNvSpPr>
      </xdr:nvSpPr>
      <xdr:spPr bwMode="auto">
        <a:xfrm>
          <a:off x="12329583" y="29665083"/>
          <a:ext cx="933355" cy="25664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147</xdr:row>
      <xdr:rowOff>0</xdr:rowOff>
    </xdr:from>
    <xdr:to>
      <xdr:col>143</xdr:col>
      <xdr:colOff>933355</xdr:colOff>
      <xdr:row>148</xdr:row>
      <xdr:rowOff>2647</xdr:rowOff>
    </xdr:to>
    <xdr:sp macro="" textlink="">
      <xdr:nvSpPr>
        <xdr:cNvPr id="95" name="AutoShape 26356">
          <a:extLst>
            <a:ext uri="{FF2B5EF4-FFF2-40B4-BE49-F238E27FC236}">
              <a16:creationId xmlns:a16="http://schemas.microsoft.com/office/drawing/2014/main" id="{FE1A33ED-F24A-4B98-B165-DBCF5552563E}"/>
            </a:ext>
          </a:extLst>
        </xdr:cNvPr>
        <xdr:cNvSpPr>
          <a:spLocks noChangeArrowheads="1"/>
        </xdr:cNvSpPr>
      </xdr:nvSpPr>
      <xdr:spPr bwMode="auto">
        <a:xfrm>
          <a:off x="15155333" y="29665083"/>
          <a:ext cx="933355" cy="25664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85</xdr:row>
      <xdr:rowOff>31748</xdr:rowOff>
    </xdr:from>
    <xdr:to>
      <xdr:col>137</xdr:col>
      <xdr:colOff>933355</xdr:colOff>
      <xdr:row>85</xdr:row>
      <xdr:rowOff>370415</xdr:rowOff>
    </xdr:to>
    <xdr:sp macro="" textlink="">
      <xdr:nvSpPr>
        <xdr:cNvPr id="96" name="AutoShape 26356">
          <a:extLst>
            <a:ext uri="{FF2B5EF4-FFF2-40B4-BE49-F238E27FC236}">
              <a16:creationId xmlns:a16="http://schemas.microsoft.com/office/drawing/2014/main" id="{5342D4FF-700B-44FB-B3B6-44461CBFCB67}"/>
            </a:ext>
          </a:extLst>
        </xdr:cNvPr>
        <xdr:cNvSpPr>
          <a:spLocks noChangeArrowheads="1"/>
        </xdr:cNvSpPr>
      </xdr:nvSpPr>
      <xdr:spPr bwMode="auto">
        <a:xfrm>
          <a:off x="9503833" y="12996331"/>
          <a:ext cx="933355" cy="33866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86</xdr:row>
      <xdr:rowOff>31748</xdr:rowOff>
    </xdr:from>
    <xdr:to>
      <xdr:col>137</xdr:col>
      <xdr:colOff>933355</xdr:colOff>
      <xdr:row>86</xdr:row>
      <xdr:rowOff>370415</xdr:rowOff>
    </xdr:to>
    <xdr:sp macro="" textlink="">
      <xdr:nvSpPr>
        <xdr:cNvPr id="97" name="AutoShape 26356">
          <a:extLst>
            <a:ext uri="{FF2B5EF4-FFF2-40B4-BE49-F238E27FC236}">
              <a16:creationId xmlns:a16="http://schemas.microsoft.com/office/drawing/2014/main" id="{2501E6F0-B6B4-4D9F-B277-34C9B0FA5B77}"/>
            </a:ext>
          </a:extLst>
        </xdr:cNvPr>
        <xdr:cNvSpPr>
          <a:spLocks noChangeArrowheads="1"/>
        </xdr:cNvSpPr>
      </xdr:nvSpPr>
      <xdr:spPr bwMode="auto">
        <a:xfrm>
          <a:off x="9503833" y="13398498"/>
          <a:ext cx="933355" cy="33866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83</xdr:row>
      <xdr:rowOff>31749</xdr:rowOff>
    </xdr:from>
    <xdr:to>
      <xdr:col>140</xdr:col>
      <xdr:colOff>933355</xdr:colOff>
      <xdr:row>83</xdr:row>
      <xdr:rowOff>370416</xdr:rowOff>
    </xdr:to>
    <xdr:sp macro="" textlink="">
      <xdr:nvSpPr>
        <xdr:cNvPr id="98" name="AutoShape 26356">
          <a:extLst>
            <a:ext uri="{FF2B5EF4-FFF2-40B4-BE49-F238E27FC236}">
              <a16:creationId xmlns:a16="http://schemas.microsoft.com/office/drawing/2014/main" id="{3B8CC40F-44DB-4271-89DB-D1CA27577386}"/>
            </a:ext>
          </a:extLst>
        </xdr:cNvPr>
        <xdr:cNvSpPr>
          <a:spLocks noChangeArrowheads="1"/>
        </xdr:cNvSpPr>
      </xdr:nvSpPr>
      <xdr:spPr bwMode="auto">
        <a:xfrm>
          <a:off x="12329583" y="12191999"/>
          <a:ext cx="933355" cy="33866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98</xdr:row>
      <xdr:rowOff>0</xdr:rowOff>
    </xdr:from>
    <xdr:to>
      <xdr:col>143</xdr:col>
      <xdr:colOff>933355</xdr:colOff>
      <xdr:row>98</xdr:row>
      <xdr:rowOff>220222</xdr:rowOff>
    </xdr:to>
    <xdr:sp macro="" textlink="">
      <xdr:nvSpPr>
        <xdr:cNvPr id="99" name="AutoShape 26356">
          <a:extLst>
            <a:ext uri="{FF2B5EF4-FFF2-40B4-BE49-F238E27FC236}">
              <a16:creationId xmlns:a16="http://schemas.microsoft.com/office/drawing/2014/main" id="{98F1C48D-658E-4D7B-8319-9A2732668F0B}"/>
            </a:ext>
          </a:extLst>
        </xdr:cNvPr>
        <xdr:cNvSpPr>
          <a:spLocks noChangeArrowheads="1"/>
        </xdr:cNvSpPr>
      </xdr:nvSpPr>
      <xdr:spPr bwMode="auto">
        <a:xfrm>
          <a:off x="15155333" y="1751541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98</xdr:row>
      <xdr:rowOff>0</xdr:rowOff>
    </xdr:from>
    <xdr:to>
      <xdr:col>140</xdr:col>
      <xdr:colOff>933355</xdr:colOff>
      <xdr:row>98</xdr:row>
      <xdr:rowOff>220222</xdr:rowOff>
    </xdr:to>
    <xdr:sp macro="" textlink="">
      <xdr:nvSpPr>
        <xdr:cNvPr id="100" name="AutoShape 26356">
          <a:extLst>
            <a:ext uri="{FF2B5EF4-FFF2-40B4-BE49-F238E27FC236}">
              <a16:creationId xmlns:a16="http://schemas.microsoft.com/office/drawing/2014/main" id="{704371C2-3D2E-4A58-A0DF-1DC2C241BB5D}"/>
            </a:ext>
          </a:extLst>
        </xdr:cNvPr>
        <xdr:cNvSpPr>
          <a:spLocks noChangeArrowheads="1"/>
        </xdr:cNvSpPr>
      </xdr:nvSpPr>
      <xdr:spPr bwMode="auto">
        <a:xfrm>
          <a:off x="12329583" y="1751541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140</xdr:col>
      <xdr:colOff>0</xdr:colOff>
      <xdr:row>99</xdr:row>
      <xdr:rowOff>0</xdr:rowOff>
    </xdr:from>
    <xdr:to>
      <xdr:col>140</xdr:col>
      <xdr:colOff>933355</xdr:colOff>
      <xdr:row>99</xdr:row>
      <xdr:rowOff>220222</xdr:rowOff>
    </xdr:to>
    <xdr:sp macro="" textlink="">
      <xdr:nvSpPr>
        <xdr:cNvPr id="101" name="AutoShape 26356">
          <a:extLst>
            <a:ext uri="{FF2B5EF4-FFF2-40B4-BE49-F238E27FC236}">
              <a16:creationId xmlns:a16="http://schemas.microsoft.com/office/drawing/2014/main" id="{8559130F-B5E1-45E4-8624-812F0EB64792}"/>
            </a:ext>
          </a:extLst>
        </xdr:cNvPr>
        <xdr:cNvSpPr>
          <a:spLocks noChangeArrowheads="1"/>
        </xdr:cNvSpPr>
      </xdr:nvSpPr>
      <xdr:spPr bwMode="auto">
        <a:xfrm>
          <a:off x="12329583" y="17748250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98</xdr:row>
      <xdr:rowOff>0</xdr:rowOff>
    </xdr:from>
    <xdr:to>
      <xdr:col>137</xdr:col>
      <xdr:colOff>933355</xdr:colOff>
      <xdr:row>98</xdr:row>
      <xdr:rowOff>220222</xdr:rowOff>
    </xdr:to>
    <xdr:sp macro="" textlink="">
      <xdr:nvSpPr>
        <xdr:cNvPr id="102" name="AutoShape 26356">
          <a:extLst>
            <a:ext uri="{FF2B5EF4-FFF2-40B4-BE49-F238E27FC236}">
              <a16:creationId xmlns:a16="http://schemas.microsoft.com/office/drawing/2014/main" id="{A0D43916-2156-437D-BAB7-26321EC842FB}"/>
            </a:ext>
          </a:extLst>
        </xdr:cNvPr>
        <xdr:cNvSpPr>
          <a:spLocks noChangeArrowheads="1"/>
        </xdr:cNvSpPr>
      </xdr:nvSpPr>
      <xdr:spPr bwMode="auto">
        <a:xfrm>
          <a:off x="9503833" y="17515417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99</xdr:row>
      <xdr:rowOff>0</xdr:rowOff>
    </xdr:from>
    <xdr:to>
      <xdr:col>137</xdr:col>
      <xdr:colOff>933355</xdr:colOff>
      <xdr:row>99</xdr:row>
      <xdr:rowOff>220222</xdr:rowOff>
    </xdr:to>
    <xdr:sp macro="" textlink="">
      <xdr:nvSpPr>
        <xdr:cNvPr id="103" name="AutoShape 26356">
          <a:extLst>
            <a:ext uri="{FF2B5EF4-FFF2-40B4-BE49-F238E27FC236}">
              <a16:creationId xmlns:a16="http://schemas.microsoft.com/office/drawing/2014/main" id="{8517698A-AFD6-4E16-B56E-7380301BD220}"/>
            </a:ext>
          </a:extLst>
        </xdr:cNvPr>
        <xdr:cNvSpPr>
          <a:spLocks noChangeArrowheads="1"/>
        </xdr:cNvSpPr>
      </xdr:nvSpPr>
      <xdr:spPr bwMode="auto">
        <a:xfrm>
          <a:off x="9503833" y="17748250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0</xdr:colOff>
      <xdr:row>144</xdr:row>
      <xdr:rowOff>402166</xdr:rowOff>
    </xdr:from>
    <xdr:to>
      <xdr:col>143</xdr:col>
      <xdr:colOff>933355</xdr:colOff>
      <xdr:row>145</xdr:row>
      <xdr:rowOff>370416</xdr:rowOff>
    </xdr:to>
    <xdr:sp macro="" textlink="">
      <xdr:nvSpPr>
        <xdr:cNvPr id="104" name="AutoShape 26356">
          <a:extLst>
            <a:ext uri="{FF2B5EF4-FFF2-40B4-BE49-F238E27FC236}">
              <a16:creationId xmlns:a16="http://schemas.microsoft.com/office/drawing/2014/main" id="{95DE63CE-3347-4AAB-9A8B-19D9102ADF5B}"/>
            </a:ext>
          </a:extLst>
        </xdr:cNvPr>
        <xdr:cNvSpPr>
          <a:spLocks noChangeArrowheads="1"/>
        </xdr:cNvSpPr>
      </xdr:nvSpPr>
      <xdr:spPr bwMode="auto">
        <a:xfrm>
          <a:off x="15155333" y="27749499"/>
          <a:ext cx="933355" cy="37041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43126</xdr:colOff>
      <xdr:row>51</xdr:row>
      <xdr:rowOff>24606</xdr:rowOff>
    </xdr:from>
    <xdr:to>
      <xdr:col>147</xdr:col>
      <xdr:colOff>34564</xdr:colOff>
      <xdr:row>51</xdr:row>
      <xdr:rowOff>238213</xdr:rowOff>
    </xdr:to>
    <xdr:sp macro="" textlink="">
      <xdr:nvSpPr>
        <xdr:cNvPr id="105" name="AutoShape 26356">
          <a:extLst>
            <a:ext uri="{FF2B5EF4-FFF2-40B4-BE49-F238E27FC236}">
              <a16:creationId xmlns:a16="http://schemas.microsoft.com/office/drawing/2014/main" id="{7CE52730-A801-4DA0-8F4C-D2F4304A0959}"/>
            </a:ext>
          </a:extLst>
        </xdr:cNvPr>
        <xdr:cNvSpPr>
          <a:spLocks noChangeArrowheads="1"/>
        </xdr:cNvSpPr>
      </xdr:nvSpPr>
      <xdr:spPr bwMode="auto">
        <a:xfrm>
          <a:off x="18024209" y="6364023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146</xdr:col>
      <xdr:colOff>26193</xdr:colOff>
      <xdr:row>52</xdr:row>
      <xdr:rowOff>18256</xdr:rowOff>
    </xdr:from>
    <xdr:to>
      <xdr:col>147</xdr:col>
      <xdr:colOff>17631</xdr:colOff>
      <xdr:row>52</xdr:row>
      <xdr:rowOff>231863</xdr:rowOff>
    </xdr:to>
    <xdr:sp macro="" textlink="">
      <xdr:nvSpPr>
        <xdr:cNvPr id="106" name="AutoShape 26356">
          <a:extLst>
            <a:ext uri="{FF2B5EF4-FFF2-40B4-BE49-F238E27FC236}">
              <a16:creationId xmlns:a16="http://schemas.microsoft.com/office/drawing/2014/main" id="{396D2DA5-71AC-4CC9-8137-B26F9FCDF085}"/>
            </a:ext>
          </a:extLst>
        </xdr:cNvPr>
        <xdr:cNvSpPr>
          <a:spLocks noChangeArrowheads="1"/>
        </xdr:cNvSpPr>
      </xdr:nvSpPr>
      <xdr:spPr bwMode="auto">
        <a:xfrm>
          <a:off x="18007276" y="6601089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145</xdr:col>
      <xdr:colOff>940592</xdr:colOff>
      <xdr:row>49</xdr:row>
      <xdr:rowOff>22490</xdr:rowOff>
    </xdr:from>
    <xdr:to>
      <xdr:col>146</xdr:col>
      <xdr:colOff>932031</xdr:colOff>
      <xdr:row>49</xdr:row>
      <xdr:rowOff>236097</xdr:rowOff>
    </xdr:to>
    <xdr:sp macro="" textlink="">
      <xdr:nvSpPr>
        <xdr:cNvPr id="107" name="AutoShape 26356">
          <a:extLst>
            <a:ext uri="{FF2B5EF4-FFF2-40B4-BE49-F238E27FC236}">
              <a16:creationId xmlns:a16="http://schemas.microsoft.com/office/drawing/2014/main" id="{A9C9D613-3705-4E8E-94BE-265D4974192A}"/>
            </a:ext>
          </a:extLst>
        </xdr:cNvPr>
        <xdr:cNvSpPr>
          <a:spLocks noChangeArrowheads="1"/>
        </xdr:cNvSpPr>
      </xdr:nvSpPr>
      <xdr:spPr bwMode="auto">
        <a:xfrm>
          <a:off x="17979759" y="5875073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148</xdr:col>
      <xdr:colOff>930009</xdr:colOff>
      <xdr:row>51</xdr:row>
      <xdr:rowOff>33072</xdr:rowOff>
    </xdr:from>
    <xdr:to>
      <xdr:col>149</xdr:col>
      <xdr:colOff>921448</xdr:colOff>
      <xdr:row>52</xdr:row>
      <xdr:rowOff>3263</xdr:rowOff>
    </xdr:to>
    <xdr:sp macro="" textlink="">
      <xdr:nvSpPr>
        <xdr:cNvPr id="108" name="AutoShape 26356">
          <a:extLst>
            <a:ext uri="{FF2B5EF4-FFF2-40B4-BE49-F238E27FC236}">
              <a16:creationId xmlns:a16="http://schemas.microsoft.com/office/drawing/2014/main" id="{13E5844C-D9CB-4C8D-B4FB-00C11335C00A}"/>
            </a:ext>
          </a:extLst>
        </xdr:cNvPr>
        <xdr:cNvSpPr>
          <a:spLocks noChangeArrowheads="1"/>
        </xdr:cNvSpPr>
      </xdr:nvSpPr>
      <xdr:spPr bwMode="auto">
        <a:xfrm>
          <a:off x="20794926" y="6372489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148</xdr:col>
      <xdr:colOff>934243</xdr:colOff>
      <xdr:row>52</xdr:row>
      <xdr:rowOff>37306</xdr:rowOff>
    </xdr:from>
    <xdr:to>
      <xdr:col>149</xdr:col>
      <xdr:colOff>925682</xdr:colOff>
      <xdr:row>53</xdr:row>
      <xdr:rowOff>7496</xdr:rowOff>
    </xdr:to>
    <xdr:sp macro="" textlink="">
      <xdr:nvSpPr>
        <xdr:cNvPr id="109" name="AutoShape 26356">
          <a:extLst>
            <a:ext uri="{FF2B5EF4-FFF2-40B4-BE49-F238E27FC236}">
              <a16:creationId xmlns:a16="http://schemas.microsoft.com/office/drawing/2014/main" id="{5C957CA5-B37A-484D-BA60-5E5DCE0B018A}"/>
            </a:ext>
          </a:extLst>
        </xdr:cNvPr>
        <xdr:cNvSpPr>
          <a:spLocks noChangeArrowheads="1"/>
        </xdr:cNvSpPr>
      </xdr:nvSpPr>
      <xdr:spPr bwMode="auto">
        <a:xfrm>
          <a:off x="20799160" y="6620139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148</xdr:col>
      <xdr:colOff>940592</xdr:colOff>
      <xdr:row>49</xdr:row>
      <xdr:rowOff>22490</xdr:rowOff>
    </xdr:from>
    <xdr:to>
      <xdr:col>149</xdr:col>
      <xdr:colOff>932031</xdr:colOff>
      <xdr:row>49</xdr:row>
      <xdr:rowOff>236097</xdr:rowOff>
    </xdr:to>
    <xdr:sp macro="" textlink="">
      <xdr:nvSpPr>
        <xdr:cNvPr id="110" name="AutoShape 26356">
          <a:extLst>
            <a:ext uri="{FF2B5EF4-FFF2-40B4-BE49-F238E27FC236}">
              <a16:creationId xmlns:a16="http://schemas.microsoft.com/office/drawing/2014/main" id="{42484960-5037-4D3D-8400-9BCBE206555E}"/>
            </a:ext>
          </a:extLst>
        </xdr:cNvPr>
        <xdr:cNvSpPr>
          <a:spLocks noChangeArrowheads="1"/>
        </xdr:cNvSpPr>
      </xdr:nvSpPr>
      <xdr:spPr bwMode="auto">
        <a:xfrm>
          <a:off x="17979759" y="5875073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148</xdr:col>
      <xdr:colOff>923658</xdr:colOff>
      <xdr:row>48</xdr:row>
      <xdr:rowOff>16139</xdr:rowOff>
    </xdr:from>
    <xdr:to>
      <xdr:col>149</xdr:col>
      <xdr:colOff>915097</xdr:colOff>
      <xdr:row>48</xdr:row>
      <xdr:rowOff>229746</xdr:rowOff>
    </xdr:to>
    <xdr:sp macro="" textlink="">
      <xdr:nvSpPr>
        <xdr:cNvPr id="111" name="AutoShape 26356">
          <a:extLst>
            <a:ext uri="{FF2B5EF4-FFF2-40B4-BE49-F238E27FC236}">
              <a16:creationId xmlns:a16="http://schemas.microsoft.com/office/drawing/2014/main" id="{9193D246-11DB-4682-9E35-8D38A8942F82}"/>
            </a:ext>
          </a:extLst>
        </xdr:cNvPr>
        <xdr:cNvSpPr>
          <a:spLocks noChangeArrowheads="1"/>
        </xdr:cNvSpPr>
      </xdr:nvSpPr>
      <xdr:spPr bwMode="auto">
        <a:xfrm>
          <a:off x="20788575" y="5625306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151</xdr:col>
      <xdr:colOff>927893</xdr:colOff>
      <xdr:row>51</xdr:row>
      <xdr:rowOff>20372</xdr:rowOff>
    </xdr:from>
    <xdr:to>
      <xdr:col>152</xdr:col>
      <xdr:colOff>919332</xdr:colOff>
      <xdr:row>51</xdr:row>
      <xdr:rowOff>233979</xdr:rowOff>
    </xdr:to>
    <xdr:sp macro="" textlink="">
      <xdr:nvSpPr>
        <xdr:cNvPr id="112" name="AutoShape 26356">
          <a:extLst>
            <a:ext uri="{FF2B5EF4-FFF2-40B4-BE49-F238E27FC236}">
              <a16:creationId xmlns:a16="http://schemas.microsoft.com/office/drawing/2014/main" id="{2DC8732F-435C-408C-B682-138DC5D1FAB3}"/>
            </a:ext>
          </a:extLst>
        </xdr:cNvPr>
        <xdr:cNvSpPr>
          <a:spLocks noChangeArrowheads="1"/>
        </xdr:cNvSpPr>
      </xdr:nvSpPr>
      <xdr:spPr bwMode="auto">
        <a:xfrm>
          <a:off x="23618560" y="6359789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152</xdr:col>
      <xdr:colOff>794</xdr:colOff>
      <xdr:row>52</xdr:row>
      <xdr:rowOff>24606</xdr:rowOff>
    </xdr:from>
    <xdr:to>
      <xdr:col>152</xdr:col>
      <xdr:colOff>934149</xdr:colOff>
      <xdr:row>52</xdr:row>
      <xdr:rowOff>238213</xdr:rowOff>
    </xdr:to>
    <xdr:sp macro="" textlink="">
      <xdr:nvSpPr>
        <xdr:cNvPr id="113" name="AutoShape 26356">
          <a:extLst>
            <a:ext uri="{FF2B5EF4-FFF2-40B4-BE49-F238E27FC236}">
              <a16:creationId xmlns:a16="http://schemas.microsoft.com/office/drawing/2014/main" id="{BC66A1C3-A3F1-4E20-9442-9CB1B94A3F07}"/>
            </a:ext>
          </a:extLst>
        </xdr:cNvPr>
        <xdr:cNvSpPr>
          <a:spLocks noChangeArrowheads="1"/>
        </xdr:cNvSpPr>
      </xdr:nvSpPr>
      <xdr:spPr bwMode="auto">
        <a:xfrm>
          <a:off x="23633377" y="6607439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151</xdr:col>
      <xdr:colOff>940592</xdr:colOff>
      <xdr:row>49</xdr:row>
      <xdr:rowOff>22490</xdr:rowOff>
    </xdr:from>
    <xdr:to>
      <xdr:col>152</xdr:col>
      <xdr:colOff>932031</xdr:colOff>
      <xdr:row>49</xdr:row>
      <xdr:rowOff>236097</xdr:rowOff>
    </xdr:to>
    <xdr:sp macro="" textlink="">
      <xdr:nvSpPr>
        <xdr:cNvPr id="114" name="AutoShape 26356">
          <a:extLst>
            <a:ext uri="{FF2B5EF4-FFF2-40B4-BE49-F238E27FC236}">
              <a16:creationId xmlns:a16="http://schemas.microsoft.com/office/drawing/2014/main" id="{775AB6F5-0E20-481F-A3D0-BE550C6C3D51}"/>
            </a:ext>
          </a:extLst>
        </xdr:cNvPr>
        <xdr:cNvSpPr>
          <a:spLocks noChangeArrowheads="1"/>
        </xdr:cNvSpPr>
      </xdr:nvSpPr>
      <xdr:spPr bwMode="auto">
        <a:xfrm>
          <a:off x="20805509" y="5875073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151</xdr:col>
      <xdr:colOff>923658</xdr:colOff>
      <xdr:row>48</xdr:row>
      <xdr:rowOff>16139</xdr:rowOff>
    </xdr:from>
    <xdr:to>
      <xdr:col>152</xdr:col>
      <xdr:colOff>915097</xdr:colOff>
      <xdr:row>48</xdr:row>
      <xdr:rowOff>229746</xdr:rowOff>
    </xdr:to>
    <xdr:sp macro="" textlink="">
      <xdr:nvSpPr>
        <xdr:cNvPr id="115" name="AutoShape 26356">
          <a:extLst>
            <a:ext uri="{FF2B5EF4-FFF2-40B4-BE49-F238E27FC236}">
              <a16:creationId xmlns:a16="http://schemas.microsoft.com/office/drawing/2014/main" id="{0E3D4FE1-2AD7-4FE1-BD64-E80FFD62DF17}"/>
            </a:ext>
          </a:extLst>
        </xdr:cNvPr>
        <xdr:cNvSpPr>
          <a:spLocks noChangeArrowheads="1"/>
        </xdr:cNvSpPr>
      </xdr:nvSpPr>
      <xdr:spPr bwMode="auto">
        <a:xfrm>
          <a:off x="20788575" y="5625306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145</xdr:col>
      <xdr:colOff>934242</xdr:colOff>
      <xdr:row>50</xdr:row>
      <xdr:rowOff>5557</xdr:rowOff>
    </xdr:from>
    <xdr:to>
      <xdr:col>146</xdr:col>
      <xdr:colOff>925681</xdr:colOff>
      <xdr:row>50</xdr:row>
      <xdr:rowOff>219164</xdr:rowOff>
    </xdr:to>
    <xdr:sp macro="" textlink="">
      <xdr:nvSpPr>
        <xdr:cNvPr id="116" name="AutoShape 26356">
          <a:extLst>
            <a:ext uri="{FF2B5EF4-FFF2-40B4-BE49-F238E27FC236}">
              <a16:creationId xmlns:a16="http://schemas.microsoft.com/office/drawing/2014/main" id="{C013503B-EAF1-4527-A8BF-38B342958839}"/>
            </a:ext>
          </a:extLst>
        </xdr:cNvPr>
        <xdr:cNvSpPr>
          <a:spLocks noChangeArrowheads="1"/>
        </xdr:cNvSpPr>
      </xdr:nvSpPr>
      <xdr:spPr bwMode="auto">
        <a:xfrm>
          <a:off x="17973409" y="6101557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149</xdr:col>
      <xdr:colOff>2910</xdr:colOff>
      <xdr:row>50</xdr:row>
      <xdr:rowOff>5557</xdr:rowOff>
    </xdr:from>
    <xdr:to>
      <xdr:col>149</xdr:col>
      <xdr:colOff>936265</xdr:colOff>
      <xdr:row>50</xdr:row>
      <xdr:rowOff>219164</xdr:rowOff>
    </xdr:to>
    <xdr:sp macro="" textlink="">
      <xdr:nvSpPr>
        <xdr:cNvPr id="117" name="AutoShape 26356">
          <a:extLst>
            <a:ext uri="{FF2B5EF4-FFF2-40B4-BE49-F238E27FC236}">
              <a16:creationId xmlns:a16="http://schemas.microsoft.com/office/drawing/2014/main" id="{587A8480-1EC3-4C48-8535-BBC588801316}"/>
            </a:ext>
          </a:extLst>
        </xdr:cNvPr>
        <xdr:cNvSpPr>
          <a:spLocks noChangeArrowheads="1"/>
        </xdr:cNvSpPr>
      </xdr:nvSpPr>
      <xdr:spPr bwMode="auto">
        <a:xfrm>
          <a:off x="20809743" y="6101557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151</xdr:col>
      <xdr:colOff>934242</xdr:colOff>
      <xdr:row>50</xdr:row>
      <xdr:rowOff>16140</xdr:rowOff>
    </xdr:from>
    <xdr:to>
      <xdr:col>152</xdr:col>
      <xdr:colOff>925681</xdr:colOff>
      <xdr:row>50</xdr:row>
      <xdr:rowOff>229747</xdr:rowOff>
    </xdr:to>
    <xdr:sp macro="" textlink="">
      <xdr:nvSpPr>
        <xdr:cNvPr id="118" name="AutoShape 26356">
          <a:extLst>
            <a:ext uri="{FF2B5EF4-FFF2-40B4-BE49-F238E27FC236}">
              <a16:creationId xmlns:a16="http://schemas.microsoft.com/office/drawing/2014/main" id="{AE390EAD-D612-4B0E-AC2F-AA1FDC776CBF}"/>
            </a:ext>
          </a:extLst>
        </xdr:cNvPr>
        <xdr:cNvSpPr>
          <a:spLocks noChangeArrowheads="1"/>
        </xdr:cNvSpPr>
      </xdr:nvSpPr>
      <xdr:spPr bwMode="auto">
        <a:xfrm>
          <a:off x="23624909" y="6112140"/>
          <a:ext cx="933355" cy="213607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136</xdr:col>
      <xdr:colOff>931332</xdr:colOff>
      <xdr:row>24</xdr:row>
      <xdr:rowOff>9259</xdr:rowOff>
    </xdr:from>
    <xdr:to>
      <xdr:col>137</xdr:col>
      <xdr:colOff>924094</xdr:colOff>
      <xdr:row>48</xdr:row>
      <xdr:rowOff>229481</xdr:rowOff>
    </xdr:to>
    <xdr:sp macro="" textlink="">
      <xdr:nvSpPr>
        <xdr:cNvPr id="119" name="AutoShape 26356">
          <a:extLst>
            <a:ext uri="{FF2B5EF4-FFF2-40B4-BE49-F238E27FC236}">
              <a16:creationId xmlns:a16="http://schemas.microsoft.com/office/drawing/2014/main" id="{A3771D0E-86DE-4DCD-9699-9982CC6109A5}"/>
            </a:ext>
          </a:extLst>
        </xdr:cNvPr>
        <xdr:cNvSpPr>
          <a:spLocks noChangeArrowheads="1"/>
        </xdr:cNvSpPr>
      </xdr:nvSpPr>
      <xdr:spPr bwMode="auto">
        <a:xfrm>
          <a:off x="9493249" y="5618426"/>
          <a:ext cx="934678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136</xdr:col>
      <xdr:colOff>931332</xdr:colOff>
      <xdr:row>49</xdr:row>
      <xdr:rowOff>9259</xdr:rowOff>
    </xdr:from>
    <xdr:to>
      <xdr:col>137</xdr:col>
      <xdr:colOff>924094</xdr:colOff>
      <xdr:row>49</xdr:row>
      <xdr:rowOff>229481</xdr:rowOff>
    </xdr:to>
    <xdr:sp macro="" textlink="">
      <xdr:nvSpPr>
        <xdr:cNvPr id="120" name="AutoShape 26356">
          <a:extLst>
            <a:ext uri="{FF2B5EF4-FFF2-40B4-BE49-F238E27FC236}">
              <a16:creationId xmlns:a16="http://schemas.microsoft.com/office/drawing/2014/main" id="{3EF645F8-A59F-462F-BFE2-1D3F158CCE9E}"/>
            </a:ext>
          </a:extLst>
        </xdr:cNvPr>
        <xdr:cNvSpPr>
          <a:spLocks noChangeArrowheads="1"/>
        </xdr:cNvSpPr>
      </xdr:nvSpPr>
      <xdr:spPr bwMode="auto">
        <a:xfrm>
          <a:off x="9493249" y="5861842"/>
          <a:ext cx="934678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0</xdr:colOff>
      <xdr:row>58</xdr:row>
      <xdr:rowOff>0</xdr:rowOff>
    </xdr:from>
    <xdr:to>
      <xdr:col>137</xdr:col>
      <xdr:colOff>934678</xdr:colOff>
      <xdr:row>62</xdr:row>
      <xdr:rowOff>220222</xdr:rowOff>
    </xdr:to>
    <xdr:sp macro="" textlink="">
      <xdr:nvSpPr>
        <xdr:cNvPr id="121" name="AutoShape 26356">
          <a:extLst>
            <a:ext uri="{FF2B5EF4-FFF2-40B4-BE49-F238E27FC236}">
              <a16:creationId xmlns:a16="http://schemas.microsoft.com/office/drawing/2014/main" id="{E7347BF5-7838-432B-9D50-65F13CA9C754}"/>
            </a:ext>
          </a:extLst>
        </xdr:cNvPr>
        <xdr:cNvSpPr>
          <a:spLocks noChangeArrowheads="1"/>
        </xdr:cNvSpPr>
      </xdr:nvSpPr>
      <xdr:spPr bwMode="auto">
        <a:xfrm>
          <a:off x="9503833" y="8075083"/>
          <a:ext cx="934678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137</xdr:col>
      <xdr:colOff>10583</xdr:colOff>
      <xdr:row>81</xdr:row>
      <xdr:rowOff>84666</xdr:rowOff>
    </xdr:from>
    <xdr:to>
      <xdr:col>138</xdr:col>
      <xdr:colOff>2021</xdr:colOff>
      <xdr:row>81</xdr:row>
      <xdr:rowOff>304888</xdr:rowOff>
    </xdr:to>
    <xdr:sp macro="" textlink="">
      <xdr:nvSpPr>
        <xdr:cNvPr id="122" name="AutoShape 26356">
          <a:extLst>
            <a:ext uri="{FF2B5EF4-FFF2-40B4-BE49-F238E27FC236}">
              <a16:creationId xmlns:a16="http://schemas.microsoft.com/office/drawing/2014/main" id="{D4B94352-12C7-487B-B77D-76F72F028EC5}"/>
            </a:ext>
          </a:extLst>
        </xdr:cNvPr>
        <xdr:cNvSpPr>
          <a:spLocks noChangeArrowheads="1"/>
        </xdr:cNvSpPr>
      </xdr:nvSpPr>
      <xdr:spPr bwMode="auto">
        <a:xfrm>
          <a:off x="9514416" y="12318999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143</xdr:col>
      <xdr:colOff>10584</xdr:colOff>
      <xdr:row>81</xdr:row>
      <xdr:rowOff>95250</xdr:rowOff>
    </xdr:from>
    <xdr:to>
      <xdr:col>144</xdr:col>
      <xdr:colOff>2022</xdr:colOff>
      <xdr:row>81</xdr:row>
      <xdr:rowOff>315472</xdr:rowOff>
    </xdr:to>
    <xdr:sp macro="" textlink="">
      <xdr:nvSpPr>
        <xdr:cNvPr id="123" name="AutoShape 26356">
          <a:extLst>
            <a:ext uri="{FF2B5EF4-FFF2-40B4-BE49-F238E27FC236}">
              <a16:creationId xmlns:a16="http://schemas.microsoft.com/office/drawing/2014/main" id="{CC203CA1-F12D-41E7-AB5F-F8097B0C2B8C}"/>
            </a:ext>
          </a:extLst>
        </xdr:cNvPr>
        <xdr:cNvSpPr>
          <a:spLocks noChangeArrowheads="1"/>
        </xdr:cNvSpPr>
      </xdr:nvSpPr>
      <xdr:spPr bwMode="auto">
        <a:xfrm>
          <a:off x="15165917" y="12329583"/>
          <a:ext cx="933355" cy="220222"/>
        </a:xfrm>
        <a:prstGeom prst="plus">
          <a:avLst>
            <a:gd name="adj" fmla="val 25000"/>
          </a:avLst>
        </a:prstGeom>
        <a:noFill/>
        <a:ln w="19050">
          <a:solidFill>
            <a:srgbClr val="FF0000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  <xdr:txBody>
        <a:bodyPr/>
        <a:lstStyle/>
        <a:p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  <pageSetUpPr fitToPage="1"/>
  </sheetPr>
  <dimension ref="A1:AE459"/>
  <sheetViews>
    <sheetView showGridLines="0" view="pageBreakPreview" topLeftCell="B4" zoomScale="70" zoomScaleNormal="85" zoomScaleSheetLayoutView="70" workbookViewId="0">
      <pane ySplit="4" topLeftCell="A8" activePane="bottomLeft" state="frozen"/>
      <selection activeCell="X12" sqref="X12"/>
      <selection pane="bottomLeft" activeCell="X12" sqref="X12"/>
    </sheetView>
  </sheetViews>
  <sheetFormatPr defaultRowHeight="15.75"/>
  <cols>
    <col min="1" max="1" width="4.6640625" style="431" hidden="1" customWidth="1"/>
    <col min="2" max="2" width="15.83203125" style="431" customWidth="1"/>
    <col min="3" max="3" width="14.33203125" style="431" hidden="1" customWidth="1"/>
    <col min="4" max="4" width="44" style="431" customWidth="1"/>
    <col min="5" max="5" width="14" style="431" hidden="1" customWidth="1"/>
    <col min="6" max="6" width="14.6640625" style="431" hidden="1" customWidth="1"/>
    <col min="7" max="7" width="15.1640625" style="431" hidden="1" customWidth="1"/>
    <col min="8" max="8" width="14" style="431" hidden="1" customWidth="1"/>
    <col min="9" max="9" width="14.6640625" style="431" hidden="1" customWidth="1"/>
    <col min="10" max="10" width="15.1640625" style="431" hidden="1" customWidth="1"/>
    <col min="11" max="11" width="14" style="431" hidden="1" customWidth="1"/>
    <col min="12" max="12" width="14.6640625" style="431" hidden="1" customWidth="1"/>
    <col min="13" max="13" width="15.1640625" style="431" hidden="1" customWidth="1"/>
    <col min="14" max="14" width="14" style="431" customWidth="1"/>
    <col min="15" max="15" width="14.6640625" style="431" customWidth="1"/>
    <col min="16" max="16" width="15.1640625" style="431" customWidth="1"/>
    <col min="17" max="17" width="14" style="431" customWidth="1"/>
    <col min="18" max="18" width="14.6640625" style="431" customWidth="1"/>
    <col min="19" max="19" width="15.1640625" style="431" customWidth="1"/>
    <col min="20" max="20" width="14" style="431" customWidth="1"/>
    <col min="21" max="21" width="14.6640625" style="431" customWidth="1"/>
    <col min="22" max="22" width="15.1640625" style="431" customWidth="1"/>
    <col min="23" max="23" width="14" style="431" customWidth="1"/>
    <col min="24" max="24" width="14.6640625" style="431" customWidth="1"/>
    <col min="25" max="25" width="15.1640625" style="431" customWidth="1"/>
    <col min="26" max="26" width="14" style="431" customWidth="1"/>
    <col min="27" max="27" width="14.6640625" style="431" customWidth="1"/>
    <col min="28" max="28" width="15.1640625" style="431" customWidth="1"/>
    <col min="29" max="29" width="14" style="431" customWidth="1"/>
    <col min="30" max="30" width="14.6640625" style="431" customWidth="1"/>
    <col min="31" max="31" width="15.1640625" style="431" customWidth="1"/>
    <col min="32" max="16384" width="9.33203125" style="431"/>
  </cols>
  <sheetData>
    <row r="1" spans="1:31" ht="20.100000000000001" customHeight="1">
      <c r="A1" s="431" t="s">
        <v>410</v>
      </c>
      <c r="AC1" s="431" t="s">
        <v>276</v>
      </c>
    </row>
    <row r="3" spans="1:31" ht="20.25" customHeight="1">
      <c r="E3" s="432"/>
      <c r="F3" s="432"/>
      <c r="J3" s="432"/>
      <c r="O3" s="432"/>
      <c r="P3" s="432" t="s">
        <v>55</v>
      </c>
      <c r="S3" s="433"/>
      <c r="T3" s="432" t="s">
        <v>0</v>
      </c>
    </row>
    <row r="4" spans="1:31" ht="5.0999999999999996" customHeight="1">
      <c r="B4" s="434"/>
      <c r="C4" s="434"/>
    </row>
    <row r="5" spans="1:31" ht="17.100000000000001" hidden="1" customHeight="1">
      <c r="A5" s="435"/>
      <c r="B5" s="435"/>
      <c r="C5" s="435"/>
      <c r="D5" s="436" t="s">
        <v>1</v>
      </c>
      <c r="E5" s="437" t="s">
        <v>2</v>
      </c>
      <c r="F5" s="438"/>
      <c r="G5" s="439"/>
      <c r="H5" s="437" t="s">
        <v>2</v>
      </c>
      <c r="I5" s="438"/>
      <c r="J5" s="439"/>
      <c r="K5" s="437" t="s">
        <v>2</v>
      </c>
      <c r="L5" s="438"/>
      <c r="M5" s="439"/>
      <c r="N5" s="437" t="s">
        <v>2</v>
      </c>
      <c r="O5" s="438"/>
      <c r="P5" s="439"/>
      <c r="Q5" s="437" t="s">
        <v>2</v>
      </c>
      <c r="R5" s="438"/>
      <c r="S5" s="439"/>
      <c r="T5" s="437" t="s">
        <v>2</v>
      </c>
      <c r="U5" s="438"/>
      <c r="V5" s="439"/>
      <c r="W5" s="437" t="s">
        <v>2</v>
      </c>
      <c r="X5" s="438"/>
      <c r="Y5" s="439"/>
      <c r="Z5" s="437" t="s">
        <v>2</v>
      </c>
      <c r="AA5" s="438"/>
      <c r="AB5" s="439"/>
      <c r="AC5" s="437" t="s">
        <v>2</v>
      </c>
      <c r="AD5" s="438"/>
      <c r="AE5" s="439"/>
    </row>
    <row r="6" spans="1:31" s="446" customFormat="1" ht="17.100000000000001" customHeight="1">
      <c r="A6" s="440" t="s">
        <v>3</v>
      </c>
      <c r="B6" s="441" t="s">
        <v>4</v>
      </c>
      <c r="C6" s="441" t="s">
        <v>5</v>
      </c>
      <c r="D6" s="442" t="s">
        <v>6</v>
      </c>
      <c r="E6" s="443" t="s">
        <v>224</v>
      </c>
      <c r="F6" s="444"/>
      <c r="G6" s="445"/>
      <c r="H6" s="443" t="s">
        <v>225</v>
      </c>
      <c r="I6" s="444"/>
      <c r="J6" s="445"/>
      <c r="K6" s="443" t="s">
        <v>226</v>
      </c>
      <c r="L6" s="444"/>
      <c r="M6" s="445"/>
      <c r="N6" s="443" t="s">
        <v>229</v>
      </c>
      <c r="O6" s="444"/>
      <c r="P6" s="445"/>
      <c r="Q6" s="443" t="s">
        <v>230</v>
      </c>
      <c r="R6" s="444"/>
      <c r="S6" s="445"/>
      <c r="T6" s="443" t="s">
        <v>231</v>
      </c>
      <c r="U6" s="444"/>
      <c r="V6" s="445"/>
      <c r="W6" s="443" t="s">
        <v>267</v>
      </c>
      <c r="X6" s="444"/>
      <c r="Y6" s="445"/>
      <c r="Z6" s="443" t="s">
        <v>268</v>
      </c>
      <c r="AA6" s="444"/>
      <c r="AB6" s="445"/>
      <c r="AC6" s="443" t="s">
        <v>269</v>
      </c>
      <c r="AD6" s="444"/>
      <c r="AE6" s="445"/>
    </row>
    <row r="7" spans="1:31" s="446" customFormat="1" ht="23.25" customHeight="1" thickBot="1">
      <c r="A7" s="447"/>
      <c r="B7" s="448"/>
      <c r="C7" s="448" t="s">
        <v>7</v>
      </c>
      <c r="D7" s="449"/>
      <c r="E7" s="450" t="s">
        <v>138</v>
      </c>
      <c r="F7" s="451" t="s">
        <v>265</v>
      </c>
      <c r="G7" s="452" t="s">
        <v>134</v>
      </c>
      <c r="H7" s="450" t="s">
        <v>152</v>
      </c>
      <c r="I7" s="451" t="s">
        <v>272</v>
      </c>
      <c r="J7" s="452" t="str">
        <f t="shared" ref="J7" si="0">G7</f>
        <v>GAP</v>
      </c>
      <c r="K7" s="453" t="s">
        <v>273</v>
      </c>
      <c r="L7" s="454" t="s">
        <v>274</v>
      </c>
      <c r="M7" s="452" t="str">
        <f t="shared" ref="M7" si="1">J7</f>
        <v>GAP</v>
      </c>
      <c r="N7" s="454" t="s">
        <v>275</v>
      </c>
      <c r="O7" s="454" t="s">
        <v>277</v>
      </c>
      <c r="P7" s="452" t="str">
        <f t="shared" ref="P7" si="2">M7</f>
        <v>GAP</v>
      </c>
      <c r="Q7" s="450" t="str">
        <f t="shared" ref="Q7" si="3">N7</f>
        <v>Rev. 7-4</v>
      </c>
      <c r="R7" s="451" t="str">
        <f t="shared" ref="R7" si="4">O7</f>
        <v>Rev. 8-1</v>
      </c>
      <c r="S7" s="452" t="str">
        <f t="shared" ref="S7" si="5">P7</f>
        <v>GAP</v>
      </c>
      <c r="T7" s="450" t="str">
        <f t="shared" ref="T7" si="6">Q7</f>
        <v>Rev. 7-4</v>
      </c>
      <c r="U7" s="451" t="str">
        <f t="shared" ref="U7" si="7">R7</f>
        <v>Rev. 8-1</v>
      </c>
      <c r="V7" s="452" t="str">
        <f t="shared" ref="V7" si="8">S7</f>
        <v>GAP</v>
      </c>
      <c r="W7" s="450" t="str">
        <f t="shared" ref="W7" si="9">T7</f>
        <v>Rev. 7-4</v>
      </c>
      <c r="X7" s="451" t="str">
        <f t="shared" ref="X7" si="10">U7</f>
        <v>Rev. 8-1</v>
      </c>
      <c r="Y7" s="452" t="str">
        <f t="shared" ref="Y7" si="11">V7</f>
        <v>GAP</v>
      </c>
      <c r="Z7" s="450" t="str">
        <f t="shared" ref="Z7" si="12">W7</f>
        <v>Rev. 7-4</v>
      </c>
      <c r="AA7" s="451" t="str">
        <f t="shared" ref="AA7" si="13">X7</f>
        <v>Rev. 8-1</v>
      </c>
      <c r="AB7" s="452" t="str">
        <f t="shared" ref="AB7" si="14">Y7</f>
        <v>GAP</v>
      </c>
      <c r="AC7" s="450" t="str">
        <f t="shared" ref="AC7" si="15">Z7</f>
        <v>Rev. 7-4</v>
      </c>
      <c r="AD7" s="451" t="str">
        <f t="shared" ref="AD7" si="16">AA7</f>
        <v>Rev. 8-1</v>
      </c>
      <c r="AE7" s="452" t="str">
        <f t="shared" ref="AE7" si="17">AB7</f>
        <v>GAP</v>
      </c>
    </row>
    <row r="8" spans="1:31" ht="23.1" customHeight="1" thickTop="1">
      <c r="A8" s="474">
        <v>1</v>
      </c>
      <c r="B8" s="475" t="s">
        <v>14</v>
      </c>
      <c r="C8" s="476">
        <v>6003485600</v>
      </c>
      <c r="D8" s="477" t="s">
        <v>15</v>
      </c>
      <c r="E8" s="478">
        <v>410.86</v>
      </c>
      <c r="F8" s="478">
        <v>410.86</v>
      </c>
      <c r="G8" s="479">
        <f>F8-E8</f>
        <v>0</v>
      </c>
      <c r="H8" s="480">
        <v>309.12</v>
      </c>
      <c r="I8" s="480">
        <v>309.12</v>
      </c>
      <c r="J8" s="479">
        <f>I8-H8</f>
        <v>0</v>
      </c>
      <c r="K8" s="480">
        <v>338.40800000000002</v>
      </c>
      <c r="L8" s="480">
        <v>338.40800000000002</v>
      </c>
      <c r="M8" s="479">
        <f>L8-K8</f>
        <v>0</v>
      </c>
      <c r="N8" s="480">
        <v>324</v>
      </c>
      <c r="O8" s="480">
        <v>329.85599999999999</v>
      </c>
      <c r="P8" s="479">
        <f>O8-N8</f>
        <v>5.8559999999999945</v>
      </c>
      <c r="Q8" s="480">
        <v>450</v>
      </c>
      <c r="R8" s="480">
        <v>430</v>
      </c>
      <c r="S8" s="479">
        <f>R8-Q8</f>
        <v>-20</v>
      </c>
      <c r="T8" s="480">
        <v>450</v>
      </c>
      <c r="U8" s="480">
        <v>430</v>
      </c>
      <c r="V8" s="479">
        <f>U8-T8</f>
        <v>-20</v>
      </c>
      <c r="W8" s="480">
        <v>385</v>
      </c>
      <c r="X8" s="480">
        <v>500</v>
      </c>
      <c r="Y8" s="479">
        <f>X8-W8</f>
        <v>115</v>
      </c>
      <c r="Z8" s="480">
        <v>500</v>
      </c>
      <c r="AA8" s="480">
        <v>500</v>
      </c>
      <c r="AB8" s="479">
        <f>AA8-Z8</f>
        <v>0</v>
      </c>
      <c r="AC8" s="480">
        <v>418</v>
      </c>
      <c r="AD8" s="480">
        <v>418</v>
      </c>
      <c r="AE8" s="479">
        <f>AD8-AC8</f>
        <v>0</v>
      </c>
    </row>
    <row r="9" spans="1:31" ht="23.1" customHeight="1">
      <c r="A9" s="474"/>
      <c r="B9" s="481"/>
      <c r="C9" s="482">
        <v>100178374</v>
      </c>
      <c r="D9" s="477" t="s">
        <v>17</v>
      </c>
      <c r="E9" s="478">
        <v>100.9</v>
      </c>
      <c r="F9" s="478">
        <v>100.9</v>
      </c>
      <c r="G9" s="479">
        <f>F9-E9</f>
        <v>0</v>
      </c>
      <c r="H9" s="480">
        <v>131.75</v>
      </c>
      <c r="I9" s="480">
        <v>131.75</v>
      </c>
      <c r="J9" s="479">
        <f>I9-H9</f>
        <v>0</v>
      </c>
      <c r="K9" s="480">
        <v>104.7</v>
      </c>
      <c r="L9" s="480">
        <v>104.7</v>
      </c>
      <c r="M9" s="479">
        <f>L9-K9</f>
        <v>0</v>
      </c>
      <c r="N9" s="480">
        <v>58</v>
      </c>
      <c r="O9" s="480">
        <v>58.05</v>
      </c>
      <c r="P9" s="479">
        <f>O9-N9</f>
        <v>4.9999999999997158E-2</v>
      </c>
      <c r="Q9" s="480">
        <v>80</v>
      </c>
      <c r="R9" s="480">
        <v>5</v>
      </c>
      <c r="S9" s="479">
        <f>R9-Q9</f>
        <v>-75</v>
      </c>
      <c r="T9" s="480">
        <v>70</v>
      </c>
      <c r="U9" s="480">
        <v>20</v>
      </c>
      <c r="V9" s="479">
        <f>U9-T9</f>
        <v>-50</v>
      </c>
      <c r="W9" s="480">
        <v>100</v>
      </c>
      <c r="X9" s="480">
        <v>100</v>
      </c>
      <c r="Y9" s="479">
        <f>X9-W9</f>
        <v>0</v>
      </c>
      <c r="Z9" s="480">
        <v>100</v>
      </c>
      <c r="AA9" s="480">
        <v>100</v>
      </c>
      <c r="AB9" s="479">
        <f>AA9-Z9</f>
        <v>0</v>
      </c>
      <c r="AC9" s="480">
        <v>100</v>
      </c>
      <c r="AD9" s="480">
        <v>100</v>
      </c>
      <c r="AE9" s="479">
        <f>AD9-AC9</f>
        <v>0</v>
      </c>
    </row>
    <row r="10" spans="1:31" ht="23.1" customHeight="1">
      <c r="A10" s="474"/>
      <c r="B10" s="481"/>
      <c r="C10" s="476">
        <v>6003419700</v>
      </c>
      <c r="D10" s="477" t="s">
        <v>18</v>
      </c>
      <c r="E10" s="478">
        <v>864.30399999999997</v>
      </c>
      <c r="F10" s="478">
        <v>864.30399999999997</v>
      </c>
      <c r="G10" s="479">
        <f t="shared" ref="G10:G18" si="18">F10-E10</f>
        <v>0</v>
      </c>
      <c r="H10" s="480">
        <v>724.20399999999995</v>
      </c>
      <c r="I10" s="480">
        <v>724.20399999999995</v>
      </c>
      <c r="J10" s="479">
        <f t="shared" ref="J10:J18" si="19">I10-H10</f>
        <v>0</v>
      </c>
      <c r="K10" s="480">
        <v>734.07</v>
      </c>
      <c r="L10" s="480">
        <v>734.07</v>
      </c>
      <c r="M10" s="479">
        <f t="shared" ref="M10:M18" si="20">L10-K10</f>
        <v>0</v>
      </c>
      <c r="N10" s="480">
        <v>500</v>
      </c>
      <c r="O10" s="480">
        <v>511.55599999999998</v>
      </c>
      <c r="P10" s="479">
        <f t="shared" ref="P10:P18" si="21">O10-N10</f>
        <v>11.555999999999983</v>
      </c>
      <c r="Q10" s="480">
        <v>500</v>
      </c>
      <c r="R10" s="480">
        <v>290</v>
      </c>
      <c r="S10" s="479">
        <f t="shared" ref="S10:S18" si="22">R10-Q10</f>
        <v>-210</v>
      </c>
      <c r="T10" s="480">
        <v>500</v>
      </c>
      <c r="U10" s="480">
        <v>200</v>
      </c>
      <c r="V10" s="479">
        <f t="shared" ref="V10:V18" si="23">U10-T10</f>
        <v>-300</v>
      </c>
      <c r="W10" s="480">
        <v>500</v>
      </c>
      <c r="X10" s="480">
        <v>400</v>
      </c>
      <c r="Y10" s="479">
        <f t="shared" ref="Y10:Y18" si="24">X10-W10</f>
        <v>-100</v>
      </c>
      <c r="Z10" s="480">
        <v>560</v>
      </c>
      <c r="AA10" s="480">
        <v>600</v>
      </c>
      <c r="AB10" s="479">
        <f t="shared" ref="AB10:AB18" si="25">AA10-Z10</f>
        <v>40</v>
      </c>
      <c r="AC10" s="480">
        <v>460</v>
      </c>
      <c r="AD10" s="480">
        <v>460</v>
      </c>
      <c r="AE10" s="479">
        <f t="shared" ref="AE10:AE18" si="26">AD10-AC10</f>
        <v>0</v>
      </c>
    </row>
    <row r="11" spans="1:31" ht="20.100000000000001" customHeight="1">
      <c r="A11" s="474"/>
      <c r="B11" s="481"/>
      <c r="C11" s="476">
        <v>100093579</v>
      </c>
      <c r="D11" s="477" t="s">
        <v>19</v>
      </c>
      <c r="E11" s="478">
        <v>0</v>
      </c>
      <c r="F11" s="478">
        <v>0</v>
      </c>
      <c r="G11" s="479">
        <f t="shared" si="18"/>
        <v>0</v>
      </c>
      <c r="H11" s="480">
        <v>0</v>
      </c>
      <c r="I11" s="480">
        <v>0</v>
      </c>
      <c r="J11" s="479">
        <f t="shared" si="19"/>
        <v>0</v>
      </c>
      <c r="K11" s="480">
        <v>0</v>
      </c>
      <c r="L11" s="480">
        <v>0</v>
      </c>
      <c r="M11" s="479">
        <f t="shared" si="20"/>
        <v>0</v>
      </c>
      <c r="N11" s="480">
        <v>0</v>
      </c>
      <c r="O11" s="480">
        <v>0</v>
      </c>
      <c r="P11" s="479">
        <f t="shared" si="21"/>
        <v>0</v>
      </c>
      <c r="Q11" s="480">
        <v>10</v>
      </c>
      <c r="R11" s="480">
        <v>0</v>
      </c>
      <c r="S11" s="479">
        <f t="shared" si="22"/>
        <v>-10</v>
      </c>
      <c r="T11" s="480">
        <v>0</v>
      </c>
      <c r="U11" s="480">
        <v>0</v>
      </c>
      <c r="V11" s="479">
        <f t="shared" si="23"/>
        <v>0</v>
      </c>
      <c r="W11" s="480">
        <v>10</v>
      </c>
      <c r="X11" s="480">
        <v>20</v>
      </c>
      <c r="Y11" s="479">
        <f t="shared" si="24"/>
        <v>10</v>
      </c>
      <c r="Z11" s="480">
        <v>0</v>
      </c>
      <c r="AA11" s="480">
        <v>0</v>
      </c>
      <c r="AB11" s="479">
        <f t="shared" si="25"/>
        <v>0</v>
      </c>
      <c r="AC11" s="480">
        <v>10</v>
      </c>
      <c r="AD11" s="480">
        <v>10</v>
      </c>
      <c r="AE11" s="479">
        <f t="shared" si="26"/>
        <v>0</v>
      </c>
    </row>
    <row r="12" spans="1:31" ht="22.5" customHeight="1">
      <c r="A12" s="474"/>
      <c r="B12" s="481"/>
      <c r="C12" s="482">
        <v>100100435</v>
      </c>
      <c r="D12" s="477" t="s">
        <v>227</v>
      </c>
      <c r="E12" s="478">
        <v>43.904000000000003</v>
      </c>
      <c r="F12" s="478">
        <v>43.904000000000003</v>
      </c>
      <c r="G12" s="479">
        <f t="shared" si="18"/>
        <v>0</v>
      </c>
      <c r="H12" s="480">
        <v>0</v>
      </c>
      <c r="I12" s="480">
        <v>0</v>
      </c>
      <c r="J12" s="479">
        <f t="shared" si="19"/>
        <v>0</v>
      </c>
      <c r="K12" s="480">
        <v>0</v>
      </c>
      <c r="L12" s="480">
        <v>0</v>
      </c>
      <c r="M12" s="479">
        <f t="shared" si="20"/>
        <v>0</v>
      </c>
      <c r="N12" s="480">
        <v>0</v>
      </c>
      <c r="O12" s="480">
        <v>0</v>
      </c>
      <c r="P12" s="479">
        <f t="shared" si="21"/>
        <v>0</v>
      </c>
      <c r="Q12" s="480">
        <v>0</v>
      </c>
      <c r="R12" s="480">
        <v>0</v>
      </c>
      <c r="S12" s="479">
        <f t="shared" si="22"/>
        <v>0</v>
      </c>
      <c r="T12" s="480">
        <v>0</v>
      </c>
      <c r="U12" s="480">
        <v>0</v>
      </c>
      <c r="V12" s="479">
        <f t="shared" si="23"/>
        <v>0</v>
      </c>
      <c r="W12" s="480">
        <v>0</v>
      </c>
      <c r="X12" s="480">
        <v>0</v>
      </c>
      <c r="Y12" s="479">
        <f t="shared" si="24"/>
        <v>0</v>
      </c>
      <c r="Z12" s="480">
        <v>0</v>
      </c>
      <c r="AA12" s="480">
        <v>0</v>
      </c>
      <c r="AB12" s="479">
        <f t="shared" si="25"/>
        <v>0</v>
      </c>
      <c r="AC12" s="480">
        <v>0</v>
      </c>
      <c r="AD12" s="480">
        <v>0</v>
      </c>
      <c r="AE12" s="479">
        <f t="shared" si="26"/>
        <v>0</v>
      </c>
    </row>
    <row r="13" spans="1:31" ht="23.1" customHeight="1">
      <c r="A13" s="474"/>
      <c r="B13" s="481"/>
      <c r="C13" s="476"/>
      <c r="D13" s="483" t="s">
        <v>74</v>
      </c>
      <c r="E13" s="478">
        <v>10.65</v>
      </c>
      <c r="F13" s="478">
        <v>10.65</v>
      </c>
      <c r="G13" s="479">
        <f t="shared" si="18"/>
        <v>0</v>
      </c>
      <c r="H13" s="480">
        <v>10.3</v>
      </c>
      <c r="I13" s="480">
        <v>10.3</v>
      </c>
      <c r="J13" s="479">
        <f t="shared" si="19"/>
        <v>0</v>
      </c>
      <c r="K13" s="480">
        <v>11.95</v>
      </c>
      <c r="L13" s="480">
        <v>11.95</v>
      </c>
      <c r="M13" s="479">
        <f t="shared" si="20"/>
        <v>0</v>
      </c>
      <c r="N13" s="480">
        <v>20</v>
      </c>
      <c r="O13" s="480">
        <v>14.907999999999999</v>
      </c>
      <c r="P13" s="479">
        <f t="shared" si="21"/>
        <v>-5.0920000000000005</v>
      </c>
      <c r="Q13" s="480">
        <v>20</v>
      </c>
      <c r="R13" s="480">
        <v>20</v>
      </c>
      <c r="S13" s="479">
        <f t="shared" si="22"/>
        <v>0</v>
      </c>
      <c r="T13" s="480">
        <v>20</v>
      </c>
      <c r="U13" s="480">
        <v>0</v>
      </c>
      <c r="V13" s="479">
        <f t="shared" si="23"/>
        <v>-20</v>
      </c>
      <c r="W13" s="480">
        <v>5</v>
      </c>
      <c r="X13" s="480">
        <v>30</v>
      </c>
      <c r="Y13" s="479">
        <f t="shared" si="24"/>
        <v>25</v>
      </c>
      <c r="Z13" s="480">
        <v>5</v>
      </c>
      <c r="AA13" s="480">
        <v>10</v>
      </c>
      <c r="AB13" s="479">
        <f t="shared" si="25"/>
        <v>5</v>
      </c>
      <c r="AC13" s="480">
        <v>5</v>
      </c>
      <c r="AD13" s="480">
        <v>20</v>
      </c>
      <c r="AE13" s="479">
        <f t="shared" si="26"/>
        <v>15</v>
      </c>
    </row>
    <row r="14" spans="1:31" ht="21.75" customHeight="1">
      <c r="A14" s="474"/>
      <c r="B14" s="481"/>
      <c r="C14" s="484" t="s">
        <v>61</v>
      </c>
      <c r="D14" s="483" t="s">
        <v>62</v>
      </c>
      <c r="E14" s="478">
        <v>152.70599999999999</v>
      </c>
      <c r="F14" s="478">
        <v>152.70599999999999</v>
      </c>
      <c r="G14" s="479">
        <f t="shared" si="18"/>
        <v>0</v>
      </c>
      <c r="H14" s="478">
        <v>160.08600000000001</v>
      </c>
      <c r="I14" s="478">
        <v>160.08600000000001</v>
      </c>
      <c r="J14" s="479">
        <f t="shared" si="19"/>
        <v>0</v>
      </c>
      <c r="K14" s="478">
        <v>170.4</v>
      </c>
      <c r="L14" s="478">
        <v>170.4</v>
      </c>
      <c r="M14" s="479">
        <f t="shared" si="20"/>
        <v>0</v>
      </c>
      <c r="N14" s="478">
        <v>150</v>
      </c>
      <c r="O14" s="478">
        <v>155.964</v>
      </c>
      <c r="P14" s="479">
        <f t="shared" si="21"/>
        <v>5.9639999999999986</v>
      </c>
      <c r="Q14" s="478">
        <v>230</v>
      </c>
      <c r="R14" s="478">
        <v>150</v>
      </c>
      <c r="S14" s="479">
        <f t="shared" si="22"/>
        <v>-80</v>
      </c>
      <c r="T14" s="478">
        <v>230</v>
      </c>
      <c r="U14" s="478">
        <v>150</v>
      </c>
      <c r="V14" s="479">
        <f t="shared" si="23"/>
        <v>-80</v>
      </c>
      <c r="W14" s="478">
        <v>230</v>
      </c>
      <c r="X14" s="478">
        <v>100</v>
      </c>
      <c r="Y14" s="479">
        <f t="shared" si="24"/>
        <v>-130</v>
      </c>
      <c r="Z14" s="478">
        <v>220</v>
      </c>
      <c r="AA14" s="478">
        <v>180</v>
      </c>
      <c r="AB14" s="479">
        <f t="shared" si="25"/>
        <v>-40</v>
      </c>
      <c r="AC14" s="478">
        <v>230</v>
      </c>
      <c r="AD14" s="478">
        <v>170</v>
      </c>
      <c r="AE14" s="479">
        <f t="shared" si="26"/>
        <v>-60</v>
      </c>
    </row>
    <row r="15" spans="1:31" ht="21.75" customHeight="1">
      <c r="A15" s="474"/>
      <c r="B15" s="481"/>
      <c r="C15" s="484"/>
      <c r="D15" s="483" t="s">
        <v>75</v>
      </c>
      <c r="E15" s="480">
        <v>2.9249999999999998</v>
      </c>
      <c r="F15" s="480">
        <v>2.9249999999999998</v>
      </c>
      <c r="G15" s="479">
        <f t="shared" si="18"/>
        <v>0</v>
      </c>
      <c r="H15" s="480">
        <v>10.4</v>
      </c>
      <c r="I15" s="480">
        <v>10.4</v>
      </c>
      <c r="J15" s="479">
        <f t="shared" si="19"/>
        <v>0</v>
      </c>
      <c r="K15" s="480">
        <v>22.1</v>
      </c>
      <c r="L15" s="480">
        <v>22.1</v>
      </c>
      <c r="M15" s="479">
        <f t="shared" si="20"/>
        <v>0</v>
      </c>
      <c r="N15" s="480">
        <v>2.5</v>
      </c>
      <c r="O15" s="480">
        <v>2.5</v>
      </c>
      <c r="P15" s="479">
        <f t="shared" si="21"/>
        <v>0</v>
      </c>
      <c r="Q15" s="480">
        <v>0</v>
      </c>
      <c r="R15" s="480">
        <v>0</v>
      </c>
      <c r="S15" s="479">
        <f t="shared" si="22"/>
        <v>0</v>
      </c>
      <c r="T15" s="480">
        <v>0</v>
      </c>
      <c r="U15" s="480">
        <v>0</v>
      </c>
      <c r="V15" s="479">
        <f t="shared" si="23"/>
        <v>0</v>
      </c>
      <c r="W15" s="480">
        <v>5</v>
      </c>
      <c r="X15" s="480">
        <v>5</v>
      </c>
      <c r="Y15" s="479">
        <f t="shared" si="24"/>
        <v>0</v>
      </c>
      <c r="Z15" s="480">
        <v>10</v>
      </c>
      <c r="AA15" s="480">
        <v>10</v>
      </c>
      <c r="AB15" s="479">
        <f t="shared" si="25"/>
        <v>0</v>
      </c>
      <c r="AC15" s="480">
        <v>0</v>
      </c>
      <c r="AD15" s="480">
        <v>0</v>
      </c>
      <c r="AE15" s="479">
        <f t="shared" si="26"/>
        <v>0</v>
      </c>
    </row>
    <row r="16" spans="1:31" ht="21.75" customHeight="1">
      <c r="A16" s="474"/>
      <c r="B16" s="481"/>
      <c r="C16" s="484"/>
      <c r="D16" s="483" t="s">
        <v>90</v>
      </c>
      <c r="E16" s="480">
        <v>0</v>
      </c>
      <c r="F16" s="480">
        <v>0</v>
      </c>
      <c r="G16" s="479">
        <f t="shared" si="18"/>
        <v>0</v>
      </c>
      <c r="H16" s="480">
        <v>0</v>
      </c>
      <c r="I16" s="480">
        <v>0</v>
      </c>
      <c r="J16" s="479">
        <f t="shared" si="19"/>
        <v>0</v>
      </c>
      <c r="K16" s="480">
        <v>0</v>
      </c>
      <c r="L16" s="480">
        <v>0</v>
      </c>
      <c r="M16" s="479">
        <f t="shared" si="20"/>
        <v>0</v>
      </c>
      <c r="N16" s="480">
        <v>6.5</v>
      </c>
      <c r="O16" s="480">
        <v>6.55</v>
      </c>
      <c r="P16" s="479">
        <f t="shared" si="21"/>
        <v>4.9999999999999822E-2</v>
      </c>
      <c r="Q16" s="480">
        <v>0.5</v>
      </c>
      <c r="R16" s="480">
        <v>0.5</v>
      </c>
      <c r="S16" s="479">
        <f t="shared" si="22"/>
        <v>0</v>
      </c>
      <c r="T16" s="480">
        <v>0</v>
      </c>
      <c r="U16" s="480">
        <v>0</v>
      </c>
      <c r="V16" s="479">
        <f t="shared" si="23"/>
        <v>0</v>
      </c>
      <c r="W16" s="480">
        <v>10</v>
      </c>
      <c r="X16" s="480">
        <v>10</v>
      </c>
      <c r="Y16" s="479">
        <f t="shared" si="24"/>
        <v>0</v>
      </c>
      <c r="Z16" s="480">
        <v>15</v>
      </c>
      <c r="AA16" s="480">
        <v>15</v>
      </c>
      <c r="AB16" s="479">
        <f t="shared" si="25"/>
        <v>0</v>
      </c>
      <c r="AC16" s="480">
        <v>10</v>
      </c>
      <c r="AD16" s="480">
        <v>10</v>
      </c>
      <c r="AE16" s="479">
        <f t="shared" si="26"/>
        <v>0</v>
      </c>
    </row>
    <row r="17" spans="1:31">
      <c r="A17" s="474"/>
      <c r="B17" s="481"/>
      <c r="C17" s="484"/>
      <c r="D17" s="483" t="s">
        <v>64</v>
      </c>
      <c r="E17" s="478">
        <v>0</v>
      </c>
      <c r="F17" s="478">
        <v>0</v>
      </c>
      <c r="G17" s="479">
        <f t="shared" si="18"/>
        <v>0</v>
      </c>
      <c r="H17" s="478">
        <v>20.79</v>
      </c>
      <c r="I17" s="478">
        <v>20.79</v>
      </c>
      <c r="J17" s="479">
        <f t="shared" si="19"/>
        <v>0</v>
      </c>
      <c r="K17" s="478">
        <v>40.5</v>
      </c>
      <c r="L17" s="478">
        <v>40.5</v>
      </c>
      <c r="M17" s="479">
        <f t="shared" si="20"/>
        <v>0</v>
      </c>
      <c r="N17" s="478">
        <v>70</v>
      </c>
      <c r="O17" s="478">
        <v>71.459999999999994</v>
      </c>
      <c r="P17" s="479">
        <f t="shared" si="21"/>
        <v>1.4599999999999937</v>
      </c>
      <c r="Q17" s="478">
        <v>20</v>
      </c>
      <c r="R17" s="478">
        <v>20</v>
      </c>
      <c r="S17" s="479">
        <f t="shared" si="22"/>
        <v>0</v>
      </c>
      <c r="T17" s="478">
        <v>20</v>
      </c>
      <c r="U17" s="478">
        <v>50</v>
      </c>
      <c r="V17" s="479">
        <f t="shared" si="23"/>
        <v>30</v>
      </c>
      <c r="W17" s="478">
        <v>30</v>
      </c>
      <c r="X17" s="478">
        <v>50</v>
      </c>
      <c r="Y17" s="479">
        <f t="shared" si="24"/>
        <v>20</v>
      </c>
      <c r="Z17" s="478">
        <v>50</v>
      </c>
      <c r="AA17" s="478">
        <v>40</v>
      </c>
      <c r="AB17" s="479">
        <f t="shared" si="25"/>
        <v>-10</v>
      </c>
      <c r="AC17" s="478">
        <v>30</v>
      </c>
      <c r="AD17" s="478">
        <v>30</v>
      </c>
      <c r="AE17" s="479">
        <f t="shared" si="26"/>
        <v>0</v>
      </c>
    </row>
    <row r="18" spans="1:31" ht="21.75" customHeight="1" thickBot="1">
      <c r="A18" s="474"/>
      <c r="B18" s="481"/>
      <c r="C18" s="485"/>
      <c r="D18" s="486" t="s">
        <v>65</v>
      </c>
      <c r="E18" s="487">
        <v>148.893</v>
      </c>
      <c r="F18" s="487">
        <v>148.893</v>
      </c>
      <c r="G18" s="488">
        <f t="shared" si="18"/>
        <v>0</v>
      </c>
      <c r="H18" s="487">
        <v>73.478999999999999</v>
      </c>
      <c r="I18" s="487">
        <v>73.478999999999999</v>
      </c>
      <c r="J18" s="488">
        <f t="shared" si="19"/>
        <v>0</v>
      </c>
      <c r="K18" s="487">
        <v>63.893999999999998</v>
      </c>
      <c r="L18" s="487">
        <v>63.893999999999998</v>
      </c>
      <c r="M18" s="488">
        <f t="shared" si="20"/>
        <v>0</v>
      </c>
      <c r="N18" s="487">
        <v>50</v>
      </c>
      <c r="O18" s="487">
        <v>50.667000000000002</v>
      </c>
      <c r="P18" s="488">
        <f t="shared" si="21"/>
        <v>0.66700000000000159</v>
      </c>
      <c r="Q18" s="487">
        <v>50</v>
      </c>
      <c r="R18" s="487">
        <v>50</v>
      </c>
      <c r="S18" s="488">
        <f t="shared" si="22"/>
        <v>0</v>
      </c>
      <c r="T18" s="487">
        <v>50</v>
      </c>
      <c r="U18" s="487">
        <v>0</v>
      </c>
      <c r="V18" s="488">
        <f t="shared" si="23"/>
        <v>-50</v>
      </c>
      <c r="W18" s="487">
        <v>120</v>
      </c>
      <c r="X18" s="487">
        <v>0</v>
      </c>
      <c r="Y18" s="488">
        <f t="shared" si="24"/>
        <v>-120</v>
      </c>
      <c r="Z18" s="487">
        <v>87</v>
      </c>
      <c r="AA18" s="487">
        <v>50</v>
      </c>
      <c r="AB18" s="488">
        <f t="shared" si="25"/>
        <v>-37</v>
      </c>
      <c r="AC18" s="487">
        <v>55</v>
      </c>
      <c r="AD18" s="487">
        <v>55</v>
      </c>
      <c r="AE18" s="488">
        <f t="shared" si="26"/>
        <v>0</v>
      </c>
    </row>
    <row r="19" spans="1:31" ht="20.100000000000001" hidden="1" customHeight="1" thickBot="1">
      <c r="A19" s="489"/>
      <c r="B19" s="490"/>
      <c r="C19" s="491"/>
      <c r="D19" s="492" t="s">
        <v>12</v>
      </c>
      <c r="E19" s="493">
        <f>SUM(E8:E18)</f>
        <v>1735.1419999999998</v>
      </c>
      <c r="F19" s="493">
        <f>SUM(F8:F18)</f>
        <v>1735.1419999999998</v>
      </c>
      <c r="G19" s="494">
        <f>F19-E19</f>
        <v>0</v>
      </c>
      <c r="H19" s="493">
        <f>SUM(H8:H18)</f>
        <v>1440.1290000000001</v>
      </c>
      <c r="I19" s="493">
        <f>SUM(I8:I18)</f>
        <v>1440.1290000000001</v>
      </c>
      <c r="J19" s="494">
        <f>I19-H19</f>
        <v>0</v>
      </c>
      <c r="K19" s="493">
        <f>SUM(K8:K18)</f>
        <v>1486.0220000000002</v>
      </c>
      <c r="L19" s="493">
        <f>SUM(L8:L18)</f>
        <v>1486.0220000000002</v>
      </c>
      <c r="M19" s="494">
        <f>L19-K19</f>
        <v>0</v>
      </c>
      <c r="N19" s="493">
        <f>SUM(N8:N18)</f>
        <v>1181</v>
      </c>
      <c r="O19" s="493">
        <f>SUM(O8:O18)</f>
        <v>1201.511</v>
      </c>
      <c r="P19" s="494">
        <f>O19-N19</f>
        <v>20.510999999999967</v>
      </c>
      <c r="Q19" s="493">
        <f>SUM(Q8:Q18)</f>
        <v>1360.5</v>
      </c>
      <c r="R19" s="493">
        <f>SUM(R8:R18)</f>
        <v>965.5</v>
      </c>
      <c r="S19" s="494">
        <f>R19-Q19</f>
        <v>-395</v>
      </c>
      <c r="T19" s="493">
        <f>SUM(T8:T18)</f>
        <v>1340</v>
      </c>
      <c r="U19" s="493">
        <f>SUM(U8:U18)</f>
        <v>850</v>
      </c>
      <c r="V19" s="494">
        <f>U19-T19</f>
        <v>-490</v>
      </c>
      <c r="W19" s="493">
        <f>SUM(W8:W18)</f>
        <v>1395</v>
      </c>
      <c r="X19" s="493">
        <f>SUM(X8:X18)</f>
        <v>1215</v>
      </c>
      <c r="Y19" s="494">
        <f>X19-W19</f>
        <v>-180</v>
      </c>
      <c r="Z19" s="493">
        <f>SUM(Z8:Z18)</f>
        <v>1547</v>
      </c>
      <c r="AA19" s="493">
        <f>SUM(AA8:AA18)</f>
        <v>1505</v>
      </c>
      <c r="AB19" s="494">
        <f>AA19-Z19</f>
        <v>-42</v>
      </c>
      <c r="AC19" s="493">
        <f>SUM(AC8:AC18)</f>
        <v>1318</v>
      </c>
      <c r="AD19" s="493">
        <f>SUM(AD8:AD18)</f>
        <v>1273</v>
      </c>
      <c r="AE19" s="494">
        <f>AD19-AC19</f>
        <v>-45</v>
      </c>
    </row>
    <row r="20" spans="1:31" ht="23.1" hidden="1" customHeight="1">
      <c r="A20" s="495">
        <v>2</v>
      </c>
      <c r="B20" s="496" t="s">
        <v>24</v>
      </c>
      <c r="C20" s="497">
        <v>100278957</v>
      </c>
      <c r="D20" s="498" t="s">
        <v>46</v>
      </c>
      <c r="E20" s="499">
        <v>0</v>
      </c>
      <c r="F20" s="499">
        <v>0</v>
      </c>
      <c r="G20" s="500">
        <f>F20-E20</f>
        <v>0</v>
      </c>
      <c r="H20" s="499">
        <v>0</v>
      </c>
      <c r="I20" s="499">
        <v>0</v>
      </c>
      <c r="J20" s="500">
        <f>I20-H20</f>
        <v>0</v>
      </c>
      <c r="K20" s="499">
        <v>0</v>
      </c>
      <c r="L20" s="499">
        <v>0</v>
      </c>
      <c r="M20" s="500">
        <f>L20-K20</f>
        <v>0</v>
      </c>
      <c r="N20" s="499">
        <v>0</v>
      </c>
      <c r="O20" s="499">
        <v>0</v>
      </c>
      <c r="P20" s="500">
        <f>O20-N20</f>
        <v>0</v>
      </c>
      <c r="Q20" s="499">
        <v>0</v>
      </c>
      <c r="R20" s="499">
        <v>0</v>
      </c>
      <c r="S20" s="500">
        <f>R20-Q20</f>
        <v>0</v>
      </c>
      <c r="T20" s="499">
        <v>0</v>
      </c>
      <c r="U20" s="499">
        <v>0</v>
      </c>
      <c r="V20" s="500">
        <f>U20-T20</f>
        <v>0</v>
      </c>
      <c r="W20" s="499">
        <v>0</v>
      </c>
      <c r="X20" s="499">
        <v>0</v>
      </c>
      <c r="Y20" s="500">
        <f>X20-W20</f>
        <v>0</v>
      </c>
      <c r="Z20" s="499">
        <v>0</v>
      </c>
      <c r="AA20" s="499">
        <v>0</v>
      </c>
      <c r="AB20" s="500">
        <f>AA20-Z20</f>
        <v>0</v>
      </c>
      <c r="AC20" s="499">
        <v>0</v>
      </c>
      <c r="AD20" s="499">
        <v>0</v>
      </c>
      <c r="AE20" s="500">
        <f>AD20-AC20</f>
        <v>0</v>
      </c>
    </row>
    <row r="21" spans="1:31" ht="26.25" hidden="1" customHeight="1">
      <c r="A21" s="495"/>
      <c r="B21" s="496"/>
      <c r="C21" s="501"/>
      <c r="D21" s="502" t="s">
        <v>108</v>
      </c>
      <c r="E21" s="499">
        <v>0</v>
      </c>
      <c r="F21" s="499">
        <v>0</v>
      </c>
      <c r="G21" s="500">
        <f t="shared" ref="G21:G41" si="27">F21-E21</f>
        <v>0</v>
      </c>
      <c r="H21" s="499">
        <v>0</v>
      </c>
      <c r="I21" s="499">
        <v>0</v>
      </c>
      <c r="J21" s="500">
        <f t="shared" ref="J21:J41" si="28">I21-H21</f>
        <v>0</v>
      </c>
      <c r="K21" s="499">
        <v>0</v>
      </c>
      <c r="L21" s="499">
        <v>0</v>
      </c>
      <c r="M21" s="500">
        <f t="shared" ref="M21:M41" si="29">L21-K21</f>
        <v>0</v>
      </c>
      <c r="N21" s="499">
        <v>0</v>
      </c>
      <c r="O21" s="499">
        <v>0</v>
      </c>
      <c r="P21" s="500">
        <f t="shared" ref="P21:P41" si="30">O21-N21</f>
        <v>0</v>
      </c>
      <c r="Q21" s="499">
        <v>0</v>
      </c>
      <c r="R21" s="499">
        <v>0</v>
      </c>
      <c r="S21" s="500">
        <f t="shared" ref="S21:S41" si="31">R21-Q21</f>
        <v>0</v>
      </c>
      <c r="T21" s="499">
        <v>0</v>
      </c>
      <c r="U21" s="499">
        <v>0</v>
      </c>
      <c r="V21" s="500">
        <f t="shared" ref="V21:V41" si="32">U21-T21</f>
        <v>0</v>
      </c>
      <c r="W21" s="499">
        <v>0</v>
      </c>
      <c r="X21" s="499">
        <v>0</v>
      </c>
      <c r="Y21" s="500">
        <f t="shared" ref="Y21:Y41" si="33">X21-W21</f>
        <v>0</v>
      </c>
      <c r="Z21" s="499">
        <v>0</v>
      </c>
      <c r="AA21" s="499">
        <v>0</v>
      </c>
      <c r="AB21" s="500">
        <f t="shared" ref="AB21:AB41" si="34">AA21-Z21</f>
        <v>0</v>
      </c>
      <c r="AC21" s="499">
        <v>0</v>
      </c>
      <c r="AD21" s="499">
        <v>0</v>
      </c>
      <c r="AE21" s="500">
        <f t="shared" ref="AE21:AE41" si="35">AD21-AC21</f>
        <v>0</v>
      </c>
    </row>
    <row r="22" spans="1:31" ht="36.75" hidden="1" customHeight="1">
      <c r="A22" s="495"/>
      <c r="B22" s="503"/>
      <c r="C22" s="504"/>
      <c r="D22" s="505" t="s">
        <v>115</v>
      </c>
      <c r="E22" s="499">
        <v>0</v>
      </c>
      <c r="F22" s="499">
        <v>0</v>
      </c>
      <c r="G22" s="500">
        <f t="shared" si="27"/>
        <v>0</v>
      </c>
      <c r="H22" s="499">
        <v>0</v>
      </c>
      <c r="I22" s="499">
        <v>0</v>
      </c>
      <c r="J22" s="500">
        <f t="shared" si="28"/>
        <v>0</v>
      </c>
      <c r="K22" s="499">
        <v>0</v>
      </c>
      <c r="L22" s="499">
        <v>0</v>
      </c>
      <c r="M22" s="500">
        <f t="shared" si="29"/>
        <v>0</v>
      </c>
      <c r="N22" s="499">
        <v>0</v>
      </c>
      <c r="O22" s="499">
        <v>0</v>
      </c>
      <c r="P22" s="500">
        <f t="shared" si="30"/>
        <v>0</v>
      </c>
      <c r="Q22" s="499">
        <v>0</v>
      </c>
      <c r="R22" s="499">
        <v>0</v>
      </c>
      <c r="S22" s="500">
        <f t="shared" si="31"/>
        <v>0</v>
      </c>
      <c r="T22" s="499">
        <v>0</v>
      </c>
      <c r="U22" s="499">
        <v>0</v>
      </c>
      <c r="V22" s="500">
        <f t="shared" si="32"/>
        <v>0</v>
      </c>
      <c r="W22" s="499">
        <v>0</v>
      </c>
      <c r="X22" s="499">
        <v>0</v>
      </c>
      <c r="Y22" s="500">
        <f t="shared" si="33"/>
        <v>0</v>
      </c>
      <c r="Z22" s="499">
        <v>0</v>
      </c>
      <c r="AA22" s="499">
        <v>0</v>
      </c>
      <c r="AB22" s="500">
        <f t="shared" si="34"/>
        <v>0</v>
      </c>
      <c r="AC22" s="499">
        <v>0</v>
      </c>
      <c r="AD22" s="499">
        <v>0</v>
      </c>
      <c r="AE22" s="500">
        <f t="shared" si="35"/>
        <v>0</v>
      </c>
    </row>
    <row r="23" spans="1:31" ht="36.75" hidden="1" customHeight="1">
      <c r="A23" s="495"/>
      <c r="B23" s="503"/>
      <c r="C23" s="504"/>
      <c r="D23" s="506" t="s">
        <v>91</v>
      </c>
      <c r="E23" s="499">
        <v>0</v>
      </c>
      <c r="F23" s="499">
        <v>0</v>
      </c>
      <c r="G23" s="507">
        <f t="shared" si="27"/>
        <v>0</v>
      </c>
      <c r="H23" s="499">
        <v>0</v>
      </c>
      <c r="I23" s="499">
        <v>0</v>
      </c>
      <c r="J23" s="507">
        <f t="shared" si="28"/>
        <v>0</v>
      </c>
      <c r="K23" s="499">
        <v>0</v>
      </c>
      <c r="L23" s="499">
        <v>0</v>
      </c>
      <c r="M23" s="507">
        <f t="shared" si="29"/>
        <v>0</v>
      </c>
      <c r="N23" s="499">
        <v>0</v>
      </c>
      <c r="O23" s="499">
        <v>0</v>
      </c>
      <c r="P23" s="507">
        <f t="shared" si="30"/>
        <v>0</v>
      </c>
      <c r="Q23" s="499">
        <v>0</v>
      </c>
      <c r="R23" s="499">
        <v>0</v>
      </c>
      <c r="S23" s="507">
        <f t="shared" si="31"/>
        <v>0</v>
      </c>
      <c r="T23" s="499">
        <v>0</v>
      </c>
      <c r="U23" s="499">
        <v>0</v>
      </c>
      <c r="V23" s="507">
        <f t="shared" si="32"/>
        <v>0</v>
      </c>
      <c r="W23" s="499">
        <v>0</v>
      </c>
      <c r="X23" s="499">
        <v>0</v>
      </c>
      <c r="Y23" s="507">
        <f t="shared" si="33"/>
        <v>0</v>
      </c>
      <c r="Z23" s="499">
        <v>0</v>
      </c>
      <c r="AA23" s="499">
        <v>0</v>
      </c>
      <c r="AB23" s="507">
        <f t="shared" si="34"/>
        <v>0</v>
      </c>
      <c r="AC23" s="499">
        <v>0</v>
      </c>
      <c r="AD23" s="499">
        <v>0</v>
      </c>
      <c r="AE23" s="507">
        <f t="shared" si="35"/>
        <v>0</v>
      </c>
    </row>
    <row r="24" spans="1:31" ht="23.1" hidden="1" customHeight="1">
      <c r="A24" s="495"/>
      <c r="B24" s="503"/>
      <c r="C24" s="504"/>
      <c r="D24" s="505" t="s">
        <v>76</v>
      </c>
      <c r="E24" s="499">
        <v>0</v>
      </c>
      <c r="F24" s="499">
        <v>0</v>
      </c>
      <c r="G24" s="500">
        <f t="shared" si="27"/>
        <v>0</v>
      </c>
      <c r="H24" s="499">
        <v>0</v>
      </c>
      <c r="I24" s="499">
        <v>0</v>
      </c>
      <c r="J24" s="500">
        <f t="shared" si="28"/>
        <v>0</v>
      </c>
      <c r="K24" s="499">
        <v>0</v>
      </c>
      <c r="L24" s="499">
        <v>0</v>
      </c>
      <c r="M24" s="500">
        <f t="shared" si="29"/>
        <v>0</v>
      </c>
      <c r="N24" s="499">
        <v>0</v>
      </c>
      <c r="O24" s="499">
        <v>0</v>
      </c>
      <c r="P24" s="500">
        <f t="shared" si="30"/>
        <v>0</v>
      </c>
      <c r="Q24" s="499">
        <v>0</v>
      </c>
      <c r="R24" s="499">
        <v>0</v>
      </c>
      <c r="S24" s="500">
        <f t="shared" si="31"/>
        <v>0</v>
      </c>
      <c r="T24" s="499">
        <v>0</v>
      </c>
      <c r="U24" s="499">
        <v>0</v>
      </c>
      <c r="V24" s="500">
        <f t="shared" si="32"/>
        <v>0</v>
      </c>
      <c r="W24" s="499">
        <v>0</v>
      </c>
      <c r="X24" s="499">
        <v>0</v>
      </c>
      <c r="Y24" s="500">
        <f t="shared" si="33"/>
        <v>0</v>
      </c>
      <c r="Z24" s="499">
        <v>0</v>
      </c>
      <c r="AA24" s="499">
        <v>0</v>
      </c>
      <c r="AB24" s="500">
        <f t="shared" si="34"/>
        <v>0</v>
      </c>
      <c r="AC24" s="499">
        <v>0</v>
      </c>
      <c r="AD24" s="499">
        <v>0</v>
      </c>
      <c r="AE24" s="500">
        <f t="shared" si="35"/>
        <v>0</v>
      </c>
    </row>
    <row r="25" spans="1:31" s="434" customFormat="1" ht="27" hidden="1" customHeight="1">
      <c r="A25" s="474"/>
      <c r="B25" s="503"/>
      <c r="C25" s="504"/>
      <c r="D25" s="505" t="s">
        <v>92</v>
      </c>
      <c r="E25" s="499">
        <v>0</v>
      </c>
      <c r="F25" s="499">
        <v>0</v>
      </c>
      <c r="G25" s="479">
        <f t="shared" si="27"/>
        <v>0</v>
      </c>
      <c r="H25" s="499">
        <v>0</v>
      </c>
      <c r="I25" s="499">
        <v>0</v>
      </c>
      <c r="J25" s="479">
        <f t="shared" si="28"/>
        <v>0</v>
      </c>
      <c r="K25" s="499">
        <v>0</v>
      </c>
      <c r="L25" s="499">
        <v>0</v>
      </c>
      <c r="M25" s="479">
        <f t="shared" si="29"/>
        <v>0</v>
      </c>
      <c r="N25" s="499">
        <v>0</v>
      </c>
      <c r="O25" s="499">
        <v>0</v>
      </c>
      <c r="P25" s="479">
        <f t="shared" si="30"/>
        <v>0</v>
      </c>
      <c r="Q25" s="499">
        <v>0</v>
      </c>
      <c r="R25" s="499">
        <v>0</v>
      </c>
      <c r="S25" s="479">
        <f t="shared" si="31"/>
        <v>0</v>
      </c>
      <c r="T25" s="499">
        <v>0</v>
      </c>
      <c r="U25" s="499">
        <v>0</v>
      </c>
      <c r="V25" s="479">
        <f t="shared" si="32"/>
        <v>0</v>
      </c>
      <c r="W25" s="499">
        <v>0</v>
      </c>
      <c r="X25" s="499">
        <v>0</v>
      </c>
      <c r="Y25" s="479">
        <f t="shared" si="33"/>
        <v>0</v>
      </c>
      <c r="Z25" s="499">
        <v>0</v>
      </c>
      <c r="AA25" s="499">
        <v>0</v>
      </c>
      <c r="AB25" s="479">
        <f t="shared" si="34"/>
        <v>0</v>
      </c>
      <c r="AC25" s="499">
        <v>0</v>
      </c>
      <c r="AD25" s="499">
        <v>0</v>
      </c>
      <c r="AE25" s="479">
        <f t="shared" si="35"/>
        <v>0</v>
      </c>
    </row>
    <row r="26" spans="1:31" s="434" customFormat="1" ht="35.25" hidden="1" customHeight="1">
      <c r="A26" s="474"/>
      <c r="B26" s="503"/>
      <c r="C26" s="504"/>
      <c r="D26" s="505" t="s">
        <v>93</v>
      </c>
      <c r="E26" s="499">
        <v>0</v>
      </c>
      <c r="F26" s="499">
        <v>0</v>
      </c>
      <c r="G26" s="479">
        <f t="shared" si="27"/>
        <v>0</v>
      </c>
      <c r="H26" s="499">
        <v>0</v>
      </c>
      <c r="I26" s="499">
        <v>0</v>
      </c>
      <c r="J26" s="479">
        <f t="shared" si="28"/>
        <v>0</v>
      </c>
      <c r="K26" s="499">
        <v>0</v>
      </c>
      <c r="L26" s="499">
        <v>0</v>
      </c>
      <c r="M26" s="479">
        <f t="shared" si="29"/>
        <v>0</v>
      </c>
      <c r="N26" s="499">
        <v>0</v>
      </c>
      <c r="O26" s="499">
        <v>0</v>
      </c>
      <c r="P26" s="479">
        <f t="shared" si="30"/>
        <v>0</v>
      </c>
      <c r="Q26" s="499">
        <v>0</v>
      </c>
      <c r="R26" s="499">
        <v>0</v>
      </c>
      <c r="S26" s="479">
        <f t="shared" si="31"/>
        <v>0</v>
      </c>
      <c r="T26" s="499">
        <v>0</v>
      </c>
      <c r="U26" s="499">
        <v>0</v>
      </c>
      <c r="V26" s="479">
        <f t="shared" si="32"/>
        <v>0</v>
      </c>
      <c r="W26" s="499">
        <v>0</v>
      </c>
      <c r="X26" s="499">
        <v>0</v>
      </c>
      <c r="Y26" s="479">
        <f t="shared" si="33"/>
        <v>0</v>
      </c>
      <c r="Z26" s="499">
        <v>0</v>
      </c>
      <c r="AA26" s="499">
        <v>0</v>
      </c>
      <c r="AB26" s="479">
        <f t="shared" si="34"/>
        <v>0</v>
      </c>
      <c r="AC26" s="499">
        <v>0</v>
      </c>
      <c r="AD26" s="499">
        <v>0</v>
      </c>
      <c r="AE26" s="479">
        <f t="shared" si="35"/>
        <v>0</v>
      </c>
    </row>
    <row r="27" spans="1:31" s="434" customFormat="1" ht="36" hidden="1" customHeight="1">
      <c r="A27" s="474"/>
      <c r="B27" s="503"/>
      <c r="C27" s="504"/>
      <c r="D27" s="505" t="s">
        <v>94</v>
      </c>
      <c r="E27" s="499">
        <v>0</v>
      </c>
      <c r="F27" s="499">
        <v>0</v>
      </c>
      <c r="G27" s="479">
        <f t="shared" si="27"/>
        <v>0</v>
      </c>
      <c r="H27" s="499">
        <v>0</v>
      </c>
      <c r="I27" s="499">
        <v>0</v>
      </c>
      <c r="J27" s="479">
        <f t="shared" si="28"/>
        <v>0</v>
      </c>
      <c r="K27" s="499">
        <v>0</v>
      </c>
      <c r="L27" s="499">
        <v>0</v>
      </c>
      <c r="M27" s="479">
        <f t="shared" si="29"/>
        <v>0</v>
      </c>
      <c r="N27" s="499">
        <v>0</v>
      </c>
      <c r="O27" s="499">
        <v>0</v>
      </c>
      <c r="P27" s="479">
        <f t="shared" si="30"/>
        <v>0</v>
      </c>
      <c r="Q27" s="499">
        <v>0</v>
      </c>
      <c r="R27" s="499">
        <v>0</v>
      </c>
      <c r="S27" s="479">
        <f t="shared" si="31"/>
        <v>0</v>
      </c>
      <c r="T27" s="499">
        <v>0</v>
      </c>
      <c r="U27" s="499">
        <v>0</v>
      </c>
      <c r="V27" s="479">
        <f t="shared" si="32"/>
        <v>0</v>
      </c>
      <c r="W27" s="499">
        <v>0</v>
      </c>
      <c r="X27" s="499">
        <v>0</v>
      </c>
      <c r="Y27" s="479">
        <f t="shared" si="33"/>
        <v>0</v>
      </c>
      <c r="Z27" s="499">
        <v>0</v>
      </c>
      <c r="AA27" s="499">
        <v>0</v>
      </c>
      <c r="AB27" s="479">
        <f t="shared" si="34"/>
        <v>0</v>
      </c>
      <c r="AC27" s="499">
        <v>0</v>
      </c>
      <c r="AD27" s="499">
        <v>0</v>
      </c>
      <c r="AE27" s="479">
        <f t="shared" si="35"/>
        <v>0</v>
      </c>
    </row>
    <row r="28" spans="1:31" s="434" customFormat="1" ht="38.25" hidden="1" customHeight="1">
      <c r="A28" s="474"/>
      <c r="B28" s="503"/>
      <c r="C28" s="504" t="s">
        <v>57</v>
      </c>
      <c r="D28" s="508" t="s">
        <v>95</v>
      </c>
      <c r="E28" s="499">
        <v>0</v>
      </c>
      <c r="F28" s="499">
        <v>0</v>
      </c>
      <c r="G28" s="479">
        <f t="shared" si="27"/>
        <v>0</v>
      </c>
      <c r="H28" s="499">
        <v>0</v>
      </c>
      <c r="I28" s="499">
        <v>0</v>
      </c>
      <c r="J28" s="479">
        <f t="shared" si="28"/>
        <v>0</v>
      </c>
      <c r="K28" s="499">
        <v>0</v>
      </c>
      <c r="L28" s="499">
        <v>0</v>
      </c>
      <c r="M28" s="479">
        <f t="shared" si="29"/>
        <v>0</v>
      </c>
      <c r="N28" s="499">
        <v>0</v>
      </c>
      <c r="O28" s="499">
        <v>0</v>
      </c>
      <c r="P28" s="479">
        <f t="shared" si="30"/>
        <v>0</v>
      </c>
      <c r="Q28" s="499">
        <v>0</v>
      </c>
      <c r="R28" s="499">
        <v>0</v>
      </c>
      <c r="S28" s="479">
        <f t="shared" si="31"/>
        <v>0</v>
      </c>
      <c r="T28" s="499">
        <v>0</v>
      </c>
      <c r="U28" s="499">
        <v>0</v>
      </c>
      <c r="V28" s="479">
        <f t="shared" si="32"/>
        <v>0</v>
      </c>
      <c r="W28" s="499">
        <v>0</v>
      </c>
      <c r="X28" s="499">
        <v>0</v>
      </c>
      <c r="Y28" s="479">
        <f t="shared" si="33"/>
        <v>0</v>
      </c>
      <c r="Z28" s="499">
        <v>0</v>
      </c>
      <c r="AA28" s="499">
        <v>0</v>
      </c>
      <c r="AB28" s="479">
        <f t="shared" si="34"/>
        <v>0</v>
      </c>
      <c r="AC28" s="499">
        <v>0</v>
      </c>
      <c r="AD28" s="499">
        <v>0</v>
      </c>
      <c r="AE28" s="479">
        <f t="shared" si="35"/>
        <v>0</v>
      </c>
    </row>
    <row r="29" spans="1:31" s="434" customFormat="1" ht="31.5" hidden="1" customHeight="1">
      <c r="A29" s="474"/>
      <c r="B29" s="503"/>
      <c r="C29" s="504"/>
      <c r="D29" s="509" t="s">
        <v>97</v>
      </c>
      <c r="E29" s="499">
        <v>0</v>
      </c>
      <c r="F29" s="499">
        <v>0</v>
      </c>
      <c r="G29" s="479">
        <f t="shared" si="27"/>
        <v>0</v>
      </c>
      <c r="H29" s="499">
        <v>0</v>
      </c>
      <c r="I29" s="499">
        <v>0</v>
      </c>
      <c r="J29" s="479">
        <f t="shared" si="28"/>
        <v>0</v>
      </c>
      <c r="K29" s="499">
        <v>0</v>
      </c>
      <c r="L29" s="499">
        <v>0</v>
      </c>
      <c r="M29" s="479">
        <f t="shared" si="29"/>
        <v>0</v>
      </c>
      <c r="N29" s="499">
        <v>0</v>
      </c>
      <c r="O29" s="499">
        <v>0</v>
      </c>
      <c r="P29" s="479">
        <f t="shared" si="30"/>
        <v>0</v>
      </c>
      <c r="Q29" s="499">
        <v>0</v>
      </c>
      <c r="R29" s="499">
        <v>0</v>
      </c>
      <c r="S29" s="479">
        <f t="shared" si="31"/>
        <v>0</v>
      </c>
      <c r="T29" s="499">
        <v>0</v>
      </c>
      <c r="U29" s="499">
        <v>0</v>
      </c>
      <c r="V29" s="479">
        <f t="shared" si="32"/>
        <v>0</v>
      </c>
      <c r="W29" s="499">
        <v>0</v>
      </c>
      <c r="X29" s="499">
        <v>0</v>
      </c>
      <c r="Y29" s="479">
        <f t="shared" si="33"/>
        <v>0</v>
      </c>
      <c r="Z29" s="499">
        <v>0</v>
      </c>
      <c r="AA29" s="499">
        <v>0</v>
      </c>
      <c r="AB29" s="479">
        <f t="shared" si="34"/>
        <v>0</v>
      </c>
      <c r="AC29" s="499">
        <v>0</v>
      </c>
      <c r="AD29" s="499">
        <v>0</v>
      </c>
      <c r="AE29" s="479">
        <f t="shared" si="35"/>
        <v>0</v>
      </c>
    </row>
    <row r="30" spans="1:31" s="434" customFormat="1" ht="28.5" hidden="1" customHeight="1">
      <c r="A30" s="474"/>
      <c r="B30" s="503"/>
      <c r="C30" s="510"/>
      <c r="D30" s="509" t="s">
        <v>96</v>
      </c>
      <c r="E30" s="499">
        <v>0</v>
      </c>
      <c r="F30" s="499">
        <v>0</v>
      </c>
      <c r="G30" s="479">
        <f t="shared" si="27"/>
        <v>0</v>
      </c>
      <c r="H30" s="499">
        <v>0</v>
      </c>
      <c r="I30" s="499">
        <v>0</v>
      </c>
      <c r="J30" s="479">
        <f t="shared" si="28"/>
        <v>0</v>
      </c>
      <c r="K30" s="499">
        <v>0</v>
      </c>
      <c r="L30" s="499">
        <v>0</v>
      </c>
      <c r="M30" s="479">
        <f t="shared" si="29"/>
        <v>0</v>
      </c>
      <c r="N30" s="499">
        <v>0</v>
      </c>
      <c r="O30" s="499">
        <v>0</v>
      </c>
      <c r="P30" s="479">
        <f t="shared" si="30"/>
        <v>0</v>
      </c>
      <c r="Q30" s="499">
        <v>0</v>
      </c>
      <c r="R30" s="499">
        <v>0</v>
      </c>
      <c r="S30" s="479">
        <f t="shared" si="31"/>
        <v>0</v>
      </c>
      <c r="T30" s="499">
        <v>0</v>
      </c>
      <c r="U30" s="499">
        <v>0</v>
      </c>
      <c r="V30" s="479">
        <f t="shared" si="32"/>
        <v>0</v>
      </c>
      <c r="W30" s="499">
        <v>0</v>
      </c>
      <c r="X30" s="499">
        <v>0</v>
      </c>
      <c r="Y30" s="479">
        <f t="shared" si="33"/>
        <v>0</v>
      </c>
      <c r="Z30" s="499">
        <v>0</v>
      </c>
      <c r="AA30" s="499">
        <v>0</v>
      </c>
      <c r="AB30" s="479">
        <f t="shared" si="34"/>
        <v>0</v>
      </c>
      <c r="AC30" s="499">
        <v>0</v>
      </c>
      <c r="AD30" s="499">
        <v>0</v>
      </c>
      <c r="AE30" s="479">
        <f t="shared" si="35"/>
        <v>0</v>
      </c>
    </row>
    <row r="31" spans="1:31" ht="32.25" hidden="1" customHeight="1">
      <c r="A31" s="495"/>
      <c r="B31" s="503"/>
      <c r="C31" s="510"/>
      <c r="D31" s="505" t="s">
        <v>77</v>
      </c>
      <c r="E31" s="499">
        <v>0</v>
      </c>
      <c r="F31" s="499">
        <v>0</v>
      </c>
      <c r="G31" s="500">
        <f t="shared" si="27"/>
        <v>0</v>
      </c>
      <c r="H31" s="499">
        <v>0</v>
      </c>
      <c r="I31" s="499">
        <v>0</v>
      </c>
      <c r="J31" s="500">
        <f t="shared" si="28"/>
        <v>0</v>
      </c>
      <c r="K31" s="499">
        <v>0</v>
      </c>
      <c r="L31" s="499">
        <v>0</v>
      </c>
      <c r="M31" s="500">
        <f t="shared" si="29"/>
        <v>0</v>
      </c>
      <c r="N31" s="499">
        <v>0</v>
      </c>
      <c r="O31" s="499">
        <v>0</v>
      </c>
      <c r="P31" s="500">
        <f t="shared" si="30"/>
        <v>0</v>
      </c>
      <c r="Q31" s="499">
        <v>0</v>
      </c>
      <c r="R31" s="499">
        <v>0</v>
      </c>
      <c r="S31" s="500">
        <f t="shared" si="31"/>
        <v>0</v>
      </c>
      <c r="T31" s="499">
        <v>0</v>
      </c>
      <c r="U31" s="499">
        <v>0</v>
      </c>
      <c r="V31" s="500">
        <f t="shared" si="32"/>
        <v>0</v>
      </c>
      <c r="W31" s="499">
        <v>0</v>
      </c>
      <c r="X31" s="499">
        <v>0</v>
      </c>
      <c r="Y31" s="500">
        <f t="shared" si="33"/>
        <v>0</v>
      </c>
      <c r="Z31" s="499">
        <v>0</v>
      </c>
      <c r="AA31" s="499">
        <v>0</v>
      </c>
      <c r="AB31" s="500">
        <f t="shared" si="34"/>
        <v>0</v>
      </c>
      <c r="AC31" s="499">
        <v>0</v>
      </c>
      <c r="AD31" s="499">
        <v>0</v>
      </c>
      <c r="AE31" s="500">
        <f t="shared" si="35"/>
        <v>0</v>
      </c>
    </row>
    <row r="32" spans="1:31" s="434" customFormat="1" ht="36" hidden="1" customHeight="1">
      <c r="A32" s="474"/>
      <c r="B32" s="503"/>
      <c r="C32" s="504"/>
      <c r="D32" s="505" t="s">
        <v>103</v>
      </c>
      <c r="E32" s="499">
        <v>0</v>
      </c>
      <c r="F32" s="499">
        <v>0</v>
      </c>
      <c r="G32" s="479">
        <f t="shared" si="27"/>
        <v>0</v>
      </c>
      <c r="H32" s="499">
        <v>0</v>
      </c>
      <c r="I32" s="499">
        <v>0</v>
      </c>
      <c r="J32" s="479">
        <f t="shared" si="28"/>
        <v>0</v>
      </c>
      <c r="K32" s="499">
        <v>0</v>
      </c>
      <c r="L32" s="499">
        <v>0</v>
      </c>
      <c r="M32" s="479">
        <f t="shared" si="29"/>
        <v>0</v>
      </c>
      <c r="N32" s="499">
        <v>0</v>
      </c>
      <c r="O32" s="499">
        <v>0</v>
      </c>
      <c r="P32" s="479">
        <f t="shared" si="30"/>
        <v>0</v>
      </c>
      <c r="Q32" s="499">
        <v>0</v>
      </c>
      <c r="R32" s="499">
        <v>0</v>
      </c>
      <c r="S32" s="479">
        <f t="shared" si="31"/>
        <v>0</v>
      </c>
      <c r="T32" s="499">
        <v>0</v>
      </c>
      <c r="U32" s="499">
        <v>0</v>
      </c>
      <c r="V32" s="479">
        <f t="shared" si="32"/>
        <v>0</v>
      </c>
      <c r="W32" s="499">
        <v>0</v>
      </c>
      <c r="X32" s="499">
        <v>0</v>
      </c>
      <c r="Y32" s="479">
        <f t="shared" si="33"/>
        <v>0</v>
      </c>
      <c r="Z32" s="499">
        <v>0</v>
      </c>
      <c r="AA32" s="499">
        <v>0</v>
      </c>
      <c r="AB32" s="479">
        <f t="shared" si="34"/>
        <v>0</v>
      </c>
      <c r="AC32" s="499">
        <v>0</v>
      </c>
      <c r="AD32" s="499">
        <v>0</v>
      </c>
      <c r="AE32" s="479">
        <f t="shared" si="35"/>
        <v>0</v>
      </c>
    </row>
    <row r="33" spans="1:31" s="434" customFormat="1" ht="36" hidden="1" customHeight="1">
      <c r="A33" s="474"/>
      <c r="B33" s="503"/>
      <c r="C33" s="504"/>
      <c r="D33" s="505" t="s">
        <v>106</v>
      </c>
      <c r="E33" s="499">
        <v>0</v>
      </c>
      <c r="F33" s="499">
        <v>0</v>
      </c>
      <c r="G33" s="479">
        <f t="shared" si="27"/>
        <v>0</v>
      </c>
      <c r="H33" s="499">
        <v>0</v>
      </c>
      <c r="I33" s="499">
        <v>0</v>
      </c>
      <c r="J33" s="479">
        <f t="shared" si="28"/>
        <v>0</v>
      </c>
      <c r="K33" s="499">
        <v>0</v>
      </c>
      <c r="L33" s="499">
        <v>0</v>
      </c>
      <c r="M33" s="479">
        <f t="shared" si="29"/>
        <v>0</v>
      </c>
      <c r="N33" s="499">
        <v>0</v>
      </c>
      <c r="O33" s="499">
        <v>0</v>
      </c>
      <c r="P33" s="479">
        <f t="shared" si="30"/>
        <v>0</v>
      </c>
      <c r="Q33" s="499">
        <v>0</v>
      </c>
      <c r="R33" s="499">
        <v>0</v>
      </c>
      <c r="S33" s="479">
        <f t="shared" si="31"/>
        <v>0</v>
      </c>
      <c r="T33" s="499">
        <v>0</v>
      </c>
      <c r="U33" s="499">
        <v>0</v>
      </c>
      <c r="V33" s="479">
        <f t="shared" si="32"/>
        <v>0</v>
      </c>
      <c r="W33" s="499">
        <v>0</v>
      </c>
      <c r="X33" s="499">
        <v>0</v>
      </c>
      <c r="Y33" s="479">
        <f t="shared" si="33"/>
        <v>0</v>
      </c>
      <c r="Z33" s="499">
        <v>0</v>
      </c>
      <c r="AA33" s="499">
        <v>0</v>
      </c>
      <c r="AB33" s="479">
        <f t="shared" si="34"/>
        <v>0</v>
      </c>
      <c r="AC33" s="499">
        <v>0</v>
      </c>
      <c r="AD33" s="499">
        <v>0</v>
      </c>
      <c r="AE33" s="479">
        <f t="shared" si="35"/>
        <v>0</v>
      </c>
    </row>
    <row r="34" spans="1:31" s="434" customFormat="1" ht="36" hidden="1" customHeight="1">
      <c r="A34" s="474"/>
      <c r="B34" s="503"/>
      <c r="C34" s="504"/>
      <c r="D34" s="505" t="s">
        <v>107</v>
      </c>
      <c r="E34" s="499">
        <v>0</v>
      </c>
      <c r="F34" s="499">
        <v>0</v>
      </c>
      <c r="G34" s="479">
        <f t="shared" si="27"/>
        <v>0</v>
      </c>
      <c r="H34" s="499">
        <v>0</v>
      </c>
      <c r="I34" s="499">
        <v>0</v>
      </c>
      <c r="J34" s="479">
        <f t="shared" si="28"/>
        <v>0</v>
      </c>
      <c r="K34" s="499">
        <v>0</v>
      </c>
      <c r="L34" s="499">
        <v>0</v>
      </c>
      <c r="M34" s="479">
        <f t="shared" si="29"/>
        <v>0</v>
      </c>
      <c r="N34" s="499">
        <v>0</v>
      </c>
      <c r="O34" s="499">
        <v>0</v>
      </c>
      <c r="P34" s="479">
        <f t="shared" si="30"/>
        <v>0</v>
      </c>
      <c r="Q34" s="499">
        <v>0</v>
      </c>
      <c r="R34" s="499">
        <v>0</v>
      </c>
      <c r="S34" s="479">
        <f t="shared" si="31"/>
        <v>0</v>
      </c>
      <c r="T34" s="499">
        <v>0</v>
      </c>
      <c r="U34" s="499">
        <v>0</v>
      </c>
      <c r="V34" s="479">
        <f t="shared" si="32"/>
        <v>0</v>
      </c>
      <c r="W34" s="499">
        <v>0</v>
      </c>
      <c r="X34" s="499">
        <v>0</v>
      </c>
      <c r="Y34" s="479">
        <f t="shared" si="33"/>
        <v>0</v>
      </c>
      <c r="Z34" s="499">
        <v>0</v>
      </c>
      <c r="AA34" s="499">
        <v>0</v>
      </c>
      <c r="AB34" s="479">
        <f t="shared" si="34"/>
        <v>0</v>
      </c>
      <c r="AC34" s="499">
        <v>0</v>
      </c>
      <c r="AD34" s="499">
        <v>0</v>
      </c>
      <c r="AE34" s="479">
        <f t="shared" si="35"/>
        <v>0</v>
      </c>
    </row>
    <row r="35" spans="1:31" ht="38.25" hidden="1" customHeight="1">
      <c r="A35" s="495"/>
      <c r="B35" s="503"/>
      <c r="C35" s="510"/>
      <c r="D35" s="508" t="s">
        <v>109</v>
      </c>
      <c r="E35" s="499">
        <v>0</v>
      </c>
      <c r="F35" s="499">
        <v>0</v>
      </c>
      <c r="G35" s="500">
        <f t="shared" si="27"/>
        <v>0</v>
      </c>
      <c r="H35" s="499">
        <v>0</v>
      </c>
      <c r="I35" s="499">
        <v>0</v>
      </c>
      <c r="J35" s="500">
        <f t="shared" si="28"/>
        <v>0</v>
      </c>
      <c r="K35" s="499">
        <v>0</v>
      </c>
      <c r="L35" s="499">
        <v>0</v>
      </c>
      <c r="M35" s="500">
        <f t="shared" si="29"/>
        <v>0</v>
      </c>
      <c r="N35" s="499">
        <v>0</v>
      </c>
      <c r="O35" s="499">
        <v>0</v>
      </c>
      <c r="P35" s="500">
        <f t="shared" si="30"/>
        <v>0</v>
      </c>
      <c r="Q35" s="499">
        <v>0</v>
      </c>
      <c r="R35" s="499">
        <v>0</v>
      </c>
      <c r="S35" s="500">
        <f t="shared" si="31"/>
        <v>0</v>
      </c>
      <c r="T35" s="499">
        <v>0</v>
      </c>
      <c r="U35" s="499">
        <v>0</v>
      </c>
      <c r="V35" s="500">
        <f t="shared" si="32"/>
        <v>0</v>
      </c>
      <c r="W35" s="499">
        <v>0</v>
      </c>
      <c r="X35" s="499">
        <v>0</v>
      </c>
      <c r="Y35" s="500">
        <f t="shared" si="33"/>
        <v>0</v>
      </c>
      <c r="Z35" s="499">
        <v>0</v>
      </c>
      <c r="AA35" s="499">
        <v>0</v>
      </c>
      <c r="AB35" s="500">
        <f t="shared" si="34"/>
        <v>0</v>
      </c>
      <c r="AC35" s="499">
        <v>0</v>
      </c>
      <c r="AD35" s="499">
        <v>0</v>
      </c>
      <c r="AE35" s="500">
        <f t="shared" si="35"/>
        <v>0</v>
      </c>
    </row>
    <row r="36" spans="1:31" ht="23.1" hidden="1" customHeight="1">
      <c r="A36" s="495"/>
      <c r="B36" s="503"/>
      <c r="C36" s="504">
        <v>100133676</v>
      </c>
      <c r="D36" s="511" t="s">
        <v>25</v>
      </c>
      <c r="E36" s="499">
        <v>0</v>
      </c>
      <c r="F36" s="499">
        <v>0</v>
      </c>
      <c r="G36" s="479">
        <f t="shared" si="27"/>
        <v>0</v>
      </c>
      <c r="H36" s="499">
        <v>0</v>
      </c>
      <c r="I36" s="499">
        <v>0</v>
      </c>
      <c r="J36" s="479">
        <f t="shared" si="28"/>
        <v>0</v>
      </c>
      <c r="K36" s="499">
        <v>0</v>
      </c>
      <c r="L36" s="499">
        <v>0</v>
      </c>
      <c r="M36" s="479">
        <f t="shared" si="29"/>
        <v>0</v>
      </c>
      <c r="N36" s="499">
        <v>0</v>
      </c>
      <c r="O36" s="499">
        <v>0</v>
      </c>
      <c r="P36" s="479">
        <f t="shared" si="30"/>
        <v>0</v>
      </c>
      <c r="Q36" s="499">
        <v>0</v>
      </c>
      <c r="R36" s="499">
        <v>0</v>
      </c>
      <c r="S36" s="479">
        <f t="shared" si="31"/>
        <v>0</v>
      </c>
      <c r="T36" s="499">
        <v>0</v>
      </c>
      <c r="U36" s="499">
        <v>0</v>
      </c>
      <c r="V36" s="479">
        <f t="shared" si="32"/>
        <v>0</v>
      </c>
      <c r="W36" s="499">
        <v>0</v>
      </c>
      <c r="X36" s="499">
        <v>0</v>
      </c>
      <c r="Y36" s="479">
        <f t="shared" si="33"/>
        <v>0</v>
      </c>
      <c r="Z36" s="499">
        <v>0</v>
      </c>
      <c r="AA36" s="499">
        <v>0</v>
      </c>
      <c r="AB36" s="479">
        <f t="shared" si="34"/>
        <v>0</v>
      </c>
      <c r="AC36" s="499">
        <v>0</v>
      </c>
      <c r="AD36" s="499">
        <v>0</v>
      </c>
      <c r="AE36" s="479">
        <f t="shared" si="35"/>
        <v>0</v>
      </c>
    </row>
    <row r="37" spans="1:31" ht="23.1" hidden="1" customHeight="1">
      <c r="A37" s="495"/>
      <c r="B37" s="503"/>
      <c r="C37" s="501">
        <v>100241577</v>
      </c>
      <c r="D37" s="512" t="s">
        <v>26</v>
      </c>
      <c r="E37" s="499">
        <v>0</v>
      </c>
      <c r="F37" s="499">
        <v>0</v>
      </c>
      <c r="G37" s="500">
        <f t="shared" si="27"/>
        <v>0</v>
      </c>
      <c r="H37" s="499">
        <v>0</v>
      </c>
      <c r="I37" s="499">
        <v>0</v>
      </c>
      <c r="J37" s="500">
        <f t="shared" si="28"/>
        <v>0</v>
      </c>
      <c r="K37" s="499">
        <v>0</v>
      </c>
      <c r="L37" s="499">
        <v>0</v>
      </c>
      <c r="M37" s="500">
        <f t="shared" si="29"/>
        <v>0</v>
      </c>
      <c r="N37" s="499">
        <v>0</v>
      </c>
      <c r="O37" s="499">
        <v>0</v>
      </c>
      <c r="P37" s="500">
        <f t="shared" si="30"/>
        <v>0</v>
      </c>
      <c r="Q37" s="499">
        <v>0</v>
      </c>
      <c r="R37" s="499">
        <v>0</v>
      </c>
      <c r="S37" s="500">
        <f t="shared" si="31"/>
        <v>0</v>
      </c>
      <c r="T37" s="499">
        <v>0</v>
      </c>
      <c r="U37" s="499">
        <v>0</v>
      </c>
      <c r="V37" s="500">
        <f t="shared" si="32"/>
        <v>0</v>
      </c>
      <c r="W37" s="499">
        <v>0</v>
      </c>
      <c r="X37" s="499">
        <v>0</v>
      </c>
      <c r="Y37" s="500">
        <f t="shared" si="33"/>
        <v>0</v>
      </c>
      <c r="Z37" s="499">
        <v>0</v>
      </c>
      <c r="AA37" s="499">
        <v>0</v>
      </c>
      <c r="AB37" s="500">
        <f t="shared" si="34"/>
        <v>0</v>
      </c>
      <c r="AC37" s="499">
        <v>0</v>
      </c>
      <c r="AD37" s="499">
        <v>0</v>
      </c>
      <c r="AE37" s="500">
        <f t="shared" si="35"/>
        <v>0</v>
      </c>
    </row>
    <row r="38" spans="1:31" ht="23.1" hidden="1" customHeight="1">
      <c r="A38" s="495"/>
      <c r="B38" s="503"/>
      <c r="C38" s="501">
        <v>100241605</v>
      </c>
      <c r="D38" s="512" t="s">
        <v>27</v>
      </c>
      <c r="E38" s="499">
        <v>0</v>
      </c>
      <c r="F38" s="499">
        <v>0</v>
      </c>
      <c r="G38" s="500">
        <f t="shared" si="27"/>
        <v>0</v>
      </c>
      <c r="H38" s="499">
        <v>0</v>
      </c>
      <c r="I38" s="499">
        <v>0</v>
      </c>
      <c r="J38" s="500">
        <f t="shared" si="28"/>
        <v>0</v>
      </c>
      <c r="K38" s="499">
        <v>0</v>
      </c>
      <c r="L38" s="499">
        <v>0</v>
      </c>
      <c r="M38" s="500">
        <f t="shared" si="29"/>
        <v>0</v>
      </c>
      <c r="N38" s="499">
        <v>0</v>
      </c>
      <c r="O38" s="499">
        <v>0</v>
      </c>
      <c r="P38" s="500">
        <f t="shared" si="30"/>
        <v>0</v>
      </c>
      <c r="Q38" s="499">
        <v>0</v>
      </c>
      <c r="R38" s="499">
        <v>0</v>
      </c>
      <c r="S38" s="500">
        <f t="shared" si="31"/>
        <v>0</v>
      </c>
      <c r="T38" s="499">
        <v>0</v>
      </c>
      <c r="U38" s="499">
        <v>0</v>
      </c>
      <c r="V38" s="500">
        <f t="shared" si="32"/>
        <v>0</v>
      </c>
      <c r="W38" s="499">
        <v>0</v>
      </c>
      <c r="X38" s="499">
        <v>0</v>
      </c>
      <c r="Y38" s="500">
        <f t="shared" si="33"/>
        <v>0</v>
      </c>
      <c r="Z38" s="499">
        <v>0</v>
      </c>
      <c r="AA38" s="499">
        <v>0</v>
      </c>
      <c r="AB38" s="500">
        <f t="shared" si="34"/>
        <v>0</v>
      </c>
      <c r="AC38" s="499">
        <v>0</v>
      </c>
      <c r="AD38" s="499">
        <v>0</v>
      </c>
      <c r="AE38" s="500">
        <f t="shared" si="35"/>
        <v>0</v>
      </c>
    </row>
    <row r="39" spans="1:31" ht="23.1" hidden="1" customHeight="1">
      <c r="A39" s="495"/>
      <c r="B39" s="503"/>
      <c r="C39" s="504">
        <v>100256094</v>
      </c>
      <c r="D39" s="511" t="s">
        <v>78</v>
      </c>
      <c r="E39" s="499">
        <v>0</v>
      </c>
      <c r="F39" s="499">
        <v>0</v>
      </c>
      <c r="G39" s="500">
        <f t="shared" si="27"/>
        <v>0</v>
      </c>
      <c r="H39" s="499">
        <v>0</v>
      </c>
      <c r="I39" s="499">
        <v>0</v>
      </c>
      <c r="J39" s="500">
        <f t="shared" si="28"/>
        <v>0</v>
      </c>
      <c r="K39" s="499">
        <v>0</v>
      </c>
      <c r="L39" s="499">
        <v>0</v>
      </c>
      <c r="M39" s="500">
        <f t="shared" si="29"/>
        <v>0</v>
      </c>
      <c r="N39" s="499">
        <v>0</v>
      </c>
      <c r="O39" s="499">
        <v>0</v>
      </c>
      <c r="P39" s="500">
        <f t="shared" si="30"/>
        <v>0</v>
      </c>
      <c r="Q39" s="499">
        <v>0</v>
      </c>
      <c r="R39" s="499">
        <v>0</v>
      </c>
      <c r="S39" s="500">
        <f t="shared" si="31"/>
        <v>0</v>
      </c>
      <c r="T39" s="499">
        <v>0</v>
      </c>
      <c r="U39" s="499">
        <v>0</v>
      </c>
      <c r="V39" s="500">
        <f t="shared" si="32"/>
        <v>0</v>
      </c>
      <c r="W39" s="499">
        <v>0</v>
      </c>
      <c r="X39" s="499">
        <v>0</v>
      </c>
      <c r="Y39" s="500">
        <f t="shared" si="33"/>
        <v>0</v>
      </c>
      <c r="Z39" s="499">
        <v>0</v>
      </c>
      <c r="AA39" s="499">
        <v>0</v>
      </c>
      <c r="AB39" s="500">
        <f t="shared" si="34"/>
        <v>0</v>
      </c>
      <c r="AC39" s="499">
        <v>0</v>
      </c>
      <c r="AD39" s="499">
        <v>0</v>
      </c>
      <c r="AE39" s="500">
        <f t="shared" si="35"/>
        <v>0</v>
      </c>
    </row>
    <row r="40" spans="1:31" ht="23.1" hidden="1" customHeight="1">
      <c r="A40" s="495"/>
      <c r="B40" s="503"/>
      <c r="C40" s="504">
        <v>100255935</v>
      </c>
      <c r="D40" s="511" t="s">
        <v>79</v>
      </c>
      <c r="E40" s="499">
        <v>0</v>
      </c>
      <c r="F40" s="499">
        <v>0</v>
      </c>
      <c r="G40" s="500">
        <f t="shared" si="27"/>
        <v>0</v>
      </c>
      <c r="H40" s="499">
        <v>0</v>
      </c>
      <c r="I40" s="499">
        <v>0</v>
      </c>
      <c r="J40" s="500">
        <f t="shared" si="28"/>
        <v>0</v>
      </c>
      <c r="K40" s="499">
        <v>0</v>
      </c>
      <c r="L40" s="499">
        <v>0</v>
      </c>
      <c r="M40" s="500">
        <f t="shared" si="29"/>
        <v>0</v>
      </c>
      <c r="N40" s="499">
        <v>0</v>
      </c>
      <c r="O40" s="499">
        <v>0</v>
      </c>
      <c r="P40" s="500">
        <f t="shared" si="30"/>
        <v>0</v>
      </c>
      <c r="Q40" s="499">
        <v>0</v>
      </c>
      <c r="R40" s="499">
        <v>0</v>
      </c>
      <c r="S40" s="500">
        <f t="shared" si="31"/>
        <v>0</v>
      </c>
      <c r="T40" s="499">
        <v>0</v>
      </c>
      <c r="U40" s="499">
        <v>0</v>
      </c>
      <c r="V40" s="500">
        <f t="shared" si="32"/>
        <v>0</v>
      </c>
      <c r="W40" s="499">
        <v>0</v>
      </c>
      <c r="X40" s="499">
        <v>0</v>
      </c>
      <c r="Y40" s="500">
        <f t="shared" si="33"/>
        <v>0</v>
      </c>
      <c r="Z40" s="499">
        <v>0</v>
      </c>
      <c r="AA40" s="499">
        <v>0</v>
      </c>
      <c r="AB40" s="500">
        <f t="shared" si="34"/>
        <v>0</v>
      </c>
      <c r="AC40" s="499">
        <v>0</v>
      </c>
      <c r="AD40" s="499">
        <v>0</v>
      </c>
      <c r="AE40" s="500">
        <f t="shared" si="35"/>
        <v>0</v>
      </c>
    </row>
    <row r="41" spans="1:31" ht="20.100000000000001" hidden="1" customHeight="1" thickBot="1">
      <c r="A41" s="513"/>
      <c r="B41" s="514"/>
      <c r="C41" s="491"/>
      <c r="D41" s="515" t="s">
        <v>12</v>
      </c>
      <c r="E41" s="516">
        <f>SUM(E20:E40)</f>
        <v>0</v>
      </c>
      <c r="F41" s="516">
        <f>SUM(F20:F40)</f>
        <v>0</v>
      </c>
      <c r="G41" s="517">
        <f t="shared" si="27"/>
        <v>0</v>
      </c>
      <c r="H41" s="516">
        <f>SUM(H20:H40)</f>
        <v>0</v>
      </c>
      <c r="I41" s="516">
        <f>SUM(I20:I40)</f>
        <v>0</v>
      </c>
      <c r="J41" s="517">
        <f t="shared" si="28"/>
        <v>0</v>
      </c>
      <c r="K41" s="516">
        <f>SUM(K20:K40)</f>
        <v>0</v>
      </c>
      <c r="L41" s="516">
        <f>SUM(L20:L40)</f>
        <v>0</v>
      </c>
      <c r="M41" s="517">
        <f t="shared" si="29"/>
        <v>0</v>
      </c>
      <c r="N41" s="516">
        <f>SUM(N20:N40)</f>
        <v>0</v>
      </c>
      <c r="O41" s="516">
        <f>SUM(O20:O40)</f>
        <v>0</v>
      </c>
      <c r="P41" s="517">
        <f t="shared" si="30"/>
        <v>0</v>
      </c>
      <c r="Q41" s="516">
        <f>SUM(Q20:Q40)</f>
        <v>0</v>
      </c>
      <c r="R41" s="516">
        <f>SUM(R20:R40)</f>
        <v>0</v>
      </c>
      <c r="S41" s="517">
        <f t="shared" si="31"/>
        <v>0</v>
      </c>
      <c r="T41" s="516">
        <f>SUM(T20:T40)</f>
        <v>0</v>
      </c>
      <c r="U41" s="516">
        <f>SUM(U20:U40)</f>
        <v>0</v>
      </c>
      <c r="V41" s="517">
        <f t="shared" si="32"/>
        <v>0</v>
      </c>
      <c r="W41" s="516">
        <f>SUM(W20:W40)</f>
        <v>0</v>
      </c>
      <c r="X41" s="516">
        <f>SUM(X20:X40)</f>
        <v>0</v>
      </c>
      <c r="Y41" s="517">
        <f t="shared" si="33"/>
        <v>0</v>
      </c>
      <c r="Z41" s="516">
        <f>SUM(Z20:Z40)</f>
        <v>0</v>
      </c>
      <c r="AA41" s="516">
        <f>SUM(AA20:AA40)</f>
        <v>0</v>
      </c>
      <c r="AB41" s="517">
        <f t="shared" si="34"/>
        <v>0</v>
      </c>
      <c r="AC41" s="516">
        <f>SUM(AC20:AC40)</f>
        <v>0</v>
      </c>
      <c r="AD41" s="516">
        <f>SUM(AD20:AD40)</f>
        <v>0</v>
      </c>
      <c r="AE41" s="517">
        <f t="shared" si="35"/>
        <v>0</v>
      </c>
    </row>
    <row r="42" spans="1:31" ht="20.100000000000001" customHeight="1" thickBot="1">
      <c r="A42" s="469"/>
      <c r="B42" s="470"/>
      <c r="C42" s="518"/>
      <c r="D42" s="519" t="s">
        <v>28</v>
      </c>
      <c r="E42" s="520">
        <f t="shared" ref="E42" si="36">E41+E19</f>
        <v>1735.1419999999998</v>
      </c>
      <c r="F42" s="520">
        <f t="shared" ref="F42:H42" si="37">F41+F19</f>
        <v>1735.1419999999998</v>
      </c>
      <c r="G42" s="521">
        <f t="shared" si="37"/>
        <v>0</v>
      </c>
      <c r="H42" s="520">
        <f t="shared" si="37"/>
        <v>1440.1290000000001</v>
      </c>
      <c r="I42" s="520">
        <f t="shared" ref="I42:K42" si="38">I41+I19</f>
        <v>1440.1290000000001</v>
      </c>
      <c r="J42" s="521">
        <f t="shared" si="38"/>
        <v>0</v>
      </c>
      <c r="K42" s="520">
        <f t="shared" si="38"/>
        <v>1486.0220000000002</v>
      </c>
      <c r="L42" s="520">
        <f t="shared" ref="L42:N42" si="39">L41+L19</f>
        <v>1486.0220000000002</v>
      </c>
      <c r="M42" s="521">
        <f t="shared" si="39"/>
        <v>0</v>
      </c>
      <c r="N42" s="520">
        <f t="shared" si="39"/>
        <v>1181</v>
      </c>
      <c r="O42" s="520">
        <f t="shared" ref="O42:P42" si="40">O41+O19</f>
        <v>1201.511</v>
      </c>
      <c r="P42" s="521">
        <f t="shared" si="40"/>
        <v>20.510999999999967</v>
      </c>
      <c r="Q42" s="520">
        <f t="shared" ref="Q42:R42" si="41">Q41+Q19</f>
        <v>1360.5</v>
      </c>
      <c r="R42" s="520">
        <f t="shared" si="41"/>
        <v>965.5</v>
      </c>
      <c r="S42" s="521">
        <f t="shared" ref="S42:T42" si="42">S41+S19</f>
        <v>-395</v>
      </c>
      <c r="T42" s="520">
        <f t="shared" si="42"/>
        <v>1340</v>
      </c>
      <c r="U42" s="520">
        <f t="shared" ref="U42:W42" si="43">U41+U19</f>
        <v>850</v>
      </c>
      <c r="V42" s="521">
        <f t="shared" si="43"/>
        <v>-490</v>
      </c>
      <c r="W42" s="520">
        <f t="shared" si="43"/>
        <v>1395</v>
      </c>
      <c r="X42" s="520">
        <f t="shared" ref="X42:Z42" si="44">X41+X19</f>
        <v>1215</v>
      </c>
      <c r="Y42" s="521">
        <f t="shared" si="44"/>
        <v>-180</v>
      </c>
      <c r="Z42" s="520">
        <f t="shared" si="44"/>
        <v>1547</v>
      </c>
      <c r="AA42" s="520">
        <f t="shared" ref="AA42:AC42" si="45">AA41+AA19</f>
        <v>1505</v>
      </c>
      <c r="AB42" s="521">
        <f t="shared" si="45"/>
        <v>-42</v>
      </c>
      <c r="AC42" s="520">
        <f t="shared" si="45"/>
        <v>1318</v>
      </c>
      <c r="AD42" s="520">
        <f t="shared" ref="AD42:AE42" si="46">AD41+AD19</f>
        <v>1273</v>
      </c>
      <c r="AE42" s="521">
        <f t="shared" si="46"/>
        <v>-45</v>
      </c>
    </row>
    <row r="43" spans="1:31" ht="20.100000000000001" customHeight="1" thickBot="1">
      <c r="B43" s="434"/>
      <c r="C43" s="434"/>
      <c r="E43" s="522"/>
      <c r="F43" s="522"/>
      <c r="G43" s="472">
        <f t="shared" ref="G43:G51" si="47">F43-E43</f>
        <v>0</v>
      </c>
      <c r="H43" s="522"/>
      <c r="I43" s="522"/>
      <c r="J43" s="472">
        <f t="shared" ref="J43:J51" si="48">I43-H43</f>
        <v>0</v>
      </c>
      <c r="K43" s="522"/>
      <c r="L43" s="522"/>
      <c r="M43" s="472">
        <f t="shared" ref="M43:M51" si="49">L43-K43</f>
        <v>0</v>
      </c>
      <c r="N43" s="522"/>
      <c r="O43" s="522"/>
      <c r="P43" s="472">
        <f t="shared" ref="P43:P51" si="50">O43-N43</f>
        <v>0</v>
      </c>
      <c r="Q43" s="522"/>
      <c r="R43" s="522"/>
      <c r="S43" s="472">
        <f t="shared" ref="S43:S51" si="51">R43-Q43</f>
        <v>0</v>
      </c>
      <c r="T43" s="522"/>
      <c r="U43" s="522"/>
      <c r="V43" s="472">
        <f t="shared" ref="V43:V51" si="52">U43-T43</f>
        <v>0</v>
      </c>
      <c r="W43" s="522"/>
      <c r="X43" s="522"/>
      <c r="Y43" s="472">
        <f t="shared" ref="Y43:Y51" si="53">X43-W43</f>
        <v>0</v>
      </c>
      <c r="Z43" s="522"/>
      <c r="AA43" s="522"/>
      <c r="AB43" s="472">
        <f t="shared" ref="AB43:AB51" si="54">AA43-Z43</f>
        <v>0</v>
      </c>
      <c r="AC43" s="522"/>
      <c r="AD43" s="522"/>
      <c r="AE43" s="472">
        <f t="shared" ref="AE43:AE51" si="55">AD43-AC43</f>
        <v>0</v>
      </c>
    </row>
    <row r="44" spans="1:31" ht="23.1" customHeight="1">
      <c r="A44" s="523">
        <v>2</v>
      </c>
      <c r="B44" s="524" t="s">
        <v>14</v>
      </c>
      <c r="C44" s="525">
        <v>100087443</v>
      </c>
      <c r="D44" s="526" t="s">
        <v>34</v>
      </c>
      <c r="E44" s="527">
        <v>255.90600000000001</v>
      </c>
      <c r="F44" s="527">
        <v>255.90600000000001</v>
      </c>
      <c r="G44" s="528">
        <f t="shared" si="47"/>
        <v>0</v>
      </c>
      <c r="H44" s="527">
        <v>198.90299999999999</v>
      </c>
      <c r="I44" s="527">
        <v>198.90299999999999</v>
      </c>
      <c r="J44" s="528">
        <f t="shared" si="48"/>
        <v>0</v>
      </c>
      <c r="K44" s="527">
        <v>228.6</v>
      </c>
      <c r="L44" s="527">
        <v>228.6</v>
      </c>
      <c r="M44" s="528">
        <f t="shared" si="49"/>
        <v>0</v>
      </c>
      <c r="N44" s="527">
        <v>105.6</v>
      </c>
      <c r="O44" s="527">
        <v>105.908</v>
      </c>
      <c r="P44" s="528">
        <f t="shared" si="50"/>
        <v>0.30800000000000693</v>
      </c>
      <c r="Q44" s="527">
        <v>100</v>
      </c>
      <c r="R44" s="527">
        <v>100</v>
      </c>
      <c r="S44" s="707">
        <f t="shared" si="51"/>
        <v>0</v>
      </c>
      <c r="T44" s="712">
        <v>100</v>
      </c>
      <c r="U44" s="712">
        <v>100</v>
      </c>
      <c r="V44" s="707">
        <f t="shared" si="52"/>
        <v>0</v>
      </c>
      <c r="W44" s="527">
        <v>300</v>
      </c>
      <c r="X44" s="527">
        <v>300</v>
      </c>
      <c r="Y44" s="707">
        <f t="shared" si="53"/>
        <v>0</v>
      </c>
      <c r="Z44" s="527">
        <v>250</v>
      </c>
      <c r="AA44" s="527">
        <v>250</v>
      </c>
      <c r="AB44" s="528">
        <f t="shared" si="54"/>
        <v>0</v>
      </c>
      <c r="AC44" s="527">
        <v>300</v>
      </c>
      <c r="AD44" s="527">
        <v>300</v>
      </c>
      <c r="AE44" s="528">
        <f t="shared" si="55"/>
        <v>0</v>
      </c>
    </row>
    <row r="45" spans="1:31" ht="23.1" customHeight="1">
      <c r="A45" s="459"/>
      <c r="B45" s="457"/>
      <c r="C45" s="529"/>
      <c r="D45" s="530" t="s">
        <v>80</v>
      </c>
      <c r="E45" s="478">
        <v>110.994</v>
      </c>
      <c r="F45" s="478">
        <v>110.994</v>
      </c>
      <c r="G45" s="479">
        <f t="shared" si="47"/>
        <v>0</v>
      </c>
      <c r="H45" s="478">
        <v>159.297</v>
      </c>
      <c r="I45" s="478">
        <v>159.297</v>
      </c>
      <c r="J45" s="479">
        <f t="shared" si="48"/>
        <v>0</v>
      </c>
      <c r="K45" s="478">
        <v>116.4</v>
      </c>
      <c r="L45" s="478">
        <v>116.4</v>
      </c>
      <c r="M45" s="479">
        <f t="shared" si="49"/>
        <v>0</v>
      </c>
      <c r="N45" s="478">
        <v>50</v>
      </c>
      <c r="O45" s="478">
        <v>52.8</v>
      </c>
      <c r="P45" s="479">
        <f t="shared" si="50"/>
        <v>2.7999999999999972</v>
      </c>
      <c r="Q45" s="478">
        <v>100</v>
      </c>
      <c r="R45" s="478">
        <v>100</v>
      </c>
      <c r="S45" s="708">
        <f t="shared" si="51"/>
        <v>0</v>
      </c>
      <c r="T45" s="717">
        <v>100</v>
      </c>
      <c r="U45" s="717">
        <v>100</v>
      </c>
      <c r="V45" s="708">
        <f t="shared" si="52"/>
        <v>0</v>
      </c>
      <c r="W45" s="478">
        <v>100</v>
      </c>
      <c r="X45" s="478">
        <v>100</v>
      </c>
      <c r="Y45" s="708">
        <f t="shared" si="53"/>
        <v>0</v>
      </c>
      <c r="Z45" s="478">
        <v>122</v>
      </c>
      <c r="AA45" s="478">
        <v>122</v>
      </c>
      <c r="AB45" s="479">
        <f t="shared" si="54"/>
        <v>0</v>
      </c>
      <c r="AC45" s="478">
        <v>78</v>
      </c>
      <c r="AD45" s="478">
        <v>78</v>
      </c>
      <c r="AE45" s="479">
        <f t="shared" si="55"/>
        <v>0</v>
      </c>
    </row>
    <row r="46" spans="1:31" ht="23.1" customHeight="1">
      <c r="A46" s="459"/>
      <c r="B46" s="457"/>
      <c r="C46" s="531"/>
      <c r="D46" s="532" t="s">
        <v>63</v>
      </c>
      <c r="E46" s="533">
        <v>108</v>
      </c>
      <c r="F46" s="533">
        <v>108</v>
      </c>
      <c r="G46" s="479">
        <f t="shared" si="47"/>
        <v>0</v>
      </c>
      <c r="H46" s="533">
        <v>162.43199999999999</v>
      </c>
      <c r="I46" s="533">
        <v>162.43199999999999</v>
      </c>
      <c r="J46" s="479">
        <f t="shared" si="48"/>
        <v>0</v>
      </c>
      <c r="K46" s="533">
        <v>113.616</v>
      </c>
      <c r="L46" s="533">
        <v>113.616</v>
      </c>
      <c r="M46" s="479">
        <f t="shared" si="49"/>
        <v>0</v>
      </c>
      <c r="N46" s="533">
        <v>87</v>
      </c>
      <c r="O46" s="533">
        <v>86.84</v>
      </c>
      <c r="P46" s="479">
        <f t="shared" si="50"/>
        <v>-0.15999999999999659</v>
      </c>
      <c r="Q46" s="533">
        <v>70</v>
      </c>
      <c r="R46" s="533">
        <v>70</v>
      </c>
      <c r="S46" s="708">
        <f t="shared" si="51"/>
        <v>0</v>
      </c>
      <c r="T46" s="713">
        <v>70</v>
      </c>
      <c r="U46" s="713">
        <v>70</v>
      </c>
      <c r="V46" s="708">
        <f t="shared" si="52"/>
        <v>0</v>
      </c>
      <c r="W46" s="533">
        <v>100</v>
      </c>
      <c r="X46" s="533">
        <v>100</v>
      </c>
      <c r="Y46" s="708">
        <f t="shared" si="53"/>
        <v>0</v>
      </c>
      <c r="Z46" s="533">
        <v>115</v>
      </c>
      <c r="AA46" s="533">
        <v>115</v>
      </c>
      <c r="AB46" s="479">
        <f t="shared" si="54"/>
        <v>0</v>
      </c>
      <c r="AC46" s="533">
        <v>100</v>
      </c>
      <c r="AD46" s="533">
        <v>100</v>
      </c>
      <c r="AE46" s="479">
        <f t="shared" si="55"/>
        <v>0</v>
      </c>
    </row>
    <row r="47" spans="1:31" ht="23.1" customHeight="1">
      <c r="A47" s="459"/>
      <c r="B47" s="457"/>
      <c r="C47" s="460"/>
      <c r="D47" s="477" t="s">
        <v>48</v>
      </c>
      <c r="E47" s="478">
        <v>177.26300000000001</v>
      </c>
      <c r="F47" s="478">
        <v>177.26300000000001</v>
      </c>
      <c r="G47" s="479">
        <f t="shared" si="47"/>
        <v>0</v>
      </c>
      <c r="H47" s="478">
        <v>130.006</v>
      </c>
      <c r="I47" s="478">
        <v>130.006</v>
      </c>
      <c r="J47" s="479">
        <f t="shared" si="48"/>
        <v>0</v>
      </c>
      <c r="K47" s="478">
        <v>81.849999999999994</v>
      </c>
      <c r="L47" s="478">
        <v>81.849999999999994</v>
      </c>
      <c r="M47" s="479">
        <f t="shared" si="49"/>
        <v>0</v>
      </c>
      <c r="N47" s="478">
        <v>86.45</v>
      </c>
      <c r="O47" s="478">
        <v>86.463999999999999</v>
      </c>
      <c r="P47" s="479">
        <f t="shared" si="50"/>
        <v>1.3999999999995794E-2</v>
      </c>
      <c r="Q47" s="478">
        <v>50</v>
      </c>
      <c r="R47" s="478">
        <v>0</v>
      </c>
      <c r="S47" s="708">
        <f t="shared" si="51"/>
        <v>-50</v>
      </c>
      <c r="T47" s="717">
        <v>50</v>
      </c>
      <c r="U47" s="717">
        <v>0</v>
      </c>
      <c r="V47" s="708">
        <f t="shared" si="52"/>
        <v>-50</v>
      </c>
      <c r="W47" s="478">
        <v>100</v>
      </c>
      <c r="X47" s="478">
        <v>50</v>
      </c>
      <c r="Y47" s="708">
        <f t="shared" si="53"/>
        <v>-50</v>
      </c>
      <c r="Z47" s="478">
        <v>100</v>
      </c>
      <c r="AA47" s="478">
        <v>80</v>
      </c>
      <c r="AB47" s="479">
        <f t="shared" si="54"/>
        <v>-20</v>
      </c>
      <c r="AC47" s="478">
        <v>150</v>
      </c>
      <c r="AD47" s="478">
        <v>150</v>
      </c>
      <c r="AE47" s="479">
        <f t="shared" si="55"/>
        <v>0</v>
      </c>
    </row>
    <row r="48" spans="1:31" ht="23.1" customHeight="1">
      <c r="A48" s="459"/>
      <c r="B48" s="457"/>
      <c r="C48" s="460">
        <v>100142895</v>
      </c>
      <c r="D48" s="477" t="s">
        <v>35</v>
      </c>
      <c r="E48" s="478">
        <v>82.8</v>
      </c>
      <c r="F48" s="478">
        <v>82.8</v>
      </c>
      <c r="G48" s="479">
        <f t="shared" si="47"/>
        <v>0</v>
      </c>
      <c r="H48" s="478">
        <v>120.706</v>
      </c>
      <c r="I48" s="478">
        <v>120.706</v>
      </c>
      <c r="J48" s="479">
        <f t="shared" si="48"/>
        <v>0</v>
      </c>
      <c r="K48" s="478">
        <v>129.80000000000001</v>
      </c>
      <c r="L48" s="478">
        <v>129.80000000000001</v>
      </c>
      <c r="M48" s="479">
        <f t="shared" si="49"/>
        <v>0</v>
      </c>
      <c r="N48" s="478">
        <v>67</v>
      </c>
      <c r="O48" s="478">
        <v>70.8</v>
      </c>
      <c r="P48" s="479">
        <f t="shared" si="50"/>
        <v>3.7999999999999972</v>
      </c>
      <c r="Q48" s="478">
        <v>50</v>
      </c>
      <c r="R48" s="478">
        <v>30</v>
      </c>
      <c r="S48" s="708">
        <f t="shared" si="51"/>
        <v>-20</v>
      </c>
      <c r="T48" s="717">
        <v>50</v>
      </c>
      <c r="U48" s="717">
        <v>30</v>
      </c>
      <c r="V48" s="708">
        <f t="shared" si="52"/>
        <v>-20</v>
      </c>
      <c r="W48" s="478">
        <v>100</v>
      </c>
      <c r="X48" s="478">
        <v>50</v>
      </c>
      <c r="Y48" s="708">
        <f t="shared" si="53"/>
        <v>-50</v>
      </c>
      <c r="Z48" s="478">
        <v>130</v>
      </c>
      <c r="AA48" s="478">
        <v>150</v>
      </c>
      <c r="AB48" s="479">
        <f t="shared" si="54"/>
        <v>20</v>
      </c>
      <c r="AC48" s="478">
        <v>70</v>
      </c>
      <c r="AD48" s="478">
        <v>70</v>
      </c>
      <c r="AE48" s="479">
        <f t="shared" si="55"/>
        <v>0</v>
      </c>
    </row>
    <row r="49" spans="1:31" ht="23.1" customHeight="1">
      <c r="A49" s="459"/>
      <c r="B49" s="457"/>
      <c r="C49" s="534"/>
      <c r="D49" s="477" t="s">
        <v>49</v>
      </c>
      <c r="E49" s="478">
        <v>2.95</v>
      </c>
      <c r="F49" s="478">
        <v>2.95</v>
      </c>
      <c r="G49" s="479">
        <f t="shared" si="47"/>
        <v>0</v>
      </c>
      <c r="H49" s="478">
        <v>82.15</v>
      </c>
      <c r="I49" s="478">
        <v>82.15</v>
      </c>
      <c r="J49" s="479">
        <f t="shared" si="48"/>
        <v>0</v>
      </c>
      <c r="K49" s="478">
        <v>109.05</v>
      </c>
      <c r="L49" s="478">
        <v>109.05</v>
      </c>
      <c r="M49" s="479">
        <f t="shared" si="49"/>
        <v>0</v>
      </c>
      <c r="N49" s="478">
        <v>13.95</v>
      </c>
      <c r="O49" s="478">
        <v>11.85</v>
      </c>
      <c r="P49" s="479">
        <f t="shared" si="50"/>
        <v>-2.0999999999999996</v>
      </c>
      <c r="Q49" s="478">
        <v>0</v>
      </c>
      <c r="R49" s="478">
        <v>0</v>
      </c>
      <c r="S49" s="708">
        <f t="shared" si="51"/>
        <v>0</v>
      </c>
      <c r="T49" s="717">
        <v>0</v>
      </c>
      <c r="U49" s="717">
        <v>0</v>
      </c>
      <c r="V49" s="708">
        <f t="shared" si="52"/>
        <v>0</v>
      </c>
      <c r="W49" s="478">
        <v>0</v>
      </c>
      <c r="X49" s="478">
        <v>0</v>
      </c>
      <c r="Y49" s="708">
        <f t="shared" si="53"/>
        <v>0</v>
      </c>
      <c r="Z49" s="478">
        <v>0</v>
      </c>
      <c r="AA49" s="478">
        <v>0</v>
      </c>
      <c r="AB49" s="479">
        <f t="shared" si="54"/>
        <v>0</v>
      </c>
      <c r="AC49" s="478">
        <v>0</v>
      </c>
      <c r="AD49" s="478">
        <v>0</v>
      </c>
      <c r="AE49" s="479">
        <f t="shared" si="55"/>
        <v>0</v>
      </c>
    </row>
    <row r="50" spans="1:31" ht="22.5" customHeight="1" thickBot="1">
      <c r="A50" s="456"/>
      <c r="B50" s="457"/>
      <c r="C50" s="535">
        <v>100144400</v>
      </c>
      <c r="D50" s="536" t="s">
        <v>36</v>
      </c>
      <c r="E50" s="487">
        <v>100.375</v>
      </c>
      <c r="F50" s="487">
        <v>100.375</v>
      </c>
      <c r="G50" s="488">
        <f t="shared" si="47"/>
        <v>0</v>
      </c>
      <c r="H50" s="487">
        <v>106</v>
      </c>
      <c r="I50" s="487">
        <v>106</v>
      </c>
      <c r="J50" s="488">
        <f t="shared" si="48"/>
        <v>0</v>
      </c>
      <c r="K50" s="487">
        <v>165.7</v>
      </c>
      <c r="L50" s="487">
        <v>165.7</v>
      </c>
      <c r="M50" s="488">
        <f t="shared" si="49"/>
        <v>0</v>
      </c>
      <c r="N50" s="487">
        <v>100</v>
      </c>
      <c r="O50" s="487">
        <v>101.4</v>
      </c>
      <c r="P50" s="488">
        <f t="shared" si="50"/>
        <v>1.4000000000000057</v>
      </c>
      <c r="Q50" s="487">
        <v>50</v>
      </c>
      <c r="R50" s="487">
        <v>50</v>
      </c>
      <c r="S50" s="709">
        <f t="shared" si="51"/>
        <v>0</v>
      </c>
      <c r="T50" s="718">
        <v>50</v>
      </c>
      <c r="U50" s="718">
        <v>50</v>
      </c>
      <c r="V50" s="709">
        <f t="shared" si="52"/>
        <v>0</v>
      </c>
      <c r="W50" s="487">
        <v>100</v>
      </c>
      <c r="X50" s="487">
        <v>100</v>
      </c>
      <c r="Y50" s="709">
        <f t="shared" si="53"/>
        <v>0</v>
      </c>
      <c r="Z50" s="487">
        <v>100</v>
      </c>
      <c r="AA50" s="487">
        <v>100</v>
      </c>
      <c r="AB50" s="488">
        <f t="shared" si="54"/>
        <v>0</v>
      </c>
      <c r="AC50" s="487">
        <v>100</v>
      </c>
      <c r="AD50" s="487">
        <v>100</v>
      </c>
      <c r="AE50" s="488">
        <f t="shared" si="55"/>
        <v>0</v>
      </c>
    </row>
    <row r="51" spans="1:31" s="455" customFormat="1" ht="23.1" customHeight="1" thickBot="1">
      <c r="A51" s="537"/>
      <c r="B51" s="538"/>
      <c r="C51" s="539"/>
      <c r="D51" s="540" t="s">
        <v>50</v>
      </c>
      <c r="E51" s="541">
        <f>SUM(E44:E50)</f>
        <v>838.28800000000001</v>
      </c>
      <c r="F51" s="541">
        <f>SUM(F44:F50)</f>
        <v>838.28800000000001</v>
      </c>
      <c r="G51" s="542">
        <f t="shared" si="47"/>
        <v>0</v>
      </c>
      <c r="H51" s="541">
        <f>SUM(H44:H50)</f>
        <v>959.49399999999991</v>
      </c>
      <c r="I51" s="541">
        <f>SUM(I44:I50)</f>
        <v>959.49399999999991</v>
      </c>
      <c r="J51" s="542">
        <f t="shared" si="48"/>
        <v>0</v>
      </c>
      <c r="K51" s="541">
        <f>SUM(K44:K50)</f>
        <v>945.01600000000008</v>
      </c>
      <c r="L51" s="541">
        <f>SUM(L44:L50)</f>
        <v>945.01600000000008</v>
      </c>
      <c r="M51" s="542">
        <f t="shared" si="49"/>
        <v>0</v>
      </c>
      <c r="N51" s="541">
        <f>SUM(N44:N50)</f>
        <v>510</v>
      </c>
      <c r="O51" s="541">
        <f>SUM(O44:O50)</f>
        <v>516.06200000000001</v>
      </c>
      <c r="P51" s="542">
        <f t="shared" si="50"/>
        <v>6.0620000000000118</v>
      </c>
      <c r="Q51" s="541">
        <f>SUM(Q44:Q50)</f>
        <v>420</v>
      </c>
      <c r="R51" s="541">
        <f>SUM(R44:R50)</f>
        <v>350</v>
      </c>
      <c r="S51" s="710">
        <f t="shared" si="51"/>
        <v>-70</v>
      </c>
      <c r="T51" s="715">
        <f>SUM(T44:T50)</f>
        <v>420</v>
      </c>
      <c r="U51" s="715">
        <f>SUM(U44:U50)</f>
        <v>350</v>
      </c>
      <c r="V51" s="710">
        <f t="shared" si="52"/>
        <v>-70</v>
      </c>
      <c r="W51" s="541">
        <f>SUM(W44:W50)</f>
        <v>800</v>
      </c>
      <c r="X51" s="541">
        <f>SUM(X44:X50)</f>
        <v>700</v>
      </c>
      <c r="Y51" s="710">
        <f t="shared" si="53"/>
        <v>-100</v>
      </c>
      <c r="Z51" s="541">
        <f>SUM(Z44:Z50)</f>
        <v>817</v>
      </c>
      <c r="AA51" s="541">
        <f>SUM(AA44:AA50)</f>
        <v>817</v>
      </c>
      <c r="AB51" s="542">
        <f t="shared" si="54"/>
        <v>0</v>
      </c>
      <c r="AC51" s="541">
        <f>SUM(AC44:AC50)</f>
        <v>798</v>
      </c>
      <c r="AD51" s="541">
        <f>SUM(AD44:AD50)</f>
        <v>798</v>
      </c>
      <c r="AE51" s="542">
        <f t="shared" si="55"/>
        <v>0</v>
      </c>
    </row>
    <row r="52" spans="1:31" s="434" customFormat="1" ht="7.5" customHeight="1" thickBot="1">
      <c r="A52" s="503"/>
      <c r="B52" s="503"/>
      <c r="C52" s="543"/>
      <c r="D52" s="503"/>
      <c r="E52" s="544"/>
      <c r="F52" s="544"/>
      <c r="G52" s="545"/>
      <c r="H52" s="544"/>
      <c r="I52" s="544"/>
      <c r="J52" s="545"/>
      <c r="K52" s="544"/>
      <c r="L52" s="544"/>
      <c r="M52" s="545"/>
      <c r="N52" s="544"/>
      <c r="O52" s="544"/>
      <c r="P52" s="545"/>
      <c r="Q52" s="544"/>
      <c r="R52" s="544"/>
      <c r="S52" s="545"/>
      <c r="T52" s="544"/>
      <c r="U52" s="544"/>
      <c r="V52" s="545"/>
      <c r="W52" s="544"/>
      <c r="X52" s="544"/>
      <c r="Y52" s="545"/>
      <c r="Z52" s="544"/>
      <c r="AA52" s="544"/>
      <c r="AB52" s="545"/>
      <c r="AC52" s="544"/>
      <c r="AD52" s="544"/>
      <c r="AE52" s="545"/>
    </row>
    <row r="53" spans="1:31" s="434" customFormat="1" ht="20.100000000000001" hidden="1" customHeight="1">
      <c r="D53" s="434" t="s">
        <v>15</v>
      </c>
      <c r="E53" s="546"/>
      <c r="F53" s="546"/>
      <c r="H53" s="546"/>
      <c r="I53" s="546"/>
      <c r="K53" s="546"/>
      <c r="L53" s="546"/>
      <c r="N53" s="546"/>
      <c r="O53" s="546"/>
      <c r="Q53" s="546"/>
      <c r="R53" s="546"/>
      <c r="T53" s="546"/>
      <c r="U53" s="546"/>
      <c r="W53" s="546"/>
      <c r="X53" s="546"/>
      <c r="Z53" s="546"/>
      <c r="AA53" s="546"/>
      <c r="AC53" s="546"/>
      <c r="AD53" s="546"/>
    </row>
    <row r="54" spans="1:31" s="434" customFormat="1" ht="20.100000000000001" hidden="1" customHeight="1">
      <c r="D54" s="434" t="s">
        <v>16</v>
      </c>
      <c r="E54" s="546"/>
      <c r="F54" s="546"/>
      <c r="H54" s="546"/>
      <c r="I54" s="546"/>
      <c r="K54" s="546"/>
      <c r="L54" s="546"/>
      <c r="N54" s="546"/>
      <c r="O54" s="546"/>
      <c r="Q54" s="546"/>
      <c r="R54" s="546"/>
      <c r="T54" s="546"/>
      <c r="U54" s="546"/>
      <c r="W54" s="546"/>
      <c r="X54" s="546"/>
      <c r="Z54" s="546"/>
      <c r="AA54" s="546"/>
      <c r="AC54" s="546"/>
      <c r="AD54" s="546"/>
    </row>
    <row r="55" spans="1:31" s="434" customFormat="1" ht="20.100000000000001" hidden="1" customHeight="1">
      <c r="D55" s="434" t="s">
        <v>17</v>
      </c>
      <c r="E55" s="546"/>
      <c r="F55" s="546"/>
      <c r="H55" s="546"/>
      <c r="I55" s="546"/>
      <c r="K55" s="546"/>
      <c r="L55" s="546"/>
      <c r="N55" s="546"/>
      <c r="O55" s="546"/>
      <c r="Q55" s="546"/>
      <c r="R55" s="546"/>
      <c r="T55" s="546"/>
      <c r="U55" s="546"/>
      <c r="W55" s="546"/>
      <c r="X55" s="546"/>
      <c r="Z55" s="546"/>
      <c r="AA55" s="546"/>
      <c r="AC55" s="546"/>
      <c r="AD55" s="546"/>
    </row>
    <row r="56" spans="1:31" s="434" customFormat="1" ht="20.100000000000001" hidden="1" customHeight="1">
      <c r="D56" s="434" t="s">
        <v>18</v>
      </c>
      <c r="E56" s="546"/>
      <c r="F56" s="546"/>
      <c r="H56" s="546"/>
      <c r="I56" s="546"/>
      <c r="K56" s="546"/>
      <c r="L56" s="546"/>
      <c r="N56" s="546"/>
      <c r="O56" s="546"/>
      <c r="Q56" s="546"/>
      <c r="R56" s="546"/>
      <c r="T56" s="546"/>
      <c r="U56" s="546"/>
      <c r="W56" s="546"/>
      <c r="X56" s="546"/>
      <c r="Z56" s="546"/>
      <c r="AA56" s="546"/>
      <c r="AC56" s="546"/>
      <c r="AD56" s="546"/>
    </row>
    <row r="57" spans="1:31" ht="20.100000000000001" hidden="1" customHeight="1">
      <c r="B57" s="434"/>
      <c r="C57" s="434"/>
      <c r="D57" s="434" t="s">
        <v>19</v>
      </c>
      <c r="E57" s="546"/>
      <c r="F57" s="546"/>
      <c r="G57" s="434"/>
      <c r="H57" s="546"/>
      <c r="I57" s="546"/>
      <c r="J57" s="434"/>
      <c r="K57" s="546"/>
      <c r="L57" s="546"/>
      <c r="M57" s="434"/>
      <c r="N57" s="546"/>
      <c r="O57" s="546"/>
      <c r="P57" s="434"/>
      <c r="Q57" s="546"/>
      <c r="R57" s="546"/>
      <c r="S57" s="434"/>
      <c r="T57" s="546"/>
      <c r="U57" s="546"/>
      <c r="V57" s="434"/>
      <c r="W57" s="546"/>
      <c r="X57" s="546"/>
      <c r="Y57" s="434"/>
      <c r="Z57" s="546"/>
      <c r="AA57" s="546"/>
      <c r="AB57" s="434"/>
      <c r="AC57" s="546"/>
      <c r="AD57" s="546"/>
      <c r="AE57" s="434"/>
    </row>
    <row r="58" spans="1:31" ht="20.100000000000001" hidden="1" customHeight="1">
      <c r="B58" s="434"/>
      <c r="C58" s="434"/>
      <c r="D58" s="434" t="s">
        <v>20</v>
      </c>
      <c r="E58" s="546"/>
      <c r="F58" s="546"/>
      <c r="G58" s="434"/>
      <c r="H58" s="546"/>
      <c r="I58" s="546"/>
      <c r="J58" s="434"/>
      <c r="K58" s="546"/>
      <c r="L58" s="546"/>
      <c r="M58" s="434"/>
      <c r="N58" s="546"/>
      <c r="O58" s="546"/>
      <c r="P58" s="434"/>
      <c r="Q58" s="546"/>
      <c r="R58" s="546"/>
      <c r="S58" s="434"/>
      <c r="T58" s="546"/>
      <c r="U58" s="546"/>
      <c r="V58" s="434"/>
      <c r="W58" s="546"/>
      <c r="X58" s="546"/>
      <c r="Y58" s="434"/>
      <c r="Z58" s="546"/>
      <c r="AA58" s="546"/>
      <c r="AB58" s="434"/>
      <c r="AC58" s="546"/>
      <c r="AD58" s="546"/>
      <c r="AE58" s="434"/>
    </row>
    <row r="59" spans="1:31" ht="20.100000000000001" hidden="1" customHeight="1">
      <c r="B59" s="434"/>
      <c r="C59" s="434"/>
      <c r="D59" s="434" t="s">
        <v>21</v>
      </c>
      <c r="E59" s="546"/>
      <c r="F59" s="546"/>
      <c r="G59" s="434"/>
      <c r="H59" s="546"/>
      <c r="I59" s="546"/>
      <c r="J59" s="434"/>
      <c r="K59" s="546"/>
      <c r="L59" s="546"/>
      <c r="M59" s="434"/>
      <c r="N59" s="546"/>
      <c r="O59" s="546"/>
      <c r="P59" s="434"/>
      <c r="Q59" s="546"/>
      <c r="R59" s="546"/>
      <c r="S59" s="434"/>
      <c r="T59" s="546"/>
      <c r="U59" s="546"/>
      <c r="V59" s="434"/>
      <c r="W59" s="546"/>
      <c r="X59" s="546"/>
      <c r="Y59" s="434"/>
      <c r="Z59" s="546"/>
      <c r="AA59" s="546"/>
      <c r="AB59" s="434"/>
      <c r="AC59" s="546"/>
      <c r="AD59" s="546"/>
      <c r="AE59" s="434"/>
    </row>
    <row r="60" spans="1:31" ht="20.100000000000001" hidden="1" customHeight="1">
      <c r="B60" s="434"/>
      <c r="C60" s="434"/>
      <c r="D60" s="434" t="s">
        <v>22</v>
      </c>
      <c r="E60" s="546"/>
      <c r="F60" s="546"/>
      <c r="G60" s="434"/>
      <c r="H60" s="546"/>
      <c r="I60" s="546"/>
      <c r="J60" s="434"/>
      <c r="K60" s="546"/>
      <c r="L60" s="546"/>
      <c r="M60" s="434"/>
      <c r="N60" s="546"/>
      <c r="O60" s="546"/>
      <c r="P60" s="434"/>
      <c r="Q60" s="546"/>
      <c r="R60" s="546"/>
      <c r="S60" s="434"/>
      <c r="T60" s="546"/>
      <c r="U60" s="546"/>
      <c r="V60" s="434"/>
      <c r="W60" s="546"/>
      <c r="X60" s="546"/>
      <c r="Y60" s="434"/>
      <c r="Z60" s="546"/>
      <c r="AA60" s="546"/>
      <c r="AB60" s="434"/>
      <c r="AC60" s="546"/>
      <c r="AD60" s="546"/>
      <c r="AE60" s="434"/>
    </row>
    <row r="61" spans="1:31" ht="20.100000000000001" hidden="1" customHeight="1" thickBot="1">
      <c r="B61" s="434"/>
      <c r="C61" s="434"/>
      <c r="D61" s="434" t="s">
        <v>23</v>
      </c>
      <c r="E61" s="546"/>
      <c r="F61" s="546"/>
      <c r="G61" s="434"/>
      <c r="H61" s="546"/>
      <c r="I61" s="546"/>
      <c r="J61" s="434"/>
      <c r="K61" s="546"/>
      <c r="L61" s="546"/>
      <c r="M61" s="434"/>
      <c r="N61" s="546"/>
      <c r="O61" s="546"/>
      <c r="P61" s="434"/>
      <c r="Q61" s="546"/>
      <c r="R61" s="546"/>
      <c r="S61" s="434"/>
      <c r="T61" s="546"/>
      <c r="U61" s="546"/>
      <c r="V61" s="434"/>
      <c r="W61" s="546"/>
      <c r="X61" s="546"/>
      <c r="Y61" s="434"/>
      <c r="Z61" s="546"/>
      <c r="AA61" s="546"/>
      <c r="AB61" s="434"/>
      <c r="AC61" s="546"/>
      <c r="AD61" s="546"/>
      <c r="AE61" s="434"/>
    </row>
    <row r="62" spans="1:31" ht="17.100000000000001" hidden="1" customHeight="1">
      <c r="A62" s="435"/>
      <c r="B62" s="435"/>
      <c r="C62" s="435"/>
      <c r="D62" s="436" t="s">
        <v>1</v>
      </c>
      <c r="E62" s="547"/>
      <c r="F62" s="547"/>
      <c r="G62" s="439"/>
      <c r="H62" s="547"/>
      <c r="I62" s="547"/>
      <c r="J62" s="439"/>
      <c r="K62" s="547"/>
      <c r="L62" s="547"/>
      <c r="M62" s="439"/>
      <c r="N62" s="547"/>
      <c r="O62" s="547"/>
      <c r="P62" s="439"/>
      <c r="Q62" s="547"/>
      <c r="R62" s="547"/>
      <c r="S62" s="439"/>
      <c r="T62" s="547"/>
      <c r="U62" s="547"/>
      <c r="V62" s="439"/>
      <c r="W62" s="547"/>
      <c r="X62" s="547"/>
      <c r="Y62" s="439"/>
      <c r="Z62" s="547"/>
      <c r="AA62" s="547"/>
      <c r="AB62" s="439"/>
      <c r="AC62" s="547"/>
      <c r="AD62" s="547"/>
      <c r="AE62" s="439"/>
    </row>
    <row r="63" spans="1:31" s="446" customFormat="1" ht="17.100000000000001" hidden="1" customHeight="1">
      <c r="A63" s="440" t="s">
        <v>3</v>
      </c>
      <c r="B63" s="441" t="s">
        <v>4</v>
      </c>
      <c r="C63" s="441" t="s">
        <v>5</v>
      </c>
      <c r="D63" s="442" t="s">
        <v>6</v>
      </c>
      <c r="E63" s="443"/>
      <c r="F63" s="443"/>
      <c r="G63" s="445"/>
      <c r="H63" s="443"/>
      <c r="I63" s="443"/>
      <c r="J63" s="445"/>
      <c r="K63" s="443"/>
      <c r="L63" s="443"/>
      <c r="M63" s="445"/>
      <c r="N63" s="443"/>
      <c r="O63" s="443"/>
      <c r="P63" s="445"/>
      <c r="Q63" s="443"/>
      <c r="R63" s="443"/>
      <c r="S63" s="445"/>
      <c r="T63" s="443"/>
      <c r="U63" s="443"/>
      <c r="V63" s="445"/>
      <c r="W63" s="443"/>
      <c r="X63" s="443"/>
      <c r="Y63" s="445"/>
      <c r="Z63" s="443"/>
      <c r="AA63" s="443"/>
      <c r="AB63" s="445"/>
      <c r="AC63" s="443"/>
      <c r="AD63" s="443"/>
      <c r="AE63" s="445"/>
    </row>
    <row r="64" spans="1:31" s="446" customFormat="1" ht="23.25" hidden="1" customHeight="1" thickBot="1">
      <c r="A64" s="447"/>
      <c r="B64" s="448"/>
      <c r="C64" s="448" t="s">
        <v>7</v>
      </c>
      <c r="D64" s="449"/>
      <c r="E64" s="548"/>
      <c r="F64" s="548"/>
      <c r="G64" s="452" t="s">
        <v>66</v>
      </c>
      <c r="H64" s="548"/>
      <c r="I64" s="548"/>
      <c r="J64" s="452" t="s">
        <v>66</v>
      </c>
      <c r="K64" s="548"/>
      <c r="L64" s="548"/>
      <c r="M64" s="452" t="s">
        <v>66</v>
      </c>
      <c r="N64" s="548"/>
      <c r="O64" s="548"/>
      <c r="P64" s="452" t="s">
        <v>66</v>
      </c>
      <c r="Q64" s="548"/>
      <c r="R64" s="548"/>
      <c r="S64" s="452" t="s">
        <v>66</v>
      </c>
      <c r="T64" s="548"/>
      <c r="U64" s="548"/>
      <c r="V64" s="452" t="s">
        <v>66</v>
      </c>
      <c r="W64" s="548"/>
      <c r="X64" s="548"/>
      <c r="Y64" s="452" t="s">
        <v>66</v>
      </c>
      <c r="Z64" s="548"/>
      <c r="AA64" s="548"/>
      <c r="AB64" s="452" t="s">
        <v>66</v>
      </c>
      <c r="AC64" s="548"/>
      <c r="AD64" s="548"/>
      <c r="AE64" s="452" t="s">
        <v>66</v>
      </c>
    </row>
    <row r="65" spans="1:31" ht="22.5" hidden="1" customHeight="1" thickTop="1">
      <c r="A65" s="549">
        <v>5</v>
      </c>
      <c r="B65" s="550" t="s">
        <v>52</v>
      </c>
      <c r="C65" s="551">
        <v>6003707000</v>
      </c>
      <c r="D65" s="552" t="s">
        <v>29</v>
      </c>
      <c r="E65" s="553"/>
      <c r="F65" s="553"/>
      <c r="G65" s="528">
        <f t="shared" ref="G65:G117" si="56">F65-E65</f>
        <v>0</v>
      </c>
      <c r="H65" s="553"/>
      <c r="I65" s="553"/>
      <c r="J65" s="528">
        <f t="shared" ref="J65:J117" si="57">I65-H65</f>
        <v>0</v>
      </c>
      <c r="K65" s="553"/>
      <c r="L65" s="553"/>
      <c r="M65" s="528">
        <f t="shared" ref="M65:M117" si="58">L65-K65</f>
        <v>0</v>
      </c>
      <c r="N65" s="553"/>
      <c r="O65" s="553"/>
      <c r="P65" s="528">
        <f t="shared" ref="P65:P117" si="59">O65-N65</f>
        <v>0</v>
      </c>
      <c r="Q65" s="553"/>
      <c r="R65" s="553"/>
      <c r="S65" s="528">
        <f t="shared" ref="S65:S117" si="60">R65-Q65</f>
        <v>0</v>
      </c>
      <c r="T65" s="553"/>
      <c r="U65" s="553"/>
      <c r="V65" s="528">
        <f t="shared" ref="V65:V117" si="61">U65-T65</f>
        <v>0</v>
      </c>
      <c r="W65" s="553"/>
      <c r="X65" s="553"/>
      <c r="Y65" s="528">
        <f t="shared" ref="Y65:Y117" si="62">X65-W65</f>
        <v>0</v>
      </c>
      <c r="Z65" s="553"/>
      <c r="AA65" s="553"/>
      <c r="AB65" s="528">
        <f t="shared" ref="AB65:AB117" si="63">AA65-Z65</f>
        <v>0</v>
      </c>
      <c r="AC65" s="553"/>
      <c r="AD65" s="553"/>
      <c r="AE65" s="528">
        <f t="shared" ref="AE65:AE117" si="64">AD65-AC65</f>
        <v>0</v>
      </c>
    </row>
    <row r="66" spans="1:31" ht="22.5" hidden="1" customHeight="1">
      <c r="A66" s="495"/>
      <c r="B66" s="554"/>
      <c r="C66" s="555">
        <v>6003712500</v>
      </c>
      <c r="D66" s="556" t="s">
        <v>30</v>
      </c>
      <c r="E66" s="533"/>
      <c r="F66" s="533"/>
      <c r="G66" s="479">
        <f t="shared" si="56"/>
        <v>0</v>
      </c>
      <c r="H66" s="533"/>
      <c r="I66" s="533"/>
      <c r="J66" s="479">
        <f t="shared" si="57"/>
        <v>0</v>
      </c>
      <c r="K66" s="533"/>
      <c r="L66" s="533"/>
      <c r="M66" s="479">
        <f t="shared" si="58"/>
        <v>0</v>
      </c>
      <c r="N66" s="533"/>
      <c r="O66" s="533"/>
      <c r="P66" s="479">
        <f t="shared" si="59"/>
        <v>0</v>
      </c>
      <c r="Q66" s="533"/>
      <c r="R66" s="533"/>
      <c r="S66" s="479">
        <f t="shared" si="60"/>
        <v>0</v>
      </c>
      <c r="T66" s="533"/>
      <c r="U66" s="533"/>
      <c r="V66" s="479">
        <f t="shared" si="61"/>
        <v>0</v>
      </c>
      <c r="W66" s="533"/>
      <c r="X66" s="533"/>
      <c r="Y66" s="479">
        <f t="shared" si="62"/>
        <v>0</v>
      </c>
      <c r="Z66" s="533"/>
      <c r="AA66" s="533"/>
      <c r="AB66" s="479">
        <f t="shared" si="63"/>
        <v>0</v>
      </c>
      <c r="AC66" s="533"/>
      <c r="AD66" s="533"/>
      <c r="AE66" s="479">
        <f t="shared" si="64"/>
        <v>0</v>
      </c>
    </row>
    <row r="67" spans="1:31" ht="22.5" hidden="1" customHeight="1">
      <c r="A67" s="495"/>
      <c r="B67" s="554"/>
      <c r="C67" s="555">
        <v>6003712600</v>
      </c>
      <c r="D67" s="556" t="s">
        <v>31</v>
      </c>
      <c r="E67" s="533"/>
      <c r="F67" s="533"/>
      <c r="G67" s="479">
        <f t="shared" si="56"/>
        <v>0</v>
      </c>
      <c r="H67" s="533"/>
      <c r="I67" s="533"/>
      <c r="J67" s="479">
        <f t="shared" si="57"/>
        <v>0</v>
      </c>
      <c r="K67" s="533"/>
      <c r="L67" s="533"/>
      <c r="M67" s="479">
        <f t="shared" si="58"/>
        <v>0</v>
      </c>
      <c r="N67" s="533"/>
      <c r="O67" s="533"/>
      <c r="P67" s="479">
        <f t="shared" si="59"/>
        <v>0</v>
      </c>
      <c r="Q67" s="533"/>
      <c r="R67" s="533"/>
      <c r="S67" s="479">
        <f t="shared" si="60"/>
        <v>0</v>
      </c>
      <c r="T67" s="533"/>
      <c r="U67" s="533"/>
      <c r="V67" s="479">
        <f t="shared" si="61"/>
        <v>0</v>
      </c>
      <c r="W67" s="533"/>
      <c r="X67" s="533"/>
      <c r="Y67" s="479">
        <f t="shared" si="62"/>
        <v>0</v>
      </c>
      <c r="Z67" s="533"/>
      <c r="AA67" s="533"/>
      <c r="AB67" s="479">
        <f t="shared" si="63"/>
        <v>0</v>
      </c>
      <c r="AC67" s="533"/>
      <c r="AD67" s="533"/>
      <c r="AE67" s="479">
        <f t="shared" si="64"/>
        <v>0</v>
      </c>
    </row>
    <row r="68" spans="1:31" s="434" customFormat="1" ht="22.5" hidden="1" customHeight="1">
      <c r="A68" s="474"/>
      <c r="B68" s="554"/>
      <c r="C68" s="557">
        <v>100171697</v>
      </c>
      <c r="D68" s="558" t="s">
        <v>32</v>
      </c>
      <c r="E68" s="533"/>
      <c r="F68" s="533"/>
      <c r="G68" s="479">
        <f t="shared" si="56"/>
        <v>0</v>
      </c>
      <c r="H68" s="533"/>
      <c r="I68" s="533"/>
      <c r="J68" s="479">
        <f t="shared" si="57"/>
        <v>0</v>
      </c>
      <c r="K68" s="533"/>
      <c r="L68" s="533"/>
      <c r="M68" s="479">
        <f t="shared" si="58"/>
        <v>0</v>
      </c>
      <c r="N68" s="533"/>
      <c r="O68" s="533"/>
      <c r="P68" s="479">
        <f t="shared" si="59"/>
        <v>0</v>
      </c>
      <c r="Q68" s="533"/>
      <c r="R68" s="533"/>
      <c r="S68" s="479">
        <f t="shared" si="60"/>
        <v>0</v>
      </c>
      <c r="T68" s="533"/>
      <c r="U68" s="533"/>
      <c r="V68" s="479">
        <f t="shared" si="61"/>
        <v>0</v>
      </c>
      <c r="W68" s="533"/>
      <c r="X68" s="533"/>
      <c r="Y68" s="479">
        <f t="shared" si="62"/>
        <v>0</v>
      </c>
      <c r="Z68" s="533"/>
      <c r="AA68" s="533"/>
      <c r="AB68" s="479">
        <f t="shared" si="63"/>
        <v>0</v>
      </c>
      <c r="AC68" s="533"/>
      <c r="AD68" s="533"/>
      <c r="AE68" s="479">
        <f t="shared" si="64"/>
        <v>0</v>
      </c>
    </row>
    <row r="69" spans="1:31" s="434" customFormat="1" ht="23.1" hidden="1" customHeight="1">
      <c r="A69" s="474">
        <v>5</v>
      </c>
      <c r="B69" s="554" t="s">
        <v>52</v>
      </c>
      <c r="C69" s="557">
        <v>100190386</v>
      </c>
      <c r="D69" s="558" t="s">
        <v>81</v>
      </c>
      <c r="E69" s="533"/>
      <c r="F69" s="533"/>
      <c r="G69" s="479">
        <f t="shared" si="56"/>
        <v>0</v>
      </c>
      <c r="H69" s="533"/>
      <c r="I69" s="533"/>
      <c r="J69" s="479">
        <f t="shared" si="57"/>
        <v>0</v>
      </c>
      <c r="K69" s="533"/>
      <c r="L69" s="533"/>
      <c r="M69" s="479">
        <f t="shared" si="58"/>
        <v>0</v>
      </c>
      <c r="N69" s="533"/>
      <c r="O69" s="533"/>
      <c r="P69" s="479">
        <f t="shared" si="59"/>
        <v>0</v>
      </c>
      <c r="Q69" s="533"/>
      <c r="R69" s="533"/>
      <c r="S69" s="479">
        <f t="shared" si="60"/>
        <v>0</v>
      </c>
      <c r="T69" s="533"/>
      <c r="U69" s="533"/>
      <c r="V69" s="479">
        <f t="shared" si="61"/>
        <v>0</v>
      </c>
      <c r="W69" s="533"/>
      <c r="X69" s="533"/>
      <c r="Y69" s="479">
        <f t="shared" si="62"/>
        <v>0</v>
      </c>
      <c r="Z69" s="533"/>
      <c r="AA69" s="533"/>
      <c r="AB69" s="479">
        <f t="shared" si="63"/>
        <v>0</v>
      </c>
      <c r="AC69" s="533"/>
      <c r="AD69" s="533"/>
      <c r="AE69" s="479">
        <f t="shared" si="64"/>
        <v>0</v>
      </c>
    </row>
    <row r="70" spans="1:31" s="434" customFormat="1" ht="23.1" hidden="1" customHeight="1" thickBot="1">
      <c r="A70" s="474"/>
      <c r="B70" s="554"/>
      <c r="C70" s="557">
        <v>100190440</v>
      </c>
      <c r="D70" s="558" t="s">
        <v>82</v>
      </c>
      <c r="E70" s="559"/>
      <c r="F70" s="559"/>
      <c r="G70" s="560">
        <f t="shared" si="56"/>
        <v>0</v>
      </c>
      <c r="H70" s="559"/>
      <c r="I70" s="559"/>
      <c r="J70" s="560">
        <f t="shared" si="57"/>
        <v>0</v>
      </c>
      <c r="K70" s="559"/>
      <c r="L70" s="559"/>
      <c r="M70" s="560">
        <f t="shared" si="58"/>
        <v>0</v>
      </c>
      <c r="N70" s="559"/>
      <c r="O70" s="559"/>
      <c r="P70" s="560">
        <f t="shared" si="59"/>
        <v>0</v>
      </c>
      <c r="Q70" s="559"/>
      <c r="R70" s="559"/>
      <c r="S70" s="560">
        <f t="shared" si="60"/>
        <v>0</v>
      </c>
      <c r="T70" s="559"/>
      <c r="U70" s="559"/>
      <c r="V70" s="560">
        <f t="shared" si="61"/>
        <v>0</v>
      </c>
      <c r="W70" s="559"/>
      <c r="X70" s="559"/>
      <c r="Y70" s="560">
        <f t="shared" si="62"/>
        <v>0</v>
      </c>
      <c r="Z70" s="559"/>
      <c r="AA70" s="559"/>
      <c r="AB70" s="560">
        <f t="shared" si="63"/>
        <v>0</v>
      </c>
      <c r="AC70" s="559"/>
      <c r="AD70" s="559"/>
      <c r="AE70" s="560">
        <f t="shared" si="64"/>
        <v>0</v>
      </c>
    </row>
    <row r="71" spans="1:31" s="434" customFormat="1" ht="23.1" hidden="1" customHeight="1">
      <c r="A71" s="561">
        <v>3</v>
      </c>
      <c r="B71" s="524" t="s">
        <v>52</v>
      </c>
      <c r="C71" s="562">
        <v>100250476</v>
      </c>
      <c r="D71" s="563" t="s">
        <v>125</v>
      </c>
      <c r="E71" s="527">
        <v>0</v>
      </c>
      <c r="F71" s="527">
        <v>0</v>
      </c>
      <c r="G71" s="564">
        <f t="shared" si="56"/>
        <v>0</v>
      </c>
      <c r="H71" s="527">
        <v>0</v>
      </c>
      <c r="I71" s="527">
        <v>0</v>
      </c>
      <c r="J71" s="564">
        <f t="shared" si="57"/>
        <v>0</v>
      </c>
      <c r="K71" s="527">
        <v>0</v>
      </c>
      <c r="L71" s="527">
        <v>0</v>
      </c>
      <c r="M71" s="564">
        <f t="shared" si="58"/>
        <v>0</v>
      </c>
      <c r="N71" s="527">
        <v>0</v>
      </c>
      <c r="O71" s="527">
        <v>0</v>
      </c>
      <c r="P71" s="564">
        <f t="shared" si="59"/>
        <v>0</v>
      </c>
      <c r="Q71" s="527">
        <v>0</v>
      </c>
      <c r="R71" s="527">
        <v>0</v>
      </c>
      <c r="S71" s="564">
        <f t="shared" si="60"/>
        <v>0</v>
      </c>
      <c r="T71" s="527">
        <v>0</v>
      </c>
      <c r="U71" s="527">
        <v>0</v>
      </c>
      <c r="V71" s="564">
        <f t="shared" si="61"/>
        <v>0</v>
      </c>
      <c r="W71" s="527">
        <v>0</v>
      </c>
      <c r="X71" s="527">
        <v>0</v>
      </c>
      <c r="Y71" s="564">
        <f t="shared" si="62"/>
        <v>0</v>
      </c>
      <c r="Z71" s="527">
        <v>0</v>
      </c>
      <c r="AA71" s="527">
        <v>0</v>
      </c>
      <c r="AB71" s="564">
        <f t="shared" si="63"/>
        <v>0</v>
      </c>
      <c r="AC71" s="527">
        <v>0</v>
      </c>
      <c r="AD71" s="527">
        <v>0</v>
      </c>
      <c r="AE71" s="564">
        <f t="shared" si="64"/>
        <v>0</v>
      </c>
    </row>
    <row r="72" spans="1:31" s="434" customFormat="1" ht="22.5" hidden="1" customHeight="1">
      <c r="A72" s="474"/>
      <c r="B72" s="457"/>
      <c r="C72" s="565">
        <v>100257685</v>
      </c>
      <c r="D72" s="556" t="s">
        <v>126</v>
      </c>
      <c r="E72" s="478">
        <v>0</v>
      </c>
      <c r="F72" s="478">
        <v>0</v>
      </c>
      <c r="G72" s="479">
        <f t="shared" si="56"/>
        <v>0</v>
      </c>
      <c r="H72" s="478">
        <v>0</v>
      </c>
      <c r="I72" s="478">
        <v>0</v>
      </c>
      <c r="J72" s="479">
        <f t="shared" si="57"/>
        <v>0</v>
      </c>
      <c r="K72" s="478">
        <v>0</v>
      </c>
      <c r="L72" s="478">
        <v>0</v>
      </c>
      <c r="M72" s="479">
        <f t="shared" si="58"/>
        <v>0</v>
      </c>
      <c r="N72" s="478">
        <v>0</v>
      </c>
      <c r="O72" s="478">
        <v>0</v>
      </c>
      <c r="P72" s="479">
        <f t="shared" si="59"/>
        <v>0</v>
      </c>
      <c r="Q72" s="478">
        <v>0</v>
      </c>
      <c r="R72" s="478">
        <v>0</v>
      </c>
      <c r="S72" s="479">
        <f t="shared" si="60"/>
        <v>0</v>
      </c>
      <c r="T72" s="478">
        <v>0</v>
      </c>
      <c r="U72" s="478">
        <v>0</v>
      </c>
      <c r="V72" s="479">
        <f t="shared" si="61"/>
        <v>0</v>
      </c>
      <c r="W72" s="478">
        <v>0</v>
      </c>
      <c r="X72" s="478">
        <v>0</v>
      </c>
      <c r="Y72" s="479">
        <f t="shared" si="62"/>
        <v>0</v>
      </c>
      <c r="Z72" s="478">
        <v>0</v>
      </c>
      <c r="AA72" s="478">
        <v>0</v>
      </c>
      <c r="AB72" s="479">
        <f t="shared" si="63"/>
        <v>0</v>
      </c>
      <c r="AC72" s="478">
        <v>0</v>
      </c>
      <c r="AD72" s="478">
        <v>0</v>
      </c>
      <c r="AE72" s="479">
        <f t="shared" si="64"/>
        <v>0</v>
      </c>
    </row>
    <row r="73" spans="1:31" s="434" customFormat="1" ht="23.1" hidden="1" customHeight="1">
      <c r="A73" s="474"/>
      <c r="B73" s="457"/>
      <c r="C73" s="566">
        <v>100250476</v>
      </c>
      <c r="D73" s="512" t="s">
        <v>83</v>
      </c>
      <c r="E73" s="533">
        <v>0</v>
      </c>
      <c r="F73" s="533">
        <v>0</v>
      </c>
      <c r="G73" s="567">
        <f t="shared" si="56"/>
        <v>0</v>
      </c>
      <c r="H73" s="533">
        <v>0</v>
      </c>
      <c r="I73" s="533">
        <v>0</v>
      </c>
      <c r="J73" s="567">
        <f t="shared" si="57"/>
        <v>0</v>
      </c>
      <c r="K73" s="533">
        <v>0</v>
      </c>
      <c r="L73" s="533">
        <v>0</v>
      </c>
      <c r="M73" s="567">
        <f t="shared" si="58"/>
        <v>0</v>
      </c>
      <c r="N73" s="533">
        <v>0</v>
      </c>
      <c r="O73" s="533">
        <v>0</v>
      </c>
      <c r="P73" s="567">
        <f t="shared" si="59"/>
        <v>0</v>
      </c>
      <c r="Q73" s="533">
        <v>0</v>
      </c>
      <c r="R73" s="533">
        <v>0</v>
      </c>
      <c r="S73" s="567">
        <f t="shared" si="60"/>
        <v>0</v>
      </c>
      <c r="T73" s="533">
        <v>0</v>
      </c>
      <c r="U73" s="533">
        <v>0</v>
      </c>
      <c r="V73" s="567">
        <f t="shared" si="61"/>
        <v>0</v>
      </c>
      <c r="W73" s="533">
        <v>0</v>
      </c>
      <c r="X73" s="533">
        <v>0</v>
      </c>
      <c r="Y73" s="567">
        <f t="shared" si="62"/>
        <v>0</v>
      </c>
      <c r="Z73" s="533">
        <v>0</v>
      </c>
      <c r="AA73" s="533">
        <v>0</v>
      </c>
      <c r="AB73" s="567">
        <f t="shared" si="63"/>
        <v>0</v>
      </c>
      <c r="AC73" s="533">
        <v>0</v>
      </c>
      <c r="AD73" s="533">
        <v>0</v>
      </c>
      <c r="AE73" s="567">
        <f t="shared" si="64"/>
        <v>0</v>
      </c>
    </row>
    <row r="74" spans="1:31" s="434" customFormat="1" ht="23.1" hidden="1" customHeight="1" thickBot="1">
      <c r="A74" s="474"/>
      <c r="B74" s="457"/>
      <c r="C74" s="568"/>
      <c r="D74" s="569" t="s">
        <v>129</v>
      </c>
      <c r="E74" s="570">
        <v>0</v>
      </c>
      <c r="F74" s="570">
        <v>0</v>
      </c>
      <c r="G74" s="571">
        <f t="shared" si="56"/>
        <v>0</v>
      </c>
      <c r="H74" s="570">
        <v>0</v>
      </c>
      <c r="I74" s="570">
        <v>0</v>
      </c>
      <c r="J74" s="571">
        <f t="shared" si="57"/>
        <v>0</v>
      </c>
      <c r="K74" s="570">
        <v>0</v>
      </c>
      <c r="L74" s="570">
        <v>0</v>
      </c>
      <c r="M74" s="571">
        <f t="shared" si="58"/>
        <v>0</v>
      </c>
      <c r="N74" s="570">
        <v>0</v>
      </c>
      <c r="O74" s="570">
        <v>0</v>
      </c>
      <c r="P74" s="571">
        <f t="shared" si="59"/>
        <v>0</v>
      </c>
      <c r="Q74" s="570">
        <v>0</v>
      </c>
      <c r="R74" s="570">
        <v>0</v>
      </c>
      <c r="S74" s="571">
        <f t="shared" si="60"/>
        <v>0</v>
      </c>
      <c r="T74" s="570">
        <v>0</v>
      </c>
      <c r="U74" s="570">
        <v>0</v>
      </c>
      <c r="V74" s="571">
        <f t="shared" si="61"/>
        <v>0</v>
      </c>
      <c r="W74" s="570">
        <v>0</v>
      </c>
      <c r="X74" s="570">
        <v>0</v>
      </c>
      <c r="Y74" s="571">
        <f t="shared" si="62"/>
        <v>0</v>
      </c>
      <c r="Z74" s="570">
        <v>0</v>
      </c>
      <c r="AA74" s="570">
        <v>0</v>
      </c>
      <c r="AB74" s="571">
        <f t="shared" si="63"/>
        <v>0</v>
      </c>
      <c r="AC74" s="570">
        <v>0</v>
      </c>
      <c r="AD74" s="570">
        <v>0</v>
      </c>
      <c r="AE74" s="571">
        <f t="shared" si="64"/>
        <v>0</v>
      </c>
    </row>
    <row r="75" spans="1:31" s="434" customFormat="1" ht="22.5" customHeight="1">
      <c r="A75" s="474"/>
      <c r="B75" s="524" t="s">
        <v>52</v>
      </c>
      <c r="C75" s="562">
        <v>100257685</v>
      </c>
      <c r="D75" s="572" t="s">
        <v>99</v>
      </c>
      <c r="E75" s="573">
        <v>224.572</v>
      </c>
      <c r="F75" s="573">
        <v>224.572</v>
      </c>
      <c r="G75" s="528">
        <f t="shared" si="56"/>
        <v>0</v>
      </c>
      <c r="H75" s="573">
        <v>80.992000000000004</v>
      </c>
      <c r="I75" s="573">
        <v>80.992000000000004</v>
      </c>
      <c r="J75" s="528">
        <f t="shared" si="57"/>
        <v>0</v>
      </c>
      <c r="K75" s="527">
        <v>211.465</v>
      </c>
      <c r="L75" s="527">
        <v>211.465</v>
      </c>
      <c r="M75" s="528">
        <f t="shared" si="58"/>
        <v>0</v>
      </c>
      <c r="N75" s="573">
        <v>259</v>
      </c>
      <c r="O75" s="573">
        <v>258.37</v>
      </c>
      <c r="P75" s="528">
        <f t="shared" si="59"/>
        <v>-0.62999999999999545</v>
      </c>
      <c r="Q75" s="573">
        <v>226.5</v>
      </c>
      <c r="R75" s="573">
        <v>162</v>
      </c>
      <c r="S75" s="528">
        <f t="shared" si="60"/>
        <v>-64.5</v>
      </c>
      <c r="T75" s="573">
        <v>235.5</v>
      </c>
      <c r="U75" s="573">
        <v>144</v>
      </c>
      <c r="V75" s="528">
        <f t="shared" si="61"/>
        <v>-91.5</v>
      </c>
      <c r="W75" s="573">
        <v>193.5</v>
      </c>
      <c r="X75" s="573">
        <v>196</v>
      </c>
      <c r="Y75" s="528">
        <f t="shared" si="62"/>
        <v>2.5</v>
      </c>
      <c r="Z75" s="573">
        <v>133</v>
      </c>
      <c r="AA75" s="573">
        <v>200</v>
      </c>
      <c r="AB75" s="528">
        <f t="shared" si="63"/>
        <v>67</v>
      </c>
      <c r="AC75" s="573">
        <v>126</v>
      </c>
      <c r="AD75" s="573">
        <v>150</v>
      </c>
      <c r="AE75" s="528">
        <f t="shared" si="64"/>
        <v>24</v>
      </c>
    </row>
    <row r="76" spans="1:31" s="434" customFormat="1" ht="23.25" hidden="1" customHeight="1">
      <c r="A76" s="474"/>
      <c r="B76" s="457"/>
      <c r="C76" s="574">
        <v>100257685</v>
      </c>
      <c r="D76" s="556" t="s">
        <v>100</v>
      </c>
      <c r="E76" s="480">
        <v>0</v>
      </c>
      <c r="F76" s="480">
        <v>0</v>
      </c>
      <c r="G76" s="567">
        <f t="shared" si="56"/>
        <v>0</v>
      </c>
      <c r="H76" s="480">
        <v>0</v>
      </c>
      <c r="I76" s="480">
        <v>0</v>
      </c>
      <c r="J76" s="567">
        <f t="shared" si="57"/>
        <v>0</v>
      </c>
      <c r="K76" s="480">
        <v>0</v>
      </c>
      <c r="L76" s="480">
        <v>0</v>
      </c>
      <c r="M76" s="567">
        <f t="shared" si="58"/>
        <v>0</v>
      </c>
      <c r="N76" s="480">
        <v>0</v>
      </c>
      <c r="O76" s="480">
        <v>0</v>
      </c>
      <c r="P76" s="567">
        <f t="shared" si="59"/>
        <v>0</v>
      </c>
      <c r="Q76" s="480">
        <v>0</v>
      </c>
      <c r="R76" s="480">
        <v>0</v>
      </c>
      <c r="S76" s="567">
        <f t="shared" si="60"/>
        <v>0</v>
      </c>
      <c r="T76" s="480">
        <v>0</v>
      </c>
      <c r="U76" s="480">
        <v>0</v>
      </c>
      <c r="V76" s="567">
        <f t="shared" si="61"/>
        <v>0</v>
      </c>
      <c r="W76" s="480">
        <v>0</v>
      </c>
      <c r="X76" s="480">
        <v>0</v>
      </c>
      <c r="Y76" s="567">
        <f t="shared" si="62"/>
        <v>0</v>
      </c>
      <c r="Z76" s="480">
        <v>0</v>
      </c>
      <c r="AA76" s="480">
        <v>0</v>
      </c>
      <c r="AB76" s="567">
        <f t="shared" si="63"/>
        <v>0</v>
      </c>
      <c r="AC76" s="480">
        <v>0</v>
      </c>
      <c r="AD76" s="480">
        <v>0</v>
      </c>
      <c r="AE76" s="567">
        <f t="shared" si="64"/>
        <v>0</v>
      </c>
    </row>
    <row r="77" spans="1:31" s="434" customFormat="1" ht="17.25" hidden="1" customHeight="1">
      <c r="A77" s="474"/>
      <c r="B77" s="457"/>
      <c r="C77" s="574">
        <v>100257685</v>
      </c>
      <c r="D77" s="556" t="s">
        <v>101</v>
      </c>
      <c r="E77" s="480">
        <v>0</v>
      </c>
      <c r="F77" s="480">
        <v>0</v>
      </c>
      <c r="G77" s="567">
        <f t="shared" si="56"/>
        <v>0</v>
      </c>
      <c r="H77" s="480">
        <v>0</v>
      </c>
      <c r="I77" s="480">
        <v>0</v>
      </c>
      <c r="J77" s="567">
        <f t="shared" si="57"/>
        <v>0</v>
      </c>
      <c r="K77" s="480">
        <v>0</v>
      </c>
      <c r="L77" s="480">
        <v>0</v>
      </c>
      <c r="M77" s="567">
        <f t="shared" si="58"/>
        <v>0</v>
      </c>
      <c r="N77" s="480">
        <v>0</v>
      </c>
      <c r="O77" s="480">
        <v>0</v>
      </c>
      <c r="P77" s="567">
        <f t="shared" si="59"/>
        <v>0</v>
      </c>
      <c r="Q77" s="480">
        <v>0</v>
      </c>
      <c r="R77" s="480">
        <v>0</v>
      </c>
      <c r="S77" s="567">
        <f t="shared" si="60"/>
        <v>0</v>
      </c>
      <c r="T77" s="480">
        <v>0</v>
      </c>
      <c r="U77" s="480">
        <v>0</v>
      </c>
      <c r="V77" s="567">
        <f t="shared" si="61"/>
        <v>0</v>
      </c>
      <c r="W77" s="480">
        <v>0</v>
      </c>
      <c r="X77" s="480">
        <v>0</v>
      </c>
      <c r="Y77" s="567">
        <f t="shared" si="62"/>
        <v>0</v>
      </c>
      <c r="Z77" s="480">
        <v>0</v>
      </c>
      <c r="AA77" s="480">
        <v>0</v>
      </c>
      <c r="AB77" s="567">
        <f t="shared" si="63"/>
        <v>0</v>
      </c>
      <c r="AC77" s="480">
        <v>0</v>
      </c>
      <c r="AD77" s="480">
        <v>0</v>
      </c>
      <c r="AE77" s="567">
        <f t="shared" si="64"/>
        <v>0</v>
      </c>
    </row>
    <row r="78" spans="1:31" s="434" customFormat="1" ht="19.5" hidden="1" customHeight="1">
      <c r="A78" s="474"/>
      <c r="B78" s="457"/>
      <c r="C78" s="574">
        <v>100257685</v>
      </c>
      <c r="D78" s="556" t="s">
        <v>102</v>
      </c>
      <c r="E78" s="480">
        <v>0</v>
      </c>
      <c r="F78" s="480">
        <v>0</v>
      </c>
      <c r="G78" s="567">
        <f t="shared" si="56"/>
        <v>0</v>
      </c>
      <c r="H78" s="480">
        <v>0</v>
      </c>
      <c r="I78" s="480">
        <v>0</v>
      </c>
      <c r="J78" s="567">
        <f t="shared" si="57"/>
        <v>0</v>
      </c>
      <c r="K78" s="480">
        <v>0</v>
      </c>
      <c r="L78" s="480">
        <v>0</v>
      </c>
      <c r="M78" s="567">
        <f t="shared" si="58"/>
        <v>0</v>
      </c>
      <c r="N78" s="480">
        <v>0</v>
      </c>
      <c r="O78" s="480">
        <v>0</v>
      </c>
      <c r="P78" s="567">
        <f t="shared" si="59"/>
        <v>0</v>
      </c>
      <c r="Q78" s="480">
        <v>0</v>
      </c>
      <c r="R78" s="480">
        <v>0</v>
      </c>
      <c r="S78" s="567">
        <f t="shared" si="60"/>
        <v>0</v>
      </c>
      <c r="T78" s="480">
        <v>0</v>
      </c>
      <c r="U78" s="480">
        <v>0</v>
      </c>
      <c r="V78" s="567">
        <f t="shared" si="61"/>
        <v>0</v>
      </c>
      <c r="W78" s="480">
        <v>0</v>
      </c>
      <c r="X78" s="480">
        <v>0</v>
      </c>
      <c r="Y78" s="567">
        <f t="shared" si="62"/>
        <v>0</v>
      </c>
      <c r="Z78" s="480">
        <v>0</v>
      </c>
      <c r="AA78" s="480">
        <v>0</v>
      </c>
      <c r="AB78" s="567">
        <f t="shared" si="63"/>
        <v>0</v>
      </c>
      <c r="AC78" s="480">
        <v>0</v>
      </c>
      <c r="AD78" s="480">
        <v>0</v>
      </c>
      <c r="AE78" s="567">
        <f t="shared" si="64"/>
        <v>0</v>
      </c>
    </row>
    <row r="79" spans="1:31" s="434" customFormat="1" ht="22.5" customHeight="1">
      <c r="A79" s="474"/>
      <c r="B79" s="457"/>
      <c r="C79" s="574">
        <v>100257685</v>
      </c>
      <c r="D79" s="556" t="s">
        <v>133</v>
      </c>
      <c r="E79" s="478">
        <v>31.202999999999999</v>
      </c>
      <c r="F79" s="478">
        <v>31.202999999999999</v>
      </c>
      <c r="G79" s="567">
        <f t="shared" si="56"/>
        <v>0</v>
      </c>
      <c r="H79" s="478">
        <v>0</v>
      </c>
      <c r="I79" s="478">
        <v>0</v>
      </c>
      <c r="J79" s="567">
        <f t="shared" si="57"/>
        <v>0</v>
      </c>
      <c r="K79" s="478">
        <v>48.381999999999998</v>
      </c>
      <c r="L79" s="478">
        <v>48.381999999999998</v>
      </c>
      <c r="M79" s="567">
        <f t="shared" si="58"/>
        <v>0</v>
      </c>
      <c r="N79" s="480">
        <v>40</v>
      </c>
      <c r="O79" s="480">
        <v>41.595999999999997</v>
      </c>
      <c r="P79" s="567">
        <f t="shared" si="59"/>
        <v>1.5959999999999965</v>
      </c>
      <c r="Q79" s="480">
        <v>30</v>
      </c>
      <c r="R79" s="480">
        <v>23</v>
      </c>
      <c r="S79" s="567">
        <f t="shared" si="60"/>
        <v>-7</v>
      </c>
      <c r="T79" s="480">
        <v>48</v>
      </c>
      <c r="U79" s="480">
        <v>36.799999999999997</v>
      </c>
      <c r="V79" s="567">
        <f t="shared" si="61"/>
        <v>-11.200000000000003</v>
      </c>
      <c r="W79" s="478">
        <v>26</v>
      </c>
      <c r="X79" s="478">
        <v>44</v>
      </c>
      <c r="Y79" s="567">
        <f t="shared" si="62"/>
        <v>18</v>
      </c>
      <c r="Z79" s="478">
        <v>77</v>
      </c>
      <c r="AA79" s="478">
        <v>39</v>
      </c>
      <c r="AB79" s="567">
        <f t="shared" si="63"/>
        <v>-38</v>
      </c>
      <c r="AC79" s="478">
        <v>26</v>
      </c>
      <c r="AD79" s="478">
        <v>54</v>
      </c>
      <c r="AE79" s="567">
        <f t="shared" si="64"/>
        <v>28</v>
      </c>
    </row>
    <row r="80" spans="1:31" s="434" customFormat="1" ht="23.1" customHeight="1">
      <c r="A80" s="474"/>
      <c r="B80" s="457"/>
      <c r="C80" s="574">
        <v>100257685</v>
      </c>
      <c r="D80" s="556" t="s">
        <v>132</v>
      </c>
      <c r="E80" s="478">
        <v>73.626000000000005</v>
      </c>
      <c r="F80" s="478">
        <v>73.626000000000005</v>
      </c>
      <c r="G80" s="567">
        <f t="shared" si="56"/>
        <v>0</v>
      </c>
      <c r="H80" s="478">
        <v>0</v>
      </c>
      <c r="I80" s="478">
        <v>0</v>
      </c>
      <c r="J80" s="567">
        <f t="shared" si="57"/>
        <v>0</v>
      </c>
      <c r="K80" s="478">
        <v>88.703999999999994</v>
      </c>
      <c r="L80" s="478">
        <v>88.703999999999994</v>
      </c>
      <c r="M80" s="567">
        <f t="shared" si="58"/>
        <v>0</v>
      </c>
      <c r="N80" s="480">
        <v>73.772999999999996</v>
      </c>
      <c r="O80" s="480">
        <v>73.772999999999996</v>
      </c>
      <c r="P80" s="567">
        <f t="shared" si="59"/>
        <v>0</v>
      </c>
      <c r="Q80" s="480">
        <v>87.9</v>
      </c>
      <c r="R80" s="480">
        <v>66</v>
      </c>
      <c r="S80" s="567">
        <f t="shared" si="60"/>
        <v>-21.900000000000006</v>
      </c>
      <c r="T80" s="480">
        <v>84.5</v>
      </c>
      <c r="U80" s="480">
        <v>26</v>
      </c>
      <c r="V80" s="567">
        <f t="shared" si="61"/>
        <v>-58.5</v>
      </c>
      <c r="W80" s="478">
        <v>90.5</v>
      </c>
      <c r="X80" s="478">
        <v>70</v>
      </c>
      <c r="Y80" s="567">
        <f t="shared" si="62"/>
        <v>-20.5</v>
      </c>
      <c r="Z80" s="478">
        <v>39</v>
      </c>
      <c r="AA80" s="478">
        <v>44</v>
      </c>
      <c r="AB80" s="567">
        <f t="shared" si="63"/>
        <v>5</v>
      </c>
      <c r="AC80" s="478">
        <v>42</v>
      </c>
      <c r="AD80" s="478">
        <v>25.5</v>
      </c>
      <c r="AE80" s="567">
        <f t="shared" si="64"/>
        <v>-16.5</v>
      </c>
    </row>
    <row r="81" spans="1:31" s="434" customFormat="1" ht="22.5" customHeight="1">
      <c r="A81" s="474"/>
      <c r="B81" s="457"/>
      <c r="C81" s="555">
        <v>100257685</v>
      </c>
      <c r="D81" s="556" t="s">
        <v>141</v>
      </c>
      <c r="E81" s="575">
        <v>171.92</v>
      </c>
      <c r="F81" s="575">
        <v>171.92</v>
      </c>
      <c r="G81" s="567">
        <f t="shared" si="56"/>
        <v>0</v>
      </c>
      <c r="H81" s="575">
        <v>169.458</v>
      </c>
      <c r="I81" s="575">
        <v>169.458</v>
      </c>
      <c r="J81" s="567">
        <f t="shared" si="57"/>
        <v>0</v>
      </c>
      <c r="K81" s="575">
        <v>251.23599999999999</v>
      </c>
      <c r="L81" s="575">
        <v>251.23599999999999</v>
      </c>
      <c r="M81" s="567">
        <f t="shared" si="58"/>
        <v>0</v>
      </c>
      <c r="N81" s="575">
        <v>130</v>
      </c>
      <c r="O81" s="575">
        <v>133.87200000000001</v>
      </c>
      <c r="P81" s="567">
        <f t="shared" si="59"/>
        <v>3.8720000000000141</v>
      </c>
      <c r="Q81" s="575">
        <v>163</v>
      </c>
      <c r="R81" s="575">
        <v>159</v>
      </c>
      <c r="S81" s="567">
        <f t="shared" si="60"/>
        <v>-4</v>
      </c>
      <c r="T81" s="575">
        <v>242</v>
      </c>
      <c r="U81" s="575">
        <v>242</v>
      </c>
      <c r="V81" s="567">
        <f t="shared" si="61"/>
        <v>0</v>
      </c>
      <c r="W81" s="575">
        <v>249</v>
      </c>
      <c r="X81" s="575">
        <v>249</v>
      </c>
      <c r="Y81" s="567">
        <f t="shared" si="62"/>
        <v>0</v>
      </c>
      <c r="Z81" s="575">
        <v>216.5</v>
      </c>
      <c r="AA81" s="575">
        <v>216.5</v>
      </c>
      <c r="AB81" s="567">
        <f t="shared" si="63"/>
        <v>0</v>
      </c>
      <c r="AC81" s="575">
        <v>156</v>
      </c>
      <c r="AD81" s="575">
        <v>156</v>
      </c>
      <c r="AE81" s="567">
        <f t="shared" si="64"/>
        <v>0</v>
      </c>
    </row>
    <row r="82" spans="1:31" s="434" customFormat="1" ht="23.1" customHeight="1">
      <c r="A82" s="474"/>
      <c r="B82" s="457"/>
      <c r="C82" s="574">
        <v>100257685</v>
      </c>
      <c r="D82" s="556" t="s">
        <v>142</v>
      </c>
      <c r="E82" s="575">
        <v>183.96</v>
      </c>
      <c r="F82" s="575">
        <v>183.96</v>
      </c>
      <c r="G82" s="567">
        <f t="shared" si="56"/>
        <v>0</v>
      </c>
      <c r="H82" s="575">
        <v>111.05</v>
      </c>
      <c r="I82" s="575">
        <v>111.05</v>
      </c>
      <c r="J82" s="567">
        <f t="shared" si="57"/>
        <v>0</v>
      </c>
      <c r="K82" s="575">
        <v>216.79400000000001</v>
      </c>
      <c r="L82" s="575">
        <v>216.79400000000001</v>
      </c>
      <c r="M82" s="567">
        <f t="shared" si="58"/>
        <v>0</v>
      </c>
      <c r="N82" s="575">
        <v>213</v>
      </c>
      <c r="O82" s="575">
        <v>208.988</v>
      </c>
      <c r="P82" s="567">
        <f t="shared" si="59"/>
        <v>-4.0120000000000005</v>
      </c>
      <c r="Q82" s="575">
        <v>172</v>
      </c>
      <c r="R82" s="575">
        <v>174.1</v>
      </c>
      <c r="S82" s="567">
        <f t="shared" si="60"/>
        <v>2.0999999999999943</v>
      </c>
      <c r="T82" s="575">
        <v>229.5</v>
      </c>
      <c r="U82" s="575">
        <v>229.5</v>
      </c>
      <c r="V82" s="567">
        <f t="shared" si="61"/>
        <v>0</v>
      </c>
      <c r="W82" s="575">
        <v>249</v>
      </c>
      <c r="X82" s="575">
        <v>249</v>
      </c>
      <c r="Y82" s="567">
        <f t="shared" si="62"/>
        <v>0</v>
      </c>
      <c r="Z82" s="575">
        <v>210</v>
      </c>
      <c r="AA82" s="575">
        <v>210</v>
      </c>
      <c r="AB82" s="567">
        <f t="shared" si="63"/>
        <v>0</v>
      </c>
      <c r="AC82" s="575">
        <v>155.5</v>
      </c>
      <c r="AD82" s="575">
        <v>155.5</v>
      </c>
      <c r="AE82" s="567">
        <f t="shared" si="64"/>
        <v>0</v>
      </c>
    </row>
    <row r="83" spans="1:31" s="434" customFormat="1" ht="22.5" customHeight="1">
      <c r="A83" s="474"/>
      <c r="B83" s="457"/>
      <c r="C83" s="574">
        <v>100257685</v>
      </c>
      <c r="D83" s="556" t="s">
        <v>139</v>
      </c>
      <c r="E83" s="575">
        <v>215.54400000000001</v>
      </c>
      <c r="F83" s="575">
        <v>215.54400000000001</v>
      </c>
      <c r="G83" s="567">
        <f t="shared" si="56"/>
        <v>0</v>
      </c>
      <c r="H83" s="575">
        <v>131.714</v>
      </c>
      <c r="I83" s="575">
        <v>131.714</v>
      </c>
      <c r="J83" s="567">
        <f t="shared" si="57"/>
        <v>0</v>
      </c>
      <c r="K83" s="575">
        <v>171.65600000000001</v>
      </c>
      <c r="L83" s="575">
        <v>171.65600000000001</v>
      </c>
      <c r="M83" s="567">
        <f t="shared" si="58"/>
        <v>0</v>
      </c>
      <c r="N83" s="575">
        <v>107</v>
      </c>
      <c r="O83" s="575">
        <v>109.242</v>
      </c>
      <c r="P83" s="567">
        <f t="shared" si="59"/>
        <v>2.2420000000000044</v>
      </c>
      <c r="Q83" s="575">
        <v>206</v>
      </c>
      <c r="R83" s="575">
        <v>193</v>
      </c>
      <c r="S83" s="567">
        <f t="shared" si="60"/>
        <v>-13</v>
      </c>
      <c r="T83" s="575">
        <v>138</v>
      </c>
      <c r="U83" s="575">
        <v>191</v>
      </c>
      <c r="V83" s="567">
        <f t="shared" si="61"/>
        <v>53</v>
      </c>
      <c r="W83" s="575">
        <v>273</v>
      </c>
      <c r="X83" s="575">
        <v>273</v>
      </c>
      <c r="Y83" s="567">
        <f t="shared" si="62"/>
        <v>0</v>
      </c>
      <c r="Z83" s="575">
        <v>273</v>
      </c>
      <c r="AA83" s="575">
        <v>273</v>
      </c>
      <c r="AB83" s="567">
        <f t="shared" si="63"/>
        <v>0</v>
      </c>
      <c r="AC83" s="575">
        <v>222</v>
      </c>
      <c r="AD83" s="575">
        <v>222</v>
      </c>
      <c r="AE83" s="567">
        <f t="shared" si="64"/>
        <v>0</v>
      </c>
    </row>
    <row r="84" spans="1:31" s="434" customFormat="1" ht="22.5" customHeight="1">
      <c r="A84" s="474"/>
      <c r="B84" s="457"/>
      <c r="C84" s="555">
        <v>100257685</v>
      </c>
      <c r="D84" s="556" t="s">
        <v>140</v>
      </c>
      <c r="E84" s="575">
        <v>240.24</v>
      </c>
      <c r="F84" s="575">
        <v>240.24</v>
      </c>
      <c r="G84" s="567">
        <f t="shared" si="56"/>
        <v>0</v>
      </c>
      <c r="H84" s="575">
        <v>184.285</v>
      </c>
      <c r="I84" s="575">
        <v>184.285</v>
      </c>
      <c r="J84" s="567">
        <f t="shared" si="57"/>
        <v>0</v>
      </c>
      <c r="K84" s="575">
        <v>159.828</v>
      </c>
      <c r="L84" s="575">
        <v>159.828</v>
      </c>
      <c r="M84" s="567">
        <f t="shared" si="58"/>
        <v>0</v>
      </c>
      <c r="N84" s="575">
        <v>97</v>
      </c>
      <c r="O84" s="575">
        <v>99.299000000000007</v>
      </c>
      <c r="P84" s="567">
        <f t="shared" si="59"/>
        <v>2.2990000000000066</v>
      </c>
      <c r="Q84" s="575">
        <v>146.5</v>
      </c>
      <c r="R84" s="575">
        <v>165</v>
      </c>
      <c r="S84" s="567">
        <f t="shared" si="60"/>
        <v>18.5</v>
      </c>
      <c r="T84" s="575">
        <v>138</v>
      </c>
      <c r="U84" s="575">
        <v>160</v>
      </c>
      <c r="V84" s="567">
        <f t="shared" si="61"/>
        <v>22</v>
      </c>
      <c r="W84" s="575">
        <v>273</v>
      </c>
      <c r="X84" s="575">
        <v>273</v>
      </c>
      <c r="Y84" s="567">
        <f t="shared" si="62"/>
        <v>0</v>
      </c>
      <c r="Z84" s="575">
        <v>273</v>
      </c>
      <c r="AA84" s="575">
        <v>273</v>
      </c>
      <c r="AB84" s="567">
        <f t="shared" si="63"/>
        <v>0</v>
      </c>
      <c r="AC84" s="575">
        <v>222</v>
      </c>
      <c r="AD84" s="575">
        <v>222</v>
      </c>
      <c r="AE84" s="567">
        <f t="shared" si="64"/>
        <v>0</v>
      </c>
    </row>
    <row r="85" spans="1:31" ht="22.5" hidden="1" customHeight="1">
      <c r="A85" s="495"/>
      <c r="B85" s="457"/>
      <c r="C85" s="555">
        <v>100280696</v>
      </c>
      <c r="D85" s="556" t="s">
        <v>127</v>
      </c>
      <c r="E85" s="478">
        <v>0</v>
      </c>
      <c r="F85" s="478">
        <v>0</v>
      </c>
      <c r="G85" s="500">
        <f t="shared" si="56"/>
        <v>0</v>
      </c>
      <c r="H85" s="478">
        <v>0</v>
      </c>
      <c r="I85" s="478">
        <v>0</v>
      </c>
      <c r="J85" s="500">
        <f t="shared" si="57"/>
        <v>0</v>
      </c>
      <c r="K85" s="478">
        <v>0</v>
      </c>
      <c r="L85" s="478">
        <v>0</v>
      </c>
      <c r="M85" s="500">
        <f t="shared" si="58"/>
        <v>0</v>
      </c>
      <c r="N85" s="478">
        <v>0</v>
      </c>
      <c r="O85" s="478">
        <v>0</v>
      </c>
      <c r="P85" s="500">
        <f t="shared" si="59"/>
        <v>0</v>
      </c>
      <c r="Q85" s="478">
        <v>0</v>
      </c>
      <c r="R85" s="478">
        <v>0</v>
      </c>
      <c r="S85" s="500">
        <f t="shared" si="60"/>
        <v>0</v>
      </c>
      <c r="T85" s="478">
        <v>0</v>
      </c>
      <c r="U85" s="478">
        <v>0</v>
      </c>
      <c r="V85" s="500">
        <f t="shared" si="61"/>
        <v>0</v>
      </c>
      <c r="W85" s="478">
        <v>0</v>
      </c>
      <c r="X85" s="478">
        <v>0</v>
      </c>
      <c r="Y85" s="500">
        <f t="shared" si="62"/>
        <v>0</v>
      </c>
      <c r="Z85" s="478">
        <v>0</v>
      </c>
      <c r="AA85" s="478">
        <v>0</v>
      </c>
      <c r="AB85" s="500">
        <f t="shared" si="63"/>
        <v>0</v>
      </c>
      <c r="AC85" s="478">
        <v>0</v>
      </c>
      <c r="AD85" s="478">
        <v>0</v>
      </c>
      <c r="AE85" s="500">
        <f t="shared" si="64"/>
        <v>0</v>
      </c>
    </row>
    <row r="86" spans="1:31" ht="23.1" hidden="1" customHeight="1">
      <c r="A86" s="495"/>
      <c r="B86" s="457"/>
      <c r="C86" s="555">
        <v>100280696</v>
      </c>
      <c r="D86" s="556" t="s">
        <v>128</v>
      </c>
      <c r="E86" s="478">
        <v>0</v>
      </c>
      <c r="F86" s="478">
        <v>0</v>
      </c>
      <c r="G86" s="500">
        <f t="shared" si="56"/>
        <v>0</v>
      </c>
      <c r="H86" s="478">
        <v>0</v>
      </c>
      <c r="I86" s="478">
        <v>0</v>
      </c>
      <c r="J86" s="500">
        <f t="shared" si="57"/>
        <v>0</v>
      </c>
      <c r="K86" s="478">
        <v>0</v>
      </c>
      <c r="L86" s="478">
        <v>0</v>
      </c>
      <c r="M86" s="500">
        <f t="shared" si="58"/>
        <v>0</v>
      </c>
      <c r="N86" s="478">
        <v>0</v>
      </c>
      <c r="O86" s="478">
        <v>0</v>
      </c>
      <c r="P86" s="500">
        <f t="shared" si="59"/>
        <v>0</v>
      </c>
      <c r="Q86" s="478">
        <v>0</v>
      </c>
      <c r="R86" s="478">
        <v>0</v>
      </c>
      <c r="S86" s="500">
        <f t="shared" si="60"/>
        <v>0</v>
      </c>
      <c r="T86" s="478">
        <v>0</v>
      </c>
      <c r="U86" s="478">
        <v>0</v>
      </c>
      <c r="V86" s="500">
        <f t="shared" si="61"/>
        <v>0</v>
      </c>
      <c r="W86" s="478">
        <v>0</v>
      </c>
      <c r="X86" s="478">
        <v>0</v>
      </c>
      <c r="Y86" s="500">
        <f t="shared" si="62"/>
        <v>0</v>
      </c>
      <c r="Z86" s="478">
        <v>0</v>
      </c>
      <c r="AA86" s="478">
        <v>0</v>
      </c>
      <c r="AB86" s="500">
        <f t="shared" si="63"/>
        <v>0</v>
      </c>
      <c r="AC86" s="478">
        <v>0</v>
      </c>
      <c r="AD86" s="478">
        <v>0</v>
      </c>
      <c r="AE86" s="500">
        <f t="shared" si="64"/>
        <v>0</v>
      </c>
    </row>
    <row r="87" spans="1:31" ht="31.5">
      <c r="A87" s="495"/>
      <c r="B87" s="457"/>
      <c r="C87" s="555">
        <v>100280696</v>
      </c>
      <c r="D87" s="576" t="s">
        <v>241</v>
      </c>
      <c r="E87" s="478">
        <v>76.98</v>
      </c>
      <c r="F87" s="478">
        <v>76.98</v>
      </c>
      <c r="G87" s="500">
        <f t="shared" si="56"/>
        <v>0</v>
      </c>
      <c r="H87" s="478">
        <v>8.0150000000000006</v>
      </c>
      <c r="I87" s="478">
        <v>8.0150000000000006</v>
      </c>
      <c r="J87" s="500">
        <f t="shared" si="57"/>
        <v>0</v>
      </c>
      <c r="K87" s="478">
        <v>14.112</v>
      </c>
      <c r="L87" s="478">
        <v>14.112</v>
      </c>
      <c r="M87" s="500">
        <f t="shared" si="58"/>
        <v>0</v>
      </c>
      <c r="N87" s="478">
        <v>218</v>
      </c>
      <c r="O87" s="478">
        <v>219.042</v>
      </c>
      <c r="P87" s="500">
        <f t="shared" si="59"/>
        <v>1.0420000000000016</v>
      </c>
      <c r="Q87" s="478">
        <v>0</v>
      </c>
      <c r="R87" s="478">
        <v>47</v>
      </c>
      <c r="S87" s="500">
        <f t="shared" si="60"/>
        <v>47</v>
      </c>
      <c r="T87" s="478">
        <v>0</v>
      </c>
      <c r="U87" s="478">
        <v>0</v>
      </c>
      <c r="V87" s="500">
        <f t="shared" si="61"/>
        <v>0</v>
      </c>
      <c r="W87" s="478">
        <v>0</v>
      </c>
      <c r="X87" s="478">
        <v>0</v>
      </c>
      <c r="Y87" s="500">
        <f t="shared" si="62"/>
        <v>0</v>
      </c>
      <c r="Z87" s="478">
        <v>0</v>
      </c>
      <c r="AA87" s="478">
        <v>0</v>
      </c>
      <c r="AB87" s="500">
        <f t="shared" si="63"/>
        <v>0</v>
      </c>
      <c r="AC87" s="478">
        <v>0</v>
      </c>
      <c r="AD87" s="478">
        <v>0</v>
      </c>
      <c r="AE87" s="500">
        <f t="shared" si="64"/>
        <v>0</v>
      </c>
    </row>
    <row r="88" spans="1:31" ht="23.1" hidden="1" customHeight="1">
      <c r="A88" s="495"/>
      <c r="B88" s="457"/>
      <c r="C88" s="555"/>
      <c r="D88" s="556" t="s">
        <v>104</v>
      </c>
      <c r="E88" s="478">
        <v>0</v>
      </c>
      <c r="F88" s="478">
        <v>0</v>
      </c>
      <c r="G88" s="479">
        <f t="shared" si="56"/>
        <v>0</v>
      </c>
      <c r="H88" s="478">
        <v>0</v>
      </c>
      <c r="I88" s="478">
        <v>0</v>
      </c>
      <c r="J88" s="479">
        <f t="shared" si="57"/>
        <v>0</v>
      </c>
      <c r="K88" s="478">
        <v>0</v>
      </c>
      <c r="L88" s="478">
        <v>0</v>
      </c>
      <c r="M88" s="479">
        <f t="shared" si="58"/>
        <v>0</v>
      </c>
      <c r="N88" s="478">
        <v>0</v>
      </c>
      <c r="O88" s="478">
        <v>0</v>
      </c>
      <c r="P88" s="479">
        <f t="shared" si="59"/>
        <v>0</v>
      </c>
      <c r="Q88" s="478">
        <v>0</v>
      </c>
      <c r="R88" s="478">
        <v>0</v>
      </c>
      <c r="S88" s="479">
        <f t="shared" si="60"/>
        <v>0</v>
      </c>
      <c r="T88" s="478">
        <v>0</v>
      </c>
      <c r="U88" s="478">
        <v>0</v>
      </c>
      <c r="V88" s="479">
        <f t="shared" si="61"/>
        <v>0</v>
      </c>
      <c r="W88" s="478">
        <v>0</v>
      </c>
      <c r="X88" s="478">
        <v>0</v>
      </c>
      <c r="Y88" s="479">
        <f t="shared" si="62"/>
        <v>0</v>
      </c>
      <c r="Z88" s="478">
        <v>0</v>
      </c>
      <c r="AA88" s="478">
        <v>0</v>
      </c>
      <c r="AB88" s="479">
        <f t="shared" si="63"/>
        <v>0</v>
      </c>
      <c r="AC88" s="478">
        <v>0</v>
      </c>
      <c r="AD88" s="478">
        <v>0</v>
      </c>
      <c r="AE88" s="479">
        <f t="shared" si="64"/>
        <v>0</v>
      </c>
    </row>
    <row r="89" spans="1:31" ht="24" hidden="1" customHeight="1">
      <c r="A89" s="495"/>
      <c r="B89" s="457"/>
      <c r="C89" s="555"/>
      <c r="D89" s="556" t="s">
        <v>105</v>
      </c>
      <c r="E89" s="478">
        <v>0</v>
      </c>
      <c r="F89" s="478">
        <v>0</v>
      </c>
      <c r="G89" s="479">
        <f t="shared" si="56"/>
        <v>0</v>
      </c>
      <c r="H89" s="478">
        <v>0</v>
      </c>
      <c r="I89" s="478">
        <v>0</v>
      </c>
      <c r="J89" s="479">
        <f t="shared" si="57"/>
        <v>0</v>
      </c>
      <c r="K89" s="478">
        <v>0</v>
      </c>
      <c r="L89" s="478">
        <v>0</v>
      </c>
      <c r="M89" s="479">
        <f t="shared" si="58"/>
        <v>0</v>
      </c>
      <c r="N89" s="478">
        <v>0</v>
      </c>
      <c r="O89" s="478">
        <v>0</v>
      </c>
      <c r="P89" s="479">
        <f t="shared" si="59"/>
        <v>0</v>
      </c>
      <c r="Q89" s="478">
        <v>0</v>
      </c>
      <c r="R89" s="478">
        <v>0</v>
      </c>
      <c r="S89" s="479">
        <f t="shared" si="60"/>
        <v>0</v>
      </c>
      <c r="T89" s="478">
        <v>0</v>
      </c>
      <c r="U89" s="478">
        <v>0</v>
      </c>
      <c r="V89" s="479">
        <f t="shared" si="61"/>
        <v>0</v>
      </c>
      <c r="W89" s="478">
        <v>0</v>
      </c>
      <c r="X89" s="478">
        <v>0</v>
      </c>
      <c r="Y89" s="479">
        <f t="shared" si="62"/>
        <v>0</v>
      </c>
      <c r="Z89" s="478">
        <v>0</v>
      </c>
      <c r="AA89" s="478">
        <v>0</v>
      </c>
      <c r="AB89" s="479">
        <f t="shared" si="63"/>
        <v>0</v>
      </c>
      <c r="AC89" s="478">
        <v>0</v>
      </c>
      <c r="AD89" s="478">
        <v>0</v>
      </c>
      <c r="AE89" s="479">
        <f t="shared" si="64"/>
        <v>0</v>
      </c>
    </row>
    <row r="90" spans="1:31" ht="31.5">
      <c r="A90" s="495"/>
      <c r="B90" s="457"/>
      <c r="C90" s="577" t="s">
        <v>60</v>
      </c>
      <c r="D90" s="576" t="s">
        <v>240</v>
      </c>
      <c r="E90" s="478">
        <v>33.200000000000003</v>
      </c>
      <c r="F90" s="478">
        <v>33.200000000000003</v>
      </c>
      <c r="G90" s="479">
        <f t="shared" si="56"/>
        <v>0</v>
      </c>
      <c r="H90" s="478">
        <v>0</v>
      </c>
      <c r="I90" s="478">
        <v>0</v>
      </c>
      <c r="J90" s="479">
        <f t="shared" si="57"/>
        <v>0</v>
      </c>
      <c r="K90" s="478">
        <v>0</v>
      </c>
      <c r="L90" s="478">
        <v>0</v>
      </c>
      <c r="M90" s="479">
        <f t="shared" si="58"/>
        <v>0</v>
      </c>
      <c r="N90" s="478">
        <v>0</v>
      </c>
      <c r="O90" s="478">
        <v>0</v>
      </c>
      <c r="P90" s="479">
        <f t="shared" si="59"/>
        <v>0</v>
      </c>
      <c r="Q90" s="478">
        <v>0</v>
      </c>
      <c r="R90" s="478">
        <v>0</v>
      </c>
      <c r="S90" s="479">
        <f t="shared" si="60"/>
        <v>0</v>
      </c>
      <c r="T90" s="478">
        <v>13.5</v>
      </c>
      <c r="U90" s="478">
        <v>13.5</v>
      </c>
      <c r="V90" s="479">
        <f t="shared" si="61"/>
        <v>0</v>
      </c>
      <c r="W90" s="478">
        <v>12</v>
      </c>
      <c r="X90" s="478">
        <v>12</v>
      </c>
      <c r="Y90" s="479">
        <f t="shared" si="62"/>
        <v>0</v>
      </c>
      <c r="Z90" s="478">
        <v>0</v>
      </c>
      <c r="AA90" s="478">
        <v>0</v>
      </c>
      <c r="AB90" s="479">
        <f t="shared" si="63"/>
        <v>0</v>
      </c>
      <c r="AC90" s="478">
        <v>0</v>
      </c>
      <c r="AD90" s="478">
        <v>0</v>
      </c>
      <c r="AE90" s="479">
        <f t="shared" si="64"/>
        <v>0</v>
      </c>
    </row>
    <row r="91" spans="1:31" ht="31.5">
      <c r="A91" s="495"/>
      <c r="B91" s="457"/>
      <c r="C91" s="577" t="s">
        <v>60</v>
      </c>
      <c r="D91" s="576" t="s">
        <v>239</v>
      </c>
      <c r="E91" s="478">
        <v>72.25</v>
      </c>
      <c r="F91" s="478">
        <v>72.25</v>
      </c>
      <c r="G91" s="479">
        <f t="shared" si="56"/>
        <v>0</v>
      </c>
      <c r="H91" s="478">
        <v>0.185</v>
      </c>
      <c r="I91" s="478">
        <v>0.185</v>
      </c>
      <c r="J91" s="479">
        <f t="shared" si="57"/>
        <v>0</v>
      </c>
      <c r="K91" s="478">
        <v>17.399999999999999</v>
      </c>
      <c r="L91" s="478">
        <v>17.399999999999999</v>
      </c>
      <c r="M91" s="479">
        <f t="shared" si="58"/>
        <v>0</v>
      </c>
      <c r="N91" s="478">
        <v>80</v>
      </c>
      <c r="O91" s="478">
        <v>78.013000000000005</v>
      </c>
      <c r="P91" s="479">
        <f t="shared" si="59"/>
        <v>-1.9869999999999948</v>
      </c>
      <c r="Q91" s="478">
        <v>8.1</v>
      </c>
      <c r="R91" s="478">
        <v>10</v>
      </c>
      <c r="S91" s="479">
        <f t="shared" si="60"/>
        <v>1.9000000000000004</v>
      </c>
      <c r="T91" s="478">
        <v>49.5</v>
      </c>
      <c r="U91" s="478">
        <v>49.5</v>
      </c>
      <c r="V91" s="479">
        <f t="shared" si="61"/>
        <v>0</v>
      </c>
      <c r="W91" s="478">
        <v>0</v>
      </c>
      <c r="X91" s="478">
        <v>4.5</v>
      </c>
      <c r="Y91" s="479">
        <f t="shared" si="62"/>
        <v>4.5</v>
      </c>
      <c r="Z91" s="478">
        <v>0</v>
      </c>
      <c r="AA91" s="478">
        <v>0</v>
      </c>
      <c r="AB91" s="479">
        <f t="shared" si="63"/>
        <v>0</v>
      </c>
      <c r="AC91" s="478">
        <v>0</v>
      </c>
      <c r="AD91" s="478">
        <v>0</v>
      </c>
      <c r="AE91" s="479">
        <f t="shared" si="64"/>
        <v>0</v>
      </c>
    </row>
    <row r="92" spans="1:31" s="434" customFormat="1" ht="31.5">
      <c r="A92" s="474"/>
      <c r="B92" s="457"/>
      <c r="C92" s="578" t="s">
        <v>60</v>
      </c>
      <c r="D92" s="576" t="s">
        <v>235</v>
      </c>
      <c r="E92" s="579">
        <v>0.41799999999999998</v>
      </c>
      <c r="F92" s="579">
        <v>0.41799999999999998</v>
      </c>
      <c r="G92" s="580">
        <f t="shared" si="56"/>
        <v>0</v>
      </c>
      <c r="H92" s="478">
        <v>17.527000000000001</v>
      </c>
      <c r="I92" s="478">
        <v>17.527000000000001</v>
      </c>
      <c r="J92" s="479">
        <f t="shared" si="57"/>
        <v>0</v>
      </c>
      <c r="K92" s="478">
        <f>83.81</f>
        <v>83.81</v>
      </c>
      <c r="L92" s="478">
        <f>83.81</f>
        <v>83.81</v>
      </c>
      <c r="M92" s="479">
        <f t="shared" si="58"/>
        <v>0</v>
      </c>
      <c r="N92" s="478">
        <v>12.61</v>
      </c>
      <c r="O92" s="478">
        <v>12.61</v>
      </c>
      <c r="P92" s="479">
        <f t="shared" si="59"/>
        <v>0</v>
      </c>
      <c r="Q92" s="478">
        <v>54</v>
      </c>
      <c r="R92" s="478">
        <v>54</v>
      </c>
      <c r="S92" s="479">
        <f t="shared" si="60"/>
        <v>0</v>
      </c>
      <c r="T92" s="478">
        <v>0</v>
      </c>
      <c r="U92" s="478">
        <v>0</v>
      </c>
      <c r="V92" s="479">
        <f t="shared" si="61"/>
        <v>0</v>
      </c>
      <c r="W92" s="478">
        <v>35.5</v>
      </c>
      <c r="X92" s="478">
        <v>35.5</v>
      </c>
      <c r="Y92" s="479">
        <f t="shared" si="62"/>
        <v>0</v>
      </c>
      <c r="Z92" s="478">
        <v>49.5</v>
      </c>
      <c r="AA92" s="478">
        <v>49.5</v>
      </c>
      <c r="AB92" s="479">
        <f t="shared" si="63"/>
        <v>0</v>
      </c>
      <c r="AC92" s="478">
        <v>67.5</v>
      </c>
      <c r="AD92" s="478">
        <v>67.5</v>
      </c>
      <c r="AE92" s="479">
        <f t="shared" si="64"/>
        <v>0</v>
      </c>
    </row>
    <row r="93" spans="1:31" s="434" customFormat="1" ht="31.5">
      <c r="A93" s="474"/>
      <c r="B93" s="457"/>
      <c r="C93" s="578" t="s">
        <v>60</v>
      </c>
      <c r="D93" s="581" t="s">
        <v>236</v>
      </c>
      <c r="E93" s="579">
        <v>1.2290000000000001</v>
      </c>
      <c r="F93" s="579">
        <v>1.2290000000000001</v>
      </c>
      <c r="G93" s="580">
        <f t="shared" si="56"/>
        <v>0</v>
      </c>
      <c r="H93" s="579">
        <v>2E-3</v>
      </c>
      <c r="I93" s="579">
        <v>2E-3</v>
      </c>
      <c r="J93" s="580">
        <f t="shared" si="57"/>
        <v>0</v>
      </c>
      <c r="K93" s="579">
        <v>0</v>
      </c>
      <c r="L93" s="579">
        <v>0</v>
      </c>
      <c r="M93" s="580">
        <f t="shared" si="58"/>
        <v>0</v>
      </c>
      <c r="N93" s="579">
        <v>1.41</v>
      </c>
      <c r="O93" s="579">
        <v>1.41</v>
      </c>
      <c r="P93" s="580">
        <f t="shared" si="59"/>
        <v>0</v>
      </c>
      <c r="Q93" s="478">
        <v>11.4</v>
      </c>
      <c r="R93" s="478">
        <v>11.4</v>
      </c>
      <c r="S93" s="479">
        <f t="shared" si="60"/>
        <v>0</v>
      </c>
      <c r="T93" s="478">
        <v>25.5</v>
      </c>
      <c r="U93" s="478">
        <v>25.5</v>
      </c>
      <c r="V93" s="479">
        <f t="shared" si="61"/>
        <v>0</v>
      </c>
      <c r="W93" s="478">
        <v>42.5</v>
      </c>
      <c r="X93" s="478">
        <v>38</v>
      </c>
      <c r="Y93" s="479">
        <f t="shared" si="62"/>
        <v>-4.5</v>
      </c>
      <c r="Z93" s="478">
        <v>31.5</v>
      </c>
      <c r="AA93" s="478">
        <v>31.5</v>
      </c>
      <c r="AB93" s="479">
        <f t="shared" si="63"/>
        <v>0</v>
      </c>
      <c r="AC93" s="478">
        <v>9</v>
      </c>
      <c r="AD93" s="478">
        <v>9</v>
      </c>
      <c r="AE93" s="479">
        <f t="shared" si="64"/>
        <v>0</v>
      </c>
    </row>
    <row r="94" spans="1:31" s="434" customFormat="1" ht="31.5">
      <c r="A94" s="474"/>
      <c r="B94" s="457"/>
      <c r="C94" s="578" t="s">
        <v>60</v>
      </c>
      <c r="D94" s="581" t="s">
        <v>237</v>
      </c>
      <c r="E94" s="579">
        <v>0</v>
      </c>
      <c r="F94" s="579">
        <v>0</v>
      </c>
      <c r="G94" s="580">
        <f t="shared" ref="G94" si="65">F94-E94</f>
        <v>0</v>
      </c>
      <c r="H94" s="579">
        <v>0.36</v>
      </c>
      <c r="I94" s="579">
        <v>0.36</v>
      </c>
      <c r="J94" s="580">
        <f t="shared" ref="J94" si="66">I94-H94</f>
        <v>0</v>
      </c>
      <c r="K94" s="579">
        <v>0.55600000000000005</v>
      </c>
      <c r="L94" s="579">
        <v>0.55600000000000005</v>
      </c>
      <c r="M94" s="580">
        <f t="shared" ref="M94" si="67">L94-K94</f>
        <v>0</v>
      </c>
      <c r="N94" s="579">
        <v>0</v>
      </c>
      <c r="O94" s="579">
        <v>0</v>
      </c>
      <c r="P94" s="580">
        <f t="shared" si="59"/>
        <v>0</v>
      </c>
      <c r="Q94" s="579">
        <v>1.21</v>
      </c>
      <c r="R94" s="579">
        <v>1.21</v>
      </c>
      <c r="S94" s="580">
        <f t="shared" si="60"/>
        <v>0</v>
      </c>
      <c r="T94" s="478">
        <v>1.4</v>
      </c>
      <c r="U94" s="478">
        <v>1.4</v>
      </c>
      <c r="V94" s="479">
        <f t="shared" si="61"/>
        <v>0</v>
      </c>
      <c r="W94" s="478">
        <v>2.8</v>
      </c>
      <c r="X94" s="478">
        <v>4.2229999999999999</v>
      </c>
      <c r="Y94" s="479">
        <f t="shared" si="62"/>
        <v>1.423</v>
      </c>
      <c r="Z94" s="478">
        <v>1.423</v>
      </c>
      <c r="AA94" s="478">
        <v>0</v>
      </c>
      <c r="AB94" s="479">
        <f t="shared" si="63"/>
        <v>-1.423</v>
      </c>
      <c r="AC94" s="478">
        <v>0</v>
      </c>
      <c r="AD94" s="478">
        <v>0</v>
      </c>
      <c r="AE94" s="479">
        <f t="shared" si="64"/>
        <v>0</v>
      </c>
    </row>
    <row r="95" spans="1:31" s="434" customFormat="1" ht="31.5">
      <c r="A95" s="474"/>
      <c r="B95" s="457"/>
      <c r="C95" s="578" t="s">
        <v>60</v>
      </c>
      <c r="D95" s="581" t="s">
        <v>238</v>
      </c>
      <c r="E95" s="579">
        <v>0.63</v>
      </c>
      <c r="F95" s="579">
        <v>0.63</v>
      </c>
      <c r="G95" s="580">
        <f t="shared" si="56"/>
        <v>0</v>
      </c>
      <c r="H95" s="579">
        <v>0.94</v>
      </c>
      <c r="I95" s="579">
        <v>0.94</v>
      </c>
      <c r="J95" s="580">
        <f t="shared" si="57"/>
        <v>0</v>
      </c>
      <c r="K95" s="579">
        <v>-8.8999999999999996E-2</v>
      </c>
      <c r="L95" s="579">
        <v>-8.8999999999999996E-2</v>
      </c>
      <c r="M95" s="580">
        <f t="shared" si="58"/>
        <v>0</v>
      </c>
      <c r="N95" s="579">
        <v>0</v>
      </c>
      <c r="O95" s="579">
        <v>0</v>
      </c>
      <c r="P95" s="580">
        <f t="shared" si="59"/>
        <v>0</v>
      </c>
      <c r="Q95" s="579">
        <v>1.23</v>
      </c>
      <c r="R95" s="579">
        <v>1.23</v>
      </c>
      <c r="S95" s="580">
        <f t="shared" si="60"/>
        <v>0</v>
      </c>
      <c r="T95" s="478">
        <v>1.75</v>
      </c>
      <c r="U95" s="478">
        <v>1.75</v>
      </c>
      <c r="V95" s="479">
        <f t="shared" si="61"/>
        <v>0</v>
      </c>
      <c r="W95" s="478">
        <v>0.8</v>
      </c>
      <c r="X95" s="478">
        <v>2.2229999999999999</v>
      </c>
      <c r="Y95" s="479">
        <f t="shared" si="62"/>
        <v>1.4229999999999998</v>
      </c>
      <c r="Z95" s="478">
        <v>3.073</v>
      </c>
      <c r="AA95" s="478">
        <v>1.65</v>
      </c>
      <c r="AB95" s="479">
        <f t="shared" si="63"/>
        <v>-1.423</v>
      </c>
      <c r="AC95" s="478">
        <v>0</v>
      </c>
      <c r="AD95" s="478">
        <v>0</v>
      </c>
      <c r="AE95" s="479">
        <f t="shared" si="64"/>
        <v>0</v>
      </c>
    </row>
    <row r="96" spans="1:31" ht="31.5">
      <c r="A96" s="495"/>
      <c r="B96" s="457"/>
      <c r="C96" s="577" t="s">
        <v>60</v>
      </c>
      <c r="D96" s="581" t="s">
        <v>412</v>
      </c>
      <c r="E96" s="478"/>
      <c r="F96" s="478"/>
      <c r="G96" s="479"/>
      <c r="H96" s="579">
        <v>0</v>
      </c>
      <c r="I96" s="579">
        <v>0</v>
      </c>
      <c r="J96" s="580">
        <f t="shared" si="57"/>
        <v>0</v>
      </c>
      <c r="K96" s="579">
        <v>0</v>
      </c>
      <c r="L96" s="579">
        <v>0</v>
      </c>
      <c r="M96" s="580">
        <f t="shared" si="58"/>
        <v>0</v>
      </c>
      <c r="N96" s="579">
        <v>2.33</v>
      </c>
      <c r="O96" s="579">
        <v>2.33</v>
      </c>
      <c r="P96" s="580">
        <f t="shared" si="59"/>
        <v>0</v>
      </c>
      <c r="Q96" s="579">
        <v>0.03</v>
      </c>
      <c r="R96" s="579">
        <v>0.03</v>
      </c>
      <c r="S96" s="580">
        <f t="shared" si="60"/>
        <v>0</v>
      </c>
      <c r="T96" s="579">
        <v>0.2</v>
      </c>
      <c r="U96" s="579">
        <v>0.2</v>
      </c>
      <c r="V96" s="580">
        <f t="shared" si="61"/>
        <v>0</v>
      </c>
      <c r="W96" s="579">
        <v>0.54</v>
      </c>
      <c r="X96" s="579">
        <v>0.54</v>
      </c>
      <c r="Y96" s="580">
        <f t="shared" si="62"/>
        <v>0</v>
      </c>
      <c r="Z96" s="579">
        <v>0</v>
      </c>
      <c r="AA96" s="579">
        <v>0</v>
      </c>
      <c r="AB96" s="580">
        <f t="shared" si="63"/>
        <v>0</v>
      </c>
      <c r="AC96" s="579">
        <v>3.52</v>
      </c>
      <c r="AD96" s="579">
        <v>3.52</v>
      </c>
      <c r="AE96" s="580">
        <f t="shared" si="64"/>
        <v>0</v>
      </c>
    </row>
    <row r="97" spans="1:31" s="434" customFormat="1" ht="31.5">
      <c r="A97" s="474"/>
      <c r="B97" s="457"/>
      <c r="C97" s="578" t="s">
        <v>60</v>
      </c>
      <c r="D97" s="576" t="s">
        <v>413</v>
      </c>
      <c r="E97" s="478">
        <v>22.614000000000001</v>
      </c>
      <c r="F97" s="478">
        <v>22.614000000000001</v>
      </c>
      <c r="G97" s="479">
        <f t="shared" si="56"/>
        <v>0</v>
      </c>
      <c r="H97" s="478">
        <v>53.712000000000003</v>
      </c>
      <c r="I97" s="478">
        <v>53.712000000000003</v>
      </c>
      <c r="J97" s="479">
        <f t="shared" si="57"/>
        <v>0</v>
      </c>
      <c r="K97" s="478">
        <v>36.015000000000001</v>
      </c>
      <c r="L97" s="478">
        <v>36.015000000000001</v>
      </c>
      <c r="M97" s="479">
        <f t="shared" si="58"/>
        <v>0</v>
      </c>
      <c r="N97" s="478">
        <v>26</v>
      </c>
      <c r="O97" s="478">
        <v>28.576000000000001</v>
      </c>
      <c r="P97" s="479">
        <f t="shared" si="59"/>
        <v>2.5760000000000005</v>
      </c>
      <c r="Q97" s="478">
        <v>49.65</v>
      </c>
      <c r="R97" s="478">
        <v>47.4</v>
      </c>
      <c r="S97" s="479">
        <f t="shared" si="60"/>
        <v>-2.25</v>
      </c>
      <c r="T97" s="478">
        <v>75</v>
      </c>
      <c r="U97" s="478">
        <v>75</v>
      </c>
      <c r="V97" s="479">
        <f t="shared" si="61"/>
        <v>0</v>
      </c>
      <c r="W97" s="478">
        <v>61.8</v>
      </c>
      <c r="X97" s="478">
        <v>61.8</v>
      </c>
      <c r="Y97" s="479">
        <f t="shared" si="62"/>
        <v>0</v>
      </c>
      <c r="Z97" s="478">
        <v>32.1</v>
      </c>
      <c r="AA97" s="478">
        <v>32.1</v>
      </c>
      <c r="AB97" s="479">
        <f t="shared" si="63"/>
        <v>0</v>
      </c>
      <c r="AC97" s="478">
        <v>30.3</v>
      </c>
      <c r="AD97" s="478">
        <v>30.3</v>
      </c>
      <c r="AE97" s="479">
        <f t="shared" si="64"/>
        <v>0</v>
      </c>
    </row>
    <row r="98" spans="1:31" ht="31.5">
      <c r="A98" s="495"/>
      <c r="B98" s="457"/>
      <c r="C98" s="577"/>
      <c r="D98" s="576" t="s">
        <v>256</v>
      </c>
      <c r="E98" s="499">
        <v>0</v>
      </c>
      <c r="F98" s="499">
        <v>0</v>
      </c>
      <c r="G98" s="479">
        <f t="shared" si="56"/>
        <v>0</v>
      </c>
      <c r="H98" s="499">
        <v>0</v>
      </c>
      <c r="I98" s="499">
        <v>0</v>
      </c>
      <c r="J98" s="479">
        <f t="shared" si="57"/>
        <v>0</v>
      </c>
      <c r="K98" s="499">
        <v>0</v>
      </c>
      <c r="L98" s="499">
        <v>0</v>
      </c>
      <c r="M98" s="479">
        <f t="shared" si="58"/>
        <v>0</v>
      </c>
      <c r="N98" s="499">
        <v>0</v>
      </c>
      <c r="O98" s="499">
        <v>0</v>
      </c>
      <c r="P98" s="479">
        <f t="shared" si="59"/>
        <v>0</v>
      </c>
      <c r="Q98" s="499">
        <v>0.76</v>
      </c>
      <c r="R98" s="499">
        <v>0.76</v>
      </c>
      <c r="S98" s="479">
        <f t="shared" si="60"/>
        <v>0</v>
      </c>
      <c r="T98" s="499">
        <v>0</v>
      </c>
      <c r="U98" s="499">
        <v>0</v>
      </c>
      <c r="V98" s="479">
        <f t="shared" si="61"/>
        <v>0</v>
      </c>
      <c r="W98" s="499">
        <v>0</v>
      </c>
      <c r="X98" s="499">
        <v>0</v>
      </c>
      <c r="Y98" s="479">
        <f t="shared" si="62"/>
        <v>0</v>
      </c>
      <c r="Z98" s="499">
        <v>0</v>
      </c>
      <c r="AA98" s="499">
        <v>0</v>
      </c>
      <c r="AB98" s="479">
        <f t="shared" si="63"/>
        <v>0</v>
      </c>
      <c r="AC98" s="499">
        <v>0</v>
      </c>
      <c r="AD98" s="499">
        <v>0</v>
      </c>
      <c r="AE98" s="479">
        <f t="shared" si="64"/>
        <v>0</v>
      </c>
    </row>
    <row r="99" spans="1:31" ht="47.25">
      <c r="A99" s="495"/>
      <c r="B99" s="457"/>
      <c r="C99" s="583"/>
      <c r="D99" s="576" t="s">
        <v>257</v>
      </c>
      <c r="E99" s="499">
        <v>0</v>
      </c>
      <c r="F99" s="499">
        <v>0</v>
      </c>
      <c r="G99" s="479">
        <f t="shared" si="56"/>
        <v>0</v>
      </c>
      <c r="H99" s="499">
        <v>0</v>
      </c>
      <c r="I99" s="499">
        <v>0</v>
      </c>
      <c r="J99" s="479">
        <f t="shared" si="57"/>
        <v>0</v>
      </c>
      <c r="K99" s="499">
        <v>0</v>
      </c>
      <c r="L99" s="499">
        <v>0</v>
      </c>
      <c r="M99" s="479">
        <f t="shared" si="58"/>
        <v>0</v>
      </c>
      <c r="N99" s="499">
        <v>0</v>
      </c>
      <c r="O99" s="499">
        <v>6.0000000000000001E-3</v>
      </c>
      <c r="P99" s="479">
        <f t="shared" si="59"/>
        <v>6.0000000000000001E-3</v>
      </c>
      <c r="Q99" s="499">
        <v>0.45</v>
      </c>
      <c r="R99" s="499">
        <v>0.45</v>
      </c>
      <c r="S99" s="479">
        <f t="shared" si="60"/>
        <v>0</v>
      </c>
      <c r="T99" s="499">
        <v>0</v>
      </c>
      <c r="U99" s="499">
        <v>0</v>
      </c>
      <c r="V99" s="479">
        <f t="shared" si="61"/>
        <v>0</v>
      </c>
      <c r="W99" s="499">
        <v>0</v>
      </c>
      <c r="X99" s="499">
        <v>0</v>
      </c>
      <c r="Y99" s="479">
        <f t="shared" si="62"/>
        <v>0</v>
      </c>
      <c r="Z99" s="499">
        <v>0</v>
      </c>
      <c r="AA99" s="499">
        <v>0</v>
      </c>
      <c r="AB99" s="479">
        <f t="shared" si="63"/>
        <v>0</v>
      </c>
      <c r="AC99" s="499">
        <v>0</v>
      </c>
      <c r="AD99" s="499">
        <v>0</v>
      </c>
      <c r="AE99" s="479">
        <f t="shared" si="64"/>
        <v>0</v>
      </c>
    </row>
    <row r="100" spans="1:31" ht="31.5">
      <c r="A100" s="495"/>
      <c r="B100" s="457"/>
      <c r="C100" s="577"/>
      <c r="D100" s="576" t="s">
        <v>258</v>
      </c>
      <c r="E100" s="499">
        <v>-7.2999999999999995E-2</v>
      </c>
      <c r="F100" s="499">
        <v>-7.2999999999999995E-2</v>
      </c>
      <c r="G100" s="479">
        <f t="shared" si="56"/>
        <v>0</v>
      </c>
      <c r="H100" s="499">
        <v>0</v>
      </c>
      <c r="I100" s="499">
        <v>0</v>
      </c>
      <c r="J100" s="479">
        <f t="shared" si="57"/>
        <v>0</v>
      </c>
      <c r="K100" s="499">
        <v>-2.8000000000000001E-2</v>
      </c>
      <c r="L100" s="499">
        <v>-2.8000000000000001E-2</v>
      </c>
      <c r="M100" s="479">
        <f t="shared" si="58"/>
        <v>0</v>
      </c>
      <c r="N100" s="499">
        <v>0</v>
      </c>
      <c r="O100" s="499">
        <v>0</v>
      </c>
      <c r="P100" s="479">
        <f t="shared" si="59"/>
        <v>0</v>
      </c>
      <c r="Q100" s="499">
        <v>0</v>
      </c>
      <c r="R100" s="499">
        <v>0</v>
      </c>
      <c r="S100" s="479">
        <f t="shared" si="60"/>
        <v>0</v>
      </c>
      <c r="T100" s="499">
        <v>0</v>
      </c>
      <c r="U100" s="499">
        <v>0</v>
      </c>
      <c r="V100" s="479">
        <f t="shared" si="61"/>
        <v>0</v>
      </c>
      <c r="W100" s="499">
        <v>0</v>
      </c>
      <c r="X100" s="499">
        <v>0</v>
      </c>
      <c r="Y100" s="479">
        <f t="shared" si="62"/>
        <v>0</v>
      </c>
      <c r="Z100" s="499">
        <v>0</v>
      </c>
      <c r="AA100" s="499">
        <v>0</v>
      </c>
      <c r="AB100" s="479">
        <f t="shared" si="63"/>
        <v>0</v>
      </c>
      <c r="AC100" s="499">
        <v>0</v>
      </c>
      <c r="AD100" s="499">
        <v>0</v>
      </c>
      <c r="AE100" s="479">
        <f t="shared" si="64"/>
        <v>0</v>
      </c>
    </row>
    <row r="101" spans="1:31" ht="31.5">
      <c r="A101" s="495"/>
      <c r="B101" s="457"/>
      <c r="C101" s="583"/>
      <c r="D101" s="576" t="s">
        <v>259</v>
      </c>
      <c r="E101" s="499">
        <v>2.4E-2</v>
      </c>
      <c r="F101" s="499">
        <v>2.4E-2</v>
      </c>
      <c r="G101" s="479">
        <f t="shared" si="56"/>
        <v>0</v>
      </c>
      <c r="H101" s="499">
        <v>0</v>
      </c>
      <c r="I101" s="499">
        <v>0</v>
      </c>
      <c r="J101" s="479">
        <f t="shared" si="57"/>
        <v>0</v>
      </c>
      <c r="K101" s="499">
        <v>-1.7999999999999999E-2</v>
      </c>
      <c r="L101" s="499">
        <v>-1.7999999999999999E-2</v>
      </c>
      <c r="M101" s="479">
        <f t="shared" si="58"/>
        <v>0</v>
      </c>
      <c r="N101" s="499">
        <v>0</v>
      </c>
      <c r="O101" s="499">
        <v>0</v>
      </c>
      <c r="P101" s="479">
        <f t="shared" si="59"/>
        <v>0</v>
      </c>
      <c r="Q101" s="499">
        <v>0</v>
      </c>
      <c r="R101" s="499">
        <v>0</v>
      </c>
      <c r="S101" s="479">
        <f t="shared" si="60"/>
        <v>0</v>
      </c>
      <c r="T101" s="499">
        <v>0</v>
      </c>
      <c r="U101" s="499">
        <v>0</v>
      </c>
      <c r="V101" s="479">
        <f t="shared" si="61"/>
        <v>0</v>
      </c>
      <c r="W101" s="499">
        <v>0</v>
      </c>
      <c r="X101" s="499">
        <v>0</v>
      </c>
      <c r="Y101" s="479">
        <f t="shared" si="62"/>
        <v>0</v>
      </c>
      <c r="Z101" s="499">
        <v>0</v>
      </c>
      <c r="AA101" s="499">
        <v>0</v>
      </c>
      <c r="AB101" s="479">
        <f t="shared" si="63"/>
        <v>0</v>
      </c>
      <c r="AC101" s="499">
        <v>0</v>
      </c>
      <c r="AD101" s="499">
        <v>0</v>
      </c>
      <c r="AE101" s="479">
        <f t="shared" si="64"/>
        <v>0</v>
      </c>
    </row>
    <row r="102" spans="1:31" ht="23.1" customHeight="1">
      <c r="A102" s="495"/>
      <c r="B102" s="457"/>
      <c r="C102" s="584"/>
      <c r="D102" s="556" t="s">
        <v>130</v>
      </c>
      <c r="E102" s="499">
        <v>-1.9E-2</v>
      </c>
      <c r="F102" s="499">
        <v>-1.9E-2</v>
      </c>
      <c r="G102" s="479">
        <f t="shared" si="56"/>
        <v>0</v>
      </c>
      <c r="H102" s="499">
        <v>0.40799999999999997</v>
      </c>
      <c r="I102" s="499">
        <v>0.40799999999999997</v>
      </c>
      <c r="J102" s="479">
        <f t="shared" si="57"/>
        <v>0</v>
      </c>
      <c r="K102" s="499">
        <v>1.712</v>
      </c>
      <c r="L102" s="499">
        <v>1.712</v>
      </c>
      <c r="M102" s="479">
        <f t="shared" si="58"/>
        <v>0</v>
      </c>
      <c r="N102" s="499">
        <v>2.016</v>
      </c>
      <c r="O102" s="499">
        <v>2.0230000000000001</v>
      </c>
      <c r="P102" s="479">
        <f t="shared" si="59"/>
        <v>7.0000000000001172E-3</v>
      </c>
      <c r="Q102" s="499">
        <v>0</v>
      </c>
      <c r="R102" s="499">
        <v>0</v>
      </c>
      <c r="S102" s="479">
        <f t="shared" si="60"/>
        <v>0</v>
      </c>
      <c r="T102" s="499">
        <v>2.3839999999999999</v>
      </c>
      <c r="U102" s="499">
        <v>2.3839999999999999</v>
      </c>
      <c r="V102" s="479">
        <f t="shared" si="61"/>
        <v>0</v>
      </c>
      <c r="W102" s="499">
        <v>0</v>
      </c>
      <c r="X102" s="499">
        <v>0</v>
      </c>
      <c r="Y102" s="479">
        <f t="shared" si="62"/>
        <v>0</v>
      </c>
      <c r="Z102" s="499">
        <v>0</v>
      </c>
      <c r="AA102" s="499">
        <v>0</v>
      </c>
      <c r="AB102" s="479">
        <f t="shared" si="63"/>
        <v>0</v>
      </c>
      <c r="AC102" s="499">
        <v>2</v>
      </c>
      <c r="AD102" s="499">
        <v>2</v>
      </c>
      <c r="AE102" s="479">
        <f t="shared" si="64"/>
        <v>0</v>
      </c>
    </row>
    <row r="103" spans="1:31" ht="23.1" customHeight="1">
      <c r="A103" s="495"/>
      <c r="B103" s="457"/>
      <c r="C103" s="584"/>
      <c r="D103" s="556" t="s">
        <v>131</v>
      </c>
      <c r="E103" s="499">
        <v>-1.2E-2</v>
      </c>
      <c r="F103" s="499">
        <v>-1.2E-2</v>
      </c>
      <c r="G103" s="479">
        <f t="shared" si="56"/>
        <v>0</v>
      </c>
      <c r="H103" s="499">
        <v>0.82499999999999996</v>
      </c>
      <c r="I103" s="499">
        <v>0.82499999999999996</v>
      </c>
      <c r="J103" s="479">
        <f t="shared" si="57"/>
        <v>0</v>
      </c>
      <c r="K103" s="499">
        <v>1.52</v>
      </c>
      <c r="L103" s="499">
        <v>1.52</v>
      </c>
      <c r="M103" s="479">
        <f t="shared" si="58"/>
        <v>0</v>
      </c>
      <c r="N103" s="499">
        <v>3.2160000000000002</v>
      </c>
      <c r="O103" s="499">
        <v>3.2160000000000002</v>
      </c>
      <c r="P103" s="479">
        <f t="shared" si="59"/>
        <v>0</v>
      </c>
      <c r="Q103" s="499">
        <v>0</v>
      </c>
      <c r="R103" s="499">
        <v>0</v>
      </c>
      <c r="S103" s="479">
        <f t="shared" si="60"/>
        <v>0</v>
      </c>
      <c r="T103" s="499">
        <v>0.7</v>
      </c>
      <c r="U103" s="499">
        <v>0.7</v>
      </c>
      <c r="V103" s="479">
        <f t="shared" si="61"/>
        <v>0</v>
      </c>
      <c r="W103" s="499">
        <v>0</v>
      </c>
      <c r="X103" s="499">
        <v>0</v>
      </c>
      <c r="Y103" s="479">
        <f t="shared" si="62"/>
        <v>0</v>
      </c>
      <c r="Z103" s="499">
        <v>0</v>
      </c>
      <c r="AA103" s="499">
        <v>0</v>
      </c>
      <c r="AB103" s="479">
        <f t="shared" si="63"/>
        <v>0</v>
      </c>
      <c r="AC103" s="499">
        <v>0</v>
      </c>
      <c r="AD103" s="499">
        <v>0</v>
      </c>
      <c r="AE103" s="479">
        <f t="shared" si="64"/>
        <v>0</v>
      </c>
    </row>
    <row r="104" spans="1:31" s="434" customFormat="1" ht="23.1" customHeight="1">
      <c r="A104" s="474"/>
      <c r="B104" s="457"/>
      <c r="C104" s="585"/>
      <c r="D104" s="582" t="s">
        <v>168</v>
      </c>
      <c r="E104" s="586">
        <v>1.994</v>
      </c>
      <c r="F104" s="586">
        <v>1.994</v>
      </c>
      <c r="G104" s="580">
        <f t="shared" si="56"/>
        <v>0</v>
      </c>
      <c r="H104" s="586">
        <v>0.58599999999999997</v>
      </c>
      <c r="I104" s="586">
        <v>0.58599999999999997</v>
      </c>
      <c r="J104" s="580">
        <f t="shared" si="57"/>
        <v>0</v>
      </c>
      <c r="K104" s="586">
        <v>0</v>
      </c>
      <c r="L104" s="586">
        <v>0</v>
      </c>
      <c r="M104" s="580">
        <f t="shared" si="58"/>
        <v>0</v>
      </c>
      <c r="N104" s="586">
        <v>1.4</v>
      </c>
      <c r="O104" s="586">
        <v>1.1100000000000001</v>
      </c>
      <c r="P104" s="580">
        <f t="shared" si="59"/>
        <v>-0.28999999999999981</v>
      </c>
      <c r="Q104" s="586">
        <v>4.66</v>
      </c>
      <c r="R104" s="586">
        <v>4.49</v>
      </c>
      <c r="S104" s="580">
        <f t="shared" si="60"/>
        <v>-0.16999999999999993</v>
      </c>
      <c r="T104" s="586">
        <v>1.24</v>
      </c>
      <c r="U104" s="586">
        <v>2.6</v>
      </c>
      <c r="V104" s="580">
        <f t="shared" si="61"/>
        <v>1.36</v>
      </c>
      <c r="W104" s="586">
        <v>0</v>
      </c>
      <c r="X104" s="586">
        <v>0</v>
      </c>
      <c r="Y104" s="580">
        <f t="shared" si="62"/>
        <v>0</v>
      </c>
      <c r="Z104" s="587">
        <v>3.2730000000000001</v>
      </c>
      <c r="AA104" s="587">
        <v>3.2730000000000001</v>
      </c>
      <c r="AB104" s="479">
        <f t="shared" si="63"/>
        <v>0</v>
      </c>
      <c r="AC104" s="587">
        <v>25</v>
      </c>
      <c r="AD104" s="587">
        <v>25</v>
      </c>
      <c r="AE104" s="479">
        <f t="shared" si="64"/>
        <v>0</v>
      </c>
    </row>
    <row r="105" spans="1:31" s="434" customFormat="1" ht="23.1" customHeight="1">
      <c r="A105" s="474"/>
      <c r="B105" s="457"/>
      <c r="C105" s="585"/>
      <c r="D105" s="582" t="s">
        <v>169</v>
      </c>
      <c r="E105" s="586">
        <v>1.9339999999999999</v>
      </c>
      <c r="F105" s="586">
        <v>1.9339999999999999</v>
      </c>
      <c r="G105" s="580">
        <f t="shared" si="56"/>
        <v>0</v>
      </c>
      <c r="H105" s="586">
        <v>0.58599999999999997</v>
      </c>
      <c r="I105" s="586">
        <v>0.58599999999999997</v>
      </c>
      <c r="J105" s="580">
        <f t="shared" si="57"/>
        <v>0</v>
      </c>
      <c r="K105" s="586">
        <v>0</v>
      </c>
      <c r="L105" s="586">
        <v>0</v>
      </c>
      <c r="M105" s="580">
        <f t="shared" si="58"/>
        <v>0</v>
      </c>
      <c r="N105" s="586">
        <v>1.4</v>
      </c>
      <c r="O105" s="586">
        <v>1.1100000000000001</v>
      </c>
      <c r="P105" s="580">
        <f t="shared" si="59"/>
        <v>-0.28999999999999981</v>
      </c>
      <c r="Q105" s="586">
        <v>4.66</v>
      </c>
      <c r="R105" s="586">
        <v>4.49</v>
      </c>
      <c r="S105" s="580">
        <f t="shared" si="60"/>
        <v>-0.16999999999999993</v>
      </c>
      <c r="T105" s="586">
        <v>1.24</v>
      </c>
      <c r="U105" s="586">
        <v>2.6</v>
      </c>
      <c r="V105" s="580">
        <f t="shared" si="61"/>
        <v>1.36</v>
      </c>
      <c r="W105" s="586">
        <v>0</v>
      </c>
      <c r="X105" s="586">
        <v>0</v>
      </c>
      <c r="Y105" s="580">
        <f t="shared" si="62"/>
        <v>0</v>
      </c>
      <c r="Z105" s="587">
        <v>3.2730000000000001</v>
      </c>
      <c r="AA105" s="587">
        <v>3.2730000000000001</v>
      </c>
      <c r="AB105" s="479">
        <f t="shared" si="63"/>
        <v>0</v>
      </c>
      <c r="AC105" s="587">
        <v>20</v>
      </c>
      <c r="AD105" s="587">
        <v>20</v>
      </c>
      <c r="AE105" s="479">
        <f t="shared" si="64"/>
        <v>0</v>
      </c>
    </row>
    <row r="106" spans="1:31" s="434" customFormat="1" ht="23.1" customHeight="1">
      <c r="A106" s="474"/>
      <c r="B106" s="457"/>
      <c r="C106" s="585"/>
      <c r="D106" s="556" t="s">
        <v>222</v>
      </c>
      <c r="E106" s="588">
        <v>104.236</v>
      </c>
      <c r="F106" s="588">
        <v>104.236</v>
      </c>
      <c r="G106" s="479">
        <f t="shared" si="56"/>
        <v>0</v>
      </c>
      <c r="H106" s="588">
        <v>89.554000000000002</v>
      </c>
      <c r="I106" s="588">
        <v>89.554000000000002</v>
      </c>
      <c r="J106" s="479">
        <f t="shared" si="57"/>
        <v>0</v>
      </c>
      <c r="K106" s="588">
        <v>42.02</v>
      </c>
      <c r="L106" s="588">
        <v>42.02</v>
      </c>
      <c r="M106" s="479">
        <f t="shared" si="58"/>
        <v>0</v>
      </c>
      <c r="N106" s="588">
        <v>15.4</v>
      </c>
      <c r="O106" s="588">
        <v>15.4</v>
      </c>
      <c r="P106" s="479">
        <f t="shared" si="59"/>
        <v>0</v>
      </c>
      <c r="Q106" s="588">
        <v>0</v>
      </c>
      <c r="R106" s="588">
        <v>0</v>
      </c>
      <c r="S106" s="479">
        <f t="shared" si="60"/>
        <v>0</v>
      </c>
      <c r="T106" s="588">
        <v>0</v>
      </c>
      <c r="U106" s="588">
        <v>0</v>
      </c>
      <c r="V106" s="479">
        <f t="shared" si="61"/>
        <v>0</v>
      </c>
      <c r="W106" s="588">
        <v>0</v>
      </c>
      <c r="X106" s="588">
        <v>0</v>
      </c>
      <c r="Y106" s="479">
        <f t="shared" si="62"/>
        <v>0</v>
      </c>
      <c r="Z106" s="588">
        <v>15</v>
      </c>
      <c r="AA106" s="588">
        <v>15</v>
      </c>
      <c r="AB106" s="479">
        <f t="shared" si="63"/>
        <v>0</v>
      </c>
      <c r="AC106" s="588">
        <v>24</v>
      </c>
      <c r="AD106" s="588">
        <v>24</v>
      </c>
      <c r="AE106" s="479">
        <f t="shared" si="64"/>
        <v>0</v>
      </c>
    </row>
    <row r="107" spans="1:31" s="434" customFormat="1" ht="23.1" customHeight="1" thickBot="1">
      <c r="A107" s="474"/>
      <c r="B107" s="457"/>
      <c r="C107" s="585"/>
      <c r="D107" s="556" t="s">
        <v>223</v>
      </c>
      <c r="E107" s="575">
        <v>47.783999999999999</v>
      </c>
      <c r="F107" s="575">
        <v>47.783999999999999</v>
      </c>
      <c r="G107" s="479">
        <f t="shared" si="56"/>
        <v>0</v>
      </c>
      <c r="H107" s="575">
        <v>76.533000000000001</v>
      </c>
      <c r="I107" s="575">
        <v>76.533000000000001</v>
      </c>
      <c r="J107" s="479">
        <f t="shared" si="57"/>
        <v>0</v>
      </c>
      <c r="K107" s="575">
        <v>46.363999999999997</v>
      </c>
      <c r="L107" s="575">
        <v>46.363999999999997</v>
      </c>
      <c r="M107" s="479">
        <f t="shared" si="58"/>
        <v>0</v>
      </c>
      <c r="N107" s="575">
        <v>0</v>
      </c>
      <c r="O107" s="575">
        <v>0</v>
      </c>
      <c r="P107" s="479">
        <f t="shared" si="59"/>
        <v>0</v>
      </c>
      <c r="Q107" s="575">
        <v>0</v>
      </c>
      <c r="R107" s="575">
        <v>0</v>
      </c>
      <c r="S107" s="479">
        <f t="shared" si="60"/>
        <v>0</v>
      </c>
      <c r="T107" s="575">
        <v>0</v>
      </c>
      <c r="U107" s="575">
        <v>0</v>
      </c>
      <c r="V107" s="479">
        <f t="shared" si="61"/>
        <v>0</v>
      </c>
      <c r="W107" s="575">
        <v>0</v>
      </c>
      <c r="X107" s="575">
        <v>0</v>
      </c>
      <c r="Y107" s="479">
        <f t="shared" si="62"/>
        <v>0</v>
      </c>
      <c r="Z107" s="575">
        <v>20</v>
      </c>
      <c r="AA107" s="575">
        <v>20</v>
      </c>
      <c r="AB107" s="479">
        <f t="shared" si="63"/>
        <v>0</v>
      </c>
      <c r="AC107" s="575">
        <v>25</v>
      </c>
      <c r="AD107" s="575">
        <v>25</v>
      </c>
      <c r="AE107" s="479">
        <f t="shared" si="64"/>
        <v>0</v>
      </c>
    </row>
    <row r="108" spans="1:31" ht="22.5" hidden="1" customHeight="1" thickBot="1">
      <c r="A108" s="513"/>
      <c r="B108" s="467"/>
      <c r="C108" s="589">
        <v>100145808</v>
      </c>
      <c r="D108" s="590" t="s">
        <v>84</v>
      </c>
      <c r="E108" s="591">
        <v>0</v>
      </c>
      <c r="F108" s="591">
        <v>0</v>
      </c>
      <c r="G108" s="494">
        <f t="shared" si="56"/>
        <v>0</v>
      </c>
      <c r="H108" s="591">
        <v>0</v>
      </c>
      <c r="I108" s="591">
        <v>0</v>
      </c>
      <c r="J108" s="494">
        <f t="shared" si="57"/>
        <v>0</v>
      </c>
      <c r="K108" s="591">
        <v>0</v>
      </c>
      <c r="L108" s="591">
        <v>0</v>
      </c>
      <c r="M108" s="494">
        <f t="shared" si="58"/>
        <v>0</v>
      </c>
      <c r="N108" s="591">
        <v>0</v>
      </c>
      <c r="O108" s="591">
        <v>0</v>
      </c>
      <c r="P108" s="494">
        <f t="shared" si="59"/>
        <v>0</v>
      </c>
      <c r="Q108" s="591">
        <v>0</v>
      </c>
      <c r="R108" s="591">
        <v>0</v>
      </c>
      <c r="S108" s="494">
        <f t="shared" si="60"/>
        <v>0</v>
      </c>
      <c r="T108" s="591">
        <v>0</v>
      </c>
      <c r="U108" s="591">
        <v>0</v>
      </c>
      <c r="V108" s="494">
        <f t="shared" si="61"/>
        <v>0</v>
      </c>
      <c r="W108" s="591">
        <v>0</v>
      </c>
      <c r="X108" s="591">
        <v>0</v>
      </c>
      <c r="Y108" s="494">
        <f t="shared" si="62"/>
        <v>0</v>
      </c>
      <c r="Z108" s="591">
        <v>0</v>
      </c>
      <c r="AA108" s="591">
        <v>0</v>
      </c>
      <c r="AB108" s="494">
        <f t="shared" si="63"/>
        <v>0</v>
      </c>
      <c r="AC108" s="591">
        <v>0</v>
      </c>
      <c r="AD108" s="591">
        <v>0</v>
      </c>
      <c r="AE108" s="494">
        <f t="shared" si="64"/>
        <v>0</v>
      </c>
    </row>
    <row r="109" spans="1:31" ht="20.100000000000001" customHeight="1" thickBot="1">
      <c r="A109" s="513"/>
      <c r="B109" s="592"/>
      <c r="C109" s="593"/>
      <c r="D109" s="594" t="s">
        <v>33</v>
      </c>
      <c r="E109" s="595">
        <f>SUM(E71:E108)</f>
        <v>1504.2540000000001</v>
      </c>
      <c r="F109" s="595">
        <f>SUM(F71:F108)</f>
        <v>1504.2540000000001</v>
      </c>
      <c r="G109" s="494">
        <f t="shared" si="56"/>
        <v>0</v>
      </c>
      <c r="H109" s="520">
        <f t="shared" ref="H109:I109" si="68">SUM(H75,H79,H80,H81,H82,H83,H84,H87,H90,H91,H92,H93,H94,H95,H96,H97,H98,H99,H100,H101,H102,H103,H104,H105,H106,H107)</f>
        <v>926.73200000000008</v>
      </c>
      <c r="I109" s="520">
        <f t="shared" si="68"/>
        <v>926.73200000000008</v>
      </c>
      <c r="J109" s="494">
        <f t="shared" si="57"/>
        <v>0</v>
      </c>
      <c r="K109" s="595">
        <f>SUM(K71:K108)</f>
        <v>1391.4390000000003</v>
      </c>
      <c r="L109" s="595">
        <f>SUM(L71:L108)</f>
        <v>1391.4390000000003</v>
      </c>
      <c r="M109" s="494">
        <f t="shared" si="58"/>
        <v>0</v>
      </c>
      <c r="N109" s="595">
        <f>SUM(N71:N108)</f>
        <v>1283.5550000000003</v>
      </c>
      <c r="O109" s="595">
        <f>SUM(O71:O108)</f>
        <v>1289.9859999999996</v>
      </c>
      <c r="P109" s="494">
        <f t="shared" si="59"/>
        <v>6.4309999999993579</v>
      </c>
      <c r="Q109" s="595">
        <f>SUM(Q71:Q108)</f>
        <v>1168.0500000000004</v>
      </c>
      <c r="R109" s="595">
        <f>SUM(R71:R108)</f>
        <v>1124.5600000000002</v>
      </c>
      <c r="S109" s="494">
        <f t="shared" si="60"/>
        <v>-43.490000000000236</v>
      </c>
      <c r="T109" s="595">
        <f>SUM(T71:T108)</f>
        <v>1287.9140000000002</v>
      </c>
      <c r="U109" s="595">
        <f>SUM(U71:U108)</f>
        <v>1204.434</v>
      </c>
      <c r="V109" s="494">
        <f t="shared" si="61"/>
        <v>-83.480000000000246</v>
      </c>
      <c r="W109" s="595">
        <f>SUM(W71:W108)</f>
        <v>1509.9399999999998</v>
      </c>
      <c r="X109" s="595">
        <f>SUM(X71:X108)</f>
        <v>1512.7859999999998</v>
      </c>
      <c r="Y109" s="494">
        <f t="shared" si="62"/>
        <v>2.8460000000000036</v>
      </c>
      <c r="Z109" s="595">
        <f>SUM(Z71:Z108)</f>
        <v>1380.6419999999998</v>
      </c>
      <c r="AA109" s="595">
        <f>SUM(AA71:AA108)</f>
        <v>1411.7959999999998</v>
      </c>
      <c r="AB109" s="494">
        <f t="shared" si="63"/>
        <v>31.153999999999996</v>
      </c>
      <c r="AC109" s="595">
        <f>SUM(AC71:AC108)</f>
        <v>1155.82</v>
      </c>
      <c r="AD109" s="595">
        <f>SUM(AD71:AD108)</f>
        <v>1191.32</v>
      </c>
      <c r="AE109" s="494">
        <f t="shared" si="64"/>
        <v>35.5</v>
      </c>
    </row>
    <row r="110" spans="1:31" ht="23.1" customHeight="1">
      <c r="A110" s="456">
        <v>4</v>
      </c>
      <c r="B110" s="457" t="s">
        <v>53</v>
      </c>
      <c r="C110" s="529">
        <v>100173213</v>
      </c>
      <c r="D110" s="483" t="s">
        <v>85</v>
      </c>
      <c r="E110" s="478">
        <v>0</v>
      </c>
      <c r="F110" s="478">
        <v>0</v>
      </c>
      <c r="G110" s="479">
        <f t="shared" si="56"/>
        <v>0</v>
      </c>
      <c r="H110" s="478">
        <v>0</v>
      </c>
      <c r="I110" s="478">
        <v>0</v>
      </c>
      <c r="J110" s="479">
        <f t="shared" si="57"/>
        <v>0</v>
      </c>
      <c r="K110" s="478">
        <v>0</v>
      </c>
      <c r="L110" s="478">
        <v>0</v>
      </c>
      <c r="M110" s="479">
        <f t="shared" si="58"/>
        <v>0</v>
      </c>
      <c r="N110" s="478">
        <v>0</v>
      </c>
      <c r="O110" s="478">
        <v>0</v>
      </c>
      <c r="P110" s="479">
        <f t="shared" si="59"/>
        <v>0</v>
      </c>
      <c r="Q110" s="478">
        <v>0</v>
      </c>
      <c r="R110" s="478">
        <v>0</v>
      </c>
      <c r="S110" s="479">
        <f t="shared" si="60"/>
        <v>0</v>
      </c>
      <c r="T110" s="478">
        <v>0</v>
      </c>
      <c r="U110" s="478">
        <v>0</v>
      </c>
      <c r="V110" s="479">
        <f t="shared" si="61"/>
        <v>0</v>
      </c>
      <c r="W110" s="478">
        <v>0</v>
      </c>
      <c r="X110" s="478">
        <v>0</v>
      </c>
      <c r="Y110" s="479">
        <f t="shared" si="62"/>
        <v>0</v>
      </c>
      <c r="Z110" s="478">
        <v>0</v>
      </c>
      <c r="AA110" s="478">
        <v>0</v>
      </c>
      <c r="AB110" s="479">
        <f t="shared" si="63"/>
        <v>0</v>
      </c>
      <c r="AC110" s="478">
        <v>0</v>
      </c>
      <c r="AD110" s="478">
        <v>0</v>
      </c>
      <c r="AE110" s="479">
        <f t="shared" si="64"/>
        <v>0</v>
      </c>
    </row>
    <row r="111" spans="1:31" ht="23.1" customHeight="1">
      <c r="A111" s="456"/>
      <c r="B111" s="457"/>
      <c r="C111" s="460">
        <v>100172064</v>
      </c>
      <c r="D111" s="477" t="s">
        <v>86</v>
      </c>
      <c r="E111" s="478">
        <v>0</v>
      </c>
      <c r="F111" s="478">
        <v>0</v>
      </c>
      <c r="G111" s="479">
        <f t="shared" si="56"/>
        <v>0</v>
      </c>
      <c r="H111" s="478">
        <v>0</v>
      </c>
      <c r="I111" s="478">
        <v>0</v>
      </c>
      <c r="J111" s="479">
        <f t="shared" si="57"/>
        <v>0</v>
      </c>
      <c r="K111" s="478">
        <v>34.368000000000002</v>
      </c>
      <c r="L111" s="478">
        <v>34.368000000000002</v>
      </c>
      <c r="M111" s="479">
        <f t="shared" si="58"/>
        <v>0</v>
      </c>
      <c r="N111" s="478">
        <v>14.96</v>
      </c>
      <c r="O111" s="478">
        <v>14.96</v>
      </c>
      <c r="P111" s="479">
        <f t="shared" si="59"/>
        <v>0</v>
      </c>
      <c r="Q111" s="478">
        <v>0</v>
      </c>
      <c r="R111" s="478">
        <v>0</v>
      </c>
      <c r="S111" s="479">
        <f t="shared" si="60"/>
        <v>0</v>
      </c>
      <c r="T111" s="478">
        <v>0</v>
      </c>
      <c r="U111" s="478">
        <v>0</v>
      </c>
      <c r="V111" s="479">
        <f t="shared" si="61"/>
        <v>0</v>
      </c>
      <c r="W111" s="478">
        <v>0</v>
      </c>
      <c r="X111" s="478">
        <v>0</v>
      </c>
      <c r="Y111" s="479">
        <f t="shared" si="62"/>
        <v>0</v>
      </c>
      <c r="Z111" s="478">
        <v>0</v>
      </c>
      <c r="AA111" s="478">
        <v>0</v>
      </c>
      <c r="AB111" s="479">
        <f t="shared" si="63"/>
        <v>0</v>
      </c>
      <c r="AC111" s="478">
        <v>0</v>
      </c>
      <c r="AD111" s="478">
        <v>0</v>
      </c>
      <c r="AE111" s="479">
        <f t="shared" si="64"/>
        <v>0</v>
      </c>
    </row>
    <row r="112" spans="1:31" s="434" customFormat="1" ht="23.1" customHeight="1">
      <c r="A112" s="459"/>
      <c r="B112" s="457"/>
      <c r="C112" s="460">
        <v>100195737</v>
      </c>
      <c r="D112" s="477" t="s">
        <v>87</v>
      </c>
      <c r="E112" s="499">
        <v>127.16</v>
      </c>
      <c r="F112" s="499">
        <v>127.16</v>
      </c>
      <c r="G112" s="479">
        <f t="shared" si="56"/>
        <v>0</v>
      </c>
      <c r="H112" s="499">
        <v>129.88800000000001</v>
      </c>
      <c r="I112" s="499">
        <v>129.88800000000001</v>
      </c>
      <c r="J112" s="479">
        <f t="shared" si="57"/>
        <v>0</v>
      </c>
      <c r="K112" s="499">
        <v>16.763999999999999</v>
      </c>
      <c r="L112" s="499">
        <v>16.763999999999999</v>
      </c>
      <c r="M112" s="479">
        <f t="shared" si="58"/>
        <v>0</v>
      </c>
      <c r="N112" s="499">
        <v>85</v>
      </c>
      <c r="O112" s="499">
        <v>85.588999999999999</v>
      </c>
      <c r="P112" s="479">
        <f t="shared" si="59"/>
        <v>0.58899999999999864</v>
      </c>
      <c r="Q112" s="499">
        <v>76.650000000000006</v>
      </c>
      <c r="R112" s="499">
        <v>76.3</v>
      </c>
      <c r="S112" s="479">
        <f t="shared" si="60"/>
        <v>-0.35000000000000853</v>
      </c>
      <c r="T112" s="499">
        <v>83.95</v>
      </c>
      <c r="U112" s="499">
        <v>83.95</v>
      </c>
      <c r="V112" s="479">
        <f t="shared" si="61"/>
        <v>0</v>
      </c>
      <c r="W112" s="499">
        <v>68.400000000000006</v>
      </c>
      <c r="X112" s="499">
        <v>68.400000000000006</v>
      </c>
      <c r="Y112" s="479">
        <f t="shared" si="62"/>
        <v>0</v>
      </c>
      <c r="Z112" s="499">
        <v>57.6</v>
      </c>
      <c r="AA112" s="499">
        <v>57.6</v>
      </c>
      <c r="AB112" s="479">
        <f t="shared" si="63"/>
        <v>0</v>
      </c>
      <c r="AC112" s="499">
        <v>61.2</v>
      </c>
      <c r="AD112" s="499">
        <v>61.2</v>
      </c>
      <c r="AE112" s="479">
        <f t="shared" si="64"/>
        <v>0</v>
      </c>
    </row>
    <row r="113" spans="1:31" ht="23.1" customHeight="1">
      <c r="A113" s="456"/>
      <c r="B113" s="457"/>
      <c r="C113" s="458">
        <v>100243304</v>
      </c>
      <c r="D113" s="477" t="s">
        <v>88</v>
      </c>
      <c r="E113" s="499">
        <v>271.39999999999998</v>
      </c>
      <c r="F113" s="499">
        <v>271.39999999999998</v>
      </c>
      <c r="G113" s="479">
        <f t="shared" si="56"/>
        <v>0</v>
      </c>
      <c r="H113" s="499">
        <v>260.39999999999998</v>
      </c>
      <c r="I113" s="499">
        <v>260.39999999999998</v>
      </c>
      <c r="J113" s="479">
        <f t="shared" si="57"/>
        <v>0</v>
      </c>
      <c r="K113" s="499">
        <v>85.55</v>
      </c>
      <c r="L113" s="499">
        <v>85.55</v>
      </c>
      <c r="M113" s="479">
        <f t="shared" si="58"/>
        <v>0</v>
      </c>
      <c r="N113" s="499">
        <v>85.85</v>
      </c>
      <c r="O113" s="499">
        <v>85.85</v>
      </c>
      <c r="P113" s="479">
        <f t="shared" si="59"/>
        <v>0</v>
      </c>
      <c r="Q113" s="499">
        <v>43.8</v>
      </c>
      <c r="R113" s="499">
        <v>43.8</v>
      </c>
      <c r="S113" s="479">
        <f t="shared" si="60"/>
        <v>0</v>
      </c>
      <c r="T113" s="499">
        <v>50</v>
      </c>
      <c r="U113" s="499">
        <v>50</v>
      </c>
      <c r="V113" s="479">
        <f t="shared" si="61"/>
        <v>0</v>
      </c>
      <c r="W113" s="499">
        <v>154</v>
      </c>
      <c r="X113" s="499">
        <v>154</v>
      </c>
      <c r="Y113" s="479">
        <f t="shared" si="62"/>
        <v>0</v>
      </c>
      <c r="Z113" s="499">
        <v>86.4</v>
      </c>
      <c r="AA113" s="499">
        <v>86.4</v>
      </c>
      <c r="AB113" s="479">
        <f t="shared" si="63"/>
        <v>0</v>
      </c>
      <c r="AC113" s="499">
        <v>86.4</v>
      </c>
      <c r="AD113" s="499">
        <v>86.4</v>
      </c>
      <c r="AE113" s="479">
        <f t="shared" si="64"/>
        <v>0</v>
      </c>
    </row>
    <row r="114" spans="1:31" s="434" customFormat="1" ht="22.5" customHeight="1">
      <c r="A114" s="459"/>
      <c r="B114" s="457"/>
      <c r="C114" s="460" t="s">
        <v>59</v>
      </c>
      <c r="D114" s="477" t="s">
        <v>89</v>
      </c>
      <c r="E114" s="499">
        <v>752.02499999999998</v>
      </c>
      <c r="F114" s="499">
        <v>752.02499999999998</v>
      </c>
      <c r="G114" s="479">
        <f t="shared" si="56"/>
        <v>0</v>
      </c>
      <c r="H114" s="499">
        <v>771.57</v>
      </c>
      <c r="I114" s="499">
        <v>771.57</v>
      </c>
      <c r="J114" s="479">
        <f t="shared" si="57"/>
        <v>0</v>
      </c>
      <c r="K114" s="499">
        <v>646.37099999999998</v>
      </c>
      <c r="L114" s="499">
        <v>646.37099999999998</v>
      </c>
      <c r="M114" s="479">
        <f t="shared" si="58"/>
        <v>0</v>
      </c>
      <c r="N114" s="499">
        <v>473</v>
      </c>
      <c r="O114" s="499">
        <v>475.08199999999999</v>
      </c>
      <c r="P114" s="479">
        <f t="shared" si="59"/>
        <v>2.0819999999999936</v>
      </c>
      <c r="Q114" s="499">
        <v>471</v>
      </c>
      <c r="R114" s="499">
        <v>421</v>
      </c>
      <c r="S114" s="479">
        <f t="shared" si="60"/>
        <v>-50</v>
      </c>
      <c r="T114" s="499">
        <v>396</v>
      </c>
      <c r="U114" s="499">
        <v>346</v>
      </c>
      <c r="V114" s="479">
        <f t="shared" si="61"/>
        <v>-50</v>
      </c>
      <c r="W114" s="499">
        <v>418</v>
      </c>
      <c r="X114" s="499">
        <v>418</v>
      </c>
      <c r="Y114" s="479">
        <f t="shared" si="62"/>
        <v>0</v>
      </c>
      <c r="Z114" s="499">
        <v>396</v>
      </c>
      <c r="AA114" s="499">
        <v>396</v>
      </c>
      <c r="AB114" s="479">
        <f t="shared" si="63"/>
        <v>0</v>
      </c>
      <c r="AC114" s="499">
        <v>388</v>
      </c>
      <c r="AD114" s="499">
        <v>388</v>
      </c>
      <c r="AE114" s="479">
        <f t="shared" si="64"/>
        <v>0</v>
      </c>
    </row>
    <row r="115" spans="1:31" s="434" customFormat="1" ht="23.1" customHeight="1" thickBot="1">
      <c r="A115" s="459"/>
      <c r="B115" s="457"/>
      <c r="C115" s="596"/>
      <c r="D115" s="477" t="s">
        <v>135</v>
      </c>
      <c r="E115" s="499">
        <v>446.95</v>
      </c>
      <c r="F115" s="499">
        <v>446.95</v>
      </c>
      <c r="G115" s="479">
        <f t="shared" ref="G115" si="69">F115-E115</f>
        <v>0</v>
      </c>
      <c r="H115" s="499">
        <v>463.1</v>
      </c>
      <c r="I115" s="499">
        <v>463.1</v>
      </c>
      <c r="J115" s="479">
        <f t="shared" ref="J115" si="70">I115-H115</f>
        <v>0</v>
      </c>
      <c r="K115" s="499">
        <v>467.51499999999999</v>
      </c>
      <c r="L115" s="499">
        <v>467.51499999999999</v>
      </c>
      <c r="M115" s="479">
        <f t="shared" ref="M115" si="71">L115-K115</f>
        <v>0</v>
      </c>
      <c r="N115" s="499">
        <v>256.3</v>
      </c>
      <c r="O115" s="499">
        <v>257.95</v>
      </c>
      <c r="P115" s="479">
        <f t="shared" ref="P115" si="72">O115-N115</f>
        <v>1.6499999999999773</v>
      </c>
      <c r="Q115" s="499">
        <v>499.2</v>
      </c>
      <c r="R115" s="499">
        <v>499.2</v>
      </c>
      <c r="S115" s="479">
        <f t="shared" ref="S115" si="73">R115-Q115</f>
        <v>0</v>
      </c>
      <c r="T115" s="499">
        <v>603.20000000000005</v>
      </c>
      <c r="U115" s="499">
        <v>603.20000000000005</v>
      </c>
      <c r="V115" s="479">
        <f t="shared" ref="V115" si="74">U115-T115</f>
        <v>0</v>
      </c>
      <c r="W115" s="499">
        <v>705.4</v>
      </c>
      <c r="X115" s="499">
        <v>705.4</v>
      </c>
      <c r="Y115" s="479">
        <f t="shared" ref="Y115" si="75">X115-W115</f>
        <v>0</v>
      </c>
      <c r="Z115" s="499">
        <v>704</v>
      </c>
      <c r="AA115" s="499">
        <v>704</v>
      </c>
      <c r="AB115" s="479">
        <f t="shared" ref="AB115" si="76">AA115-Z115</f>
        <v>0</v>
      </c>
      <c r="AC115" s="499">
        <v>648</v>
      </c>
      <c r="AD115" s="499">
        <v>648</v>
      </c>
      <c r="AE115" s="479">
        <f t="shared" ref="AE115" si="77">AD115-AC115</f>
        <v>0</v>
      </c>
    </row>
    <row r="116" spans="1:31" s="434" customFormat="1" ht="23.1" customHeight="1" thickBot="1">
      <c r="A116" s="459"/>
      <c r="B116" s="457"/>
      <c r="C116" s="596"/>
      <c r="D116" s="597" t="s">
        <v>270</v>
      </c>
      <c r="E116" s="598">
        <v>446.95</v>
      </c>
      <c r="F116" s="598">
        <v>446.95</v>
      </c>
      <c r="G116" s="599">
        <f t="shared" si="56"/>
        <v>0</v>
      </c>
      <c r="H116" s="598">
        <v>0</v>
      </c>
      <c r="I116" s="598">
        <v>0</v>
      </c>
      <c r="J116" s="599">
        <f t="shared" si="57"/>
        <v>0</v>
      </c>
      <c r="K116" s="600">
        <v>0.01</v>
      </c>
      <c r="L116" s="600">
        <v>0.01</v>
      </c>
      <c r="M116" s="599">
        <f t="shared" si="58"/>
        <v>0</v>
      </c>
      <c r="N116" s="601">
        <v>0.26500000000000001</v>
      </c>
      <c r="O116" s="601">
        <v>0.26500000000000001</v>
      </c>
      <c r="P116" s="599">
        <f t="shared" si="59"/>
        <v>0</v>
      </c>
      <c r="Q116" s="600">
        <v>5.0000000000000001E-3</v>
      </c>
      <c r="R116" s="601">
        <v>5.0000000000000001E-3</v>
      </c>
      <c r="S116" s="599">
        <f t="shared" si="60"/>
        <v>0</v>
      </c>
      <c r="T116" s="601">
        <v>0</v>
      </c>
      <c r="U116" s="601">
        <v>0</v>
      </c>
      <c r="V116" s="599">
        <f t="shared" si="61"/>
        <v>0</v>
      </c>
      <c r="W116" s="601">
        <v>0</v>
      </c>
      <c r="X116" s="601">
        <v>0</v>
      </c>
      <c r="Y116" s="599">
        <f t="shared" si="62"/>
        <v>0</v>
      </c>
      <c r="Z116" s="601">
        <v>0</v>
      </c>
      <c r="AA116" s="601">
        <v>0</v>
      </c>
      <c r="AB116" s="599">
        <f t="shared" si="63"/>
        <v>0</v>
      </c>
      <c r="AC116" s="601">
        <v>0</v>
      </c>
      <c r="AD116" s="601">
        <v>0</v>
      </c>
      <c r="AE116" s="599">
        <f t="shared" si="64"/>
        <v>0</v>
      </c>
    </row>
    <row r="117" spans="1:31" s="434" customFormat="1" ht="16.5" thickBot="1">
      <c r="A117" s="466"/>
      <c r="B117" s="467"/>
      <c r="C117" s="602"/>
      <c r="D117" s="603" t="s">
        <v>51</v>
      </c>
      <c r="E117" s="591">
        <f>SUM(E110:E116)</f>
        <v>2044.4850000000001</v>
      </c>
      <c r="F117" s="591">
        <f>SUM(F110:F116)</f>
        <v>2044.4850000000001</v>
      </c>
      <c r="G117" s="494">
        <f t="shared" si="56"/>
        <v>0</v>
      </c>
      <c r="H117" s="591">
        <f>SUM(H110:H116)</f>
        <v>1624.9580000000001</v>
      </c>
      <c r="I117" s="591">
        <f>SUM(I110:I116)</f>
        <v>1624.9580000000001</v>
      </c>
      <c r="J117" s="494">
        <f t="shared" si="57"/>
        <v>0</v>
      </c>
      <c r="K117" s="591">
        <f>SUM(K110:K116)</f>
        <v>1250.578</v>
      </c>
      <c r="L117" s="591">
        <f>SUM(L110:L116)</f>
        <v>1250.578</v>
      </c>
      <c r="M117" s="494">
        <f t="shared" si="58"/>
        <v>0</v>
      </c>
      <c r="N117" s="591">
        <f>SUM(N110:N116)</f>
        <v>915.37499999999989</v>
      </c>
      <c r="O117" s="591">
        <f>SUM(O110:O116)</f>
        <v>919.69600000000003</v>
      </c>
      <c r="P117" s="494">
        <f t="shared" si="59"/>
        <v>4.3210000000001401</v>
      </c>
      <c r="Q117" s="591">
        <f>SUM(Q110:Q116)</f>
        <v>1090.6550000000002</v>
      </c>
      <c r="R117" s="591">
        <f>SUM(R110:R116)</f>
        <v>1040.3050000000001</v>
      </c>
      <c r="S117" s="494">
        <f t="shared" si="60"/>
        <v>-50.350000000000136</v>
      </c>
      <c r="T117" s="591">
        <f>SUM(T110:T116)</f>
        <v>1133.1500000000001</v>
      </c>
      <c r="U117" s="591">
        <f>SUM(U110:U116)</f>
        <v>1083.1500000000001</v>
      </c>
      <c r="V117" s="494">
        <f t="shared" si="61"/>
        <v>-50</v>
      </c>
      <c r="W117" s="591">
        <f>SUM(W110:W116)</f>
        <v>1345.8</v>
      </c>
      <c r="X117" s="591">
        <f>SUM(X110:X116)</f>
        <v>1345.8</v>
      </c>
      <c r="Y117" s="494">
        <f t="shared" si="62"/>
        <v>0</v>
      </c>
      <c r="Z117" s="591">
        <f>SUM(Z110:Z116)</f>
        <v>1244</v>
      </c>
      <c r="AA117" s="591">
        <f>SUM(AA110:AA116)</f>
        <v>1244</v>
      </c>
      <c r="AB117" s="494">
        <f t="shared" si="63"/>
        <v>0</v>
      </c>
      <c r="AC117" s="591">
        <f>SUM(AC110:AC116)</f>
        <v>1183.5999999999999</v>
      </c>
      <c r="AD117" s="591">
        <f>SUM(AD110:AD116)</f>
        <v>1183.5999999999999</v>
      </c>
      <c r="AE117" s="494">
        <f t="shared" si="64"/>
        <v>0</v>
      </c>
    </row>
    <row r="118" spans="1:31" ht="20.100000000000001" hidden="1" customHeight="1" thickBot="1">
      <c r="B118" s="470"/>
      <c r="C118" s="470"/>
      <c r="D118" s="604"/>
      <c r="E118" s="605"/>
      <c r="F118" s="605"/>
      <c r="G118" s="606"/>
      <c r="H118" s="605"/>
      <c r="I118" s="605"/>
      <c r="J118" s="606"/>
      <c r="K118" s="605"/>
      <c r="L118" s="605"/>
      <c r="M118" s="606"/>
      <c r="N118" s="605"/>
      <c r="O118" s="605"/>
      <c r="P118" s="606"/>
      <c r="Q118" s="605"/>
      <c r="R118" s="605"/>
      <c r="S118" s="606"/>
      <c r="T118" s="605"/>
      <c r="U118" s="605"/>
      <c r="V118" s="606"/>
      <c r="W118" s="605"/>
      <c r="X118" s="605"/>
      <c r="Y118" s="606"/>
      <c r="Z118" s="605"/>
      <c r="AA118" s="605"/>
      <c r="AB118" s="606"/>
      <c r="AC118" s="605"/>
      <c r="AD118" s="605"/>
      <c r="AE118" s="606"/>
    </row>
    <row r="119" spans="1:31" ht="23.1" hidden="1" customHeight="1">
      <c r="A119" s="607">
        <v>7</v>
      </c>
      <c r="B119" s="457" t="s">
        <v>54</v>
      </c>
      <c r="C119" s="529">
        <v>100075673</v>
      </c>
      <c r="D119" s="483" t="s">
        <v>38</v>
      </c>
      <c r="E119" s="478">
        <v>0</v>
      </c>
      <c r="F119" s="478">
        <v>0</v>
      </c>
      <c r="G119" s="567">
        <f t="shared" ref="G119:G128" si="78">F119-E119</f>
        <v>0</v>
      </c>
      <c r="H119" s="478">
        <v>0</v>
      </c>
      <c r="I119" s="478">
        <v>0</v>
      </c>
      <c r="J119" s="567">
        <f t="shared" ref="J119:J128" si="79">I119-H119</f>
        <v>0</v>
      </c>
      <c r="K119" s="478">
        <v>0</v>
      </c>
      <c r="L119" s="478">
        <v>0</v>
      </c>
      <c r="M119" s="567">
        <f t="shared" ref="M119:M128" si="80">L119-K119</f>
        <v>0</v>
      </c>
      <c r="N119" s="478">
        <v>0</v>
      </c>
      <c r="O119" s="478">
        <v>0</v>
      </c>
      <c r="P119" s="567">
        <f t="shared" ref="P119:P128" si="81">O119-N119</f>
        <v>0</v>
      </c>
      <c r="Q119" s="478">
        <v>0</v>
      </c>
      <c r="R119" s="478">
        <v>0</v>
      </c>
      <c r="S119" s="567">
        <f t="shared" ref="S119:S128" si="82">R119-Q119</f>
        <v>0</v>
      </c>
      <c r="T119" s="478">
        <v>0</v>
      </c>
      <c r="U119" s="478">
        <v>0</v>
      </c>
      <c r="V119" s="567">
        <f t="shared" ref="V119:V128" si="83">U119-T119</f>
        <v>0</v>
      </c>
      <c r="W119" s="478">
        <v>0</v>
      </c>
      <c r="X119" s="478">
        <v>0</v>
      </c>
      <c r="Y119" s="567">
        <f t="shared" ref="Y119:Y128" si="84">X119-W119</f>
        <v>0</v>
      </c>
      <c r="Z119" s="478">
        <v>0</v>
      </c>
      <c r="AA119" s="478">
        <v>0</v>
      </c>
      <c r="AB119" s="567">
        <f t="shared" ref="AB119:AB128" si="85">AA119-Z119</f>
        <v>0</v>
      </c>
      <c r="AC119" s="478">
        <v>0</v>
      </c>
      <c r="AD119" s="478">
        <v>0</v>
      </c>
      <c r="AE119" s="567">
        <f t="shared" ref="AE119:AE128" si="86">AD119-AC119</f>
        <v>0</v>
      </c>
    </row>
    <row r="120" spans="1:31" s="434" customFormat="1" ht="23.1" hidden="1" customHeight="1">
      <c r="A120" s="459"/>
      <c r="B120" s="457"/>
      <c r="C120" s="460">
        <v>100067506</v>
      </c>
      <c r="D120" s="477" t="s">
        <v>39</v>
      </c>
      <c r="E120" s="499">
        <v>0</v>
      </c>
      <c r="F120" s="499">
        <v>0</v>
      </c>
      <c r="G120" s="479">
        <f t="shared" si="78"/>
        <v>0</v>
      </c>
      <c r="H120" s="499">
        <v>0</v>
      </c>
      <c r="I120" s="499">
        <v>0</v>
      </c>
      <c r="J120" s="479">
        <f t="shared" si="79"/>
        <v>0</v>
      </c>
      <c r="K120" s="499">
        <v>0</v>
      </c>
      <c r="L120" s="499">
        <v>0</v>
      </c>
      <c r="M120" s="479">
        <f t="shared" si="80"/>
        <v>0</v>
      </c>
      <c r="N120" s="499">
        <v>0</v>
      </c>
      <c r="O120" s="499">
        <v>0</v>
      </c>
      <c r="P120" s="479">
        <f t="shared" si="81"/>
        <v>0</v>
      </c>
      <c r="Q120" s="499">
        <v>0</v>
      </c>
      <c r="R120" s="499">
        <v>0</v>
      </c>
      <c r="S120" s="479">
        <f t="shared" si="82"/>
        <v>0</v>
      </c>
      <c r="T120" s="499">
        <v>0</v>
      </c>
      <c r="U120" s="499">
        <v>0</v>
      </c>
      <c r="V120" s="479">
        <f t="shared" si="83"/>
        <v>0</v>
      </c>
      <c r="W120" s="499">
        <v>0</v>
      </c>
      <c r="X120" s="499">
        <v>0</v>
      </c>
      <c r="Y120" s="479">
        <f t="shared" si="84"/>
        <v>0</v>
      </c>
      <c r="Z120" s="499">
        <v>0</v>
      </c>
      <c r="AA120" s="499">
        <v>0</v>
      </c>
      <c r="AB120" s="479">
        <f t="shared" si="85"/>
        <v>0</v>
      </c>
      <c r="AC120" s="499">
        <v>0</v>
      </c>
      <c r="AD120" s="499">
        <v>0</v>
      </c>
      <c r="AE120" s="479">
        <f t="shared" si="86"/>
        <v>0</v>
      </c>
    </row>
    <row r="121" spans="1:31" ht="23.1" hidden="1" customHeight="1">
      <c r="A121" s="456"/>
      <c r="B121" s="457"/>
      <c r="C121" s="460">
        <v>100244754</v>
      </c>
      <c r="D121" s="477" t="s">
        <v>40</v>
      </c>
      <c r="E121" s="478">
        <v>0</v>
      </c>
      <c r="F121" s="478">
        <v>0</v>
      </c>
      <c r="G121" s="567">
        <f t="shared" si="78"/>
        <v>0</v>
      </c>
      <c r="H121" s="478">
        <v>0</v>
      </c>
      <c r="I121" s="478">
        <v>0</v>
      </c>
      <c r="J121" s="567">
        <f t="shared" si="79"/>
        <v>0</v>
      </c>
      <c r="K121" s="478">
        <v>0</v>
      </c>
      <c r="L121" s="478">
        <v>0</v>
      </c>
      <c r="M121" s="567">
        <f t="shared" si="80"/>
        <v>0</v>
      </c>
      <c r="N121" s="478">
        <v>0</v>
      </c>
      <c r="O121" s="478">
        <v>0</v>
      </c>
      <c r="P121" s="567">
        <f t="shared" si="81"/>
        <v>0</v>
      </c>
      <c r="Q121" s="478">
        <v>0</v>
      </c>
      <c r="R121" s="478">
        <v>0</v>
      </c>
      <c r="S121" s="567">
        <f t="shared" si="82"/>
        <v>0</v>
      </c>
      <c r="T121" s="478">
        <v>0</v>
      </c>
      <c r="U121" s="478">
        <v>0</v>
      </c>
      <c r="V121" s="567">
        <f t="shared" si="83"/>
        <v>0</v>
      </c>
      <c r="W121" s="478">
        <v>0</v>
      </c>
      <c r="X121" s="478">
        <v>0</v>
      </c>
      <c r="Y121" s="567">
        <f t="shared" si="84"/>
        <v>0</v>
      </c>
      <c r="Z121" s="478">
        <v>0</v>
      </c>
      <c r="AA121" s="478">
        <v>0</v>
      </c>
      <c r="AB121" s="567">
        <f t="shared" si="85"/>
        <v>0</v>
      </c>
      <c r="AC121" s="478">
        <v>0</v>
      </c>
      <c r="AD121" s="478">
        <v>0</v>
      </c>
      <c r="AE121" s="567">
        <f t="shared" si="86"/>
        <v>0</v>
      </c>
    </row>
    <row r="122" spans="1:31" s="434" customFormat="1" ht="23.1" hidden="1" customHeight="1">
      <c r="A122" s="459"/>
      <c r="B122" s="457"/>
      <c r="C122" s="460">
        <v>100006918</v>
      </c>
      <c r="D122" s="477" t="s">
        <v>41</v>
      </c>
      <c r="E122" s="478">
        <v>0</v>
      </c>
      <c r="F122" s="478">
        <v>0</v>
      </c>
      <c r="G122" s="479">
        <f t="shared" si="78"/>
        <v>0</v>
      </c>
      <c r="H122" s="478">
        <v>0</v>
      </c>
      <c r="I122" s="478">
        <v>0</v>
      </c>
      <c r="J122" s="479">
        <f t="shared" si="79"/>
        <v>0</v>
      </c>
      <c r="K122" s="478">
        <v>0</v>
      </c>
      <c r="L122" s="478">
        <v>0</v>
      </c>
      <c r="M122" s="479">
        <f t="shared" si="80"/>
        <v>0</v>
      </c>
      <c r="N122" s="478">
        <v>0</v>
      </c>
      <c r="O122" s="478">
        <v>0</v>
      </c>
      <c r="P122" s="479">
        <f t="shared" si="81"/>
        <v>0</v>
      </c>
      <c r="Q122" s="478">
        <v>0</v>
      </c>
      <c r="R122" s="478">
        <v>0</v>
      </c>
      <c r="S122" s="479">
        <f t="shared" si="82"/>
        <v>0</v>
      </c>
      <c r="T122" s="478">
        <v>0</v>
      </c>
      <c r="U122" s="478">
        <v>0</v>
      </c>
      <c r="V122" s="479">
        <f t="shared" si="83"/>
        <v>0</v>
      </c>
      <c r="W122" s="478">
        <v>0</v>
      </c>
      <c r="X122" s="478">
        <v>0</v>
      </c>
      <c r="Y122" s="479">
        <f t="shared" si="84"/>
        <v>0</v>
      </c>
      <c r="Z122" s="478">
        <v>0</v>
      </c>
      <c r="AA122" s="478">
        <v>0</v>
      </c>
      <c r="AB122" s="479">
        <f t="shared" si="85"/>
        <v>0</v>
      </c>
      <c r="AC122" s="478">
        <v>0</v>
      </c>
      <c r="AD122" s="478">
        <v>0</v>
      </c>
      <c r="AE122" s="479">
        <f t="shared" si="86"/>
        <v>0</v>
      </c>
    </row>
    <row r="123" spans="1:31" ht="23.1" hidden="1" customHeight="1">
      <c r="A123" s="456"/>
      <c r="B123" s="457"/>
      <c r="C123" s="608">
        <v>100261841</v>
      </c>
      <c r="D123" s="609" t="s">
        <v>44</v>
      </c>
      <c r="E123" s="610">
        <v>0</v>
      </c>
      <c r="F123" s="610">
        <v>0</v>
      </c>
      <c r="G123" s="580">
        <f t="shared" si="78"/>
        <v>0</v>
      </c>
      <c r="H123" s="610">
        <v>0</v>
      </c>
      <c r="I123" s="610">
        <v>0</v>
      </c>
      <c r="J123" s="580">
        <f t="shared" si="79"/>
        <v>0</v>
      </c>
      <c r="K123" s="610">
        <v>0</v>
      </c>
      <c r="L123" s="610">
        <v>0</v>
      </c>
      <c r="M123" s="580">
        <f t="shared" si="80"/>
        <v>0</v>
      </c>
      <c r="N123" s="610">
        <v>0</v>
      </c>
      <c r="O123" s="610">
        <v>0</v>
      </c>
      <c r="P123" s="580">
        <f t="shared" si="81"/>
        <v>0</v>
      </c>
      <c r="Q123" s="610">
        <v>0</v>
      </c>
      <c r="R123" s="610">
        <v>0</v>
      </c>
      <c r="S123" s="580">
        <f t="shared" si="82"/>
        <v>0</v>
      </c>
      <c r="T123" s="610">
        <v>0</v>
      </c>
      <c r="U123" s="610">
        <v>0</v>
      </c>
      <c r="V123" s="580">
        <f t="shared" si="83"/>
        <v>0</v>
      </c>
      <c r="W123" s="610">
        <v>0</v>
      </c>
      <c r="X123" s="610">
        <v>0</v>
      </c>
      <c r="Y123" s="580">
        <f t="shared" si="84"/>
        <v>0</v>
      </c>
      <c r="Z123" s="610">
        <v>0</v>
      </c>
      <c r="AA123" s="610">
        <v>0</v>
      </c>
      <c r="AB123" s="580">
        <f t="shared" si="85"/>
        <v>0</v>
      </c>
      <c r="AC123" s="610">
        <v>0</v>
      </c>
      <c r="AD123" s="610">
        <v>0</v>
      </c>
      <c r="AE123" s="580">
        <f t="shared" si="86"/>
        <v>0</v>
      </c>
    </row>
    <row r="124" spans="1:31" ht="23.1" hidden="1" customHeight="1">
      <c r="A124" s="456"/>
      <c r="B124" s="457"/>
      <c r="C124" s="611">
        <v>100057555</v>
      </c>
      <c r="D124" s="612" t="s">
        <v>45</v>
      </c>
      <c r="E124" s="613">
        <v>0</v>
      </c>
      <c r="F124" s="613">
        <v>0</v>
      </c>
      <c r="G124" s="614">
        <f t="shared" si="78"/>
        <v>0</v>
      </c>
      <c r="H124" s="613">
        <v>0</v>
      </c>
      <c r="I124" s="613">
        <v>0</v>
      </c>
      <c r="J124" s="614">
        <f t="shared" si="79"/>
        <v>0</v>
      </c>
      <c r="K124" s="613">
        <v>0</v>
      </c>
      <c r="L124" s="613">
        <v>0</v>
      </c>
      <c r="M124" s="614">
        <f t="shared" si="80"/>
        <v>0</v>
      </c>
      <c r="N124" s="613">
        <v>0</v>
      </c>
      <c r="O124" s="613">
        <v>0</v>
      </c>
      <c r="P124" s="614">
        <f t="shared" si="81"/>
        <v>0</v>
      </c>
      <c r="Q124" s="613">
        <v>0</v>
      </c>
      <c r="R124" s="613">
        <v>0</v>
      </c>
      <c r="S124" s="614">
        <f t="shared" si="82"/>
        <v>0</v>
      </c>
      <c r="T124" s="613">
        <v>0</v>
      </c>
      <c r="U124" s="613">
        <v>0</v>
      </c>
      <c r="V124" s="614">
        <f t="shared" si="83"/>
        <v>0</v>
      </c>
      <c r="W124" s="613">
        <v>0</v>
      </c>
      <c r="X124" s="613">
        <v>0</v>
      </c>
      <c r="Y124" s="614">
        <f t="shared" si="84"/>
        <v>0</v>
      </c>
      <c r="Z124" s="613">
        <v>0</v>
      </c>
      <c r="AA124" s="613">
        <v>0</v>
      </c>
      <c r="AB124" s="614">
        <f t="shared" si="85"/>
        <v>0</v>
      </c>
      <c r="AC124" s="613">
        <v>0</v>
      </c>
      <c r="AD124" s="613">
        <v>0</v>
      </c>
      <c r="AE124" s="614">
        <f t="shared" si="86"/>
        <v>0</v>
      </c>
    </row>
    <row r="125" spans="1:31" ht="23.1" hidden="1" customHeight="1" thickBot="1">
      <c r="A125" s="607">
        <v>7</v>
      </c>
      <c r="B125" s="524" t="s">
        <v>54</v>
      </c>
      <c r="C125" s="615">
        <v>100127652</v>
      </c>
      <c r="D125" s="616" t="s">
        <v>47</v>
      </c>
      <c r="E125" s="573">
        <v>0</v>
      </c>
      <c r="F125" s="573">
        <v>0</v>
      </c>
      <c r="G125" s="617">
        <f t="shared" si="78"/>
        <v>0</v>
      </c>
      <c r="H125" s="573">
        <v>0</v>
      </c>
      <c r="I125" s="573">
        <v>0</v>
      </c>
      <c r="J125" s="617">
        <f t="shared" si="79"/>
        <v>0</v>
      </c>
      <c r="K125" s="573">
        <v>0</v>
      </c>
      <c r="L125" s="573">
        <v>0</v>
      </c>
      <c r="M125" s="617">
        <f t="shared" si="80"/>
        <v>0</v>
      </c>
      <c r="N125" s="573">
        <v>0</v>
      </c>
      <c r="O125" s="573">
        <v>0</v>
      </c>
      <c r="P125" s="617">
        <f t="shared" si="81"/>
        <v>0</v>
      </c>
      <c r="Q125" s="573">
        <v>0</v>
      </c>
      <c r="R125" s="573">
        <v>0</v>
      </c>
      <c r="S125" s="617">
        <f t="shared" si="82"/>
        <v>0</v>
      </c>
      <c r="T125" s="573">
        <v>0</v>
      </c>
      <c r="U125" s="573">
        <v>0</v>
      </c>
      <c r="V125" s="617">
        <f t="shared" si="83"/>
        <v>0</v>
      </c>
      <c r="W125" s="573">
        <v>0</v>
      </c>
      <c r="X125" s="573">
        <v>0</v>
      </c>
      <c r="Y125" s="617">
        <f t="shared" si="84"/>
        <v>0</v>
      </c>
      <c r="Z125" s="573">
        <v>0</v>
      </c>
      <c r="AA125" s="573">
        <v>0</v>
      </c>
      <c r="AB125" s="617">
        <f t="shared" si="85"/>
        <v>0</v>
      </c>
      <c r="AC125" s="573">
        <v>0</v>
      </c>
      <c r="AD125" s="573">
        <v>0</v>
      </c>
      <c r="AE125" s="617">
        <f t="shared" si="86"/>
        <v>0</v>
      </c>
    </row>
    <row r="126" spans="1:31" ht="23.1" hidden="1" customHeight="1">
      <c r="A126" s="456"/>
      <c r="B126" s="457"/>
      <c r="C126" s="458">
        <v>100173595</v>
      </c>
      <c r="D126" s="618" t="s">
        <v>56</v>
      </c>
      <c r="E126" s="619">
        <v>0</v>
      </c>
      <c r="F126" s="619">
        <v>0</v>
      </c>
      <c r="G126" s="500">
        <f t="shared" si="78"/>
        <v>0</v>
      </c>
      <c r="H126" s="619">
        <v>0</v>
      </c>
      <c r="I126" s="619">
        <v>0</v>
      </c>
      <c r="J126" s="500">
        <f t="shared" si="79"/>
        <v>0</v>
      </c>
      <c r="K126" s="619">
        <v>0</v>
      </c>
      <c r="L126" s="619">
        <v>0</v>
      </c>
      <c r="M126" s="500">
        <f t="shared" si="80"/>
        <v>0</v>
      </c>
      <c r="N126" s="619">
        <v>0</v>
      </c>
      <c r="O126" s="619">
        <v>0</v>
      </c>
      <c r="P126" s="500">
        <f t="shared" si="81"/>
        <v>0</v>
      </c>
      <c r="Q126" s="619">
        <v>0</v>
      </c>
      <c r="R126" s="619">
        <v>0</v>
      </c>
      <c r="S126" s="500">
        <f t="shared" si="82"/>
        <v>0</v>
      </c>
      <c r="T126" s="619">
        <v>0</v>
      </c>
      <c r="U126" s="619">
        <v>0</v>
      </c>
      <c r="V126" s="500">
        <f t="shared" si="83"/>
        <v>0</v>
      </c>
      <c r="W126" s="619">
        <v>0</v>
      </c>
      <c r="X126" s="619">
        <v>0</v>
      </c>
      <c r="Y126" s="500">
        <f t="shared" si="84"/>
        <v>0</v>
      </c>
      <c r="Z126" s="619">
        <v>0</v>
      </c>
      <c r="AA126" s="619">
        <v>0</v>
      </c>
      <c r="AB126" s="500">
        <f t="shared" si="85"/>
        <v>0</v>
      </c>
      <c r="AC126" s="619">
        <v>0</v>
      </c>
      <c r="AD126" s="619">
        <v>0</v>
      </c>
      <c r="AE126" s="500">
        <f t="shared" si="86"/>
        <v>0</v>
      </c>
    </row>
    <row r="127" spans="1:31" ht="23.1" hidden="1" customHeight="1" thickBot="1">
      <c r="A127" s="456"/>
      <c r="B127" s="457"/>
      <c r="C127" s="620"/>
      <c r="D127" s="621" t="s">
        <v>58</v>
      </c>
      <c r="E127" s="622">
        <v>0</v>
      </c>
      <c r="F127" s="622">
        <v>0</v>
      </c>
      <c r="G127" s="623">
        <f t="shared" si="78"/>
        <v>0</v>
      </c>
      <c r="H127" s="622">
        <v>0</v>
      </c>
      <c r="I127" s="622">
        <v>0</v>
      </c>
      <c r="J127" s="623">
        <f t="shared" si="79"/>
        <v>0</v>
      </c>
      <c r="K127" s="622">
        <v>0</v>
      </c>
      <c r="L127" s="622">
        <v>0</v>
      </c>
      <c r="M127" s="623">
        <f t="shared" si="80"/>
        <v>0</v>
      </c>
      <c r="N127" s="622">
        <v>0</v>
      </c>
      <c r="O127" s="622">
        <v>0</v>
      </c>
      <c r="P127" s="623">
        <f t="shared" si="81"/>
        <v>0</v>
      </c>
      <c r="Q127" s="622">
        <v>0</v>
      </c>
      <c r="R127" s="622">
        <v>0</v>
      </c>
      <c r="S127" s="623">
        <f t="shared" si="82"/>
        <v>0</v>
      </c>
      <c r="T127" s="622">
        <v>0</v>
      </c>
      <c r="U127" s="622">
        <v>0</v>
      </c>
      <c r="V127" s="623">
        <f t="shared" si="83"/>
        <v>0</v>
      </c>
      <c r="W127" s="622">
        <v>0</v>
      </c>
      <c r="X127" s="622">
        <v>0</v>
      </c>
      <c r="Y127" s="623">
        <f t="shared" si="84"/>
        <v>0</v>
      </c>
      <c r="Z127" s="622">
        <v>0</v>
      </c>
      <c r="AA127" s="622">
        <v>0</v>
      </c>
      <c r="AB127" s="623">
        <f t="shared" si="85"/>
        <v>0</v>
      </c>
      <c r="AC127" s="622">
        <v>0</v>
      </c>
      <c r="AD127" s="622">
        <v>0</v>
      </c>
      <c r="AE127" s="623">
        <f t="shared" si="86"/>
        <v>0</v>
      </c>
    </row>
    <row r="128" spans="1:31" s="434" customFormat="1" ht="20.100000000000001" hidden="1" customHeight="1" thickBot="1">
      <c r="A128" s="466"/>
      <c r="B128" s="467"/>
      <c r="C128" s="468"/>
      <c r="D128" s="624" t="s">
        <v>37</v>
      </c>
      <c r="E128" s="625">
        <f t="shared" ref="E128:F128" si="87">SUM(E119:E127)</f>
        <v>0</v>
      </c>
      <c r="F128" s="625">
        <f t="shared" si="87"/>
        <v>0</v>
      </c>
      <c r="G128" s="521">
        <f t="shared" si="78"/>
        <v>0</v>
      </c>
      <c r="H128" s="625">
        <f t="shared" ref="H128:I128" si="88">SUM(H119:H127)</f>
        <v>0</v>
      </c>
      <c r="I128" s="625">
        <f t="shared" si="88"/>
        <v>0</v>
      </c>
      <c r="J128" s="521">
        <f t="shared" si="79"/>
        <v>0</v>
      </c>
      <c r="K128" s="625">
        <f t="shared" ref="K128:L128" si="89">SUM(K119:K127)</f>
        <v>0</v>
      </c>
      <c r="L128" s="625">
        <f t="shared" si="89"/>
        <v>0</v>
      </c>
      <c r="M128" s="521">
        <f t="shared" si="80"/>
        <v>0</v>
      </c>
      <c r="N128" s="625">
        <f t="shared" ref="N128:O128" si="90">SUM(N119:N127)</f>
        <v>0</v>
      </c>
      <c r="O128" s="625">
        <f t="shared" si="90"/>
        <v>0</v>
      </c>
      <c r="P128" s="521">
        <f t="shared" si="81"/>
        <v>0</v>
      </c>
      <c r="Q128" s="625">
        <f t="shared" ref="Q128:R128" si="91">SUM(Q119:Q127)</f>
        <v>0</v>
      </c>
      <c r="R128" s="625">
        <f t="shared" si="91"/>
        <v>0</v>
      </c>
      <c r="S128" s="521">
        <f t="shared" si="82"/>
        <v>0</v>
      </c>
      <c r="T128" s="625">
        <f t="shared" ref="T128:U128" si="92">SUM(T119:T127)</f>
        <v>0</v>
      </c>
      <c r="U128" s="625">
        <f t="shared" si="92"/>
        <v>0</v>
      </c>
      <c r="V128" s="521">
        <f t="shared" si="83"/>
        <v>0</v>
      </c>
      <c r="W128" s="625">
        <f t="shared" ref="W128:X128" si="93">SUM(W119:W127)</f>
        <v>0</v>
      </c>
      <c r="X128" s="625">
        <f t="shared" si="93"/>
        <v>0</v>
      </c>
      <c r="Y128" s="521">
        <f t="shared" si="84"/>
        <v>0</v>
      </c>
      <c r="Z128" s="625">
        <f t="shared" ref="Z128:AA128" si="94">SUM(Z119:Z127)</f>
        <v>0</v>
      </c>
      <c r="AA128" s="625">
        <f t="shared" si="94"/>
        <v>0</v>
      </c>
      <c r="AB128" s="521">
        <f t="shared" si="85"/>
        <v>0</v>
      </c>
      <c r="AC128" s="625">
        <f t="shared" ref="AC128:AD128" si="95">SUM(AC119:AC127)</f>
        <v>0</v>
      </c>
      <c r="AD128" s="625">
        <f t="shared" si="95"/>
        <v>0</v>
      </c>
      <c r="AE128" s="521">
        <f t="shared" si="86"/>
        <v>0</v>
      </c>
    </row>
    <row r="129" spans="1:31" ht="19.5" hidden="1" customHeight="1" thickBot="1">
      <c r="A129" s="469"/>
      <c r="B129" s="470"/>
      <c r="C129" s="626"/>
      <c r="D129" s="627" t="s">
        <v>42</v>
      </c>
      <c r="E129" s="628">
        <f t="shared" ref="E129:L129" si="96">E117+E51+E128</f>
        <v>2882.7730000000001</v>
      </c>
      <c r="F129" s="628">
        <f t="shared" si="96"/>
        <v>2882.7730000000001</v>
      </c>
      <c r="G129" s="628">
        <f t="shared" si="96"/>
        <v>0</v>
      </c>
      <c r="H129" s="628">
        <f t="shared" ref="H129" si="97">H117+H51+H128</f>
        <v>2584.4520000000002</v>
      </c>
      <c r="I129" s="628">
        <f t="shared" si="96"/>
        <v>2584.4520000000002</v>
      </c>
      <c r="J129" s="628">
        <f t="shared" si="96"/>
        <v>0</v>
      </c>
      <c r="K129" s="628">
        <f t="shared" ref="K129" si="98">K117+K51+K128</f>
        <v>2195.5940000000001</v>
      </c>
      <c r="L129" s="628">
        <f t="shared" si="96"/>
        <v>2195.5940000000001</v>
      </c>
      <c r="M129" s="628">
        <f t="shared" ref="M129:V129" si="99">M117+M51+M128</f>
        <v>0</v>
      </c>
      <c r="N129" s="628">
        <f t="shared" ref="N129" si="100">N117+N51+N128</f>
        <v>1425.375</v>
      </c>
      <c r="O129" s="628">
        <f t="shared" si="99"/>
        <v>1435.758</v>
      </c>
      <c r="P129" s="628">
        <f t="shared" si="99"/>
        <v>10.383000000000152</v>
      </c>
      <c r="Q129" s="628">
        <f t="shared" ref="Q129" si="101">Q117+Q51+Q128</f>
        <v>1510.6550000000002</v>
      </c>
      <c r="R129" s="628">
        <f t="shared" si="99"/>
        <v>1390.3050000000001</v>
      </c>
      <c r="S129" s="628">
        <f t="shared" si="99"/>
        <v>-120.35000000000014</v>
      </c>
      <c r="T129" s="628">
        <f t="shared" ref="T129" si="102">T117+T51+T128</f>
        <v>1553.15</v>
      </c>
      <c r="U129" s="628">
        <f t="shared" si="99"/>
        <v>1433.15</v>
      </c>
      <c r="V129" s="628">
        <f t="shared" si="99"/>
        <v>-120</v>
      </c>
      <c r="W129" s="628">
        <f t="shared" ref="W129:X129" si="103">W117+W51+W128</f>
        <v>2145.8000000000002</v>
      </c>
      <c r="X129" s="628">
        <f t="shared" si="103"/>
        <v>2045.8</v>
      </c>
      <c r="Y129" s="628">
        <f t="shared" ref="Y129" si="104">Y117+Y51+Y128</f>
        <v>-100</v>
      </c>
      <c r="Z129" s="628">
        <f t="shared" ref="Z129:AA129" si="105">Z117+Z51+Z128</f>
        <v>2061</v>
      </c>
      <c r="AA129" s="628">
        <f t="shared" si="105"/>
        <v>2061</v>
      </c>
      <c r="AB129" s="628">
        <f t="shared" ref="AB129" si="106">AB117+AB51+AB128</f>
        <v>0</v>
      </c>
      <c r="AC129" s="628">
        <f t="shared" ref="AC129:AD129" si="107">AC117+AC51+AC128</f>
        <v>1981.6</v>
      </c>
      <c r="AD129" s="628">
        <f t="shared" si="107"/>
        <v>1981.6</v>
      </c>
      <c r="AE129" s="628">
        <f t="shared" ref="AE129" si="108">AE117+AE51+AE128</f>
        <v>0</v>
      </c>
    </row>
    <row r="130" spans="1:31" ht="22.5" hidden="1" customHeight="1">
      <c r="A130" s="456">
        <v>5</v>
      </c>
      <c r="B130" s="457"/>
      <c r="C130" s="629">
        <v>100057555</v>
      </c>
      <c r="D130" s="630" t="s">
        <v>117</v>
      </c>
      <c r="E130" s="478">
        <v>0</v>
      </c>
      <c r="F130" s="478">
        <v>0</v>
      </c>
      <c r="G130" s="567">
        <f t="shared" ref="G130:G140" si="109">F130-E130</f>
        <v>0</v>
      </c>
      <c r="H130" s="478">
        <v>0</v>
      </c>
      <c r="I130" s="478">
        <v>0</v>
      </c>
      <c r="J130" s="567">
        <f t="shared" ref="J130:J140" si="110">I130-H130</f>
        <v>0</v>
      </c>
      <c r="K130" s="478">
        <v>0</v>
      </c>
      <c r="L130" s="478">
        <v>0</v>
      </c>
      <c r="M130" s="567">
        <f t="shared" ref="M130:M140" si="111">L130-K130</f>
        <v>0</v>
      </c>
      <c r="N130" s="478">
        <v>0</v>
      </c>
      <c r="O130" s="478">
        <v>0</v>
      </c>
      <c r="P130" s="567">
        <f t="shared" ref="P130:P140" si="112">O130-N130</f>
        <v>0</v>
      </c>
      <c r="Q130" s="478">
        <v>0</v>
      </c>
      <c r="R130" s="478">
        <v>0</v>
      </c>
      <c r="S130" s="567">
        <f t="shared" ref="S130:S140" si="113">R130-Q130</f>
        <v>0</v>
      </c>
      <c r="T130" s="478">
        <v>0</v>
      </c>
      <c r="U130" s="478">
        <v>0</v>
      </c>
      <c r="V130" s="567">
        <f t="shared" ref="V130:V140" si="114">U130-T130</f>
        <v>0</v>
      </c>
      <c r="W130" s="478">
        <v>0</v>
      </c>
      <c r="X130" s="478">
        <v>0</v>
      </c>
      <c r="Y130" s="567">
        <f t="shared" ref="Y130:Y140" si="115">X130-W130</f>
        <v>0</v>
      </c>
      <c r="Z130" s="478">
        <v>0</v>
      </c>
      <c r="AA130" s="478">
        <v>0</v>
      </c>
      <c r="AB130" s="567">
        <f t="shared" ref="AB130:AB140" si="116">AA130-Z130</f>
        <v>0</v>
      </c>
      <c r="AC130" s="478">
        <v>0</v>
      </c>
      <c r="AD130" s="478">
        <v>0</v>
      </c>
      <c r="AE130" s="567">
        <f t="shared" ref="AE130:AE140" si="117">AD130-AC130</f>
        <v>0</v>
      </c>
    </row>
    <row r="131" spans="1:31" ht="26.25" hidden="1" customHeight="1">
      <c r="A131" s="456"/>
      <c r="B131" s="457"/>
      <c r="C131" s="458">
        <v>100127652</v>
      </c>
      <c r="D131" s="631" t="s">
        <v>118</v>
      </c>
      <c r="E131" s="478">
        <v>0</v>
      </c>
      <c r="F131" s="478">
        <v>0</v>
      </c>
      <c r="G131" s="479">
        <f t="shared" si="109"/>
        <v>0</v>
      </c>
      <c r="H131" s="478">
        <v>0</v>
      </c>
      <c r="I131" s="478">
        <v>0</v>
      </c>
      <c r="J131" s="479">
        <f t="shared" si="110"/>
        <v>0</v>
      </c>
      <c r="K131" s="478">
        <v>0</v>
      </c>
      <c r="L131" s="478">
        <v>0</v>
      </c>
      <c r="M131" s="479">
        <f t="shared" si="111"/>
        <v>0</v>
      </c>
      <c r="N131" s="478">
        <v>0</v>
      </c>
      <c r="O131" s="478">
        <v>0</v>
      </c>
      <c r="P131" s="479">
        <f t="shared" si="112"/>
        <v>0</v>
      </c>
      <c r="Q131" s="478">
        <v>0</v>
      </c>
      <c r="R131" s="478">
        <v>0</v>
      </c>
      <c r="S131" s="479">
        <f t="shared" si="113"/>
        <v>0</v>
      </c>
      <c r="T131" s="478">
        <v>0</v>
      </c>
      <c r="U131" s="478">
        <v>0</v>
      </c>
      <c r="V131" s="479">
        <f t="shared" si="114"/>
        <v>0</v>
      </c>
      <c r="W131" s="478">
        <v>0</v>
      </c>
      <c r="X131" s="478">
        <v>0</v>
      </c>
      <c r="Y131" s="479">
        <f t="shared" si="115"/>
        <v>0</v>
      </c>
      <c r="Z131" s="478">
        <v>0</v>
      </c>
      <c r="AA131" s="478">
        <v>0</v>
      </c>
      <c r="AB131" s="479">
        <f t="shared" si="116"/>
        <v>0</v>
      </c>
      <c r="AC131" s="478">
        <v>0</v>
      </c>
      <c r="AD131" s="478">
        <v>0</v>
      </c>
      <c r="AE131" s="479">
        <f t="shared" si="117"/>
        <v>0</v>
      </c>
    </row>
    <row r="132" spans="1:31" ht="39" hidden="1" customHeight="1">
      <c r="A132" s="456"/>
      <c r="B132" s="457"/>
      <c r="C132" s="458">
        <v>100127652</v>
      </c>
      <c r="D132" s="631" t="s">
        <v>119</v>
      </c>
      <c r="E132" s="478">
        <v>0</v>
      </c>
      <c r="F132" s="478">
        <v>0</v>
      </c>
      <c r="G132" s="479">
        <f t="shared" si="109"/>
        <v>0</v>
      </c>
      <c r="H132" s="478">
        <v>0</v>
      </c>
      <c r="I132" s="478">
        <v>0</v>
      </c>
      <c r="J132" s="479">
        <f t="shared" si="110"/>
        <v>0</v>
      </c>
      <c r="K132" s="478">
        <v>0</v>
      </c>
      <c r="L132" s="478">
        <v>0</v>
      </c>
      <c r="M132" s="479">
        <f t="shared" si="111"/>
        <v>0</v>
      </c>
      <c r="N132" s="478">
        <v>0</v>
      </c>
      <c r="O132" s="478">
        <v>0</v>
      </c>
      <c r="P132" s="479">
        <f t="shared" si="112"/>
        <v>0</v>
      </c>
      <c r="Q132" s="478">
        <v>0</v>
      </c>
      <c r="R132" s="478">
        <v>0</v>
      </c>
      <c r="S132" s="479">
        <f t="shared" si="113"/>
        <v>0</v>
      </c>
      <c r="T132" s="478">
        <v>0</v>
      </c>
      <c r="U132" s="478">
        <v>0</v>
      </c>
      <c r="V132" s="479">
        <f t="shared" si="114"/>
        <v>0</v>
      </c>
      <c r="W132" s="478">
        <v>0</v>
      </c>
      <c r="X132" s="478">
        <v>0</v>
      </c>
      <c r="Y132" s="479">
        <f t="shared" si="115"/>
        <v>0</v>
      </c>
      <c r="Z132" s="478">
        <v>0</v>
      </c>
      <c r="AA132" s="478">
        <v>0</v>
      </c>
      <c r="AB132" s="479">
        <f t="shared" si="116"/>
        <v>0</v>
      </c>
      <c r="AC132" s="478">
        <v>0</v>
      </c>
      <c r="AD132" s="478">
        <v>0</v>
      </c>
      <c r="AE132" s="479">
        <f t="shared" si="117"/>
        <v>0</v>
      </c>
    </row>
    <row r="133" spans="1:31" ht="17.25" hidden="1" customHeight="1">
      <c r="A133" s="456"/>
      <c r="B133" s="457"/>
      <c r="C133" s="458">
        <v>100127652</v>
      </c>
      <c r="D133" s="631" t="s">
        <v>120</v>
      </c>
      <c r="E133" s="570">
        <v>0</v>
      </c>
      <c r="F133" s="570">
        <v>0</v>
      </c>
      <c r="G133" s="479">
        <f t="shared" si="109"/>
        <v>0</v>
      </c>
      <c r="H133" s="570">
        <v>0</v>
      </c>
      <c r="I133" s="570">
        <v>0</v>
      </c>
      <c r="J133" s="479">
        <f t="shared" si="110"/>
        <v>0</v>
      </c>
      <c r="K133" s="570">
        <v>0</v>
      </c>
      <c r="L133" s="570">
        <v>0</v>
      </c>
      <c r="M133" s="479">
        <f t="shared" si="111"/>
        <v>0</v>
      </c>
      <c r="N133" s="570">
        <v>0</v>
      </c>
      <c r="O133" s="570">
        <v>0</v>
      </c>
      <c r="P133" s="479">
        <f t="shared" si="112"/>
        <v>0</v>
      </c>
      <c r="Q133" s="570">
        <v>0</v>
      </c>
      <c r="R133" s="570">
        <v>0</v>
      </c>
      <c r="S133" s="479">
        <f t="shared" si="113"/>
        <v>0</v>
      </c>
      <c r="T133" s="570">
        <v>0</v>
      </c>
      <c r="U133" s="570">
        <v>0</v>
      </c>
      <c r="V133" s="479">
        <f t="shared" si="114"/>
        <v>0</v>
      </c>
      <c r="W133" s="570">
        <v>0</v>
      </c>
      <c r="X133" s="570">
        <v>0</v>
      </c>
      <c r="Y133" s="479">
        <f t="shared" si="115"/>
        <v>0</v>
      </c>
      <c r="Z133" s="570">
        <v>0</v>
      </c>
      <c r="AA133" s="570">
        <v>0</v>
      </c>
      <c r="AB133" s="479">
        <f t="shared" si="116"/>
        <v>0</v>
      </c>
      <c r="AC133" s="570">
        <v>0</v>
      </c>
      <c r="AD133" s="570">
        <v>0</v>
      </c>
      <c r="AE133" s="479">
        <f t="shared" si="117"/>
        <v>0</v>
      </c>
    </row>
    <row r="134" spans="1:31" ht="21" hidden="1" customHeight="1">
      <c r="A134" s="456"/>
      <c r="B134" s="457" t="s">
        <v>68</v>
      </c>
      <c r="C134" s="458">
        <v>100127652</v>
      </c>
      <c r="D134" s="632" t="s">
        <v>144</v>
      </c>
      <c r="E134" s="499">
        <v>0</v>
      </c>
      <c r="F134" s="499">
        <v>0</v>
      </c>
      <c r="G134" s="479">
        <f t="shared" si="109"/>
        <v>0</v>
      </c>
      <c r="H134" s="499">
        <v>0</v>
      </c>
      <c r="I134" s="499">
        <v>0</v>
      </c>
      <c r="J134" s="479">
        <f t="shared" si="110"/>
        <v>0</v>
      </c>
      <c r="K134" s="499">
        <v>0</v>
      </c>
      <c r="L134" s="499">
        <v>0</v>
      </c>
      <c r="M134" s="479">
        <f t="shared" si="111"/>
        <v>0</v>
      </c>
      <c r="N134" s="499">
        <v>0</v>
      </c>
      <c r="O134" s="499">
        <v>0</v>
      </c>
      <c r="P134" s="479">
        <f t="shared" si="112"/>
        <v>0</v>
      </c>
      <c r="Q134" s="499">
        <v>0</v>
      </c>
      <c r="R134" s="499">
        <v>0</v>
      </c>
      <c r="S134" s="479">
        <f t="shared" si="113"/>
        <v>0</v>
      </c>
      <c r="T134" s="499">
        <v>0</v>
      </c>
      <c r="U134" s="499">
        <v>0</v>
      </c>
      <c r="V134" s="479">
        <f t="shared" si="114"/>
        <v>0</v>
      </c>
      <c r="W134" s="499">
        <v>0</v>
      </c>
      <c r="X134" s="499">
        <v>0</v>
      </c>
      <c r="Y134" s="479">
        <f t="shared" si="115"/>
        <v>0</v>
      </c>
      <c r="Z134" s="499">
        <v>0</v>
      </c>
      <c r="AA134" s="499">
        <v>0</v>
      </c>
      <c r="AB134" s="479">
        <f t="shared" si="116"/>
        <v>0</v>
      </c>
      <c r="AC134" s="499">
        <v>0</v>
      </c>
      <c r="AD134" s="499">
        <v>0</v>
      </c>
      <c r="AE134" s="479">
        <f t="shared" si="117"/>
        <v>0</v>
      </c>
    </row>
    <row r="135" spans="1:31" ht="22.5" hidden="1" customHeight="1">
      <c r="A135" s="456"/>
      <c r="B135" s="457"/>
      <c r="C135" s="458">
        <v>100127652</v>
      </c>
      <c r="D135" s="630" t="s">
        <v>111</v>
      </c>
      <c r="E135" s="499">
        <v>0</v>
      </c>
      <c r="F135" s="499">
        <v>0</v>
      </c>
      <c r="G135" s="479">
        <f t="shared" si="109"/>
        <v>0</v>
      </c>
      <c r="H135" s="499">
        <v>0</v>
      </c>
      <c r="I135" s="499">
        <v>0</v>
      </c>
      <c r="J135" s="479">
        <f t="shared" si="110"/>
        <v>0</v>
      </c>
      <c r="K135" s="499">
        <v>0</v>
      </c>
      <c r="L135" s="499">
        <v>0</v>
      </c>
      <c r="M135" s="479">
        <f t="shared" si="111"/>
        <v>0</v>
      </c>
      <c r="N135" s="499">
        <v>0</v>
      </c>
      <c r="O135" s="499">
        <v>0</v>
      </c>
      <c r="P135" s="479">
        <f t="shared" si="112"/>
        <v>0</v>
      </c>
      <c r="Q135" s="499">
        <v>0</v>
      </c>
      <c r="R135" s="499">
        <v>0</v>
      </c>
      <c r="S135" s="479">
        <f t="shared" si="113"/>
        <v>0</v>
      </c>
      <c r="T135" s="499">
        <v>0</v>
      </c>
      <c r="U135" s="499">
        <v>0</v>
      </c>
      <c r="V135" s="479">
        <f t="shared" si="114"/>
        <v>0</v>
      </c>
      <c r="W135" s="499">
        <v>0</v>
      </c>
      <c r="X135" s="499">
        <v>0</v>
      </c>
      <c r="Y135" s="479">
        <f t="shared" si="115"/>
        <v>0</v>
      </c>
      <c r="Z135" s="499">
        <v>0</v>
      </c>
      <c r="AA135" s="499">
        <v>0</v>
      </c>
      <c r="AB135" s="479">
        <f t="shared" si="116"/>
        <v>0</v>
      </c>
      <c r="AC135" s="499">
        <v>0</v>
      </c>
      <c r="AD135" s="499">
        <v>0</v>
      </c>
      <c r="AE135" s="479">
        <f t="shared" si="117"/>
        <v>0</v>
      </c>
    </row>
    <row r="136" spans="1:31" ht="23.1" hidden="1" customHeight="1" thickBot="1">
      <c r="A136" s="456"/>
      <c r="B136" s="457"/>
      <c r="C136" s="458">
        <v>100127652</v>
      </c>
      <c r="D136" s="633" t="s">
        <v>145</v>
      </c>
      <c r="E136" s="499">
        <v>0</v>
      </c>
      <c r="F136" s="499">
        <v>0</v>
      </c>
      <c r="G136" s="479">
        <f t="shared" si="109"/>
        <v>0</v>
      </c>
      <c r="H136" s="499">
        <v>0</v>
      </c>
      <c r="I136" s="499">
        <v>0</v>
      </c>
      <c r="J136" s="479">
        <f t="shared" si="110"/>
        <v>0</v>
      </c>
      <c r="K136" s="499">
        <v>0</v>
      </c>
      <c r="L136" s="499">
        <v>0</v>
      </c>
      <c r="M136" s="479">
        <f t="shared" si="111"/>
        <v>0</v>
      </c>
      <c r="N136" s="499">
        <v>0</v>
      </c>
      <c r="O136" s="499">
        <v>0</v>
      </c>
      <c r="P136" s="479">
        <f t="shared" si="112"/>
        <v>0</v>
      </c>
      <c r="Q136" s="499">
        <v>0</v>
      </c>
      <c r="R136" s="499">
        <v>0</v>
      </c>
      <c r="S136" s="479">
        <f t="shared" si="113"/>
        <v>0</v>
      </c>
      <c r="T136" s="499">
        <v>0</v>
      </c>
      <c r="U136" s="499">
        <v>0</v>
      </c>
      <c r="V136" s="479">
        <f t="shared" si="114"/>
        <v>0</v>
      </c>
      <c r="W136" s="499">
        <v>0</v>
      </c>
      <c r="X136" s="499">
        <v>0</v>
      </c>
      <c r="Y136" s="479">
        <f t="shared" si="115"/>
        <v>0</v>
      </c>
      <c r="Z136" s="499">
        <v>0</v>
      </c>
      <c r="AA136" s="499">
        <v>0</v>
      </c>
      <c r="AB136" s="479">
        <f t="shared" si="116"/>
        <v>0</v>
      </c>
      <c r="AC136" s="499">
        <v>0</v>
      </c>
      <c r="AD136" s="499">
        <v>0</v>
      </c>
      <c r="AE136" s="479">
        <f t="shared" si="117"/>
        <v>0</v>
      </c>
    </row>
    <row r="137" spans="1:31" ht="22.5" hidden="1" customHeight="1">
      <c r="A137" s="456"/>
      <c r="B137" s="457"/>
      <c r="C137" s="458">
        <v>100127652</v>
      </c>
      <c r="D137" s="630" t="s">
        <v>112</v>
      </c>
      <c r="E137" s="499">
        <v>0</v>
      </c>
      <c r="F137" s="499">
        <v>0</v>
      </c>
      <c r="G137" s="479">
        <f t="shared" si="109"/>
        <v>0</v>
      </c>
      <c r="H137" s="499">
        <v>0</v>
      </c>
      <c r="I137" s="499">
        <v>0</v>
      </c>
      <c r="J137" s="479">
        <f t="shared" si="110"/>
        <v>0</v>
      </c>
      <c r="K137" s="499">
        <v>0</v>
      </c>
      <c r="L137" s="499">
        <v>0</v>
      </c>
      <c r="M137" s="479">
        <f t="shared" si="111"/>
        <v>0</v>
      </c>
      <c r="N137" s="499">
        <v>0</v>
      </c>
      <c r="O137" s="499">
        <v>0</v>
      </c>
      <c r="P137" s="479">
        <f t="shared" si="112"/>
        <v>0</v>
      </c>
      <c r="Q137" s="499">
        <v>0</v>
      </c>
      <c r="R137" s="499">
        <v>0</v>
      </c>
      <c r="S137" s="479">
        <f t="shared" si="113"/>
        <v>0</v>
      </c>
      <c r="T137" s="499">
        <v>0</v>
      </c>
      <c r="U137" s="499">
        <v>0</v>
      </c>
      <c r="V137" s="479">
        <f t="shared" si="114"/>
        <v>0</v>
      </c>
      <c r="W137" s="499">
        <v>0</v>
      </c>
      <c r="X137" s="499">
        <v>0</v>
      </c>
      <c r="Y137" s="479">
        <f t="shared" si="115"/>
        <v>0</v>
      </c>
      <c r="Z137" s="499">
        <v>0</v>
      </c>
      <c r="AA137" s="499">
        <v>0</v>
      </c>
      <c r="AB137" s="479">
        <f t="shared" si="116"/>
        <v>0</v>
      </c>
      <c r="AC137" s="499">
        <v>0</v>
      </c>
      <c r="AD137" s="499">
        <v>0</v>
      </c>
      <c r="AE137" s="479">
        <f t="shared" si="117"/>
        <v>0</v>
      </c>
    </row>
    <row r="138" spans="1:31" ht="22.5" hidden="1" customHeight="1">
      <c r="A138" s="456"/>
      <c r="B138" s="457"/>
      <c r="C138" s="458">
        <v>100127652</v>
      </c>
      <c r="D138" s="632" t="s">
        <v>113</v>
      </c>
      <c r="E138" s="499">
        <v>0</v>
      </c>
      <c r="F138" s="499">
        <v>0</v>
      </c>
      <c r="G138" s="567">
        <f t="shared" si="109"/>
        <v>0</v>
      </c>
      <c r="H138" s="499">
        <v>0</v>
      </c>
      <c r="I138" s="499">
        <v>0</v>
      </c>
      <c r="J138" s="567">
        <f t="shared" si="110"/>
        <v>0</v>
      </c>
      <c r="K138" s="499">
        <v>0</v>
      </c>
      <c r="L138" s="499">
        <v>0</v>
      </c>
      <c r="M138" s="567">
        <f t="shared" si="111"/>
        <v>0</v>
      </c>
      <c r="N138" s="499">
        <v>0</v>
      </c>
      <c r="O138" s="499">
        <v>0</v>
      </c>
      <c r="P138" s="567">
        <f t="shared" si="112"/>
        <v>0</v>
      </c>
      <c r="Q138" s="499">
        <v>0</v>
      </c>
      <c r="R138" s="499">
        <v>0</v>
      </c>
      <c r="S138" s="567">
        <f t="shared" si="113"/>
        <v>0</v>
      </c>
      <c r="T138" s="499">
        <v>0</v>
      </c>
      <c r="U138" s="499">
        <v>0</v>
      </c>
      <c r="V138" s="567">
        <f t="shared" si="114"/>
        <v>0</v>
      </c>
      <c r="W138" s="499">
        <v>0</v>
      </c>
      <c r="X138" s="499">
        <v>0</v>
      </c>
      <c r="Y138" s="567">
        <f t="shared" si="115"/>
        <v>0</v>
      </c>
      <c r="Z138" s="499">
        <v>0</v>
      </c>
      <c r="AA138" s="499">
        <v>0</v>
      </c>
      <c r="AB138" s="567">
        <f t="shared" si="116"/>
        <v>0</v>
      </c>
      <c r="AC138" s="499">
        <v>0</v>
      </c>
      <c r="AD138" s="499">
        <v>0</v>
      </c>
      <c r="AE138" s="567">
        <f t="shared" si="117"/>
        <v>0</v>
      </c>
    </row>
    <row r="139" spans="1:31" ht="22.5" customHeight="1">
      <c r="A139" s="456"/>
      <c r="B139" s="457" t="s">
        <v>68</v>
      </c>
      <c r="C139" s="458">
        <v>100127652</v>
      </c>
      <c r="D139" s="630" t="s">
        <v>113</v>
      </c>
      <c r="E139" s="499">
        <v>112</v>
      </c>
      <c r="F139" s="499">
        <v>112</v>
      </c>
      <c r="G139" s="567">
        <f t="shared" si="109"/>
        <v>0</v>
      </c>
      <c r="H139" s="499">
        <v>210</v>
      </c>
      <c r="I139" s="499">
        <v>210</v>
      </c>
      <c r="J139" s="567">
        <f t="shared" si="110"/>
        <v>0</v>
      </c>
      <c r="K139" s="499">
        <v>69.650000000000006</v>
      </c>
      <c r="L139" s="499">
        <v>69.650000000000006</v>
      </c>
      <c r="M139" s="567">
        <f t="shared" si="111"/>
        <v>0</v>
      </c>
      <c r="N139" s="499">
        <v>154</v>
      </c>
      <c r="O139" s="499">
        <v>154</v>
      </c>
      <c r="P139" s="567">
        <f t="shared" si="112"/>
        <v>0</v>
      </c>
      <c r="Q139" s="499">
        <v>150</v>
      </c>
      <c r="R139" s="499">
        <v>130</v>
      </c>
      <c r="S139" s="567">
        <f t="shared" si="113"/>
        <v>-20</v>
      </c>
      <c r="T139" s="499">
        <v>150</v>
      </c>
      <c r="U139" s="499">
        <v>150</v>
      </c>
      <c r="V139" s="567">
        <f t="shared" si="114"/>
        <v>0</v>
      </c>
      <c r="W139" s="499">
        <v>95</v>
      </c>
      <c r="X139" s="499">
        <v>95</v>
      </c>
      <c r="Y139" s="567">
        <f t="shared" si="115"/>
        <v>0</v>
      </c>
      <c r="Z139" s="499">
        <v>100</v>
      </c>
      <c r="AA139" s="499">
        <v>100</v>
      </c>
      <c r="AB139" s="567">
        <f t="shared" si="116"/>
        <v>0</v>
      </c>
      <c r="AC139" s="499">
        <v>100</v>
      </c>
      <c r="AD139" s="499">
        <v>100</v>
      </c>
      <c r="AE139" s="567">
        <f t="shared" si="117"/>
        <v>0</v>
      </c>
    </row>
    <row r="140" spans="1:31" s="434" customFormat="1" ht="23.1" customHeight="1" thickBot="1">
      <c r="A140" s="459"/>
      <c r="B140" s="457"/>
      <c r="C140" s="460">
        <v>100127652</v>
      </c>
      <c r="D140" s="631" t="s">
        <v>114</v>
      </c>
      <c r="E140" s="487">
        <v>155.4</v>
      </c>
      <c r="F140" s="487">
        <v>155.4</v>
      </c>
      <c r="G140" s="479">
        <f t="shared" si="109"/>
        <v>0</v>
      </c>
      <c r="H140" s="487">
        <v>53.2</v>
      </c>
      <c r="I140" s="487">
        <v>53.2</v>
      </c>
      <c r="J140" s="479">
        <f t="shared" si="110"/>
        <v>0</v>
      </c>
      <c r="K140" s="487">
        <v>225.4</v>
      </c>
      <c r="L140" s="487">
        <v>225.4</v>
      </c>
      <c r="M140" s="479">
        <f t="shared" si="111"/>
        <v>0</v>
      </c>
      <c r="N140" s="487">
        <v>124</v>
      </c>
      <c r="O140" s="487">
        <v>124.95</v>
      </c>
      <c r="P140" s="479">
        <f t="shared" si="112"/>
        <v>0.95000000000000284</v>
      </c>
      <c r="Q140" s="487">
        <v>120</v>
      </c>
      <c r="R140" s="487">
        <v>118</v>
      </c>
      <c r="S140" s="479">
        <f t="shared" si="113"/>
        <v>-2</v>
      </c>
      <c r="T140" s="487">
        <v>120</v>
      </c>
      <c r="U140" s="487">
        <v>102</v>
      </c>
      <c r="V140" s="479">
        <f t="shared" si="114"/>
        <v>-18</v>
      </c>
      <c r="W140" s="487">
        <v>138</v>
      </c>
      <c r="X140" s="487">
        <v>138</v>
      </c>
      <c r="Y140" s="479">
        <f t="shared" si="115"/>
        <v>0</v>
      </c>
      <c r="Z140" s="487">
        <v>100</v>
      </c>
      <c r="AA140" s="487">
        <v>100</v>
      </c>
      <c r="AB140" s="479">
        <f t="shared" si="116"/>
        <v>0</v>
      </c>
      <c r="AC140" s="487">
        <v>100</v>
      </c>
      <c r="AD140" s="487">
        <v>100</v>
      </c>
      <c r="AE140" s="479">
        <f t="shared" si="117"/>
        <v>0</v>
      </c>
    </row>
    <row r="141" spans="1:31" s="434" customFormat="1" ht="20.100000000000001" customHeight="1" thickBot="1">
      <c r="A141" s="466"/>
      <c r="B141" s="467"/>
      <c r="C141" s="468"/>
      <c r="D141" s="624" t="s">
        <v>69</v>
      </c>
      <c r="E141" s="634">
        <f t="shared" ref="E141" si="118">SUM(E130:E140)</f>
        <v>267.39999999999998</v>
      </c>
      <c r="F141" s="634">
        <f t="shared" ref="F141:W141" si="119">SUM(F130:F140)</f>
        <v>267.39999999999998</v>
      </c>
      <c r="G141" s="635">
        <f t="shared" si="119"/>
        <v>0</v>
      </c>
      <c r="H141" s="634">
        <f t="shared" ref="H141" si="120">SUM(H130:H140)</f>
        <v>263.2</v>
      </c>
      <c r="I141" s="634">
        <f t="shared" si="119"/>
        <v>263.2</v>
      </c>
      <c r="J141" s="635">
        <f t="shared" si="119"/>
        <v>0</v>
      </c>
      <c r="K141" s="634">
        <f t="shared" ref="K141" si="121">SUM(K130:K140)</f>
        <v>295.05</v>
      </c>
      <c r="L141" s="634">
        <f t="shared" si="119"/>
        <v>295.05</v>
      </c>
      <c r="M141" s="635">
        <f t="shared" si="119"/>
        <v>0</v>
      </c>
      <c r="N141" s="634">
        <f t="shared" ref="N141" si="122">SUM(N130:N140)</f>
        <v>278</v>
      </c>
      <c r="O141" s="634">
        <f t="shared" si="119"/>
        <v>278.95</v>
      </c>
      <c r="P141" s="635">
        <f t="shared" si="119"/>
        <v>0.95000000000000284</v>
      </c>
      <c r="Q141" s="634">
        <f t="shared" ref="Q141:R141" si="123">SUM(Q130:Q140)</f>
        <v>270</v>
      </c>
      <c r="R141" s="634">
        <f t="shared" si="123"/>
        <v>248</v>
      </c>
      <c r="S141" s="635">
        <f t="shared" si="119"/>
        <v>-22</v>
      </c>
      <c r="T141" s="634">
        <f t="shared" ref="T141" si="124">SUM(T130:T140)</f>
        <v>270</v>
      </c>
      <c r="U141" s="634">
        <f t="shared" si="119"/>
        <v>252</v>
      </c>
      <c r="V141" s="635">
        <f t="shared" si="119"/>
        <v>-18</v>
      </c>
      <c r="W141" s="634">
        <f t="shared" si="119"/>
        <v>233</v>
      </c>
      <c r="X141" s="634">
        <f t="shared" ref="X141:Z141" si="125">SUM(X130:X140)</f>
        <v>233</v>
      </c>
      <c r="Y141" s="635">
        <f t="shared" si="125"/>
        <v>0</v>
      </c>
      <c r="Z141" s="634">
        <f t="shared" si="125"/>
        <v>200</v>
      </c>
      <c r="AA141" s="634">
        <f t="shared" ref="AA141:AC141" si="126">SUM(AA130:AA140)</f>
        <v>200</v>
      </c>
      <c r="AB141" s="635">
        <f t="shared" si="126"/>
        <v>0</v>
      </c>
      <c r="AC141" s="634">
        <f t="shared" si="126"/>
        <v>200</v>
      </c>
      <c r="AD141" s="634">
        <f t="shared" ref="AD141:AE141" si="127">SUM(AD130:AD140)</f>
        <v>200</v>
      </c>
      <c r="AE141" s="635">
        <f t="shared" si="127"/>
        <v>0</v>
      </c>
    </row>
    <row r="142" spans="1:31" s="434" customFormat="1" ht="20.100000000000001" hidden="1" customHeight="1">
      <c r="A142" s="459"/>
      <c r="B142" s="457" t="s">
        <v>264</v>
      </c>
      <c r="C142" s="636"/>
      <c r="D142" s="633" t="s">
        <v>262</v>
      </c>
      <c r="E142" s="637">
        <v>16.010000000000002</v>
      </c>
      <c r="F142" s="637">
        <v>16.010000000000002</v>
      </c>
      <c r="G142" s="580">
        <f t="shared" ref="G142:G143" si="128">F142-E142</f>
        <v>0</v>
      </c>
      <c r="H142" s="637">
        <v>7.9669999999999996</v>
      </c>
      <c r="I142" s="637">
        <v>7.9669999999999996</v>
      </c>
      <c r="J142" s="580">
        <f t="shared" ref="J142:J143" si="129">I142-H142</f>
        <v>0</v>
      </c>
      <c r="K142" s="638">
        <v>0</v>
      </c>
      <c r="L142" s="638">
        <v>0</v>
      </c>
      <c r="M142" s="580">
        <f t="shared" ref="M142:M143" si="130">L142-K142</f>
        <v>0</v>
      </c>
      <c r="N142" s="553">
        <v>0</v>
      </c>
      <c r="O142" s="553">
        <v>0</v>
      </c>
      <c r="P142" s="479">
        <f t="shared" ref="P142:P143" si="131">O142-N142</f>
        <v>0</v>
      </c>
      <c r="Q142" s="553">
        <v>0</v>
      </c>
      <c r="R142" s="553">
        <v>0</v>
      </c>
      <c r="S142" s="479">
        <f t="shared" ref="S142:S143" si="132">R142-Q142</f>
        <v>0</v>
      </c>
      <c r="T142" s="553">
        <v>0</v>
      </c>
      <c r="U142" s="553">
        <v>0</v>
      </c>
      <c r="V142" s="479">
        <f t="shared" ref="V142:V143" si="133">U142-T142</f>
        <v>0</v>
      </c>
      <c r="W142" s="553">
        <v>0</v>
      </c>
      <c r="X142" s="553">
        <v>0</v>
      </c>
      <c r="Y142" s="479">
        <f t="shared" ref="Y142:Y143" si="134">X142-W142</f>
        <v>0</v>
      </c>
      <c r="Z142" s="553">
        <v>0</v>
      </c>
      <c r="AA142" s="553">
        <v>0</v>
      </c>
      <c r="AB142" s="479">
        <f t="shared" ref="AB142:AB143" si="135">AA142-Z142</f>
        <v>0</v>
      </c>
      <c r="AC142" s="553">
        <v>0</v>
      </c>
      <c r="AD142" s="553">
        <v>0</v>
      </c>
      <c r="AE142" s="479">
        <f t="shared" ref="AE142:AE143" si="136">AD142-AC142</f>
        <v>0</v>
      </c>
    </row>
    <row r="143" spans="1:31" s="434" customFormat="1" ht="20.100000000000001" hidden="1" customHeight="1" thickBot="1">
      <c r="A143" s="459"/>
      <c r="B143" s="457"/>
      <c r="C143" s="636"/>
      <c r="D143" s="633" t="s">
        <v>263</v>
      </c>
      <c r="E143" s="639">
        <v>19.187000000000001</v>
      </c>
      <c r="F143" s="639">
        <v>19.187000000000001</v>
      </c>
      <c r="G143" s="580">
        <f t="shared" si="128"/>
        <v>0</v>
      </c>
      <c r="H143" s="639">
        <v>0.1</v>
      </c>
      <c r="I143" s="639">
        <v>0.1</v>
      </c>
      <c r="J143" s="580">
        <f t="shared" si="129"/>
        <v>0</v>
      </c>
      <c r="K143" s="640">
        <v>0</v>
      </c>
      <c r="L143" s="640">
        <v>0</v>
      </c>
      <c r="M143" s="580">
        <f t="shared" si="130"/>
        <v>0</v>
      </c>
      <c r="N143" s="641">
        <v>0</v>
      </c>
      <c r="O143" s="641">
        <v>0</v>
      </c>
      <c r="P143" s="479">
        <f t="shared" si="131"/>
        <v>0</v>
      </c>
      <c r="Q143" s="641">
        <v>0</v>
      </c>
      <c r="R143" s="641">
        <v>0</v>
      </c>
      <c r="S143" s="479">
        <f t="shared" si="132"/>
        <v>0</v>
      </c>
      <c r="T143" s="641">
        <v>0</v>
      </c>
      <c r="U143" s="641">
        <v>0</v>
      </c>
      <c r="V143" s="479">
        <f t="shared" si="133"/>
        <v>0</v>
      </c>
      <c r="W143" s="641">
        <v>0</v>
      </c>
      <c r="X143" s="641">
        <v>0</v>
      </c>
      <c r="Y143" s="479">
        <f t="shared" si="134"/>
        <v>0</v>
      </c>
      <c r="Z143" s="641">
        <v>0</v>
      </c>
      <c r="AA143" s="641">
        <v>0</v>
      </c>
      <c r="AB143" s="479">
        <f t="shared" si="135"/>
        <v>0</v>
      </c>
      <c r="AC143" s="641">
        <v>0</v>
      </c>
      <c r="AD143" s="641">
        <v>0</v>
      </c>
      <c r="AE143" s="479">
        <f t="shared" si="136"/>
        <v>0</v>
      </c>
    </row>
    <row r="144" spans="1:31" s="434" customFormat="1" ht="20.100000000000001" hidden="1" customHeight="1" thickBot="1">
      <c r="A144" s="459"/>
      <c r="B144" s="467"/>
      <c r="C144" s="636"/>
      <c r="D144" s="624" t="s">
        <v>228</v>
      </c>
      <c r="E144" s="634">
        <f t="shared" ref="E144" si="137">SUM(E142:E143)</f>
        <v>35.197000000000003</v>
      </c>
      <c r="F144" s="634">
        <f t="shared" ref="F144:N144" si="138">SUM(F142:F143)</f>
        <v>35.197000000000003</v>
      </c>
      <c r="G144" s="635">
        <f t="shared" si="138"/>
        <v>0</v>
      </c>
      <c r="H144" s="634">
        <f t="shared" ref="H144" si="139">SUM(H142:H143)</f>
        <v>8.0670000000000002</v>
      </c>
      <c r="I144" s="634">
        <f t="shared" si="138"/>
        <v>8.0670000000000002</v>
      </c>
      <c r="J144" s="635">
        <f t="shared" si="138"/>
        <v>0</v>
      </c>
      <c r="K144" s="634">
        <f t="shared" ref="K144" si="140">SUM(K142:K143)</f>
        <v>0</v>
      </c>
      <c r="L144" s="634">
        <f t="shared" si="138"/>
        <v>0</v>
      </c>
      <c r="M144" s="635">
        <f t="shared" si="138"/>
        <v>0</v>
      </c>
      <c r="N144" s="634">
        <f t="shared" si="138"/>
        <v>0</v>
      </c>
      <c r="O144" s="634">
        <f t="shared" ref="O144:P144" si="141">SUM(O142:O143)</f>
        <v>0</v>
      </c>
      <c r="P144" s="635">
        <f t="shared" si="141"/>
        <v>0</v>
      </c>
      <c r="Q144" s="634">
        <f t="shared" ref="Q144:R144" si="142">SUM(Q142:Q143)</f>
        <v>0</v>
      </c>
      <c r="R144" s="634">
        <f t="shared" si="142"/>
        <v>0</v>
      </c>
      <c r="S144" s="635">
        <f t="shared" ref="S144:T144" si="143">SUM(S142:S143)</f>
        <v>0</v>
      </c>
      <c r="T144" s="634">
        <f t="shared" si="143"/>
        <v>0</v>
      </c>
      <c r="U144" s="634">
        <f t="shared" ref="U144:W144" si="144">SUM(U142:U143)</f>
        <v>0</v>
      </c>
      <c r="V144" s="635">
        <f t="shared" si="144"/>
        <v>0</v>
      </c>
      <c r="W144" s="634">
        <f t="shared" si="144"/>
        <v>0</v>
      </c>
      <c r="X144" s="634">
        <f t="shared" ref="X144:Z144" si="145">SUM(X142:X143)</f>
        <v>0</v>
      </c>
      <c r="Y144" s="635">
        <f t="shared" si="145"/>
        <v>0</v>
      </c>
      <c r="Z144" s="634">
        <f t="shared" si="145"/>
        <v>0</v>
      </c>
      <c r="AA144" s="634">
        <f t="shared" ref="AA144:AC144" si="146">SUM(AA142:AA143)</f>
        <v>0</v>
      </c>
      <c r="AB144" s="635">
        <f t="shared" si="146"/>
        <v>0</v>
      </c>
      <c r="AC144" s="634">
        <f t="shared" si="146"/>
        <v>0</v>
      </c>
      <c r="AD144" s="634">
        <f t="shared" ref="AD144:AE144" si="147">SUM(AD142:AD143)</f>
        <v>0</v>
      </c>
      <c r="AE144" s="635">
        <f t="shared" si="147"/>
        <v>0</v>
      </c>
    </row>
    <row r="145" spans="1:31" ht="31.5">
      <c r="A145" s="456">
        <v>6</v>
      </c>
      <c r="B145" s="457"/>
      <c r="C145" s="629">
        <v>100057555</v>
      </c>
      <c r="D145" s="694" t="s">
        <v>422</v>
      </c>
      <c r="E145" s="478">
        <v>54.252000000000002</v>
      </c>
      <c r="F145" s="478">
        <v>54.252000000000002</v>
      </c>
      <c r="G145" s="567">
        <f t="shared" ref="G145:G203" si="148">F145-E145</f>
        <v>0</v>
      </c>
      <c r="H145" s="478">
        <v>49.896000000000001</v>
      </c>
      <c r="I145" s="478">
        <v>49.896000000000001</v>
      </c>
      <c r="J145" s="567">
        <f t="shared" ref="J145:J203" si="149">I145-H145</f>
        <v>0</v>
      </c>
      <c r="K145" s="478">
        <v>91.543999999999997</v>
      </c>
      <c r="L145" s="478">
        <v>91.543999999999997</v>
      </c>
      <c r="M145" s="567">
        <f t="shared" ref="M145:M203" si="150">L145-K145</f>
        <v>0</v>
      </c>
      <c r="N145" s="478">
        <v>100</v>
      </c>
      <c r="O145" s="478">
        <v>101.18899999999999</v>
      </c>
      <c r="P145" s="567">
        <f t="shared" ref="P145:P203" si="151">O145-N145</f>
        <v>1.188999999999993</v>
      </c>
      <c r="Q145" s="478">
        <v>100</v>
      </c>
      <c r="R145" s="478">
        <v>100</v>
      </c>
      <c r="S145" s="567">
        <f t="shared" ref="S145:S203" si="152">R145-Q145</f>
        <v>0</v>
      </c>
      <c r="T145" s="478">
        <v>100</v>
      </c>
      <c r="U145" s="478">
        <v>100</v>
      </c>
      <c r="V145" s="567">
        <f t="shared" ref="V145:V203" si="153">U145-T145</f>
        <v>0</v>
      </c>
      <c r="W145" s="478">
        <v>100</v>
      </c>
      <c r="X145" s="478">
        <v>100</v>
      </c>
      <c r="Y145" s="567">
        <f t="shared" ref="Y145:Y203" si="154">X145-W145</f>
        <v>0</v>
      </c>
      <c r="Z145" s="478">
        <v>100</v>
      </c>
      <c r="AA145" s="478">
        <v>100</v>
      </c>
      <c r="AB145" s="567">
        <f t="shared" ref="AB145:AB203" si="155">AA145-Z145</f>
        <v>0</v>
      </c>
      <c r="AC145" s="478">
        <v>100</v>
      </c>
      <c r="AD145" s="478">
        <v>100</v>
      </c>
      <c r="AE145" s="567">
        <f t="shared" ref="AE145:AE203" si="156">AD145-AC145</f>
        <v>0</v>
      </c>
    </row>
    <row r="146" spans="1:31" ht="31.5">
      <c r="A146" s="456"/>
      <c r="B146" s="457"/>
      <c r="C146" s="458">
        <v>100127652</v>
      </c>
      <c r="D146" s="695" t="s">
        <v>421</v>
      </c>
      <c r="E146" s="478">
        <v>13.752000000000001</v>
      </c>
      <c r="F146" s="478">
        <v>13.752000000000001</v>
      </c>
      <c r="G146" s="479">
        <f t="shared" si="148"/>
        <v>0</v>
      </c>
      <c r="H146" s="478">
        <v>56.951999999999998</v>
      </c>
      <c r="I146" s="478">
        <v>56.951999999999998</v>
      </c>
      <c r="J146" s="479">
        <f t="shared" si="149"/>
        <v>0</v>
      </c>
      <c r="K146" s="478">
        <v>65.016000000000005</v>
      </c>
      <c r="L146" s="478">
        <v>65.016000000000005</v>
      </c>
      <c r="M146" s="479">
        <f t="shared" si="150"/>
        <v>0</v>
      </c>
      <c r="N146" s="478">
        <v>60</v>
      </c>
      <c r="O146" s="478">
        <v>62.136000000000003</v>
      </c>
      <c r="P146" s="479">
        <f t="shared" si="151"/>
        <v>2.1360000000000028</v>
      </c>
      <c r="Q146" s="478">
        <v>70</v>
      </c>
      <c r="R146" s="478">
        <v>70</v>
      </c>
      <c r="S146" s="479">
        <f t="shared" si="152"/>
        <v>0</v>
      </c>
      <c r="T146" s="478">
        <v>70</v>
      </c>
      <c r="U146" s="478">
        <v>70</v>
      </c>
      <c r="V146" s="479">
        <f t="shared" si="153"/>
        <v>0</v>
      </c>
      <c r="W146" s="478">
        <v>70</v>
      </c>
      <c r="X146" s="478">
        <v>70</v>
      </c>
      <c r="Y146" s="479">
        <f t="shared" si="154"/>
        <v>0</v>
      </c>
      <c r="Z146" s="478">
        <v>70</v>
      </c>
      <c r="AA146" s="478">
        <v>70</v>
      </c>
      <c r="AB146" s="479">
        <f t="shared" si="155"/>
        <v>0</v>
      </c>
      <c r="AC146" s="478">
        <v>70</v>
      </c>
      <c r="AD146" s="478">
        <v>70</v>
      </c>
      <c r="AE146" s="479">
        <f t="shared" si="156"/>
        <v>0</v>
      </c>
    </row>
    <row r="147" spans="1:31" ht="31.5">
      <c r="A147" s="456"/>
      <c r="B147" s="457"/>
      <c r="C147" s="458">
        <v>100127652</v>
      </c>
      <c r="D147" s="695" t="s">
        <v>420</v>
      </c>
      <c r="E147" s="478">
        <v>5.53</v>
      </c>
      <c r="F147" s="478">
        <v>5.53</v>
      </c>
      <c r="G147" s="479">
        <f t="shared" si="148"/>
        <v>0</v>
      </c>
      <c r="H147" s="478">
        <v>21.983000000000001</v>
      </c>
      <c r="I147" s="478">
        <v>21.983000000000001</v>
      </c>
      <c r="J147" s="479">
        <f t="shared" si="149"/>
        <v>0</v>
      </c>
      <c r="K147" s="478">
        <v>20.02</v>
      </c>
      <c r="L147" s="478">
        <v>20.02</v>
      </c>
      <c r="M147" s="479">
        <f t="shared" si="150"/>
        <v>0</v>
      </c>
      <c r="N147" s="478">
        <v>10</v>
      </c>
      <c r="O147" s="478">
        <v>10.15</v>
      </c>
      <c r="P147" s="479">
        <f t="shared" si="151"/>
        <v>0.15000000000000036</v>
      </c>
      <c r="Q147" s="478">
        <v>0</v>
      </c>
      <c r="R147" s="478">
        <v>0</v>
      </c>
      <c r="S147" s="479">
        <f t="shared" si="152"/>
        <v>0</v>
      </c>
      <c r="T147" s="478">
        <v>0</v>
      </c>
      <c r="U147" s="478">
        <v>0</v>
      </c>
      <c r="V147" s="479">
        <f t="shared" si="153"/>
        <v>0</v>
      </c>
      <c r="W147" s="478">
        <v>0</v>
      </c>
      <c r="X147" s="478">
        <v>0</v>
      </c>
      <c r="Y147" s="479">
        <f t="shared" si="154"/>
        <v>0</v>
      </c>
      <c r="Z147" s="478">
        <v>0</v>
      </c>
      <c r="AA147" s="478">
        <v>0</v>
      </c>
      <c r="AB147" s="479">
        <f t="shared" si="155"/>
        <v>0</v>
      </c>
      <c r="AC147" s="478">
        <v>0</v>
      </c>
      <c r="AD147" s="478">
        <v>0</v>
      </c>
      <c r="AE147" s="479">
        <f t="shared" si="156"/>
        <v>0</v>
      </c>
    </row>
    <row r="148" spans="1:31" ht="31.5">
      <c r="A148" s="456"/>
      <c r="B148" s="463" t="s">
        <v>232</v>
      </c>
      <c r="C148" s="458">
        <v>100127652</v>
      </c>
      <c r="D148" s="695" t="s">
        <v>419</v>
      </c>
      <c r="E148" s="478">
        <v>0</v>
      </c>
      <c r="F148" s="478">
        <v>0</v>
      </c>
      <c r="G148" s="479">
        <f t="shared" si="148"/>
        <v>0</v>
      </c>
      <c r="H148" s="478">
        <v>0</v>
      </c>
      <c r="I148" s="478">
        <v>0</v>
      </c>
      <c r="J148" s="479">
        <f t="shared" si="149"/>
        <v>0</v>
      </c>
      <c r="K148" s="478">
        <v>0</v>
      </c>
      <c r="L148" s="478">
        <v>0</v>
      </c>
      <c r="M148" s="479">
        <f t="shared" si="150"/>
        <v>0</v>
      </c>
      <c r="N148" s="478">
        <v>0</v>
      </c>
      <c r="O148" s="478">
        <v>0</v>
      </c>
      <c r="P148" s="479">
        <f t="shared" si="151"/>
        <v>0</v>
      </c>
      <c r="Q148" s="478">
        <v>0</v>
      </c>
      <c r="R148" s="478">
        <v>0</v>
      </c>
      <c r="S148" s="479">
        <f t="shared" si="152"/>
        <v>0</v>
      </c>
      <c r="T148" s="478">
        <v>0</v>
      </c>
      <c r="U148" s="478">
        <v>0</v>
      </c>
      <c r="V148" s="479">
        <f t="shared" si="153"/>
        <v>0</v>
      </c>
      <c r="W148" s="478">
        <v>0</v>
      </c>
      <c r="X148" s="478">
        <v>0</v>
      </c>
      <c r="Y148" s="479">
        <f t="shared" si="154"/>
        <v>0</v>
      </c>
      <c r="Z148" s="478">
        <v>0</v>
      </c>
      <c r="AA148" s="478">
        <v>0</v>
      </c>
      <c r="AB148" s="479">
        <f t="shared" si="155"/>
        <v>0</v>
      </c>
      <c r="AC148" s="478">
        <v>0</v>
      </c>
      <c r="AD148" s="478">
        <v>0</v>
      </c>
      <c r="AE148" s="479">
        <f t="shared" si="156"/>
        <v>0</v>
      </c>
    </row>
    <row r="149" spans="1:31" ht="31.5">
      <c r="A149" s="456"/>
      <c r="B149" s="457"/>
      <c r="C149" s="458">
        <v>100127652</v>
      </c>
      <c r="D149" s="695" t="s">
        <v>418</v>
      </c>
      <c r="E149" s="478">
        <v>43.243000000000002</v>
      </c>
      <c r="F149" s="478">
        <v>43.243000000000002</v>
      </c>
      <c r="G149" s="479">
        <f t="shared" si="148"/>
        <v>0</v>
      </c>
      <c r="H149" s="478">
        <v>0</v>
      </c>
      <c r="I149" s="478">
        <v>0</v>
      </c>
      <c r="J149" s="479">
        <f t="shared" si="149"/>
        <v>0</v>
      </c>
      <c r="K149" s="478">
        <v>2.2080000000000002</v>
      </c>
      <c r="L149" s="478">
        <v>2.2080000000000002</v>
      </c>
      <c r="M149" s="479">
        <f t="shared" si="150"/>
        <v>0</v>
      </c>
      <c r="N149" s="478">
        <v>70</v>
      </c>
      <c r="O149" s="478">
        <v>70.367999999999995</v>
      </c>
      <c r="P149" s="479">
        <f t="shared" si="151"/>
        <v>0.367999999999995</v>
      </c>
      <c r="Q149" s="478">
        <v>50</v>
      </c>
      <c r="R149" s="478">
        <v>50</v>
      </c>
      <c r="S149" s="479">
        <f t="shared" si="152"/>
        <v>0</v>
      </c>
      <c r="T149" s="478">
        <v>50</v>
      </c>
      <c r="U149" s="478">
        <v>50</v>
      </c>
      <c r="V149" s="479">
        <f t="shared" si="153"/>
        <v>0</v>
      </c>
      <c r="W149" s="478">
        <v>50</v>
      </c>
      <c r="X149" s="478">
        <v>50</v>
      </c>
      <c r="Y149" s="479">
        <f t="shared" si="154"/>
        <v>0</v>
      </c>
      <c r="Z149" s="478">
        <v>50</v>
      </c>
      <c r="AA149" s="478">
        <v>50</v>
      </c>
      <c r="AB149" s="479">
        <f t="shared" si="155"/>
        <v>0</v>
      </c>
      <c r="AC149" s="478">
        <v>50</v>
      </c>
      <c r="AD149" s="478">
        <v>50</v>
      </c>
      <c r="AE149" s="479">
        <f t="shared" si="156"/>
        <v>0</v>
      </c>
    </row>
    <row r="150" spans="1:31" ht="31.5">
      <c r="A150" s="456"/>
      <c r="B150" s="457"/>
      <c r="C150" s="458">
        <v>100127652</v>
      </c>
      <c r="D150" s="696" t="s">
        <v>417</v>
      </c>
      <c r="E150" s="478">
        <v>0</v>
      </c>
      <c r="F150" s="478">
        <v>0</v>
      </c>
      <c r="G150" s="479">
        <f t="shared" si="148"/>
        <v>0</v>
      </c>
      <c r="H150" s="579">
        <v>0</v>
      </c>
      <c r="I150" s="579">
        <v>0</v>
      </c>
      <c r="J150" s="580">
        <f t="shared" si="149"/>
        <v>0</v>
      </c>
      <c r="K150" s="579">
        <v>3</v>
      </c>
      <c r="L150" s="579">
        <v>3</v>
      </c>
      <c r="M150" s="580">
        <f t="shared" si="150"/>
        <v>0</v>
      </c>
      <c r="N150" s="478">
        <v>1.7989999999999999</v>
      </c>
      <c r="O150" s="478">
        <v>1.92</v>
      </c>
      <c r="P150" s="479">
        <f t="shared" si="151"/>
        <v>0.121</v>
      </c>
      <c r="Q150" s="478">
        <v>0</v>
      </c>
      <c r="R150" s="478">
        <v>0</v>
      </c>
      <c r="S150" s="479">
        <f t="shared" si="152"/>
        <v>0</v>
      </c>
      <c r="T150" s="478">
        <v>100</v>
      </c>
      <c r="U150" s="478">
        <v>100</v>
      </c>
      <c r="V150" s="479">
        <f t="shared" si="153"/>
        <v>0</v>
      </c>
      <c r="W150" s="478">
        <v>0</v>
      </c>
      <c r="X150" s="478">
        <v>0</v>
      </c>
      <c r="Y150" s="479">
        <f t="shared" si="154"/>
        <v>0</v>
      </c>
      <c r="Z150" s="478">
        <v>0</v>
      </c>
      <c r="AA150" s="478">
        <v>0</v>
      </c>
      <c r="AB150" s="479">
        <f t="shared" si="155"/>
        <v>0</v>
      </c>
      <c r="AC150" s="478">
        <v>0</v>
      </c>
      <c r="AD150" s="478">
        <v>0</v>
      </c>
      <c r="AE150" s="479">
        <f t="shared" si="156"/>
        <v>0</v>
      </c>
    </row>
    <row r="151" spans="1:31" ht="47.25">
      <c r="A151" s="456"/>
      <c r="B151" s="457"/>
      <c r="C151" s="458">
        <v>100127652</v>
      </c>
      <c r="D151" s="642" t="s">
        <v>271</v>
      </c>
      <c r="E151" s="478">
        <v>0</v>
      </c>
      <c r="F151" s="478">
        <v>0</v>
      </c>
      <c r="G151" s="479">
        <f t="shared" ref="G151" si="157">F151-E151</f>
        <v>0</v>
      </c>
      <c r="H151" s="579">
        <v>0</v>
      </c>
      <c r="I151" s="579">
        <v>0</v>
      </c>
      <c r="J151" s="580">
        <f t="shared" ref="J151" si="158">I151-H151</f>
        <v>0</v>
      </c>
      <c r="K151" s="579">
        <v>0</v>
      </c>
      <c r="L151" s="579">
        <v>0</v>
      </c>
      <c r="M151" s="580">
        <f t="shared" ref="M151" si="159">L151-K151</f>
        <v>0</v>
      </c>
      <c r="N151" s="478">
        <v>0</v>
      </c>
      <c r="O151" s="478">
        <v>0</v>
      </c>
      <c r="P151" s="479">
        <f t="shared" ref="P151" si="160">O151-N151</f>
        <v>0</v>
      </c>
      <c r="Q151" s="478">
        <v>0</v>
      </c>
      <c r="R151" s="478">
        <v>0</v>
      </c>
      <c r="S151" s="479">
        <f t="shared" ref="S151" si="161">R151-Q151</f>
        <v>0</v>
      </c>
      <c r="T151" s="478">
        <v>0</v>
      </c>
      <c r="U151" s="478">
        <v>0</v>
      </c>
      <c r="V151" s="479">
        <f t="shared" ref="V151" si="162">U151-T151</f>
        <v>0</v>
      </c>
      <c r="W151" s="478">
        <v>150</v>
      </c>
      <c r="X151" s="478">
        <v>150</v>
      </c>
      <c r="Y151" s="479">
        <f t="shared" ref="Y151" si="163">X151-W151</f>
        <v>0</v>
      </c>
      <c r="Z151" s="478">
        <v>100</v>
      </c>
      <c r="AA151" s="478">
        <v>100</v>
      </c>
      <c r="AB151" s="479">
        <f t="shared" ref="AB151" si="164">AA151-Z151</f>
        <v>0</v>
      </c>
      <c r="AC151" s="478">
        <v>100</v>
      </c>
      <c r="AD151" s="478">
        <v>100</v>
      </c>
      <c r="AE151" s="479">
        <f t="shared" ref="AE151" si="165">AD151-AC151</f>
        <v>0</v>
      </c>
    </row>
    <row r="152" spans="1:31" ht="31.5">
      <c r="A152" s="456"/>
      <c r="B152" s="457"/>
      <c r="C152" s="458">
        <v>100127652</v>
      </c>
      <c r="D152" s="695" t="s">
        <v>414</v>
      </c>
      <c r="E152" s="478">
        <v>2.218</v>
      </c>
      <c r="F152" s="478">
        <v>2.218</v>
      </c>
      <c r="G152" s="479">
        <f t="shared" si="148"/>
        <v>0</v>
      </c>
      <c r="H152" s="478">
        <v>0.84799999999999998</v>
      </c>
      <c r="I152" s="478">
        <v>0.84799999999999998</v>
      </c>
      <c r="J152" s="479">
        <f t="shared" si="149"/>
        <v>0</v>
      </c>
      <c r="K152" s="478">
        <v>1.1519999999999999</v>
      </c>
      <c r="L152" s="478">
        <v>1.1519999999999999</v>
      </c>
      <c r="M152" s="479">
        <f t="shared" si="150"/>
        <v>0</v>
      </c>
      <c r="N152" s="478">
        <v>0</v>
      </c>
      <c r="O152" s="478">
        <v>0</v>
      </c>
      <c r="P152" s="479">
        <f t="shared" si="151"/>
        <v>0</v>
      </c>
      <c r="Q152" s="478">
        <v>0</v>
      </c>
      <c r="R152" s="478">
        <v>0</v>
      </c>
      <c r="S152" s="479">
        <f t="shared" si="152"/>
        <v>0</v>
      </c>
      <c r="T152" s="478">
        <v>0</v>
      </c>
      <c r="U152" s="478">
        <v>0</v>
      </c>
      <c r="V152" s="479">
        <f t="shared" si="153"/>
        <v>0</v>
      </c>
      <c r="W152" s="478">
        <v>50</v>
      </c>
      <c r="X152" s="478">
        <v>50</v>
      </c>
      <c r="Y152" s="479">
        <f t="shared" si="154"/>
        <v>0</v>
      </c>
      <c r="Z152" s="478">
        <v>50</v>
      </c>
      <c r="AA152" s="478">
        <v>50</v>
      </c>
      <c r="AB152" s="479">
        <f t="shared" si="155"/>
        <v>0</v>
      </c>
      <c r="AC152" s="478">
        <v>50</v>
      </c>
      <c r="AD152" s="478">
        <v>50</v>
      </c>
      <c r="AE152" s="479">
        <f t="shared" si="156"/>
        <v>0</v>
      </c>
    </row>
    <row r="153" spans="1:31" ht="31.5">
      <c r="A153" s="456"/>
      <c r="B153" s="457"/>
      <c r="C153" s="458">
        <v>100127652</v>
      </c>
      <c r="D153" s="695" t="s">
        <v>415</v>
      </c>
      <c r="E153" s="478">
        <v>0</v>
      </c>
      <c r="F153" s="478">
        <v>0</v>
      </c>
      <c r="G153" s="479">
        <f t="shared" si="148"/>
        <v>0</v>
      </c>
      <c r="H153" s="478">
        <v>0</v>
      </c>
      <c r="I153" s="478">
        <v>0</v>
      </c>
      <c r="J153" s="479">
        <f t="shared" si="149"/>
        <v>0</v>
      </c>
      <c r="K153" s="478">
        <v>0</v>
      </c>
      <c r="L153" s="478">
        <v>0</v>
      </c>
      <c r="M153" s="479">
        <f t="shared" si="150"/>
        <v>0</v>
      </c>
      <c r="N153" s="478">
        <v>0</v>
      </c>
      <c r="O153" s="478">
        <v>0</v>
      </c>
      <c r="P153" s="479">
        <f t="shared" si="151"/>
        <v>0</v>
      </c>
      <c r="Q153" s="478">
        <v>0</v>
      </c>
      <c r="R153" s="478">
        <v>0</v>
      </c>
      <c r="S153" s="479">
        <f t="shared" si="152"/>
        <v>0</v>
      </c>
      <c r="T153" s="478">
        <v>0</v>
      </c>
      <c r="U153" s="478">
        <v>0</v>
      </c>
      <c r="V153" s="479">
        <f t="shared" si="153"/>
        <v>0</v>
      </c>
      <c r="W153" s="478">
        <v>0</v>
      </c>
      <c r="X153" s="478">
        <v>0</v>
      </c>
      <c r="Y153" s="479">
        <f t="shared" si="154"/>
        <v>0</v>
      </c>
      <c r="Z153" s="478">
        <v>0</v>
      </c>
      <c r="AA153" s="478">
        <v>0</v>
      </c>
      <c r="AB153" s="479">
        <f t="shared" si="155"/>
        <v>0</v>
      </c>
      <c r="AC153" s="478">
        <v>0</v>
      </c>
      <c r="AD153" s="478">
        <v>0</v>
      </c>
      <c r="AE153" s="479">
        <f t="shared" si="156"/>
        <v>0</v>
      </c>
    </row>
    <row r="154" spans="1:31" ht="31.5">
      <c r="A154" s="456"/>
      <c r="B154" s="457"/>
      <c r="C154" s="458">
        <v>100127652</v>
      </c>
      <c r="D154" s="695" t="s">
        <v>416</v>
      </c>
      <c r="E154" s="478">
        <v>0</v>
      </c>
      <c r="F154" s="478">
        <v>0</v>
      </c>
      <c r="G154" s="479">
        <f t="shared" si="148"/>
        <v>0</v>
      </c>
      <c r="H154" s="478">
        <v>0</v>
      </c>
      <c r="I154" s="478">
        <v>0</v>
      </c>
      <c r="J154" s="479">
        <f t="shared" si="149"/>
        <v>0</v>
      </c>
      <c r="K154" s="478">
        <v>0</v>
      </c>
      <c r="L154" s="478">
        <v>0</v>
      </c>
      <c r="M154" s="479">
        <f t="shared" si="150"/>
        <v>0</v>
      </c>
      <c r="N154" s="478">
        <v>0</v>
      </c>
      <c r="O154" s="478">
        <v>0</v>
      </c>
      <c r="P154" s="479">
        <f t="shared" si="151"/>
        <v>0</v>
      </c>
      <c r="Q154" s="478">
        <v>0</v>
      </c>
      <c r="R154" s="478">
        <v>0</v>
      </c>
      <c r="S154" s="479">
        <f t="shared" si="152"/>
        <v>0</v>
      </c>
      <c r="T154" s="478">
        <v>5</v>
      </c>
      <c r="U154" s="478">
        <v>5</v>
      </c>
      <c r="V154" s="479">
        <f t="shared" si="153"/>
        <v>0</v>
      </c>
      <c r="W154" s="478">
        <v>30</v>
      </c>
      <c r="X154" s="478">
        <v>30</v>
      </c>
      <c r="Y154" s="479">
        <f t="shared" si="154"/>
        <v>0</v>
      </c>
      <c r="Z154" s="478">
        <v>25</v>
      </c>
      <c r="AA154" s="478">
        <v>25</v>
      </c>
      <c r="AB154" s="479">
        <f t="shared" si="155"/>
        <v>0</v>
      </c>
      <c r="AC154" s="478">
        <v>30</v>
      </c>
      <c r="AD154" s="478">
        <v>30</v>
      </c>
      <c r="AE154" s="479">
        <f t="shared" si="156"/>
        <v>0</v>
      </c>
    </row>
    <row r="155" spans="1:31" ht="22.5" customHeight="1">
      <c r="A155" s="456"/>
      <c r="B155" s="457"/>
      <c r="C155" s="458">
        <v>100127652</v>
      </c>
      <c r="D155" s="631" t="s">
        <v>166</v>
      </c>
      <c r="E155" s="478">
        <v>40.340000000000003</v>
      </c>
      <c r="F155" s="478">
        <v>40.340000000000003</v>
      </c>
      <c r="G155" s="479">
        <f t="shared" si="148"/>
        <v>0</v>
      </c>
      <c r="H155" s="478">
        <v>10.92</v>
      </c>
      <c r="I155" s="478">
        <v>10.92</v>
      </c>
      <c r="J155" s="479">
        <f t="shared" si="149"/>
        <v>0</v>
      </c>
      <c r="K155" s="478">
        <v>18.079999999999998</v>
      </c>
      <c r="L155" s="478">
        <v>18.079999999999998</v>
      </c>
      <c r="M155" s="479">
        <f t="shared" si="150"/>
        <v>0</v>
      </c>
      <c r="N155" s="478">
        <v>0</v>
      </c>
      <c r="O155" s="478">
        <v>0</v>
      </c>
      <c r="P155" s="479">
        <f t="shared" si="151"/>
        <v>0</v>
      </c>
      <c r="Q155" s="478">
        <v>20</v>
      </c>
      <c r="R155" s="478">
        <v>20</v>
      </c>
      <c r="S155" s="479">
        <f t="shared" si="152"/>
        <v>0</v>
      </c>
      <c r="T155" s="478">
        <v>20</v>
      </c>
      <c r="U155" s="478">
        <v>20</v>
      </c>
      <c r="V155" s="479">
        <f t="shared" si="153"/>
        <v>0</v>
      </c>
      <c r="W155" s="478">
        <v>20</v>
      </c>
      <c r="X155" s="478">
        <v>20</v>
      </c>
      <c r="Y155" s="479">
        <f t="shared" si="154"/>
        <v>0</v>
      </c>
      <c r="Z155" s="478">
        <v>20</v>
      </c>
      <c r="AA155" s="478">
        <v>20</v>
      </c>
      <c r="AB155" s="479">
        <f t="shared" si="155"/>
        <v>0</v>
      </c>
      <c r="AC155" s="478">
        <v>20</v>
      </c>
      <c r="AD155" s="478">
        <v>20</v>
      </c>
      <c r="AE155" s="479">
        <f t="shared" si="156"/>
        <v>0</v>
      </c>
    </row>
    <row r="156" spans="1:31" ht="23.1" customHeight="1">
      <c r="A156" s="456"/>
      <c r="B156" s="457"/>
      <c r="C156" s="458">
        <v>100127652</v>
      </c>
      <c r="D156" s="631" t="s">
        <v>167</v>
      </c>
      <c r="E156" s="478">
        <v>41.56</v>
      </c>
      <c r="F156" s="478">
        <v>41.56</v>
      </c>
      <c r="G156" s="479">
        <f t="shared" si="148"/>
        <v>0</v>
      </c>
      <c r="H156" s="478">
        <v>69.78</v>
      </c>
      <c r="I156" s="478">
        <v>69.78</v>
      </c>
      <c r="J156" s="479">
        <f t="shared" si="149"/>
        <v>0</v>
      </c>
      <c r="K156" s="478">
        <v>74.06</v>
      </c>
      <c r="L156" s="478">
        <v>74.06</v>
      </c>
      <c r="M156" s="479">
        <f t="shared" si="150"/>
        <v>0</v>
      </c>
      <c r="N156" s="478">
        <v>80</v>
      </c>
      <c r="O156" s="478">
        <v>82.27</v>
      </c>
      <c r="P156" s="479">
        <f t="shared" si="151"/>
        <v>2.269999999999996</v>
      </c>
      <c r="Q156" s="478">
        <f>60</f>
        <v>60</v>
      </c>
      <c r="R156" s="478">
        <f>60</f>
        <v>60</v>
      </c>
      <c r="S156" s="479">
        <f t="shared" si="152"/>
        <v>0</v>
      </c>
      <c r="T156" s="478">
        <v>60</v>
      </c>
      <c r="U156" s="478">
        <v>60</v>
      </c>
      <c r="V156" s="479">
        <f t="shared" si="153"/>
        <v>0</v>
      </c>
      <c r="W156" s="478">
        <v>60</v>
      </c>
      <c r="X156" s="478">
        <v>60</v>
      </c>
      <c r="Y156" s="479">
        <f t="shared" si="154"/>
        <v>0</v>
      </c>
      <c r="Z156" s="478">
        <v>60</v>
      </c>
      <c r="AA156" s="478">
        <v>60</v>
      </c>
      <c r="AB156" s="479">
        <f t="shared" si="155"/>
        <v>0</v>
      </c>
      <c r="AC156" s="478">
        <v>60</v>
      </c>
      <c r="AD156" s="478">
        <v>60</v>
      </c>
      <c r="AE156" s="479">
        <f t="shared" si="156"/>
        <v>0</v>
      </c>
    </row>
    <row r="157" spans="1:31" ht="23.1" customHeight="1">
      <c r="A157" s="456"/>
      <c r="B157" s="457"/>
      <c r="C157" s="458">
        <v>100127652</v>
      </c>
      <c r="D157" s="631" t="s">
        <v>199</v>
      </c>
      <c r="E157" s="478">
        <v>0</v>
      </c>
      <c r="F157" s="478">
        <v>0</v>
      </c>
      <c r="G157" s="479">
        <f t="shared" si="148"/>
        <v>0</v>
      </c>
      <c r="H157" s="478">
        <v>0</v>
      </c>
      <c r="I157" s="478">
        <v>0</v>
      </c>
      <c r="J157" s="479">
        <f t="shared" si="149"/>
        <v>0</v>
      </c>
      <c r="K157" s="478">
        <v>0</v>
      </c>
      <c r="L157" s="478">
        <v>0</v>
      </c>
      <c r="M157" s="479">
        <f t="shared" si="150"/>
        <v>0</v>
      </c>
      <c r="N157" s="478">
        <v>0</v>
      </c>
      <c r="O157" s="478">
        <v>0</v>
      </c>
      <c r="P157" s="479">
        <f t="shared" si="151"/>
        <v>0</v>
      </c>
      <c r="Q157" s="478">
        <v>0</v>
      </c>
      <c r="R157" s="478">
        <v>0</v>
      </c>
      <c r="S157" s="479">
        <f t="shared" si="152"/>
        <v>0</v>
      </c>
      <c r="T157" s="478">
        <v>0</v>
      </c>
      <c r="U157" s="478">
        <v>0</v>
      </c>
      <c r="V157" s="479">
        <f t="shared" si="153"/>
        <v>0</v>
      </c>
      <c r="W157" s="478">
        <v>0</v>
      </c>
      <c r="X157" s="478">
        <v>0</v>
      </c>
      <c r="Y157" s="479">
        <f t="shared" si="154"/>
        <v>0</v>
      </c>
      <c r="Z157" s="478">
        <v>0</v>
      </c>
      <c r="AA157" s="478">
        <v>0</v>
      </c>
      <c r="AB157" s="479">
        <f t="shared" si="155"/>
        <v>0</v>
      </c>
      <c r="AC157" s="478">
        <v>0</v>
      </c>
      <c r="AD157" s="478">
        <v>0</v>
      </c>
      <c r="AE157" s="479">
        <f t="shared" si="156"/>
        <v>0</v>
      </c>
    </row>
    <row r="158" spans="1:31" s="434" customFormat="1" ht="23.1" customHeight="1">
      <c r="A158" s="459"/>
      <c r="B158" s="457"/>
      <c r="C158" s="460">
        <v>100127652</v>
      </c>
      <c r="D158" s="643" t="s">
        <v>151</v>
      </c>
      <c r="E158" s="644">
        <v>0</v>
      </c>
      <c r="F158" s="644">
        <v>0</v>
      </c>
      <c r="G158" s="479">
        <f t="shared" si="148"/>
        <v>0</v>
      </c>
      <c r="H158" s="644">
        <v>0</v>
      </c>
      <c r="I158" s="644">
        <v>0</v>
      </c>
      <c r="J158" s="479">
        <f t="shared" si="149"/>
        <v>0</v>
      </c>
      <c r="K158" s="644">
        <v>0</v>
      </c>
      <c r="L158" s="644">
        <v>0</v>
      </c>
      <c r="M158" s="479">
        <f t="shared" si="150"/>
        <v>0</v>
      </c>
      <c r="N158" s="644">
        <v>0</v>
      </c>
      <c r="O158" s="644">
        <v>0</v>
      </c>
      <c r="P158" s="479">
        <f t="shared" si="151"/>
        <v>0</v>
      </c>
      <c r="Q158" s="644">
        <v>0</v>
      </c>
      <c r="R158" s="644">
        <v>0</v>
      </c>
      <c r="S158" s="479">
        <f t="shared" si="152"/>
        <v>0</v>
      </c>
      <c r="T158" s="644">
        <v>0</v>
      </c>
      <c r="U158" s="644">
        <v>0</v>
      </c>
      <c r="V158" s="479">
        <f t="shared" si="153"/>
        <v>0</v>
      </c>
      <c r="W158" s="644">
        <v>0</v>
      </c>
      <c r="X158" s="644">
        <v>0</v>
      </c>
      <c r="Y158" s="479">
        <f t="shared" si="154"/>
        <v>0</v>
      </c>
      <c r="Z158" s="644">
        <v>0</v>
      </c>
      <c r="AA158" s="644">
        <v>0</v>
      </c>
      <c r="AB158" s="479">
        <f t="shared" si="155"/>
        <v>0</v>
      </c>
      <c r="AC158" s="644">
        <v>0</v>
      </c>
      <c r="AD158" s="644">
        <v>0</v>
      </c>
      <c r="AE158" s="479">
        <f t="shared" si="156"/>
        <v>0</v>
      </c>
    </row>
    <row r="159" spans="1:31" ht="23.1" customHeight="1">
      <c r="A159" s="456"/>
      <c r="B159" s="457"/>
      <c r="C159" s="458">
        <v>100127652</v>
      </c>
      <c r="D159" s="645" t="s">
        <v>233</v>
      </c>
      <c r="E159" s="499">
        <v>0</v>
      </c>
      <c r="F159" s="499">
        <v>0</v>
      </c>
      <c r="G159" s="479">
        <f t="shared" ref="G159:G160" si="166">F159-E159</f>
        <v>0</v>
      </c>
      <c r="H159" s="499">
        <v>0</v>
      </c>
      <c r="I159" s="499">
        <v>0</v>
      </c>
      <c r="J159" s="479">
        <f t="shared" ref="J159:J160" si="167">I159-H159</f>
        <v>0</v>
      </c>
      <c r="K159" s="499">
        <v>0</v>
      </c>
      <c r="L159" s="499">
        <v>0</v>
      </c>
      <c r="M159" s="479">
        <f t="shared" ref="M159:M160" si="168">L159-K159</f>
        <v>0</v>
      </c>
      <c r="N159" s="499">
        <v>0</v>
      </c>
      <c r="O159" s="499">
        <v>0</v>
      </c>
      <c r="P159" s="479">
        <f t="shared" ref="P159:P160" si="169">O159-N159</f>
        <v>0</v>
      </c>
      <c r="Q159" s="499">
        <v>0</v>
      </c>
      <c r="R159" s="499">
        <v>0</v>
      </c>
      <c r="S159" s="479">
        <f t="shared" ref="S159:S160" si="170">R159-Q159</f>
        <v>0</v>
      </c>
      <c r="T159" s="499">
        <v>0</v>
      </c>
      <c r="U159" s="499">
        <v>0</v>
      </c>
      <c r="V159" s="479">
        <f t="shared" ref="V159:V160" si="171">U159-T159</f>
        <v>0</v>
      </c>
      <c r="W159" s="499">
        <v>0</v>
      </c>
      <c r="X159" s="499">
        <v>0</v>
      </c>
      <c r="Y159" s="479">
        <f t="shared" si="154"/>
        <v>0</v>
      </c>
      <c r="Z159" s="499">
        <v>0</v>
      </c>
      <c r="AA159" s="499">
        <v>0</v>
      </c>
      <c r="AB159" s="479">
        <f t="shared" si="155"/>
        <v>0</v>
      </c>
      <c r="AC159" s="499">
        <v>0</v>
      </c>
      <c r="AD159" s="499">
        <v>0</v>
      </c>
      <c r="AE159" s="479">
        <f t="shared" si="156"/>
        <v>0</v>
      </c>
    </row>
    <row r="160" spans="1:31" s="434" customFormat="1" ht="23.1" customHeight="1" thickBot="1">
      <c r="A160" s="459"/>
      <c r="B160" s="457"/>
      <c r="C160" s="460">
        <v>100127652</v>
      </c>
      <c r="D160" s="645" t="s">
        <v>234</v>
      </c>
      <c r="E160" s="591">
        <v>0</v>
      </c>
      <c r="F160" s="591">
        <v>0</v>
      </c>
      <c r="G160" s="479">
        <f t="shared" si="166"/>
        <v>0</v>
      </c>
      <c r="H160" s="591">
        <v>0</v>
      </c>
      <c r="I160" s="591">
        <v>0</v>
      </c>
      <c r="J160" s="479">
        <f t="shared" si="167"/>
        <v>0</v>
      </c>
      <c r="K160" s="591">
        <v>0</v>
      </c>
      <c r="L160" s="591">
        <v>0</v>
      </c>
      <c r="M160" s="479">
        <f t="shared" si="168"/>
        <v>0</v>
      </c>
      <c r="N160" s="591">
        <v>0</v>
      </c>
      <c r="O160" s="591">
        <v>0</v>
      </c>
      <c r="P160" s="479">
        <f t="shared" si="169"/>
        <v>0</v>
      </c>
      <c r="Q160" s="591">
        <v>0</v>
      </c>
      <c r="R160" s="591">
        <v>0</v>
      </c>
      <c r="S160" s="479">
        <f t="shared" si="170"/>
        <v>0</v>
      </c>
      <c r="T160" s="591">
        <v>0</v>
      </c>
      <c r="U160" s="591">
        <v>0</v>
      </c>
      <c r="V160" s="479">
        <f t="shared" si="171"/>
        <v>0</v>
      </c>
      <c r="W160" s="591">
        <v>0</v>
      </c>
      <c r="X160" s="591">
        <v>0</v>
      </c>
      <c r="Y160" s="479">
        <f t="shared" si="154"/>
        <v>0</v>
      </c>
      <c r="Z160" s="591">
        <v>0</v>
      </c>
      <c r="AA160" s="591">
        <v>0</v>
      </c>
      <c r="AB160" s="479">
        <f t="shared" si="155"/>
        <v>0</v>
      </c>
      <c r="AC160" s="591">
        <v>0</v>
      </c>
      <c r="AD160" s="591">
        <v>0</v>
      </c>
      <c r="AE160" s="479">
        <f t="shared" si="156"/>
        <v>0</v>
      </c>
    </row>
    <row r="161" spans="1:31" ht="23.1" hidden="1" customHeight="1">
      <c r="A161" s="456"/>
      <c r="B161" s="457"/>
      <c r="C161" s="458">
        <v>100127652</v>
      </c>
      <c r="D161" s="646" t="s">
        <v>162</v>
      </c>
      <c r="E161" s="579">
        <v>0</v>
      </c>
      <c r="F161" s="579">
        <v>0</v>
      </c>
      <c r="G161" s="580">
        <f t="shared" si="148"/>
        <v>0</v>
      </c>
      <c r="H161" s="579">
        <v>0</v>
      </c>
      <c r="I161" s="579">
        <v>0</v>
      </c>
      <c r="J161" s="580">
        <f t="shared" si="149"/>
        <v>0</v>
      </c>
      <c r="K161" s="579">
        <v>0</v>
      </c>
      <c r="L161" s="579">
        <v>0</v>
      </c>
      <c r="M161" s="580">
        <f t="shared" si="150"/>
        <v>0</v>
      </c>
      <c r="N161" s="579">
        <v>0</v>
      </c>
      <c r="O161" s="579">
        <v>0</v>
      </c>
      <c r="P161" s="580">
        <f t="shared" si="151"/>
        <v>0</v>
      </c>
      <c r="Q161" s="579">
        <v>0</v>
      </c>
      <c r="R161" s="579">
        <v>0</v>
      </c>
      <c r="S161" s="580">
        <f t="shared" si="152"/>
        <v>0</v>
      </c>
      <c r="T161" s="579">
        <v>0</v>
      </c>
      <c r="U161" s="579">
        <v>0</v>
      </c>
      <c r="V161" s="580">
        <f t="shared" si="153"/>
        <v>0</v>
      </c>
      <c r="W161" s="579">
        <v>0</v>
      </c>
      <c r="X161" s="579">
        <v>0</v>
      </c>
      <c r="Y161" s="580">
        <f t="shared" si="154"/>
        <v>0</v>
      </c>
      <c r="Z161" s="579">
        <v>0</v>
      </c>
      <c r="AA161" s="579">
        <v>0</v>
      </c>
      <c r="AB161" s="580">
        <f t="shared" si="155"/>
        <v>0</v>
      </c>
      <c r="AC161" s="579">
        <v>0</v>
      </c>
      <c r="AD161" s="579">
        <v>0</v>
      </c>
      <c r="AE161" s="580">
        <f t="shared" si="156"/>
        <v>0</v>
      </c>
    </row>
    <row r="162" spans="1:31" s="434" customFormat="1" ht="23.1" hidden="1" customHeight="1">
      <c r="A162" s="459"/>
      <c r="B162" s="457"/>
      <c r="C162" s="460">
        <v>100127652</v>
      </c>
      <c r="D162" s="645" t="s">
        <v>163</v>
      </c>
      <c r="E162" s="478">
        <v>0</v>
      </c>
      <c r="F162" s="478">
        <v>0</v>
      </c>
      <c r="G162" s="479">
        <f t="shared" si="148"/>
        <v>0</v>
      </c>
      <c r="H162" s="478">
        <v>0</v>
      </c>
      <c r="I162" s="478">
        <v>0</v>
      </c>
      <c r="J162" s="479">
        <f t="shared" si="149"/>
        <v>0</v>
      </c>
      <c r="K162" s="478">
        <v>0</v>
      </c>
      <c r="L162" s="478">
        <v>0</v>
      </c>
      <c r="M162" s="479">
        <f t="shared" si="150"/>
        <v>0</v>
      </c>
      <c r="N162" s="478">
        <v>0</v>
      </c>
      <c r="O162" s="478">
        <v>0</v>
      </c>
      <c r="P162" s="479">
        <f t="shared" si="151"/>
        <v>0</v>
      </c>
      <c r="Q162" s="478">
        <v>0</v>
      </c>
      <c r="R162" s="478">
        <v>0</v>
      </c>
      <c r="S162" s="479">
        <f t="shared" si="152"/>
        <v>0</v>
      </c>
      <c r="T162" s="478">
        <v>0</v>
      </c>
      <c r="U162" s="478">
        <v>0</v>
      </c>
      <c r="V162" s="479">
        <f t="shared" si="153"/>
        <v>0</v>
      </c>
      <c r="W162" s="478">
        <v>0</v>
      </c>
      <c r="X162" s="478">
        <v>0</v>
      </c>
      <c r="Y162" s="479">
        <f t="shared" si="154"/>
        <v>0</v>
      </c>
      <c r="Z162" s="478">
        <v>0</v>
      </c>
      <c r="AA162" s="478">
        <v>0</v>
      </c>
      <c r="AB162" s="479">
        <f t="shared" si="155"/>
        <v>0</v>
      </c>
      <c r="AC162" s="478">
        <v>0</v>
      </c>
      <c r="AD162" s="478">
        <v>0</v>
      </c>
      <c r="AE162" s="479">
        <f t="shared" si="156"/>
        <v>0</v>
      </c>
    </row>
    <row r="163" spans="1:31" s="434" customFormat="1" ht="23.1" hidden="1" customHeight="1">
      <c r="A163" s="459"/>
      <c r="B163" s="457"/>
      <c r="C163" s="460">
        <v>100127652</v>
      </c>
      <c r="D163" s="647" t="s">
        <v>164</v>
      </c>
      <c r="E163" s="478">
        <v>0</v>
      </c>
      <c r="F163" s="478">
        <v>0</v>
      </c>
      <c r="G163" s="479">
        <f t="shared" si="148"/>
        <v>0</v>
      </c>
      <c r="H163" s="478">
        <v>0</v>
      </c>
      <c r="I163" s="478">
        <v>0</v>
      </c>
      <c r="J163" s="479">
        <f t="shared" si="149"/>
        <v>0</v>
      </c>
      <c r="K163" s="478">
        <v>0</v>
      </c>
      <c r="L163" s="478">
        <v>0</v>
      </c>
      <c r="M163" s="479">
        <f t="shared" si="150"/>
        <v>0</v>
      </c>
      <c r="N163" s="478">
        <v>0</v>
      </c>
      <c r="O163" s="478">
        <v>0</v>
      </c>
      <c r="P163" s="479">
        <f t="shared" si="151"/>
        <v>0</v>
      </c>
      <c r="Q163" s="478">
        <v>0</v>
      </c>
      <c r="R163" s="478">
        <v>0</v>
      </c>
      <c r="S163" s="479">
        <f t="shared" si="152"/>
        <v>0</v>
      </c>
      <c r="T163" s="478">
        <v>0</v>
      </c>
      <c r="U163" s="478">
        <v>0</v>
      </c>
      <c r="V163" s="479">
        <f t="shared" si="153"/>
        <v>0</v>
      </c>
      <c r="W163" s="478">
        <v>0</v>
      </c>
      <c r="X163" s="478">
        <v>0</v>
      </c>
      <c r="Y163" s="479">
        <f t="shared" si="154"/>
        <v>0</v>
      </c>
      <c r="Z163" s="478">
        <v>0</v>
      </c>
      <c r="AA163" s="478">
        <v>0</v>
      </c>
      <c r="AB163" s="479">
        <f t="shared" si="155"/>
        <v>0</v>
      </c>
      <c r="AC163" s="478">
        <v>0</v>
      </c>
      <c r="AD163" s="478">
        <v>0</v>
      </c>
      <c r="AE163" s="479">
        <f t="shared" si="156"/>
        <v>0</v>
      </c>
    </row>
    <row r="164" spans="1:31" s="434" customFormat="1" ht="23.1" hidden="1" customHeight="1">
      <c r="A164" s="459"/>
      <c r="B164" s="457"/>
      <c r="C164" s="460">
        <v>100127652</v>
      </c>
      <c r="D164" s="647" t="s">
        <v>165</v>
      </c>
      <c r="E164" s="478">
        <v>0</v>
      </c>
      <c r="F164" s="478">
        <v>0</v>
      </c>
      <c r="G164" s="479">
        <f t="shared" si="148"/>
        <v>0</v>
      </c>
      <c r="H164" s="478">
        <v>0</v>
      </c>
      <c r="I164" s="478">
        <v>0</v>
      </c>
      <c r="J164" s="479">
        <f t="shared" si="149"/>
        <v>0</v>
      </c>
      <c r="K164" s="478">
        <v>0</v>
      </c>
      <c r="L164" s="478">
        <v>0</v>
      </c>
      <c r="M164" s="479">
        <f t="shared" si="150"/>
        <v>0</v>
      </c>
      <c r="N164" s="478">
        <v>0</v>
      </c>
      <c r="O164" s="478">
        <v>0</v>
      </c>
      <c r="P164" s="479">
        <f t="shared" si="151"/>
        <v>0</v>
      </c>
      <c r="Q164" s="478">
        <v>0</v>
      </c>
      <c r="R164" s="478">
        <v>0</v>
      </c>
      <c r="S164" s="479">
        <f t="shared" si="152"/>
        <v>0</v>
      </c>
      <c r="T164" s="478">
        <v>0</v>
      </c>
      <c r="U164" s="478">
        <v>0</v>
      </c>
      <c r="V164" s="479">
        <f t="shared" si="153"/>
        <v>0</v>
      </c>
      <c r="W164" s="478">
        <v>0</v>
      </c>
      <c r="X164" s="478">
        <v>0</v>
      </c>
      <c r="Y164" s="479">
        <f t="shared" si="154"/>
        <v>0</v>
      </c>
      <c r="Z164" s="478">
        <v>0</v>
      </c>
      <c r="AA164" s="478">
        <v>0</v>
      </c>
      <c r="AB164" s="479">
        <f t="shared" si="155"/>
        <v>0</v>
      </c>
      <c r="AC164" s="478">
        <v>0</v>
      </c>
      <c r="AD164" s="478">
        <v>0</v>
      </c>
      <c r="AE164" s="479">
        <f t="shared" si="156"/>
        <v>0</v>
      </c>
    </row>
    <row r="165" spans="1:31" s="434" customFormat="1" ht="23.1" hidden="1" customHeight="1">
      <c r="A165" s="459"/>
      <c r="B165" s="457"/>
      <c r="C165" s="460">
        <v>100127652</v>
      </c>
      <c r="D165" s="647" t="s">
        <v>160</v>
      </c>
      <c r="E165" s="478">
        <v>0</v>
      </c>
      <c r="F165" s="478">
        <v>0</v>
      </c>
      <c r="G165" s="479">
        <f t="shared" si="148"/>
        <v>0</v>
      </c>
      <c r="H165" s="478">
        <v>0</v>
      </c>
      <c r="I165" s="478">
        <v>0</v>
      </c>
      <c r="J165" s="479">
        <f t="shared" si="149"/>
        <v>0</v>
      </c>
      <c r="K165" s="478">
        <v>0</v>
      </c>
      <c r="L165" s="478">
        <v>0</v>
      </c>
      <c r="M165" s="479">
        <f t="shared" si="150"/>
        <v>0</v>
      </c>
      <c r="N165" s="478">
        <v>0</v>
      </c>
      <c r="O165" s="478">
        <v>0</v>
      </c>
      <c r="P165" s="479">
        <f t="shared" si="151"/>
        <v>0</v>
      </c>
      <c r="Q165" s="478">
        <v>0</v>
      </c>
      <c r="R165" s="478">
        <v>0</v>
      </c>
      <c r="S165" s="479">
        <f t="shared" si="152"/>
        <v>0</v>
      </c>
      <c r="T165" s="478">
        <v>0</v>
      </c>
      <c r="U165" s="478">
        <v>0</v>
      </c>
      <c r="V165" s="479">
        <f t="shared" si="153"/>
        <v>0</v>
      </c>
      <c r="W165" s="478">
        <v>0</v>
      </c>
      <c r="X165" s="478">
        <v>0</v>
      </c>
      <c r="Y165" s="479">
        <f t="shared" si="154"/>
        <v>0</v>
      </c>
      <c r="Z165" s="478">
        <v>0</v>
      </c>
      <c r="AA165" s="478">
        <v>0</v>
      </c>
      <c r="AB165" s="479">
        <f t="shared" si="155"/>
        <v>0</v>
      </c>
      <c r="AC165" s="478">
        <v>0</v>
      </c>
      <c r="AD165" s="478">
        <v>0</v>
      </c>
      <c r="AE165" s="479">
        <f t="shared" si="156"/>
        <v>0</v>
      </c>
    </row>
    <row r="166" spans="1:31" s="434" customFormat="1" ht="23.1" hidden="1" customHeight="1">
      <c r="A166" s="459"/>
      <c r="B166" s="461"/>
      <c r="C166" s="460">
        <v>100127652</v>
      </c>
      <c r="D166" s="647" t="s">
        <v>161</v>
      </c>
      <c r="E166" s="478">
        <v>0</v>
      </c>
      <c r="F166" s="478">
        <v>0</v>
      </c>
      <c r="G166" s="479">
        <f t="shared" si="148"/>
        <v>0</v>
      </c>
      <c r="H166" s="478">
        <v>0</v>
      </c>
      <c r="I166" s="478">
        <v>0</v>
      </c>
      <c r="J166" s="479">
        <f t="shared" si="149"/>
        <v>0</v>
      </c>
      <c r="K166" s="478">
        <v>0</v>
      </c>
      <c r="L166" s="478">
        <v>0</v>
      </c>
      <c r="M166" s="479">
        <f t="shared" si="150"/>
        <v>0</v>
      </c>
      <c r="N166" s="478">
        <v>0</v>
      </c>
      <c r="O166" s="478">
        <v>0</v>
      </c>
      <c r="P166" s="479">
        <f t="shared" si="151"/>
        <v>0</v>
      </c>
      <c r="Q166" s="478">
        <v>0</v>
      </c>
      <c r="R166" s="478">
        <v>0</v>
      </c>
      <c r="S166" s="479">
        <f t="shared" si="152"/>
        <v>0</v>
      </c>
      <c r="T166" s="478">
        <v>0</v>
      </c>
      <c r="U166" s="478">
        <v>0</v>
      </c>
      <c r="V166" s="479">
        <f t="shared" si="153"/>
        <v>0</v>
      </c>
      <c r="W166" s="478">
        <v>0</v>
      </c>
      <c r="X166" s="478">
        <v>0</v>
      </c>
      <c r="Y166" s="479">
        <f t="shared" si="154"/>
        <v>0</v>
      </c>
      <c r="Z166" s="478">
        <v>0</v>
      </c>
      <c r="AA166" s="478">
        <v>0</v>
      </c>
      <c r="AB166" s="479">
        <f t="shared" si="155"/>
        <v>0</v>
      </c>
      <c r="AC166" s="478">
        <v>0</v>
      </c>
      <c r="AD166" s="478">
        <v>0</v>
      </c>
      <c r="AE166" s="479">
        <f t="shared" si="156"/>
        <v>0</v>
      </c>
    </row>
    <row r="167" spans="1:31" ht="23.1" hidden="1" customHeight="1">
      <c r="A167" s="456"/>
      <c r="B167" s="462" t="s">
        <v>153</v>
      </c>
      <c r="C167" s="458">
        <v>100127652</v>
      </c>
      <c r="D167" s="647" t="s">
        <v>151</v>
      </c>
      <c r="E167" s="579">
        <v>0</v>
      </c>
      <c r="F167" s="579">
        <v>0</v>
      </c>
      <c r="G167" s="580">
        <f t="shared" si="148"/>
        <v>0</v>
      </c>
      <c r="H167" s="579">
        <v>0</v>
      </c>
      <c r="I167" s="579">
        <v>0</v>
      </c>
      <c r="J167" s="580">
        <f t="shared" si="149"/>
        <v>0</v>
      </c>
      <c r="K167" s="579">
        <v>0</v>
      </c>
      <c r="L167" s="579">
        <v>0</v>
      </c>
      <c r="M167" s="580">
        <f t="shared" si="150"/>
        <v>0</v>
      </c>
      <c r="N167" s="579">
        <v>0</v>
      </c>
      <c r="O167" s="579">
        <v>0</v>
      </c>
      <c r="P167" s="580">
        <f t="shared" si="151"/>
        <v>0</v>
      </c>
      <c r="Q167" s="579">
        <v>0</v>
      </c>
      <c r="R167" s="579">
        <v>0</v>
      </c>
      <c r="S167" s="580">
        <f t="shared" si="152"/>
        <v>0</v>
      </c>
      <c r="T167" s="579">
        <v>0</v>
      </c>
      <c r="U167" s="579">
        <v>0</v>
      </c>
      <c r="V167" s="580">
        <f t="shared" si="153"/>
        <v>0</v>
      </c>
      <c r="W167" s="579">
        <v>0</v>
      </c>
      <c r="X167" s="579">
        <v>0</v>
      </c>
      <c r="Y167" s="580">
        <f t="shared" si="154"/>
        <v>0</v>
      </c>
      <c r="Z167" s="579">
        <v>0</v>
      </c>
      <c r="AA167" s="579">
        <v>0</v>
      </c>
      <c r="AB167" s="580">
        <f t="shared" si="155"/>
        <v>0</v>
      </c>
      <c r="AC167" s="579">
        <v>0</v>
      </c>
      <c r="AD167" s="579">
        <v>0</v>
      </c>
      <c r="AE167" s="580">
        <f t="shared" si="156"/>
        <v>0</v>
      </c>
    </row>
    <row r="168" spans="1:31" ht="23.1" hidden="1" customHeight="1">
      <c r="A168" s="456"/>
      <c r="B168" s="457" t="s">
        <v>154</v>
      </c>
      <c r="C168" s="458">
        <v>100127652</v>
      </c>
      <c r="D168" s="647" t="s">
        <v>158</v>
      </c>
      <c r="E168" s="478">
        <v>0</v>
      </c>
      <c r="F168" s="478">
        <v>0</v>
      </c>
      <c r="G168" s="479">
        <f t="shared" si="148"/>
        <v>0</v>
      </c>
      <c r="H168" s="478">
        <v>0</v>
      </c>
      <c r="I168" s="478">
        <v>0</v>
      </c>
      <c r="J168" s="479">
        <f t="shared" si="149"/>
        <v>0</v>
      </c>
      <c r="K168" s="478">
        <v>0</v>
      </c>
      <c r="L168" s="478">
        <v>0</v>
      </c>
      <c r="M168" s="479">
        <f t="shared" si="150"/>
        <v>0</v>
      </c>
      <c r="N168" s="478">
        <v>0</v>
      </c>
      <c r="O168" s="478">
        <v>0</v>
      </c>
      <c r="P168" s="479">
        <f t="shared" si="151"/>
        <v>0</v>
      </c>
      <c r="Q168" s="478">
        <v>0</v>
      </c>
      <c r="R168" s="478">
        <v>0</v>
      </c>
      <c r="S168" s="479">
        <f t="shared" si="152"/>
        <v>0</v>
      </c>
      <c r="T168" s="478">
        <v>0</v>
      </c>
      <c r="U168" s="478">
        <v>0</v>
      </c>
      <c r="V168" s="479">
        <f t="shared" si="153"/>
        <v>0</v>
      </c>
      <c r="W168" s="478">
        <v>0</v>
      </c>
      <c r="X168" s="478">
        <v>0</v>
      </c>
      <c r="Y168" s="479">
        <f t="shared" si="154"/>
        <v>0</v>
      </c>
      <c r="Z168" s="478">
        <v>0</v>
      </c>
      <c r="AA168" s="478">
        <v>0</v>
      </c>
      <c r="AB168" s="479">
        <f t="shared" si="155"/>
        <v>0</v>
      </c>
      <c r="AC168" s="478">
        <v>0</v>
      </c>
      <c r="AD168" s="478">
        <v>0</v>
      </c>
      <c r="AE168" s="479">
        <f t="shared" si="156"/>
        <v>0</v>
      </c>
    </row>
    <row r="169" spans="1:31" ht="23.1" hidden="1" customHeight="1" thickBot="1">
      <c r="A169" s="456"/>
      <c r="B169" s="461"/>
      <c r="C169" s="458">
        <v>100127652</v>
      </c>
      <c r="D169" s="632" t="s">
        <v>159</v>
      </c>
      <c r="E169" s="644">
        <v>0</v>
      </c>
      <c r="F169" s="644">
        <v>0</v>
      </c>
      <c r="G169" s="479">
        <f t="shared" si="148"/>
        <v>0</v>
      </c>
      <c r="H169" s="644">
        <v>0</v>
      </c>
      <c r="I169" s="644">
        <v>0</v>
      </c>
      <c r="J169" s="479">
        <f t="shared" si="149"/>
        <v>0</v>
      </c>
      <c r="K169" s="644">
        <v>0</v>
      </c>
      <c r="L169" s="644">
        <v>0</v>
      </c>
      <c r="M169" s="479">
        <f t="shared" si="150"/>
        <v>0</v>
      </c>
      <c r="N169" s="644">
        <v>0</v>
      </c>
      <c r="O169" s="644">
        <v>0</v>
      </c>
      <c r="P169" s="479">
        <f t="shared" si="151"/>
        <v>0</v>
      </c>
      <c r="Q169" s="644">
        <v>0</v>
      </c>
      <c r="R169" s="644">
        <v>0</v>
      </c>
      <c r="S169" s="479">
        <f t="shared" si="152"/>
        <v>0</v>
      </c>
      <c r="T169" s="644">
        <v>0</v>
      </c>
      <c r="U169" s="644">
        <v>0</v>
      </c>
      <c r="V169" s="479">
        <f t="shared" si="153"/>
        <v>0</v>
      </c>
      <c r="W169" s="644">
        <v>0</v>
      </c>
      <c r="X169" s="644">
        <v>0</v>
      </c>
      <c r="Y169" s="479">
        <f t="shared" si="154"/>
        <v>0</v>
      </c>
      <c r="Z169" s="644">
        <v>0</v>
      </c>
      <c r="AA169" s="644">
        <v>0</v>
      </c>
      <c r="AB169" s="479">
        <f t="shared" si="155"/>
        <v>0</v>
      </c>
      <c r="AC169" s="644">
        <v>0</v>
      </c>
      <c r="AD169" s="644">
        <v>0</v>
      </c>
      <c r="AE169" s="479">
        <f t="shared" si="156"/>
        <v>0</v>
      </c>
    </row>
    <row r="170" spans="1:31" ht="23.1" hidden="1" customHeight="1">
      <c r="A170" s="456"/>
      <c r="B170" s="463" t="s">
        <v>155</v>
      </c>
      <c r="C170" s="458">
        <v>100127652</v>
      </c>
      <c r="D170" s="632" t="s">
        <v>166</v>
      </c>
      <c r="E170" s="648">
        <v>0</v>
      </c>
      <c r="F170" s="648">
        <v>0</v>
      </c>
      <c r="G170" s="479">
        <f t="shared" si="148"/>
        <v>0</v>
      </c>
      <c r="H170" s="648">
        <v>0</v>
      </c>
      <c r="I170" s="648">
        <v>0</v>
      </c>
      <c r="J170" s="479">
        <f t="shared" si="149"/>
        <v>0</v>
      </c>
      <c r="K170" s="648">
        <v>0</v>
      </c>
      <c r="L170" s="648">
        <v>0</v>
      </c>
      <c r="M170" s="479">
        <f t="shared" si="150"/>
        <v>0</v>
      </c>
      <c r="N170" s="648">
        <v>0</v>
      </c>
      <c r="O170" s="648">
        <v>0</v>
      </c>
      <c r="P170" s="479">
        <f t="shared" si="151"/>
        <v>0</v>
      </c>
      <c r="Q170" s="648">
        <v>0</v>
      </c>
      <c r="R170" s="648">
        <v>0</v>
      </c>
      <c r="S170" s="479">
        <f t="shared" si="152"/>
        <v>0</v>
      </c>
      <c r="T170" s="648">
        <v>0</v>
      </c>
      <c r="U170" s="648">
        <v>0</v>
      </c>
      <c r="V170" s="479">
        <f t="shared" si="153"/>
        <v>0</v>
      </c>
      <c r="W170" s="648">
        <v>0</v>
      </c>
      <c r="X170" s="648">
        <v>0</v>
      </c>
      <c r="Y170" s="479">
        <f t="shared" si="154"/>
        <v>0</v>
      </c>
      <c r="Z170" s="648">
        <v>0</v>
      </c>
      <c r="AA170" s="648">
        <v>0</v>
      </c>
      <c r="AB170" s="479">
        <f t="shared" si="155"/>
        <v>0</v>
      </c>
      <c r="AC170" s="648">
        <v>0</v>
      </c>
      <c r="AD170" s="648">
        <v>0</v>
      </c>
      <c r="AE170" s="479">
        <f t="shared" si="156"/>
        <v>0</v>
      </c>
    </row>
    <row r="171" spans="1:31" ht="23.1" hidden="1" customHeight="1" thickBot="1">
      <c r="A171" s="456"/>
      <c r="B171" s="463"/>
      <c r="C171" s="458">
        <v>100127652</v>
      </c>
      <c r="D171" s="632" t="s">
        <v>167</v>
      </c>
      <c r="E171" s="648">
        <v>0</v>
      </c>
      <c r="F171" s="648">
        <v>0</v>
      </c>
      <c r="G171" s="567">
        <f t="shared" si="148"/>
        <v>0</v>
      </c>
      <c r="H171" s="648">
        <v>0</v>
      </c>
      <c r="I171" s="648">
        <v>0</v>
      </c>
      <c r="J171" s="567">
        <f t="shared" si="149"/>
        <v>0</v>
      </c>
      <c r="K171" s="648">
        <v>0</v>
      </c>
      <c r="L171" s="648">
        <v>0</v>
      </c>
      <c r="M171" s="567">
        <f t="shared" si="150"/>
        <v>0</v>
      </c>
      <c r="N171" s="648">
        <v>0</v>
      </c>
      <c r="O171" s="648">
        <v>0</v>
      </c>
      <c r="P171" s="567">
        <f t="shared" si="151"/>
        <v>0</v>
      </c>
      <c r="Q171" s="648">
        <v>0</v>
      </c>
      <c r="R171" s="648">
        <v>0</v>
      </c>
      <c r="S171" s="567">
        <f t="shared" si="152"/>
        <v>0</v>
      </c>
      <c r="T171" s="648">
        <v>0</v>
      </c>
      <c r="U171" s="648">
        <v>0</v>
      </c>
      <c r="V171" s="567">
        <f t="shared" si="153"/>
        <v>0</v>
      </c>
      <c r="W171" s="648">
        <v>0</v>
      </c>
      <c r="X171" s="648">
        <v>0</v>
      </c>
      <c r="Y171" s="567">
        <f t="shared" si="154"/>
        <v>0</v>
      </c>
      <c r="Z171" s="648">
        <v>0</v>
      </c>
      <c r="AA171" s="648">
        <v>0</v>
      </c>
      <c r="AB171" s="567">
        <f t="shared" si="155"/>
        <v>0</v>
      </c>
      <c r="AC171" s="648">
        <v>0</v>
      </c>
      <c r="AD171" s="648">
        <v>0</v>
      </c>
      <c r="AE171" s="567">
        <f t="shared" si="156"/>
        <v>0</v>
      </c>
    </row>
    <row r="172" spans="1:31" ht="23.1" hidden="1" customHeight="1" thickBot="1">
      <c r="A172" s="456"/>
      <c r="B172" s="461"/>
      <c r="C172" s="458">
        <v>100127652</v>
      </c>
      <c r="D172" s="632" t="s">
        <v>156</v>
      </c>
      <c r="E172" s="649">
        <v>0</v>
      </c>
      <c r="F172" s="649">
        <v>0</v>
      </c>
      <c r="G172" s="580">
        <f t="shared" si="148"/>
        <v>0</v>
      </c>
      <c r="H172" s="649">
        <v>0</v>
      </c>
      <c r="I172" s="649">
        <v>0</v>
      </c>
      <c r="J172" s="580">
        <f t="shared" si="149"/>
        <v>0</v>
      </c>
      <c r="K172" s="649">
        <v>0</v>
      </c>
      <c r="L172" s="649">
        <v>0</v>
      </c>
      <c r="M172" s="580">
        <f t="shared" si="150"/>
        <v>0</v>
      </c>
      <c r="N172" s="649">
        <v>0</v>
      </c>
      <c r="O172" s="649">
        <v>0</v>
      </c>
      <c r="P172" s="580">
        <f t="shared" si="151"/>
        <v>0</v>
      </c>
      <c r="Q172" s="649">
        <v>0</v>
      </c>
      <c r="R172" s="649">
        <v>0</v>
      </c>
      <c r="S172" s="580">
        <f t="shared" si="152"/>
        <v>0</v>
      </c>
      <c r="T172" s="649">
        <v>0</v>
      </c>
      <c r="U172" s="649">
        <v>0</v>
      </c>
      <c r="V172" s="580">
        <f t="shared" si="153"/>
        <v>0</v>
      </c>
      <c r="W172" s="649">
        <v>0</v>
      </c>
      <c r="X172" s="649">
        <v>0</v>
      </c>
      <c r="Y172" s="580">
        <f t="shared" si="154"/>
        <v>0</v>
      </c>
      <c r="Z172" s="649">
        <v>0</v>
      </c>
      <c r="AA172" s="649">
        <v>0</v>
      </c>
      <c r="AB172" s="580">
        <f t="shared" si="155"/>
        <v>0</v>
      </c>
      <c r="AC172" s="649">
        <v>0</v>
      </c>
      <c r="AD172" s="649">
        <v>0</v>
      </c>
      <c r="AE172" s="580">
        <f t="shared" si="156"/>
        <v>0</v>
      </c>
    </row>
    <row r="173" spans="1:31" ht="23.1" hidden="1" customHeight="1" thickBot="1">
      <c r="A173" s="456"/>
      <c r="B173" s="461" t="s">
        <v>171</v>
      </c>
      <c r="C173" s="458">
        <v>100127652</v>
      </c>
      <c r="D173" s="632" t="s">
        <v>189</v>
      </c>
      <c r="E173" s="649">
        <v>0</v>
      </c>
      <c r="F173" s="649">
        <v>0</v>
      </c>
      <c r="G173" s="580">
        <f t="shared" si="148"/>
        <v>0</v>
      </c>
      <c r="H173" s="649">
        <v>0</v>
      </c>
      <c r="I173" s="649">
        <v>0</v>
      </c>
      <c r="J173" s="580">
        <f t="shared" si="149"/>
        <v>0</v>
      </c>
      <c r="K173" s="649">
        <v>0</v>
      </c>
      <c r="L173" s="649">
        <v>0</v>
      </c>
      <c r="M173" s="580">
        <f t="shared" si="150"/>
        <v>0</v>
      </c>
      <c r="N173" s="649">
        <v>0</v>
      </c>
      <c r="O173" s="649">
        <v>0</v>
      </c>
      <c r="P173" s="580">
        <f t="shared" si="151"/>
        <v>0</v>
      </c>
      <c r="Q173" s="649">
        <v>0</v>
      </c>
      <c r="R173" s="649">
        <v>0</v>
      </c>
      <c r="S173" s="580">
        <f t="shared" si="152"/>
        <v>0</v>
      </c>
      <c r="T173" s="649">
        <v>0</v>
      </c>
      <c r="U173" s="649">
        <v>0</v>
      </c>
      <c r="V173" s="580">
        <f t="shared" si="153"/>
        <v>0</v>
      </c>
      <c r="W173" s="649">
        <v>0</v>
      </c>
      <c r="X173" s="649">
        <v>0</v>
      </c>
      <c r="Y173" s="580">
        <f t="shared" si="154"/>
        <v>0</v>
      </c>
      <c r="Z173" s="649">
        <v>0</v>
      </c>
      <c r="AA173" s="649">
        <v>0</v>
      </c>
      <c r="AB173" s="580">
        <f t="shared" si="155"/>
        <v>0</v>
      </c>
      <c r="AC173" s="649">
        <v>0</v>
      </c>
      <c r="AD173" s="649">
        <v>0</v>
      </c>
      <c r="AE173" s="580">
        <f t="shared" si="156"/>
        <v>0</v>
      </c>
    </row>
    <row r="174" spans="1:31" ht="23.1" hidden="1" customHeight="1" thickBot="1">
      <c r="A174" s="456"/>
      <c r="B174" s="461" t="s">
        <v>172</v>
      </c>
      <c r="C174" s="458">
        <v>100127652</v>
      </c>
      <c r="D174" s="632" t="s">
        <v>190</v>
      </c>
      <c r="E174" s="610">
        <v>0</v>
      </c>
      <c r="F174" s="610">
        <v>0</v>
      </c>
      <c r="G174" s="650">
        <f t="shared" si="148"/>
        <v>0</v>
      </c>
      <c r="H174" s="610">
        <v>0</v>
      </c>
      <c r="I174" s="610">
        <v>0</v>
      </c>
      <c r="J174" s="650">
        <f t="shared" si="149"/>
        <v>0</v>
      </c>
      <c r="K174" s="610">
        <v>0</v>
      </c>
      <c r="L174" s="610">
        <v>0</v>
      </c>
      <c r="M174" s="650">
        <f t="shared" si="150"/>
        <v>0</v>
      </c>
      <c r="N174" s="610">
        <v>0</v>
      </c>
      <c r="O174" s="610">
        <v>0</v>
      </c>
      <c r="P174" s="650">
        <f t="shared" si="151"/>
        <v>0</v>
      </c>
      <c r="Q174" s="610">
        <v>0</v>
      </c>
      <c r="R174" s="610">
        <v>0</v>
      </c>
      <c r="S174" s="650">
        <f t="shared" si="152"/>
        <v>0</v>
      </c>
      <c r="T174" s="610">
        <v>0</v>
      </c>
      <c r="U174" s="610">
        <v>0</v>
      </c>
      <c r="V174" s="650">
        <f t="shared" si="153"/>
        <v>0</v>
      </c>
      <c r="W174" s="610">
        <v>0</v>
      </c>
      <c r="X174" s="610">
        <v>0</v>
      </c>
      <c r="Y174" s="650">
        <f t="shared" si="154"/>
        <v>0</v>
      </c>
      <c r="Z174" s="610">
        <v>0</v>
      </c>
      <c r="AA174" s="610">
        <v>0</v>
      </c>
      <c r="AB174" s="650">
        <f t="shared" si="155"/>
        <v>0</v>
      </c>
      <c r="AC174" s="610">
        <v>0</v>
      </c>
      <c r="AD174" s="610">
        <v>0</v>
      </c>
      <c r="AE174" s="650">
        <f t="shared" si="156"/>
        <v>0</v>
      </c>
    </row>
    <row r="175" spans="1:31" ht="23.1" hidden="1" customHeight="1" thickBot="1">
      <c r="A175" s="456"/>
      <c r="B175" s="461" t="s">
        <v>173</v>
      </c>
      <c r="C175" s="458">
        <v>100127652</v>
      </c>
      <c r="D175" s="632" t="s">
        <v>191</v>
      </c>
      <c r="E175" s="649">
        <v>0</v>
      </c>
      <c r="F175" s="649">
        <v>0</v>
      </c>
      <c r="G175" s="580">
        <f t="shared" si="148"/>
        <v>0</v>
      </c>
      <c r="H175" s="649">
        <v>0</v>
      </c>
      <c r="I175" s="649">
        <v>0</v>
      </c>
      <c r="J175" s="580">
        <f t="shared" si="149"/>
        <v>0</v>
      </c>
      <c r="K175" s="649">
        <v>0</v>
      </c>
      <c r="L175" s="649">
        <v>0</v>
      </c>
      <c r="M175" s="580">
        <f t="shared" si="150"/>
        <v>0</v>
      </c>
      <c r="N175" s="649">
        <v>0</v>
      </c>
      <c r="O175" s="649">
        <v>0</v>
      </c>
      <c r="P175" s="580">
        <f t="shared" si="151"/>
        <v>0</v>
      </c>
      <c r="Q175" s="649">
        <v>0</v>
      </c>
      <c r="R175" s="649">
        <v>0</v>
      </c>
      <c r="S175" s="580">
        <f t="shared" si="152"/>
        <v>0</v>
      </c>
      <c r="T175" s="649">
        <v>0</v>
      </c>
      <c r="U175" s="649">
        <v>0</v>
      </c>
      <c r="V175" s="580">
        <f t="shared" si="153"/>
        <v>0</v>
      </c>
      <c r="W175" s="649">
        <v>0</v>
      </c>
      <c r="X175" s="649">
        <v>0</v>
      </c>
      <c r="Y175" s="580">
        <f t="shared" si="154"/>
        <v>0</v>
      </c>
      <c r="Z175" s="649">
        <v>0</v>
      </c>
      <c r="AA175" s="649">
        <v>0</v>
      </c>
      <c r="AB175" s="580">
        <f t="shared" si="155"/>
        <v>0</v>
      </c>
      <c r="AC175" s="649">
        <v>0</v>
      </c>
      <c r="AD175" s="649">
        <v>0</v>
      </c>
      <c r="AE175" s="580">
        <f t="shared" si="156"/>
        <v>0</v>
      </c>
    </row>
    <row r="176" spans="1:31" ht="23.1" hidden="1" customHeight="1" thickBot="1">
      <c r="A176" s="456"/>
      <c r="B176" s="461" t="s">
        <v>174</v>
      </c>
      <c r="C176" s="458">
        <v>100127652</v>
      </c>
      <c r="D176" s="632" t="s">
        <v>192</v>
      </c>
      <c r="E176" s="610">
        <v>0</v>
      </c>
      <c r="F176" s="610">
        <v>0</v>
      </c>
      <c r="G176" s="650">
        <f t="shared" si="148"/>
        <v>0</v>
      </c>
      <c r="H176" s="610">
        <v>0</v>
      </c>
      <c r="I176" s="610">
        <v>0</v>
      </c>
      <c r="J176" s="650">
        <f t="shared" si="149"/>
        <v>0</v>
      </c>
      <c r="K176" s="610">
        <v>0</v>
      </c>
      <c r="L176" s="610">
        <v>0</v>
      </c>
      <c r="M176" s="650">
        <f t="shared" si="150"/>
        <v>0</v>
      </c>
      <c r="N176" s="610">
        <v>0</v>
      </c>
      <c r="O176" s="610">
        <v>0</v>
      </c>
      <c r="P176" s="650">
        <f t="shared" si="151"/>
        <v>0</v>
      </c>
      <c r="Q176" s="610">
        <v>0</v>
      </c>
      <c r="R176" s="610">
        <v>0</v>
      </c>
      <c r="S176" s="650">
        <f t="shared" si="152"/>
        <v>0</v>
      </c>
      <c r="T176" s="610">
        <v>0</v>
      </c>
      <c r="U176" s="610">
        <v>0</v>
      </c>
      <c r="V176" s="650">
        <f t="shared" si="153"/>
        <v>0</v>
      </c>
      <c r="W176" s="610">
        <v>0</v>
      </c>
      <c r="X176" s="610">
        <v>0</v>
      </c>
      <c r="Y176" s="650">
        <f t="shared" si="154"/>
        <v>0</v>
      </c>
      <c r="Z176" s="610">
        <v>0</v>
      </c>
      <c r="AA176" s="610">
        <v>0</v>
      </c>
      <c r="AB176" s="650">
        <f t="shared" si="155"/>
        <v>0</v>
      </c>
      <c r="AC176" s="610">
        <v>0</v>
      </c>
      <c r="AD176" s="610">
        <v>0</v>
      </c>
      <c r="AE176" s="650">
        <f t="shared" si="156"/>
        <v>0</v>
      </c>
    </row>
    <row r="177" spans="1:31" ht="23.1" hidden="1" customHeight="1" thickBot="1">
      <c r="A177" s="456"/>
      <c r="B177" s="464" t="s">
        <v>175</v>
      </c>
      <c r="C177" s="458">
        <v>100127652</v>
      </c>
      <c r="D177" s="632" t="s">
        <v>193</v>
      </c>
      <c r="E177" s="649">
        <v>0</v>
      </c>
      <c r="F177" s="649">
        <v>0</v>
      </c>
      <c r="G177" s="580">
        <f t="shared" si="148"/>
        <v>0</v>
      </c>
      <c r="H177" s="649">
        <v>0</v>
      </c>
      <c r="I177" s="649">
        <v>0</v>
      </c>
      <c r="J177" s="580">
        <f t="shared" si="149"/>
        <v>0</v>
      </c>
      <c r="K177" s="649">
        <v>0</v>
      </c>
      <c r="L177" s="649">
        <v>0</v>
      </c>
      <c r="M177" s="580">
        <f t="shared" si="150"/>
        <v>0</v>
      </c>
      <c r="N177" s="649">
        <v>0</v>
      </c>
      <c r="O177" s="649">
        <v>0</v>
      </c>
      <c r="P177" s="580">
        <f t="shared" si="151"/>
        <v>0</v>
      </c>
      <c r="Q177" s="649">
        <v>0</v>
      </c>
      <c r="R177" s="649">
        <v>0</v>
      </c>
      <c r="S177" s="580">
        <f t="shared" si="152"/>
        <v>0</v>
      </c>
      <c r="T177" s="649">
        <v>0</v>
      </c>
      <c r="U177" s="649">
        <v>0</v>
      </c>
      <c r="V177" s="580">
        <f t="shared" si="153"/>
        <v>0</v>
      </c>
      <c r="W177" s="649">
        <v>0</v>
      </c>
      <c r="X177" s="649">
        <v>0</v>
      </c>
      <c r="Y177" s="580">
        <f t="shared" si="154"/>
        <v>0</v>
      </c>
      <c r="Z177" s="649">
        <v>0</v>
      </c>
      <c r="AA177" s="649">
        <v>0</v>
      </c>
      <c r="AB177" s="580">
        <f t="shared" si="155"/>
        <v>0</v>
      </c>
      <c r="AC177" s="649">
        <v>0</v>
      </c>
      <c r="AD177" s="649">
        <v>0</v>
      </c>
      <c r="AE177" s="580">
        <f t="shared" si="156"/>
        <v>0</v>
      </c>
    </row>
    <row r="178" spans="1:31" ht="23.1" hidden="1" customHeight="1" thickBot="1">
      <c r="A178" s="456"/>
      <c r="B178" s="464" t="s">
        <v>176</v>
      </c>
      <c r="C178" s="458">
        <v>100127652</v>
      </c>
      <c r="D178" s="632" t="s">
        <v>194</v>
      </c>
      <c r="E178" s="649">
        <v>0</v>
      </c>
      <c r="F178" s="649">
        <v>0</v>
      </c>
      <c r="G178" s="580">
        <f t="shared" si="148"/>
        <v>0</v>
      </c>
      <c r="H178" s="649">
        <v>0</v>
      </c>
      <c r="I178" s="649">
        <v>0</v>
      </c>
      <c r="J178" s="580">
        <f t="shared" si="149"/>
        <v>0</v>
      </c>
      <c r="K178" s="649">
        <v>0</v>
      </c>
      <c r="L178" s="649">
        <v>0</v>
      </c>
      <c r="M178" s="580">
        <f t="shared" si="150"/>
        <v>0</v>
      </c>
      <c r="N178" s="649">
        <v>0</v>
      </c>
      <c r="O178" s="649">
        <v>0</v>
      </c>
      <c r="P178" s="580">
        <f t="shared" si="151"/>
        <v>0</v>
      </c>
      <c r="Q178" s="649">
        <v>0</v>
      </c>
      <c r="R178" s="649">
        <v>0</v>
      </c>
      <c r="S178" s="580">
        <f t="shared" si="152"/>
        <v>0</v>
      </c>
      <c r="T178" s="649">
        <v>0</v>
      </c>
      <c r="U178" s="649">
        <v>0</v>
      </c>
      <c r="V178" s="580">
        <f t="shared" si="153"/>
        <v>0</v>
      </c>
      <c r="W178" s="649">
        <v>0</v>
      </c>
      <c r="X178" s="649">
        <v>0</v>
      </c>
      <c r="Y178" s="580">
        <f t="shared" si="154"/>
        <v>0</v>
      </c>
      <c r="Z178" s="649">
        <v>0</v>
      </c>
      <c r="AA178" s="649">
        <v>0</v>
      </c>
      <c r="AB178" s="580">
        <f t="shared" si="155"/>
        <v>0</v>
      </c>
      <c r="AC178" s="649">
        <v>0</v>
      </c>
      <c r="AD178" s="649">
        <v>0</v>
      </c>
      <c r="AE178" s="580">
        <f t="shared" si="156"/>
        <v>0</v>
      </c>
    </row>
    <row r="179" spans="1:31" ht="23.1" hidden="1" customHeight="1" thickBot="1">
      <c r="A179" s="456"/>
      <c r="B179" s="464" t="s">
        <v>177</v>
      </c>
      <c r="C179" s="458">
        <v>100127652</v>
      </c>
      <c r="D179" s="632" t="s">
        <v>195</v>
      </c>
      <c r="E179" s="610">
        <v>0</v>
      </c>
      <c r="F179" s="610">
        <v>0</v>
      </c>
      <c r="G179" s="650">
        <f t="shared" si="148"/>
        <v>0</v>
      </c>
      <c r="H179" s="610">
        <v>0</v>
      </c>
      <c r="I179" s="610">
        <v>0</v>
      </c>
      <c r="J179" s="650">
        <f t="shared" si="149"/>
        <v>0</v>
      </c>
      <c r="K179" s="610">
        <v>0</v>
      </c>
      <c r="L179" s="610">
        <v>0</v>
      </c>
      <c r="M179" s="650">
        <f t="shared" si="150"/>
        <v>0</v>
      </c>
      <c r="N179" s="610">
        <v>0</v>
      </c>
      <c r="O179" s="610">
        <v>0</v>
      </c>
      <c r="P179" s="650">
        <f t="shared" si="151"/>
        <v>0</v>
      </c>
      <c r="Q179" s="610">
        <v>0</v>
      </c>
      <c r="R179" s="610">
        <v>0</v>
      </c>
      <c r="S179" s="650">
        <f t="shared" si="152"/>
        <v>0</v>
      </c>
      <c r="T179" s="610">
        <v>0</v>
      </c>
      <c r="U179" s="610">
        <v>0</v>
      </c>
      <c r="V179" s="650">
        <f t="shared" si="153"/>
        <v>0</v>
      </c>
      <c r="W179" s="610">
        <v>0</v>
      </c>
      <c r="X179" s="610">
        <v>0</v>
      </c>
      <c r="Y179" s="650">
        <f t="shared" si="154"/>
        <v>0</v>
      </c>
      <c r="Z179" s="610">
        <v>0</v>
      </c>
      <c r="AA179" s="610">
        <v>0</v>
      </c>
      <c r="AB179" s="650">
        <f t="shared" si="155"/>
        <v>0</v>
      </c>
      <c r="AC179" s="610">
        <v>0</v>
      </c>
      <c r="AD179" s="610">
        <v>0</v>
      </c>
      <c r="AE179" s="650">
        <f t="shared" si="156"/>
        <v>0</v>
      </c>
    </row>
    <row r="180" spans="1:31" ht="23.1" hidden="1" customHeight="1" thickBot="1">
      <c r="A180" s="456"/>
      <c r="B180" s="464" t="s">
        <v>178</v>
      </c>
      <c r="C180" s="458">
        <v>100127652</v>
      </c>
      <c r="D180" s="632" t="s">
        <v>196</v>
      </c>
      <c r="E180" s="649">
        <v>0</v>
      </c>
      <c r="F180" s="649">
        <v>0</v>
      </c>
      <c r="G180" s="580">
        <f t="shared" si="148"/>
        <v>0</v>
      </c>
      <c r="H180" s="649">
        <v>0</v>
      </c>
      <c r="I180" s="649">
        <v>0</v>
      </c>
      <c r="J180" s="580">
        <f t="shared" si="149"/>
        <v>0</v>
      </c>
      <c r="K180" s="649">
        <v>0</v>
      </c>
      <c r="L180" s="649">
        <v>0</v>
      </c>
      <c r="M180" s="580">
        <f t="shared" si="150"/>
        <v>0</v>
      </c>
      <c r="N180" s="649">
        <v>0</v>
      </c>
      <c r="O180" s="649">
        <v>0</v>
      </c>
      <c r="P180" s="580">
        <f t="shared" si="151"/>
        <v>0</v>
      </c>
      <c r="Q180" s="649">
        <v>0</v>
      </c>
      <c r="R180" s="649">
        <v>0</v>
      </c>
      <c r="S180" s="580">
        <f t="shared" si="152"/>
        <v>0</v>
      </c>
      <c r="T180" s="649">
        <v>0</v>
      </c>
      <c r="U180" s="649">
        <v>0</v>
      </c>
      <c r="V180" s="580">
        <f t="shared" si="153"/>
        <v>0</v>
      </c>
      <c r="W180" s="649">
        <v>0</v>
      </c>
      <c r="X180" s="649">
        <v>0</v>
      </c>
      <c r="Y180" s="580">
        <f t="shared" si="154"/>
        <v>0</v>
      </c>
      <c r="Z180" s="649">
        <v>0</v>
      </c>
      <c r="AA180" s="649">
        <v>0</v>
      </c>
      <c r="AB180" s="580">
        <f t="shared" si="155"/>
        <v>0</v>
      </c>
      <c r="AC180" s="649">
        <v>0</v>
      </c>
      <c r="AD180" s="649">
        <v>0</v>
      </c>
      <c r="AE180" s="580">
        <f t="shared" si="156"/>
        <v>0</v>
      </c>
    </row>
    <row r="181" spans="1:31" ht="23.1" hidden="1" customHeight="1" thickBot="1">
      <c r="A181" s="456"/>
      <c r="B181" s="464" t="s">
        <v>179</v>
      </c>
      <c r="C181" s="458">
        <v>100127652</v>
      </c>
      <c r="D181" s="632" t="s">
        <v>197</v>
      </c>
      <c r="E181" s="610">
        <v>0</v>
      </c>
      <c r="F181" s="610">
        <v>0</v>
      </c>
      <c r="G181" s="650">
        <f t="shared" si="148"/>
        <v>0</v>
      </c>
      <c r="H181" s="610">
        <v>0</v>
      </c>
      <c r="I181" s="610">
        <v>0</v>
      </c>
      <c r="J181" s="650">
        <f t="shared" si="149"/>
        <v>0</v>
      </c>
      <c r="K181" s="610">
        <v>0</v>
      </c>
      <c r="L181" s="610">
        <v>0</v>
      </c>
      <c r="M181" s="650">
        <f t="shared" si="150"/>
        <v>0</v>
      </c>
      <c r="N181" s="610">
        <v>0</v>
      </c>
      <c r="O181" s="610">
        <v>0</v>
      </c>
      <c r="P181" s="650">
        <f t="shared" si="151"/>
        <v>0</v>
      </c>
      <c r="Q181" s="610">
        <v>0</v>
      </c>
      <c r="R181" s="610">
        <v>0</v>
      </c>
      <c r="S181" s="650">
        <f t="shared" si="152"/>
        <v>0</v>
      </c>
      <c r="T181" s="610">
        <v>0</v>
      </c>
      <c r="U181" s="610">
        <v>0</v>
      </c>
      <c r="V181" s="650">
        <f t="shared" si="153"/>
        <v>0</v>
      </c>
      <c r="W181" s="610">
        <v>0</v>
      </c>
      <c r="X181" s="610">
        <v>0</v>
      </c>
      <c r="Y181" s="650">
        <f t="shared" si="154"/>
        <v>0</v>
      </c>
      <c r="Z181" s="610">
        <v>0</v>
      </c>
      <c r="AA181" s="610">
        <v>0</v>
      </c>
      <c r="AB181" s="650">
        <f t="shared" si="155"/>
        <v>0</v>
      </c>
      <c r="AC181" s="610">
        <v>0</v>
      </c>
      <c r="AD181" s="610">
        <v>0</v>
      </c>
      <c r="AE181" s="650">
        <f t="shared" si="156"/>
        <v>0</v>
      </c>
    </row>
    <row r="182" spans="1:31" ht="23.1" hidden="1" customHeight="1" thickBot="1">
      <c r="A182" s="456"/>
      <c r="B182" s="464" t="s">
        <v>180</v>
      </c>
      <c r="C182" s="458">
        <v>100127652</v>
      </c>
      <c r="D182" s="632" t="s">
        <v>198</v>
      </c>
      <c r="E182" s="649">
        <v>0</v>
      </c>
      <c r="F182" s="649">
        <v>0</v>
      </c>
      <c r="G182" s="580">
        <f t="shared" si="148"/>
        <v>0</v>
      </c>
      <c r="H182" s="649">
        <v>0</v>
      </c>
      <c r="I182" s="649">
        <v>0</v>
      </c>
      <c r="J182" s="580">
        <f t="shared" si="149"/>
        <v>0</v>
      </c>
      <c r="K182" s="649">
        <v>0</v>
      </c>
      <c r="L182" s="649">
        <v>0</v>
      </c>
      <c r="M182" s="580">
        <f t="shared" si="150"/>
        <v>0</v>
      </c>
      <c r="N182" s="649">
        <v>0</v>
      </c>
      <c r="O182" s="649">
        <v>0</v>
      </c>
      <c r="P182" s="580">
        <f t="shared" si="151"/>
        <v>0</v>
      </c>
      <c r="Q182" s="649">
        <v>0</v>
      </c>
      <c r="R182" s="649">
        <v>0</v>
      </c>
      <c r="S182" s="580">
        <f t="shared" si="152"/>
        <v>0</v>
      </c>
      <c r="T182" s="649">
        <v>0</v>
      </c>
      <c r="U182" s="649">
        <v>0</v>
      </c>
      <c r="V182" s="580">
        <f t="shared" si="153"/>
        <v>0</v>
      </c>
      <c r="W182" s="649">
        <v>0</v>
      </c>
      <c r="X182" s="649">
        <v>0</v>
      </c>
      <c r="Y182" s="580">
        <f t="shared" si="154"/>
        <v>0</v>
      </c>
      <c r="Z182" s="649">
        <v>0</v>
      </c>
      <c r="AA182" s="649">
        <v>0</v>
      </c>
      <c r="AB182" s="580">
        <f t="shared" si="155"/>
        <v>0</v>
      </c>
      <c r="AC182" s="649">
        <v>0</v>
      </c>
      <c r="AD182" s="649">
        <v>0</v>
      </c>
      <c r="AE182" s="580">
        <f t="shared" si="156"/>
        <v>0</v>
      </c>
    </row>
    <row r="183" spans="1:31" ht="23.1" hidden="1" customHeight="1" thickBot="1">
      <c r="A183" s="456"/>
      <c r="B183" s="464" t="s">
        <v>181</v>
      </c>
      <c r="C183" s="458">
        <v>100127652</v>
      </c>
      <c r="D183" s="632" t="s">
        <v>199</v>
      </c>
      <c r="E183" s="610">
        <v>0</v>
      </c>
      <c r="F183" s="610">
        <v>0</v>
      </c>
      <c r="G183" s="650">
        <f t="shared" si="148"/>
        <v>0</v>
      </c>
      <c r="H183" s="610">
        <v>0</v>
      </c>
      <c r="I183" s="610">
        <v>0</v>
      </c>
      <c r="J183" s="650">
        <f t="shared" si="149"/>
        <v>0</v>
      </c>
      <c r="K183" s="610">
        <v>0</v>
      </c>
      <c r="L183" s="610">
        <v>0</v>
      </c>
      <c r="M183" s="650">
        <f t="shared" si="150"/>
        <v>0</v>
      </c>
      <c r="N183" s="610">
        <v>0</v>
      </c>
      <c r="O183" s="610">
        <v>0</v>
      </c>
      <c r="P183" s="650">
        <f t="shared" si="151"/>
        <v>0</v>
      </c>
      <c r="Q183" s="610">
        <v>0</v>
      </c>
      <c r="R183" s="610">
        <v>0</v>
      </c>
      <c r="S183" s="650">
        <f t="shared" si="152"/>
        <v>0</v>
      </c>
      <c r="T183" s="610">
        <v>0</v>
      </c>
      <c r="U183" s="610">
        <v>0</v>
      </c>
      <c r="V183" s="650">
        <f t="shared" si="153"/>
        <v>0</v>
      </c>
      <c r="W183" s="610">
        <v>0</v>
      </c>
      <c r="X183" s="610">
        <v>0</v>
      </c>
      <c r="Y183" s="650">
        <f t="shared" si="154"/>
        <v>0</v>
      </c>
      <c r="Z183" s="610">
        <v>0</v>
      </c>
      <c r="AA183" s="610">
        <v>0</v>
      </c>
      <c r="AB183" s="650">
        <f t="shared" si="155"/>
        <v>0</v>
      </c>
      <c r="AC183" s="610">
        <v>0</v>
      </c>
      <c r="AD183" s="610">
        <v>0</v>
      </c>
      <c r="AE183" s="650">
        <f t="shared" si="156"/>
        <v>0</v>
      </c>
    </row>
    <row r="184" spans="1:31" ht="23.1" hidden="1" customHeight="1" thickBot="1">
      <c r="A184" s="456"/>
      <c r="B184" s="461" t="s">
        <v>182</v>
      </c>
      <c r="C184" s="458">
        <v>100127652</v>
      </c>
      <c r="D184" s="632" t="s">
        <v>200</v>
      </c>
      <c r="E184" s="649">
        <v>0</v>
      </c>
      <c r="F184" s="649">
        <v>0</v>
      </c>
      <c r="G184" s="580">
        <f t="shared" si="148"/>
        <v>0</v>
      </c>
      <c r="H184" s="649">
        <v>0</v>
      </c>
      <c r="I184" s="649">
        <v>0</v>
      </c>
      <c r="J184" s="580">
        <f t="shared" si="149"/>
        <v>0</v>
      </c>
      <c r="K184" s="649">
        <v>0</v>
      </c>
      <c r="L184" s="649">
        <v>0</v>
      </c>
      <c r="M184" s="580">
        <f t="shared" si="150"/>
        <v>0</v>
      </c>
      <c r="N184" s="649">
        <v>0</v>
      </c>
      <c r="O184" s="649">
        <v>0</v>
      </c>
      <c r="P184" s="580">
        <f t="shared" si="151"/>
        <v>0</v>
      </c>
      <c r="Q184" s="649">
        <v>0</v>
      </c>
      <c r="R184" s="649">
        <v>0</v>
      </c>
      <c r="S184" s="580">
        <f t="shared" si="152"/>
        <v>0</v>
      </c>
      <c r="T184" s="649">
        <v>0</v>
      </c>
      <c r="U184" s="649">
        <v>0</v>
      </c>
      <c r="V184" s="580">
        <f t="shared" si="153"/>
        <v>0</v>
      </c>
      <c r="W184" s="649">
        <v>0</v>
      </c>
      <c r="X184" s="649">
        <v>0</v>
      </c>
      <c r="Y184" s="580">
        <f t="shared" si="154"/>
        <v>0</v>
      </c>
      <c r="Z184" s="649">
        <v>0</v>
      </c>
      <c r="AA184" s="649">
        <v>0</v>
      </c>
      <c r="AB184" s="580">
        <f t="shared" si="155"/>
        <v>0</v>
      </c>
      <c r="AC184" s="649">
        <v>0</v>
      </c>
      <c r="AD184" s="649">
        <v>0</v>
      </c>
      <c r="AE184" s="580">
        <f t="shared" si="156"/>
        <v>0</v>
      </c>
    </row>
    <row r="185" spans="1:31" ht="23.1" hidden="1" customHeight="1" thickBot="1">
      <c r="A185" s="456"/>
      <c r="B185" s="461" t="s">
        <v>182</v>
      </c>
      <c r="C185" s="458">
        <v>100127652</v>
      </c>
      <c r="D185" s="632" t="s">
        <v>201</v>
      </c>
      <c r="E185" s="649">
        <v>0</v>
      </c>
      <c r="F185" s="649">
        <v>0</v>
      </c>
      <c r="G185" s="580">
        <f t="shared" si="148"/>
        <v>0</v>
      </c>
      <c r="H185" s="649">
        <v>0</v>
      </c>
      <c r="I185" s="649">
        <v>0</v>
      </c>
      <c r="J185" s="580">
        <f t="shared" si="149"/>
        <v>0</v>
      </c>
      <c r="K185" s="649">
        <v>0</v>
      </c>
      <c r="L185" s="649">
        <v>0</v>
      </c>
      <c r="M185" s="580">
        <f t="shared" si="150"/>
        <v>0</v>
      </c>
      <c r="N185" s="649">
        <v>0</v>
      </c>
      <c r="O185" s="649">
        <v>0</v>
      </c>
      <c r="P185" s="580">
        <f t="shared" si="151"/>
        <v>0</v>
      </c>
      <c r="Q185" s="649">
        <v>0</v>
      </c>
      <c r="R185" s="649">
        <v>0</v>
      </c>
      <c r="S185" s="580">
        <f t="shared" si="152"/>
        <v>0</v>
      </c>
      <c r="T185" s="649">
        <v>0</v>
      </c>
      <c r="U185" s="649">
        <v>0</v>
      </c>
      <c r="V185" s="580">
        <f t="shared" si="153"/>
        <v>0</v>
      </c>
      <c r="W185" s="649">
        <v>0</v>
      </c>
      <c r="X185" s="649">
        <v>0</v>
      </c>
      <c r="Y185" s="580">
        <f t="shared" si="154"/>
        <v>0</v>
      </c>
      <c r="Z185" s="649">
        <v>0</v>
      </c>
      <c r="AA185" s="649">
        <v>0</v>
      </c>
      <c r="AB185" s="580">
        <f t="shared" si="155"/>
        <v>0</v>
      </c>
      <c r="AC185" s="649">
        <v>0</v>
      </c>
      <c r="AD185" s="649">
        <v>0</v>
      </c>
      <c r="AE185" s="580">
        <f t="shared" si="156"/>
        <v>0</v>
      </c>
    </row>
    <row r="186" spans="1:31" ht="23.1" hidden="1" customHeight="1" thickBot="1">
      <c r="A186" s="456"/>
      <c r="B186" s="461" t="s">
        <v>182</v>
      </c>
      <c r="C186" s="458">
        <v>100127652</v>
      </c>
      <c r="D186" s="632" t="s">
        <v>202</v>
      </c>
      <c r="E186" s="610">
        <v>0</v>
      </c>
      <c r="F186" s="610">
        <v>0</v>
      </c>
      <c r="G186" s="650">
        <f t="shared" si="148"/>
        <v>0</v>
      </c>
      <c r="H186" s="610">
        <v>0</v>
      </c>
      <c r="I186" s="610">
        <v>0</v>
      </c>
      <c r="J186" s="650">
        <f t="shared" si="149"/>
        <v>0</v>
      </c>
      <c r="K186" s="610">
        <v>0</v>
      </c>
      <c r="L186" s="610">
        <v>0</v>
      </c>
      <c r="M186" s="650">
        <f t="shared" si="150"/>
        <v>0</v>
      </c>
      <c r="N186" s="610">
        <v>0</v>
      </c>
      <c r="O186" s="610">
        <v>0</v>
      </c>
      <c r="P186" s="650">
        <f t="shared" si="151"/>
        <v>0</v>
      </c>
      <c r="Q186" s="610">
        <v>0</v>
      </c>
      <c r="R186" s="610">
        <v>0</v>
      </c>
      <c r="S186" s="650">
        <f t="shared" si="152"/>
        <v>0</v>
      </c>
      <c r="T186" s="610">
        <v>0</v>
      </c>
      <c r="U186" s="610">
        <v>0</v>
      </c>
      <c r="V186" s="650">
        <f t="shared" si="153"/>
        <v>0</v>
      </c>
      <c r="W186" s="610">
        <v>0</v>
      </c>
      <c r="X186" s="610">
        <v>0</v>
      </c>
      <c r="Y186" s="650">
        <f t="shared" si="154"/>
        <v>0</v>
      </c>
      <c r="Z186" s="610">
        <v>0</v>
      </c>
      <c r="AA186" s="610">
        <v>0</v>
      </c>
      <c r="AB186" s="650">
        <f t="shared" si="155"/>
        <v>0</v>
      </c>
      <c r="AC186" s="610">
        <v>0</v>
      </c>
      <c r="AD186" s="610">
        <v>0</v>
      </c>
      <c r="AE186" s="650">
        <f t="shared" si="156"/>
        <v>0</v>
      </c>
    </row>
    <row r="187" spans="1:31" ht="23.1" hidden="1" customHeight="1" thickBot="1">
      <c r="A187" s="456"/>
      <c r="B187" s="461" t="s">
        <v>183</v>
      </c>
      <c r="C187" s="458">
        <v>100127652</v>
      </c>
      <c r="D187" s="632" t="s">
        <v>203</v>
      </c>
      <c r="E187" s="649">
        <v>0</v>
      </c>
      <c r="F187" s="649">
        <v>0</v>
      </c>
      <c r="G187" s="580">
        <f t="shared" si="148"/>
        <v>0</v>
      </c>
      <c r="H187" s="649">
        <v>0</v>
      </c>
      <c r="I187" s="649">
        <v>0</v>
      </c>
      <c r="J187" s="580">
        <f t="shared" si="149"/>
        <v>0</v>
      </c>
      <c r="K187" s="649">
        <v>0</v>
      </c>
      <c r="L187" s="649">
        <v>0</v>
      </c>
      <c r="M187" s="580">
        <f t="shared" si="150"/>
        <v>0</v>
      </c>
      <c r="N187" s="649">
        <v>0</v>
      </c>
      <c r="O187" s="649">
        <v>0</v>
      </c>
      <c r="P187" s="580">
        <f t="shared" si="151"/>
        <v>0</v>
      </c>
      <c r="Q187" s="649">
        <v>0</v>
      </c>
      <c r="R187" s="649">
        <v>0</v>
      </c>
      <c r="S187" s="580">
        <f t="shared" si="152"/>
        <v>0</v>
      </c>
      <c r="T187" s="649">
        <v>0</v>
      </c>
      <c r="U187" s="649">
        <v>0</v>
      </c>
      <c r="V187" s="580">
        <f t="shared" si="153"/>
        <v>0</v>
      </c>
      <c r="W187" s="649">
        <v>0</v>
      </c>
      <c r="X187" s="649">
        <v>0</v>
      </c>
      <c r="Y187" s="580">
        <f t="shared" si="154"/>
        <v>0</v>
      </c>
      <c r="Z187" s="649">
        <v>0</v>
      </c>
      <c r="AA187" s="649">
        <v>0</v>
      </c>
      <c r="AB187" s="580">
        <f t="shared" si="155"/>
        <v>0</v>
      </c>
      <c r="AC187" s="649">
        <v>0</v>
      </c>
      <c r="AD187" s="649">
        <v>0</v>
      </c>
      <c r="AE187" s="580">
        <f t="shared" si="156"/>
        <v>0</v>
      </c>
    </row>
    <row r="188" spans="1:31" ht="23.1" hidden="1" customHeight="1" thickBot="1">
      <c r="A188" s="456"/>
      <c r="B188" s="461" t="s">
        <v>184</v>
      </c>
      <c r="C188" s="458">
        <v>100127652</v>
      </c>
      <c r="D188" s="632" t="s">
        <v>204</v>
      </c>
      <c r="E188" s="610">
        <v>0</v>
      </c>
      <c r="F188" s="610">
        <v>0</v>
      </c>
      <c r="G188" s="650">
        <f t="shared" si="148"/>
        <v>0</v>
      </c>
      <c r="H188" s="610">
        <v>0</v>
      </c>
      <c r="I188" s="610">
        <v>0</v>
      </c>
      <c r="J188" s="650">
        <f t="shared" si="149"/>
        <v>0</v>
      </c>
      <c r="K188" s="610">
        <v>0</v>
      </c>
      <c r="L188" s="610">
        <v>0</v>
      </c>
      <c r="M188" s="650">
        <f t="shared" si="150"/>
        <v>0</v>
      </c>
      <c r="N188" s="610">
        <v>0</v>
      </c>
      <c r="O188" s="610">
        <v>0</v>
      </c>
      <c r="P188" s="650">
        <f t="shared" si="151"/>
        <v>0</v>
      </c>
      <c r="Q188" s="610">
        <v>0</v>
      </c>
      <c r="R188" s="610">
        <v>0</v>
      </c>
      <c r="S188" s="650">
        <f t="shared" si="152"/>
        <v>0</v>
      </c>
      <c r="T188" s="610">
        <v>0</v>
      </c>
      <c r="U188" s="610">
        <v>0</v>
      </c>
      <c r="V188" s="650">
        <f t="shared" si="153"/>
        <v>0</v>
      </c>
      <c r="W188" s="610">
        <v>0</v>
      </c>
      <c r="X188" s="610">
        <v>0</v>
      </c>
      <c r="Y188" s="650">
        <f t="shared" si="154"/>
        <v>0</v>
      </c>
      <c r="Z188" s="610">
        <v>0</v>
      </c>
      <c r="AA188" s="610">
        <v>0</v>
      </c>
      <c r="AB188" s="650">
        <f t="shared" si="155"/>
        <v>0</v>
      </c>
      <c r="AC188" s="610">
        <v>0</v>
      </c>
      <c r="AD188" s="610">
        <v>0</v>
      </c>
      <c r="AE188" s="650">
        <f t="shared" si="156"/>
        <v>0</v>
      </c>
    </row>
    <row r="189" spans="1:31" ht="23.1" hidden="1" customHeight="1" thickBot="1">
      <c r="A189" s="456"/>
      <c r="B189" s="461" t="s">
        <v>184</v>
      </c>
      <c r="C189" s="458">
        <v>100127652</v>
      </c>
      <c r="D189" s="632" t="s">
        <v>205</v>
      </c>
      <c r="E189" s="649">
        <v>0</v>
      </c>
      <c r="F189" s="649">
        <v>0</v>
      </c>
      <c r="G189" s="580">
        <f t="shared" si="148"/>
        <v>0</v>
      </c>
      <c r="H189" s="649">
        <v>0</v>
      </c>
      <c r="I189" s="649">
        <v>0</v>
      </c>
      <c r="J189" s="580">
        <f t="shared" si="149"/>
        <v>0</v>
      </c>
      <c r="K189" s="649">
        <v>0</v>
      </c>
      <c r="L189" s="649">
        <v>0</v>
      </c>
      <c r="M189" s="580">
        <f t="shared" si="150"/>
        <v>0</v>
      </c>
      <c r="N189" s="649">
        <v>0</v>
      </c>
      <c r="O189" s="649">
        <v>0</v>
      </c>
      <c r="P189" s="580">
        <f t="shared" si="151"/>
        <v>0</v>
      </c>
      <c r="Q189" s="649">
        <v>0</v>
      </c>
      <c r="R189" s="649">
        <v>0</v>
      </c>
      <c r="S189" s="580">
        <f t="shared" si="152"/>
        <v>0</v>
      </c>
      <c r="T189" s="649">
        <v>0</v>
      </c>
      <c r="U189" s="649">
        <v>0</v>
      </c>
      <c r="V189" s="580">
        <f t="shared" si="153"/>
        <v>0</v>
      </c>
      <c r="W189" s="649">
        <v>0</v>
      </c>
      <c r="X189" s="649">
        <v>0</v>
      </c>
      <c r="Y189" s="580">
        <f t="shared" si="154"/>
        <v>0</v>
      </c>
      <c r="Z189" s="649">
        <v>0</v>
      </c>
      <c r="AA189" s="649">
        <v>0</v>
      </c>
      <c r="AB189" s="580">
        <f t="shared" si="155"/>
        <v>0</v>
      </c>
      <c r="AC189" s="649">
        <v>0</v>
      </c>
      <c r="AD189" s="649">
        <v>0</v>
      </c>
      <c r="AE189" s="580">
        <f t="shared" si="156"/>
        <v>0</v>
      </c>
    </row>
    <row r="190" spans="1:31" ht="23.1" hidden="1" customHeight="1" thickBot="1">
      <c r="A190" s="456"/>
      <c r="B190" s="461" t="s">
        <v>184</v>
      </c>
      <c r="C190" s="458">
        <v>100127652</v>
      </c>
      <c r="D190" s="632" t="s">
        <v>206</v>
      </c>
      <c r="E190" s="610">
        <v>0</v>
      </c>
      <c r="F190" s="610">
        <v>0</v>
      </c>
      <c r="G190" s="650">
        <f t="shared" si="148"/>
        <v>0</v>
      </c>
      <c r="H190" s="610">
        <v>0</v>
      </c>
      <c r="I190" s="610">
        <v>0</v>
      </c>
      <c r="J190" s="650">
        <f t="shared" si="149"/>
        <v>0</v>
      </c>
      <c r="K190" s="610">
        <v>0</v>
      </c>
      <c r="L190" s="610">
        <v>0</v>
      </c>
      <c r="M190" s="650">
        <f t="shared" si="150"/>
        <v>0</v>
      </c>
      <c r="N190" s="610">
        <v>0</v>
      </c>
      <c r="O190" s="610">
        <v>0</v>
      </c>
      <c r="P190" s="650">
        <f t="shared" si="151"/>
        <v>0</v>
      </c>
      <c r="Q190" s="610">
        <v>0</v>
      </c>
      <c r="R190" s="610">
        <v>0</v>
      </c>
      <c r="S190" s="650">
        <f t="shared" si="152"/>
        <v>0</v>
      </c>
      <c r="T190" s="610">
        <v>0</v>
      </c>
      <c r="U190" s="610">
        <v>0</v>
      </c>
      <c r="V190" s="650">
        <f t="shared" si="153"/>
        <v>0</v>
      </c>
      <c r="W190" s="610">
        <v>0</v>
      </c>
      <c r="X190" s="610">
        <v>0</v>
      </c>
      <c r="Y190" s="650">
        <f t="shared" si="154"/>
        <v>0</v>
      </c>
      <c r="Z190" s="610">
        <v>0</v>
      </c>
      <c r="AA190" s="610">
        <v>0</v>
      </c>
      <c r="AB190" s="650">
        <f t="shared" si="155"/>
        <v>0</v>
      </c>
      <c r="AC190" s="610">
        <v>0</v>
      </c>
      <c r="AD190" s="610">
        <v>0</v>
      </c>
      <c r="AE190" s="650">
        <f t="shared" si="156"/>
        <v>0</v>
      </c>
    </row>
    <row r="191" spans="1:31" ht="23.1" hidden="1" customHeight="1" thickBot="1">
      <c r="A191" s="456"/>
      <c r="B191" s="461" t="s">
        <v>171</v>
      </c>
      <c r="C191" s="458">
        <v>100127652</v>
      </c>
      <c r="D191" s="632" t="s">
        <v>207</v>
      </c>
      <c r="E191" s="649">
        <v>0</v>
      </c>
      <c r="F191" s="649">
        <v>0</v>
      </c>
      <c r="G191" s="580">
        <f t="shared" si="148"/>
        <v>0</v>
      </c>
      <c r="H191" s="649">
        <v>0</v>
      </c>
      <c r="I191" s="649">
        <v>0</v>
      </c>
      <c r="J191" s="580">
        <f t="shared" si="149"/>
        <v>0</v>
      </c>
      <c r="K191" s="649">
        <v>0</v>
      </c>
      <c r="L191" s="649">
        <v>0</v>
      </c>
      <c r="M191" s="580">
        <f t="shared" si="150"/>
        <v>0</v>
      </c>
      <c r="N191" s="649">
        <v>0</v>
      </c>
      <c r="O191" s="649">
        <v>0</v>
      </c>
      <c r="P191" s="580">
        <f t="shared" si="151"/>
        <v>0</v>
      </c>
      <c r="Q191" s="649">
        <v>0</v>
      </c>
      <c r="R191" s="649">
        <v>0</v>
      </c>
      <c r="S191" s="580">
        <f t="shared" si="152"/>
        <v>0</v>
      </c>
      <c r="T191" s="649">
        <v>0</v>
      </c>
      <c r="U191" s="649">
        <v>0</v>
      </c>
      <c r="V191" s="580">
        <f t="shared" si="153"/>
        <v>0</v>
      </c>
      <c r="W191" s="649">
        <v>0</v>
      </c>
      <c r="X191" s="649">
        <v>0</v>
      </c>
      <c r="Y191" s="580">
        <f t="shared" si="154"/>
        <v>0</v>
      </c>
      <c r="Z191" s="649">
        <v>0</v>
      </c>
      <c r="AA191" s="649">
        <v>0</v>
      </c>
      <c r="AB191" s="580">
        <f t="shared" si="155"/>
        <v>0</v>
      </c>
      <c r="AC191" s="649">
        <v>0</v>
      </c>
      <c r="AD191" s="649">
        <v>0</v>
      </c>
      <c r="AE191" s="580">
        <f t="shared" si="156"/>
        <v>0</v>
      </c>
    </row>
    <row r="192" spans="1:31" ht="23.1" hidden="1" customHeight="1" thickBot="1">
      <c r="A192" s="456"/>
      <c r="B192" s="461" t="s">
        <v>171</v>
      </c>
      <c r="C192" s="458">
        <v>100127652</v>
      </c>
      <c r="D192" s="632" t="s">
        <v>208</v>
      </c>
      <c r="E192" s="610">
        <v>0</v>
      </c>
      <c r="F192" s="610">
        <v>0</v>
      </c>
      <c r="G192" s="651">
        <f t="shared" si="148"/>
        <v>0</v>
      </c>
      <c r="H192" s="610">
        <v>0</v>
      </c>
      <c r="I192" s="610">
        <v>0</v>
      </c>
      <c r="J192" s="651">
        <f t="shared" si="149"/>
        <v>0</v>
      </c>
      <c r="K192" s="610">
        <v>0</v>
      </c>
      <c r="L192" s="610">
        <v>0</v>
      </c>
      <c r="M192" s="651">
        <f t="shared" si="150"/>
        <v>0</v>
      </c>
      <c r="N192" s="610">
        <v>0</v>
      </c>
      <c r="O192" s="610">
        <v>0</v>
      </c>
      <c r="P192" s="651">
        <f t="shared" si="151"/>
        <v>0</v>
      </c>
      <c r="Q192" s="610">
        <v>0</v>
      </c>
      <c r="R192" s="610">
        <v>0</v>
      </c>
      <c r="S192" s="651">
        <f t="shared" si="152"/>
        <v>0</v>
      </c>
      <c r="T192" s="610">
        <v>0</v>
      </c>
      <c r="U192" s="610">
        <v>0</v>
      </c>
      <c r="V192" s="651">
        <f t="shared" si="153"/>
        <v>0</v>
      </c>
      <c r="W192" s="610">
        <v>0</v>
      </c>
      <c r="X192" s="610">
        <v>0</v>
      </c>
      <c r="Y192" s="651">
        <f t="shared" si="154"/>
        <v>0</v>
      </c>
      <c r="Z192" s="610">
        <v>0</v>
      </c>
      <c r="AA192" s="610">
        <v>0</v>
      </c>
      <c r="AB192" s="651">
        <f t="shared" si="155"/>
        <v>0</v>
      </c>
      <c r="AC192" s="610">
        <v>0</v>
      </c>
      <c r="AD192" s="610">
        <v>0</v>
      </c>
      <c r="AE192" s="651">
        <f t="shared" si="156"/>
        <v>0</v>
      </c>
    </row>
    <row r="193" spans="1:31" ht="23.1" hidden="1" customHeight="1" thickBot="1">
      <c r="A193" s="456"/>
      <c r="B193" s="461" t="s">
        <v>183</v>
      </c>
      <c r="C193" s="458">
        <v>100127652</v>
      </c>
      <c r="D193" s="632" t="s">
        <v>209</v>
      </c>
      <c r="E193" s="649">
        <v>0</v>
      </c>
      <c r="F193" s="649">
        <v>0</v>
      </c>
      <c r="G193" s="580">
        <f t="shared" si="148"/>
        <v>0</v>
      </c>
      <c r="H193" s="649">
        <v>0</v>
      </c>
      <c r="I193" s="649">
        <v>0</v>
      </c>
      <c r="J193" s="580">
        <f t="shared" si="149"/>
        <v>0</v>
      </c>
      <c r="K193" s="649">
        <v>0</v>
      </c>
      <c r="L193" s="649">
        <v>0</v>
      </c>
      <c r="M193" s="580">
        <f t="shared" si="150"/>
        <v>0</v>
      </c>
      <c r="N193" s="649">
        <v>0</v>
      </c>
      <c r="O193" s="649">
        <v>0</v>
      </c>
      <c r="P193" s="580">
        <f t="shared" si="151"/>
        <v>0</v>
      </c>
      <c r="Q193" s="649">
        <v>0</v>
      </c>
      <c r="R193" s="649">
        <v>0</v>
      </c>
      <c r="S193" s="580">
        <f t="shared" si="152"/>
        <v>0</v>
      </c>
      <c r="T193" s="649">
        <v>0</v>
      </c>
      <c r="U193" s="649">
        <v>0</v>
      </c>
      <c r="V193" s="580">
        <f t="shared" si="153"/>
        <v>0</v>
      </c>
      <c r="W193" s="649">
        <v>0</v>
      </c>
      <c r="X193" s="649">
        <v>0</v>
      </c>
      <c r="Y193" s="580">
        <f t="shared" si="154"/>
        <v>0</v>
      </c>
      <c r="Z193" s="649">
        <v>0</v>
      </c>
      <c r="AA193" s="649">
        <v>0</v>
      </c>
      <c r="AB193" s="580">
        <f t="shared" si="155"/>
        <v>0</v>
      </c>
      <c r="AC193" s="649">
        <v>0</v>
      </c>
      <c r="AD193" s="649">
        <v>0</v>
      </c>
      <c r="AE193" s="580">
        <f t="shared" si="156"/>
        <v>0</v>
      </c>
    </row>
    <row r="194" spans="1:31" ht="23.1" hidden="1" customHeight="1" thickBot="1">
      <c r="A194" s="456"/>
      <c r="B194" s="461" t="s">
        <v>185</v>
      </c>
      <c r="C194" s="458">
        <v>100127652</v>
      </c>
      <c r="D194" s="632" t="s">
        <v>210</v>
      </c>
      <c r="E194" s="610">
        <v>0</v>
      </c>
      <c r="F194" s="610">
        <v>0</v>
      </c>
      <c r="G194" s="652">
        <f t="shared" si="148"/>
        <v>0</v>
      </c>
      <c r="H194" s="610">
        <v>0</v>
      </c>
      <c r="I194" s="610">
        <v>0</v>
      </c>
      <c r="J194" s="652">
        <f t="shared" si="149"/>
        <v>0</v>
      </c>
      <c r="K194" s="610">
        <v>0</v>
      </c>
      <c r="L194" s="610">
        <v>0</v>
      </c>
      <c r="M194" s="652">
        <f t="shared" si="150"/>
        <v>0</v>
      </c>
      <c r="N194" s="610">
        <v>0</v>
      </c>
      <c r="O194" s="610">
        <v>0</v>
      </c>
      <c r="P194" s="652">
        <f t="shared" si="151"/>
        <v>0</v>
      </c>
      <c r="Q194" s="610">
        <v>0</v>
      </c>
      <c r="R194" s="610">
        <v>0</v>
      </c>
      <c r="S194" s="652">
        <f t="shared" si="152"/>
        <v>0</v>
      </c>
      <c r="T194" s="610">
        <v>0</v>
      </c>
      <c r="U194" s="610">
        <v>0</v>
      </c>
      <c r="V194" s="652">
        <f t="shared" si="153"/>
        <v>0</v>
      </c>
      <c r="W194" s="610">
        <v>0</v>
      </c>
      <c r="X194" s="610">
        <v>0</v>
      </c>
      <c r="Y194" s="652">
        <f t="shared" si="154"/>
        <v>0</v>
      </c>
      <c r="Z194" s="610">
        <v>0</v>
      </c>
      <c r="AA194" s="610">
        <v>0</v>
      </c>
      <c r="AB194" s="652">
        <f t="shared" si="155"/>
        <v>0</v>
      </c>
      <c r="AC194" s="610">
        <v>0</v>
      </c>
      <c r="AD194" s="610">
        <v>0</v>
      </c>
      <c r="AE194" s="652">
        <f t="shared" si="156"/>
        <v>0</v>
      </c>
    </row>
    <row r="195" spans="1:31" ht="23.1" hidden="1" customHeight="1" thickBot="1">
      <c r="A195" s="456"/>
      <c r="B195" s="461" t="s">
        <v>186</v>
      </c>
      <c r="C195" s="458">
        <v>100127652</v>
      </c>
      <c r="D195" s="632" t="s">
        <v>211</v>
      </c>
      <c r="E195" s="649">
        <v>0</v>
      </c>
      <c r="F195" s="649">
        <v>0</v>
      </c>
      <c r="G195" s="580">
        <f t="shared" si="148"/>
        <v>0</v>
      </c>
      <c r="H195" s="649">
        <v>0</v>
      </c>
      <c r="I195" s="649">
        <v>0</v>
      </c>
      <c r="J195" s="580">
        <f t="shared" si="149"/>
        <v>0</v>
      </c>
      <c r="K195" s="649">
        <v>0</v>
      </c>
      <c r="L195" s="649">
        <v>0</v>
      </c>
      <c r="M195" s="580">
        <f t="shared" si="150"/>
        <v>0</v>
      </c>
      <c r="N195" s="649">
        <v>0</v>
      </c>
      <c r="O195" s="649">
        <v>0</v>
      </c>
      <c r="P195" s="580">
        <f t="shared" si="151"/>
        <v>0</v>
      </c>
      <c r="Q195" s="649">
        <v>0</v>
      </c>
      <c r="R195" s="649">
        <v>0</v>
      </c>
      <c r="S195" s="580">
        <f t="shared" si="152"/>
        <v>0</v>
      </c>
      <c r="T195" s="649">
        <v>0</v>
      </c>
      <c r="U195" s="649">
        <v>0</v>
      </c>
      <c r="V195" s="580">
        <f t="shared" si="153"/>
        <v>0</v>
      </c>
      <c r="W195" s="649">
        <v>0</v>
      </c>
      <c r="X195" s="649">
        <v>0</v>
      </c>
      <c r="Y195" s="580">
        <f t="shared" si="154"/>
        <v>0</v>
      </c>
      <c r="Z195" s="649">
        <v>0</v>
      </c>
      <c r="AA195" s="649">
        <v>0</v>
      </c>
      <c r="AB195" s="580">
        <f t="shared" si="155"/>
        <v>0</v>
      </c>
      <c r="AC195" s="649">
        <v>0</v>
      </c>
      <c r="AD195" s="649">
        <v>0</v>
      </c>
      <c r="AE195" s="580">
        <f t="shared" si="156"/>
        <v>0</v>
      </c>
    </row>
    <row r="196" spans="1:31" ht="23.1" hidden="1" customHeight="1" thickBot="1">
      <c r="A196" s="456"/>
      <c r="B196" s="461" t="s">
        <v>186</v>
      </c>
      <c r="C196" s="458">
        <v>100127652</v>
      </c>
      <c r="D196" s="632" t="s">
        <v>212</v>
      </c>
      <c r="E196" s="610">
        <v>0</v>
      </c>
      <c r="F196" s="610">
        <v>0</v>
      </c>
      <c r="G196" s="651">
        <f t="shared" si="148"/>
        <v>0</v>
      </c>
      <c r="H196" s="610">
        <v>0</v>
      </c>
      <c r="I196" s="610">
        <v>0</v>
      </c>
      <c r="J196" s="651">
        <f t="shared" si="149"/>
        <v>0</v>
      </c>
      <c r="K196" s="610">
        <v>0</v>
      </c>
      <c r="L196" s="610">
        <v>0</v>
      </c>
      <c r="M196" s="651">
        <f t="shared" si="150"/>
        <v>0</v>
      </c>
      <c r="N196" s="610">
        <v>0</v>
      </c>
      <c r="O196" s="610">
        <v>0</v>
      </c>
      <c r="P196" s="651">
        <f t="shared" si="151"/>
        <v>0</v>
      </c>
      <c r="Q196" s="610">
        <v>0</v>
      </c>
      <c r="R196" s="610">
        <v>0</v>
      </c>
      <c r="S196" s="651">
        <f t="shared" si="152"/>
        <v>0</v>
      </c>
      <c r="T196" s="610">
        <v>0</v>
      </c>
      <c r="U196" s="610">
        <v>0</v>
      </c>
      <c r="V196" s="651">
        <f t="shared" si="153"/>
        <v>0</v>
      </c>
      <c r="W196" s="610">
        <v>0</v>
      </c>
      <c r="X196" s="610">
        <v>0</v>
      </c>
      <c r="Y196" s="651">
        <f t="shared" si="154"/>
        <v>0</v>
      </c>
      <c r="Z196" s="610">
        <v>0</v>
      </c>
      <c r="AA196" s="610">
        <v>0</v>
      </c>
      <c r="AB196" s="651">
        <f t="shared" si="155"/>
        <v>0</v>
      </c>
      <c r="AC196" s="610">
        <v>0</v>
      </c>
      <c r="AD196" s="610">
        <v>0</v>
      </c>
      <c r="AE196" s="651">
        <f t="shared" si="156"/>
        <v>0</v>
      </c>
    </row>
    <row r="197" spans="1:31" ht="23.1" hidden="1" customHeight="1" thickBot="1">
      <c r="A197" s="456"/>
      <c r="B197" s="461" t="s">
        <v>186</v>
      </c>
      <c r="C197" s="458">
        <v>100127652</v>
      </c>
      <c r="D197" s="632" t="s">
        <v>213</v>
      </c>
      <c r="E197" s="649">
        <v>0</v>
      </c>
      <c r="F197" s="649">
        <v>0</v>
      </c>
      <c r="G197" s="580">
        <f t="shared" si="148"/>
        <v>0</v>
      </c>
      <c r="H197" s="649">
        <v>0</v>
      </c>
      <c r="I197" s="649">
        <v>0</v>
      </c>
      <c r="J197" s="580">
        <f t="shared" si="149"/>
        <v>0</v>
      </c>
      <c r="K197" s="649">
        <v>0</v>
      </c>
      <c r="L197" s="649">
        <v>0</v>
      </c>
      <c r="M197" s="580">
        <f t="shared" si="150"/>
        <v>0</v>
      </c>
      <c r="N197" s="649">
        <v>0</v>
      </c>
      <c r="O197" s="649">
        <v>0</v>
      </c>
      <c r="P197" s="580">
        <f t="shared" si="151"/>
        <v>0</v>
      </c>
      <c r="Q197" s="649">
        <v>0</v>
      </c>
      <c r="R197" s="649">
        <v>0</v>
      </c>
      <c r="S197" s="580">
        <f t="shared" si="152"/>
        <v>0</v>
      </c>
      <c r="T197" s="649">
        <v>0</v>
      </c>
      <c r="U197" s="649">
        <v>0</v>
      </c>
      <c r="V197" s="580">
        <f t="shared" si="153"/>
        <v>0</v>
      </c>
      <c r="W197" s="649">
        <v>0</v>
      </c>
      <c r="X197" s="649">
        <v>0</v>
      </c>
      <c r="Y197" s="580">
        <f t="shared" si="154"/>
        <v>0</v>
      </c>
      <c r="Z197" s="649">
        <v>0</v>
      </c>
      <c r="AA197" s="649">
        <v>0</v>
      </c>
      <c r="AB197" s="580">
        <f t="shared" si="155"/>
        <v>0</v>
      </c>
      <c r="AC197" s="649">
        <v>0</v>
      </c>
      <c r="AD197" s="649">
        <v>0</v>
      </c>
      <c r="AE197" s="580">
        <f t="shared" si="156"/>
        <v>0</v>
      </c>
    </row>
    <row r="198" spans="1:31" ht="23.1" hidden="1" customHeight="1" thickBot="1">
      <c r="A198" s="456"/>
      <c r="B198" s="461" t="s">
        <v>186</v>
      </c>
      <c r="C198" s="458">
        <v>100127652</v>
      </c>
      <c r="D198" s="632" t="s">
        <v>214</v>
      </c>
      <c r="E198" s="610">
        <v>0</v>
      </c>
      <c r="F198" s="610">
        <v>0</v>
      </c>
      <c r="G198" s="652">
        <f t="shared" si="148"/>
        <v>0</v>
      </c>
      <c r="H198" s="610">
        <v>0</v>
      </c>
      <c r="I198" s="610">
        <v>0</v>
      </c>
      <c r="J198" s="652">
        <f t="shared" si="149"/>
        <v>0</v>
      </c>
      <c r="K198" s="610">
        <v>0</v>
      </c>
      <c r="L198" s="610">
        <v>0</v>
      </c>
      <c r="M198" s="652">
        <f t="shared" si="150"/>
        <v>0</v>
      </c>
      <c r="N198" s="610">
        <v>0</v>
      </c>
      <c r="O198" s="610">
        <v>0</v>
      </c>
      <c r="P198" s="652">
        <f t="shared" si="151"/>
        <v>0</v>
      </c>
      <c r="Q198" s="610">
        <v>0</v>
      </c>
      <c r="R198" s="610">
        <v>0</v>
      </c>
      <c r="S198" s="652">
        <f t="shared" si="152"/>
        <v>0</v>
      </c>
      <c r="T198" s="610">
        <v>0</v>
      </c>
      <c r="U198" s="610">
        <v>0</v>
      </c>
      <c r="V198" s="652">
        <f t="shared" si="153"/>
        <v>0</v>
      </c>
      <c r="W198" s="610">
        <v>0</v>
      </c>
      <c r="X198" s="610">
        <v>0</v>
      </c>
      <c r="Y198" s="652">
        <f t="shared" si="154"/>
        <v>0</v>
      </c>
      <c r="Z198" s="610">
        <v>0</v>
      </c>
      <c r="AA198" s="610">
        <v>0</v>
      </c>
      <c r="AB198" s="652">
        <f t="shared" si="155"/>
        <v>0</v>
      </c>
      <c r="AC198" s="610">
        <v>0</v>
      </c>
      <c r="AD198" s="610">
        <v>0</v>
      </c>
      <c r="AE198" s="652">
        <f t="shared" si="156"/>
        <v>0</v>
      </c>
    </row>
    <row r="199" spans="1:31" ht="23.1" hidden="1" customHeight="1" thickBot="1">
      <c r="A199" s="456"/>
      <c r="B199" s="461" t="s">
        <v>186</v>
      </c>
      <c r="C199" s="458">
        <v>100127652</v>
      </c>
      <c r="D199" s="632" t="s">
        <v>215</v>
      </c>
      <c r="E199" s="649">
        <v>0</v>
      </c>
      <c r="F199" s="649">
        <v>0</v>
      </c>
      <c r="G199" s="580">
        <f t="shared" si="148"/>
        <v>0</v>
      </c>
      <c r="H199" s="649">
        <v>0</v>
      </c>
      <c r="I199" s="649">
        <v>0</v>
      </c>
      <c r="J199" s="580">
        <f t="shared" si="149"/>
        <v>0</v>
      </c>
      <c r="K199" s="649">
        <v>0</v>
      </c>
      <c r="L199" s="649">
        <v>0</v>
      </c>
      <c r="M199" s="580">
        <f t="shared" si="150"/>
        <v>0</v>
      </c>
      <c r="N199" s="649">
        <v>0</v>
      </c>
      <c r="O199" s="649">
        <v>0</v>
      </c>
      <c r="P199" s="580">
        <f t="shared" si="151"/>
        <v>0</v>
      </c>
      <c r="Q199" s="649">
        <v>0</v>
      </c>
      <c r="R199" s="649">
        <v>0</v>
      </c>
      <c r="S199" s="580">
        <f t="shared" si="152"/>
        <v>0</v>
      </c>
      <c r="T199" s="649">
        <v>0</v>
      </c>
      <c r="U199" s="649">
        <v>0</v>
      </c>
      <c r="V199" s="580">
        <f t="shared" si="153"/>
        <v>0</v>
      </c>
      <c r="W199" s="649">
        <v>0</v>
      </c>
      <c r="X199" s="649">
        <v>0</v>
      </c>
      <c r="Y199" s="580">
        <f t="shared" si="154"/>
        <v>0</v>
      </c>
      <c r="Z199" s="649">
        <v>0</v>
      </c>
      <c r="AA199" s="649">
        <v>0</v>
      </c>
      <c r="AB199" s="580">
        <f t="shared" si="155"/>
        <v>0</v>
      </c>
      <c r="AC199" s="649">
        <v>0</v>
      </c>
      <c r="AD199" s="649">
        <v>0</v>
      </c>
      <c r="AE199" s="580">
        <f t="shared" si="156"/>
        <v>0</v>
      </c>
    </row>
    <row r="200" spans="1:31" ht="23.1" hidden="1" customHeight="1" thickBot="1">
      <c r="A200" s="456"/>
      <c r="B200" s="461" t="s">
        <v>186</v>
      </c>
      <c r="C200" s="458">
        <v>100127652</v>
      </c>
      <c r="D200" s="632" t="s">
        <v>216</v>
      </c>
      <c r="E200" s="610">
        <v>0</v>
      </c>
      <c r="F200" s="610">
        <v>0</v>
      </c>
      <c r="G200" s="650">
        <f t="shared" si="148"/>
        <v>0</v>
      </c>
      <c r="H200" s="610">
        <v>0</v>
      </c>
      <c r="I200" s="610">
        <v>0</v>
      </c>
      <c r="J200" s="650">
        <f t="shared" si="149"/>
        <v>0</v>
      </c>
      <c r="K200" s="610">
        <v>0</v>
      </c>
      <c r="L200" s="610">
        <v>0</v>
      </c>
      <c r="M200" s="650">
        <f t="shared" si="150"/>
        <v>0</v>
      </c>
      <c r="N200" s="610">
        <v>0</v>
      </c>
      <c r="O200" s="610">
        <v>0</v>
      </c>
      <c r="P200" s="650">
        <f t="shared" si="151"/>
        <v>0</v>
      </c>
      <c r="Q200" s="610">
        <v>0</v>
      </c>
      <c r="R200" s="610">
        <v>0</v>
      </c>
      <c r="S200" s="650">
        <f t="shared" si="152"/>
        <v>0</v>
      </c>
      <c r="T200" s="610">
        <v>0</v>
      </c>
      <c r="U200" s="610">
        <v>0</v>
      </c>
      <c r="V200" s="650">
        <f t="shared" si="153"/>
        <v>0</v>
      </c>
      <c r="W200" s="610">
        <v>0</v>
      </c>
      <c r="X200" s="610">
        <v>0</v>
      </c>
      <c r="Y200" s="650">
        <f t="shared" si="154"/>
        <v>0</v>
      </c>
      <c r="Z200" s="610">
        <v>0</v>
      </c>
      <c r="AA200" s="610">
        <v>0</v>
      </c>
      <c r="AB200" s="650">
        <f t="shared" si="155"/>
        <v>0</v>
      </c>
      <c r="AC200" s="610">
        <v>0</v>
      </c>
      <c r="AD200" s="610">
        <v>0</v>
      </c>
      <c r="AE200" s="650">
        <f t="shared" si="156"/>
        <v>0</v>
      </c>
    </row>
    <row r="201" spans="1:31" ht="23.1" hidden="1" customHeight="1" thickBot="1">
      <c r="A201" s="456"/>
      <c r="B201" s="461" t="s">
        <v>187</v>
      </c>
      <c r="C201" s="458">
        <v>100127652</v>
      </c>
      <c r="D201" s="632" t="s">
        <v>217</v>
      </c>
      <c r="E201" s="649">
        <v>0</v>
      </c>
      <c r="F201" s="649">
        <v>0</v>
      </c>
      <c r="G201" s="580">
        <f t="shared" si="148"/>
        <v>0</v>
      </c>
      <c r="H201" s="649">
        <v>0</v>
      </c>
      <c r="I201" s="649">
        <v>0</v>
      </c>
      <c r="J201" s="580">
        <f t="shared" si="149"/>
        <v>0</v>
      </c>
      <c r="K201" s="649">
        <v>0</v>
      </c>
      <c r="L201" s="649">
        <v>0</v>
      </c>
      <c r="M201" s="580">
        <f t="shared" si="150"/>
        <v>0</v>
      </c>
      <c r="N201" s="649">
        <v>0</v>
      </c>
      <c r="O201" s="649">
        <v>0</v>
      </c>
      <c r="P201" s="580">
        <f t="shared" si="151"/>
        <v>0</v>
      </c>
      <c r="Q201" s="649">
        <v>0</v>
      </c>
      <c r="R201" s="649">
        <v>0</v>
      </c>
      <c r="S201" s="580">
        <f t="shared" si="152"/>
        <v>0</v>
      </c>
      <c r="T201" s="649">
        <v>0</v>
      </c>
      <c r="U201" s="649">
        <v>0</v>
      </c>
      <c r="V201" s="580">
        <f t="shared" si="153"/>
        <v>0</v>
      </c>
      <c r="W201" s="649">
        <v>0</v>
      </c>
      <c r="X201" s="649">
        <v>0</v>
      </c>
      <c r="Y201" s="580">
        <f t="shared" si="154"/>
        <v>0</v>
      </c>
      <c r="Z201" s="649">
        <v>0</v>
      </c>
      <c r="AA201" s="649">
        <v>0</v>
      </c>
      <c r="AB201" s="580">
        <f t="shared" si="155"/>
        <v>0</v>
      </c>
      <c r="AC201" s="649">
        <v>0</v>
      </c>
      <c r="AD201" s="649">
        <v>0</v>
      </c>
      <c r="AE201" s="580">
        <f t="shared" si="156"/>
        <v>0</v>
      </c>
    </row>
    <row r="202" spans="1:31" ht="23.1" hidden="1" customHeight="1" thickBot="1">
      <c r="A202" s="456"/>
      <c r="B202" s="461" t="s">
        <v>188</v>
      </c>
      <c r="C202" s="458">
        <v>100127652</v>
      </c>
      <c r="D202" s="632" t="s">
        <v>218</v>
      </c>
      <c r="E202" s="579">
        <v>0</v>
      </c>
      <c r="F202" s="579">
        <v>0</v>
      </c>
      <c r="G202" s="651">
        <f t="shared" si="148"/>
        <v>0</v>
      </c>
      <c r="H202" s="579">
        <v>0</v>
      </c>
      <c r="I202" s="579">
        <v>0</v>
      </c>
      <c r="J202" s="651">
        <f t="shared" si="149"/>
        <v>0</v>
      </c>
      <c r="K202" s="579">
        <v>0</v>
      </c>
      <c r="L202" s="579">
        <v>0</v>
      </c>
      <c r="M202" s="651">
        <f t="shared" si="150"/>
        <v>0</v>
      </c>
      <c r="N202" s="579">
        <v>0</v>
      </c>
      <c r="O202" s="579">
        <v>0</v>
      </c>
      <c r="P202" s="651">
        <f t="shared" si="151"/>
        <v>0</v>
      </c>
      <c r="Q202" s="579">
        <v>0</v>
      </c>
      <c r="R202" s="579">
        <v>0</v>
      </c>
      <c r="S202" s="651">
        <f t="shared" si="152"/>
        <v>0</v>
      </c>
      <c r="T202" s="579">
        <v>0</v>
      </c>
      <c r="U202" s="579">
        <v>0</v>
      </c>
      <c r="V202" s="651">
        <f t="shared" si="153"/>
        <v>0</v>
      </c>
      <c r="W202" s="579">
        <v>0</v>
      </c>
      <c r="X202" s="579">
        <v>0</v>
      </c>
      <c r="Y202" s="651">
        <f t="shared" si="154"/>
        <v>0</v>
      </c>
      <c r="Z202" s="579">
        <v>0</v>
      </c>
      <c r="AA202" s="579">
        <v>0</v>
      </c>
      <c r="AB202" s="651">
        <f t="shared" si="155"/>
        <v>0</v>
      </c>
      <c r="AC202" s="579">
        <v>0</v>
      </c>
      <c r="AD202" s="579">
        <v>0</v>
      </c>
      <c r="AE202" s="651">
        <f t="shared" si="156"/>
        <v>0</v>
      </c>
    </row>
    <row r="203" spans="1:31" ht="23.1" hidden="1" customHeight="1" thickBot="1">
      <c r="A203" s="456"/>
      <c r="B203" s="465" t="s">
        <v>188</v>
      </c>
      <c r="C203" s="458">
        <v>100127652</v>
      </c>
      <c r="D203" s="632" t="s">
        <v>219</v>
      </c>
      <c r="E203" s="653">
        <v>0</v>
      </c>
      <c r="F203" s="653">
        <v>0</v>
      </c>
      <c r="G203" s="580">
        <f t="shared" si="148"/>
        <v>0</v>
      </c>
      <c r="H203" s="653">
        <v>0</v>
      </c>
      <c r="I203" s="653">
        <v>0</v>
      </c>
      <c r="J203" s="580">
        <f t="shared" si="149"/>
        <v>0</v>
      </c>
      <c r="K203" s="653">
        <v>0</v>
      </c>
      <c r="L203" s="653">
        <v>0</v>
      </c>
      <c r="M203" s="580">
        <f t="shared" si="150"/>
        <v>0</v>
      </c>
      <c r="N203" s="653">
        <v>0</v>
      </c>
      <c r="O203" s="653">
        <v>0</v>
      </c>
      <c r="P203" s="580">
        <f t="shared" si="151"/>
        <v>0</v>
      </c>
      <c r="Q203" s="653">
        <v>0</v>
      </c>
      <c r="R203" s="653">
        <v>0</v>
      </c>
      <c r="S203" s="580">
        <f t="shared" si="152"/>
        <v>0</v>
      </c>
      <c r="T203" s="653">
        <v>0</v>
      </c>
      <c r="U203" s="653">
        <v>0</v>
      </c>
      <c r="V203" s="580">
        <f t="shared" si="153"/>
        <v>0</v>
      </c>
      <c r="W203" s="653">
        <v>0</v>
      </c>
      <c r="X203" s="653">
        <v>0</v>
      </c>
      <c r="Y203" s="580">
        <f t="shared" si="154"/>
        <v>0</v>
      </c>
      <c r="Z203" s="653">
        <v>0</v>
      </c>
      <c r="AA203" s="653">
        <v>0</v>
      </c>
      <c r="AB203" s="580">
        <f t="shared" si="155"/>
        <v>0</v>
      </c>
      <c r="AC203" s="653">
        <v>0</v>
      </c>
      <c r="AD203" s="653">
        <v>0</v>
      </c>
      <c r="AE203" s="580">
        <f t="shared" si="156"/>
        <v>0</v>
      </c>
    </row>
    <row r="204" spans="1:31" s="434" customFormat="1" ht="20.100000000000001" customHeight="1" thickBot="1">
      <c r="A204" s="466"/>
      <c r="B204" s="467"/>
      <c r="C204" s="468"/>
      <c r="D204" s="624" t="s">
        <v>423</v>
      </c>
      <c r="E204" s="634">
        <f t="shared" ref="E204" si="172">SUM(E145:E203)</f>
        <v>200.89500000000004</v>
      </c>
      <c r="F204" s="634">
        <f t="shared" ref="F204:H204" si="173">SUM(F145:F203)</f>
        <v>200.89500000000004</v>
      </c>
      <c r="G204" s="635">
        <f t="shared" si="173"/>
        <v>0</v>
      </c>
      <c r="H204" s="634">
        <f t="shared" si="173"/>
        <v>210.37899999999999</v>
      </c>
      <c r="I204" s="634">
        <f t="shared" ref="I204:K204" si="174">SUM(I145:I203)</f>
        <v>210.37899999999999</v>
      </c>
      <c r="J204" s="635">
        <f t="shared" si="174"/>
        <v>0</v>
      </c>
      <c r="K204" s="634">
        <f t="shared" si="174"/>
        <v>275.08</v>
      </c>
      <c r="L204" s="634">
        <f t="shared" ref="L204:N204" si="175">SUM(L145:L203)</f>
        <v>275.08</v>
      </c>
      <c r="M204" s="635">
        <f t="shared" si="175"/>
        <v>0</v>
      </c>
      <c r="N204" s="634">
        <f t="shared" si="175"/>
        <v>321.79899999999998</v>
      </c>
      <c r="O204" s="634">
        <f t="shared" ref="O204:Q204" si="176">SUM(O145:O203)</f>
        <v>328.03299999999996</v>
      </c>
      <c r="P204" s="635">
        <f t="shared" si="176"/>
        <v>6.2339999999999876</v>
      </c>
      <c r="Q204" s="634">
        <f t="shared" si="176"/>
        <v>300</v>
      </c>
      <c r="R204" s="634">
        <f t="shared" ref="R204:T204" si="177">SUM(R145:R203)</f>
        <v>300</v>
      </c>
      <c r="S204" s="635">
        <f t="shared" si="177"/>
        <v>0</v>
      </c>
      <c r="T204" s="634">
        <f t="shared" si="177"/>
        <v>405</v>
      </c>
      <c r="U204" s="634">
        <f t="shared" ref="U204:W204" si="178">SUM(U145:U203)</f>
        <v>405</v>
      </c>
      <c r="V204" s="635">
        <f t="shared" si="178"/>
        <v>0</v>
      </c>
      <c r="W204" s="634">
        <f t="shared" si="178"/>
        <v>530</v>
      </c>
      <c r="X204" s="634">
        <f t="shared" ref="X204:Z204" si="179">SUM(X145:X203)</f>
        <v>530</v>
      </c>
      <c r="Y204" s="635">
        <f t="shared" si="179"/>
        <v>0</v>
      </c>
      <c r="Z204" s="634">
        <f t="shared" si="179"/>
        <v>475</v>
      </c>
      <c r="AA204" s="634">
        <f t="shared" ref="AA204:AC204" si="180">SUM(AA145:AA203)</f>
        <v>475</v>
      </c>
      <c r="AB204" s="635">
        <f t="shared" si="180"/>
        <v>0</v>
      </c>
      <c r="AC204" s="634">
        <f t="shared" si="180"/>
        <v>480</v>
      </c>
      <c r="AD204" s="634">
        <f t="shared" ref="AD204:AE204" si="181">SUM(AD145:AD203)</f>
        <v>480</v>
      </c>
      <c r="AE204" s="635">
        <f t="shared" si="181"/>
        <v>0</v>
      </c>
    </row>
    <row r="205" spans="1:31" ht="20.100000000000001" customHeight="1" thickBot="1">
      <c r="A205" s="469"/>
      <c r="B205" s="470"/>
      <c r="C205" s="471"/>
      <c r="D205" s="519" t="s">
        <v>43</v>
      </c>
      <c r="E205" s="634">
        <f t="shared" ref="E205:V205" si="182">E42+E109+E129+E141+E204+E144</f>
        <v>6625.6610000000001</v>
      </c>
      <c r="F205" s="634">
        <f t="shared" si="182"/>
        <v>6625.6610000000001</v>
      </c>
      <c r="G205" s="635">
        <f t="shared" si="182"/>
        <v>0</v>
      </c>
      <c r="H205" s="634">
        <f t="shared" si="182"/>
        <v>5432.9589999999998</v>
      </c>
      <c r="I205" s="634">
        <f t="shared" si="182"/>
        <v>5432.9589999999998</v>
      </c>
      <c r="J205" s="635">
        <f t="shared" si="182"/>
        <v>0</v>
      </c>
      <c r="K205" s="634">
        <f t="shared" si="182"/>
        <v>5643.1850000000004</v>
      </c>
      <c r="L205" s="634">
        <f t="shared" si="182"/>
        <v>5643.1850000000004</v>
      </c>
      <c r="M205" s="635">
        <f t="shared" si="182"/>
        <v>0</v>
      </c>
      <c r="N205" s="634">
        <f t="shared" si="182"/>
        <v>4489.7290000000003</v>
      </c>
      <c r="O205" s="634">
        <f t="shared" si="182"/>
        <v>4534.2379999999994</v>
      </c>
      <c r="P205" s="635">
        <f t="shared" si="182"/>
        <v>44.508999999999467</v>
      </c>
      <c r="Q205" s="634">
        <f t="shared" si="182"/>
        <v>4609.2049999999999</v>
      </c>
      <c r="R205" s="634">
        <f t="shared" si="182"/>
        <v>4028.3650000000007</v>
      </c>
      <c r="S205" s="635">
        <f t="shared" si="182"/>
        <v>-580.84000000000037</v>
      </c>
      <c r="T205" s="634">
        <f t="shared" si="182"/>
        <v>4856.0640000000003</v>
      </c>
      <c r="U205" s="634">
        <f t="shared" si="182"/>
        <v>4144.5840000000007</v>
      </c>
      <c r="V205" s="635">
        <f t="shared" si="182"/>
        <v>-711.48000000000025</v>
      </c>
      <c r="W205" s="634">
        <f t="shared" ref="W205" si="183">W42+W109+W129+W141+W204+W144</f>
        <v>5813.74</v>
      </c>
      <c r="X205" s="634">
        <f t="shared" ref="X205" si="184">X42+X109+X129+X141+X204+X144</f>
        <v>5536.5860000000002</v>
      </c>
      <c r="Y205" s="635">
        <f t="shared" ref="Y205" si="185">Y42+Y109+Y129+Y141+Y204+Y144</f>
        <v>-277.154</v>
      </c>
      <c r="Z205" s="634">
        <f t="shared" ref="Z205" si="186">Z42+Z109+Z129+Z141+Z204+Z144</f>
        <v>5663.6419999999998</v>
      </c>
      <c r="AA205" s="634">
        <f t="shared" ref="AA205" si="187">AA42+AA109+AA129+AA141+AA204+AA144</f>
        <v>5652.7960000000003</v>
      </c>
      <c r="AB205" s="635">
        <f t="shared" ref="AB205" si="188">AB42+AB109+AB129+AB141+AB204+AB144</f>
        <v>-10.846000000000004</v>
      </c>
      <c r="AC205" s="634">
        <f t="shared" ref="AC205" si="189">AC42+AC109+AC129+AC141+AC204+AC144</f>
        <v>5135.42</v>
      </c>
      <c r="AD205" s="634">
        <f t="shared" ref="AD205" si="190">AD42+AD109+AD129+AD141+AD204+AD144</f>
        <v>5125.92</v>
      </c>
      <c r="AE205" s="635">
        <f t="shared" ref="AE205" si="191">AE42+AE109+AE129+AE141+AE204+AE144</f>
        <v>-9.5</v>
      </c>
    </row>
    <row r="206" spans="1:31" s="472" customFormat="1" ht="13.5" hidden="1" customHeight="1">
      <c r="B206" s="473"/>
      <c r="C206" s="473"/>
    </row>
    <row r="207" spans="1:31" s="472" customFormat="1" hidden="1">
      <c r="B207" s="473"/>
      <c r="C207" s="473"/>
    </row>
    <row r="208" spans="1:31" ht="20.100000000000001" hidden="1" customHeight="1" thickBot="1">
      <c r="B208" s="434"/>
      <c r="C208" s="434"/>
      <c r="D208" s="654" t="s">
        <v>221</v>
      </c>
      <c r="E208" s="655">
        <f t="shared" ref="E208:V208" si="192">E141+E117+E109+E51+E42+E144</f>
        <v>6424.7659999999996</v>
      </c>
      <c r="F208" s="655">
        <f t="shared" si="192"/>
        <v>6424.7659999999996</v>
      </c>
      <c r="G208" s="655">
        <f t="shared" si="192"/>
        <v>0</v>
      </c>
      <c r="H208" s="655">
        <f t="shared" si="192"/>
        <v>5222.58</v>
      </c>
      <c r="I208" s="655">
        <f t="shared" si="192"/>
        <v>5222.58</v>
      </c>
      <c r="J208" s="655">
        <f t="shared" si="192"/>
        <v>0</v>
      </c>
      <c r="K208" s="655">
        <f t="shared" si="192"/>
        <v>5368.1050000000005</v>
      </c>
      <c r="L208" s="655">
        <f t="shared" si="192"/>
        <v>5368.1050000000005</v>
      </c>
      <c r="M208" s="655">
        <f t="shared" si="192"/>
        <v>0</v>
      </c>
      <c r="N208" s="655">
        <f t="shared" si="192"/>
        <v>4167.93</v>
      </c>
      <c r="O208" s="655">
        <f t="shared" si="192"/>
        <v>4206.2049999999999</v>
      </c>
      <c r="P208" s="655">
        <f t="shared" si="192"/>
        <v>38.27499999999948</v>
      </c>
      <c r="Q208" s="655">
        <f t="shared" si="192"/>
        <v>4309.2050000000008</v>
      </c>
      <c r="R208" s="655">
        <f t="shared" si="192"/>
        <v>3728.3650000000002</v>
      </c>
      <c r="S208" s="655">
        <f t="shared" si="192"/>
        <v>-580.84000000000037</v>
      </c>
      <c r="T208" s="655">
        <f t="shared" si="192"/>
        <v>4451.0640000000003</v>
      </c>
      <c r="U208" s="655">
        <f t="shared" si="192"/>
        <v>3739.5839999999998</v>
      </c>
      <c r="V208" s="655">
        <f t="shared" si="192"/>
        <v>-711.48000000000025</v>
      </c>
      <c r="W208" s="655">
        <f t="shared" ref="W208:Y208" si="193">W141+W117+W109+W51+W42+W144</f>
        <v>5283.74</v>
      </c>
      <c r="X208" s="655">
        <f t="shared" si="193"/>
        <v>5006.5859999999993</v>
      </c>
      <c r="Y208" s="655">
        <f t="shared" si="193"/>
        <v>-277.154</v>
      </c>
      <c r="Z208" s="655">
        <f t="shared" ref="Z208:AB208" si="194">Z141+Z117+Z109+Z51+Z42+Z144</f>
        <v>5188.6419999999998</v>
      </c>
      <c r="AA208" s="655">
        <f t="shared" si="194"/>
        <v>5177.7960000000003</v>
      </c>
      <c r="AB208" s="655">
        <f t="shared" si="194"/>
        <v>-10.846000000000004</v>
      </c>
      <c r="AC208" s="655">
        <f t="shared" ref="AC208:AE208" si="195">AC141+AC117+AC109+AC51+AC42+AC144</f>
        <v>4655.42</v>
      </c>
      <c r="AD208" s="655">
        <f t="shared" si="195"/>
        <v>4645.92</v>
      </c>
      <c r="AE208" s="655">
        <f t="shared" si="195"/>
        <v>-9.5</v>
      </c>
    </row>
    <row r="209" spans="2:31" ht="20.100000000000001" hidden="1" customHeight="1">
      <c r="B209" s="434"/>
      <c r="C209" s="434"/>
      <c r="D209" s="431" t="s">
        <v>122</v>
      </c>
      <c r="E209" s="656">
        <f>E42+E51</f>
        <v>2573.4299999999998</v>
      </c>
      <c r="F209" s="656">
        <f>F42+F51</f>
        <v>2573.4299999999998</v>
      </c>
      <c r="H209" s="656">
        <f>H42+H51</f>
        <v>2399.623</v>
      </c>
      <c r="I209" s="656">
        <f>I42+I51</f>
        <v>2399.623</v>
      </c>
      <c r="K209" s="656">
        <f>K42+K51</f>
        <v>2431.0380000000005</v>
      </c>
      <c r="L209" s="656">
        <f>L42+L51</f>
        <v>2431.0380000000005</v>
      </c>
      <c r="N209" s="656">
        <f>N42+N51</f>
        <v>1691</v>
      </c>
      <c r="O209" s="656">
        <f>O42+O51</f>
        <v>1717.5729999999999</v>
      </c>
      <c r="Q209" s="656">
        <f>Q42+Q51</f>
        <v>1780.5</v>
      </c>
      <c r="R209" s="656">
        <f>R42+R51</f>
        <v>1315.5</v>
      </c>
      <c r="T209" s="656">
        <f>T42+T51</f>
        <v>1760</v>
      </c>
      <c r="U209" s="656">
        <f>U42+U51</f>
        <v>1200</v>
      </c>
      <c r="W209" s="656">
        <f>W42+W51</f>
        <v>2195</v>
      </c>
      <c r="X209" s="656">
        <f>X42+X51</f>
        <v>1915</v>
      </c>
      <c r="Z209" s="656">
        <f>Z42+Z51</f>
        <v>2364</v>
      </c>
      <c r="AA209" s="656">
        <f>AA42+AA51</f>
        <v>2322</v>
      </c>
      <c r="AC209" s="656">
        <f>AC42+AC51</f>
        <v>2116</v>
      </c>
      <c r="AD209" s="656">
        <f>AD42+AD51</f>
        <v>2071</v>
      </c>
    </row>
    <row r="210" spans="2:31" ht="20.100000000000001" hidden="1" customHeight="1">
      <c r="B210" s="434"/>
      <c r="C210" s="434"/>
      <c r="D210" s="431" t="s">
        <v>110</v>
      </c>
      <c r="E210" s="656">
        <f>E42+E51+E109+E117+E141+E204</f>
        <v>6590.4639999999999</v>
      </c>
      <c r="F210" s="656">
        <f>F42+F51+F109+F117+F141+F204</f>
        <v>6590.4639999999999</v>
      </c>
      <c r="G210" s="656"/>
      <c r="H210" s="656">
        <f>H42+H51+H109+H117+H141+H204</f>
        <v>5424.8919999999998</v>
      </c>
      <c r="I210" s="656">
        <f>I42+I51+I109+I117+I141+I204</f>
        <v>5424.8919999999998</v>
      </c>
      <c r="J210" s="656"/>
      <c r="K210" s="656">
        <f>K42+K51+K109+K117+K141+K204</f>
        <v>5643.1850000000004</v>
      </c>
      <c r="L210" s="656">
        <f>L42+L51+L109+L117+L141+L204</f>
        <v>5643.1850000000004</v>
      </c>
      <c r="M210" s="656"/>
      <c r="N210" s="656">
        <f>N42+N51+N109+N117+N141+N204</f>
        <v>4489.7290000000003</v>
      </c>
      <c r="O210" s="656">
        <f>O42+O51+O109+O117+O141+O204</f>
        <v>4534.2379999999994</v>
      </c>
      <c r="P210" s="656"/>
      <c r="Q210" s="656">
        <f>Q42+Q51+Q109+Q117+Q141+Q204</f>
        <v>4609.2049999999999</v>
      </c>
      <c r="R210" s="656">
        <f>R42+R51+R109+R117+R141+R204</f>
        <v>4028.3650000000007</v>
      </c>
      <c r="S210" s="656"/>
      <c r="T210" s="656">
        <f>T42+T51+T109+T117+T141+T204</f>
        <v>4856.0640000000003</v>
      </c>
      <c r="U210" s="656">
        <f>U42+U51+U109+U117+U141+U204</f>
        <v>4144.5840000000007</v>
      </c>
      <c r="V210" s="656"/>
      <c r="W210" s="656">
        <f>W42+W51+W109+W117+W141+W204</f>
        <v>5813.74</v>
      </c>
      <c r="X210" s="656">
        <f>X42+X51+X109+X117+X141+X204</f>
        <v>5536.5860000000002</v>
      </c>
      <c r="Y210" s="656"/>
      <c r="Z210" s="656">
        <f>Z42+Z51+Z109+Z117+Z141+Z204</f>
        <v>5663.6419999999998</v>
      </c>
      <c r="AA210" s="656">
        <f>AA42+AA51+AA109+AA117+AA141+AA204</f>
        <v>5652.7960000000003</v>
      </c>
      <c r="AB210" s="656"/>
      <c r="AC210" s="656">
        <f>AC42+AC51+AC109+AC117+AC141+AC204</f>
        <v>5135.42</v>
      </c>
      <c r="AD210" s="656">
        <f>AD42+AD51+AD109+AD117+AD141+AD204</f>
        <v>5125.92</v>
      </c>
      <c r="AE210" s="656"/>
    </row>
    <row r="211" spans="2:31" ht="20.100000000000001" hidden="1" customHeight="1">
      <c r="B211" s="434"/>
      <c r="C211" s="434"/>
    </row>
    <row r="212" spans="2:31" ht="20.100000000000001" hidden="1" customHeight="1">
      <c r="B212" s="434"/>
      <c r="C212" s="434"/>
    </row>
    <row r="213" spans="2:31" ht="20.100000000000001" hidden="1" customHeight="1">
      <c r="B213" s="434"/>
      <c r="C213" s="434"/>
      <c r="D213" s="431" t="s">
        <v>170</v>
      </c>
      <c r="E213" s="656">
        <f>E42+E51+E109+E117+E141</f>
        <v>6389.5689999999995</v>
      </c>
      <c r="F213" s="656">
        <f>F42+F51+F109+F117+F141</f>
        <v>6389.5689999999995</v>
      </c>
      <c r="H213" s="656">
        <f>H42+H51+H109+H117+H141</f>
        <v>5214.5129999999999</v>
      </c>
      <c r="I213" s="656">
        <f>I42+I51+I109+I117+I141</f>
        <v>5214.5129999999999</v>
      </c>
      <c r="K213" s="656">
        <f>K42+K51+K109+K117+K141</f>
        <v>5368.1050000000005</v>
      </c>
      <c r="L213" s="656">
        <f>L42+L51+L109+L117+L141</f>
        <v>5368.1050000000005</v>
      </c>
      <c r="N213" s="656">
        <f>N42+N51+N109+N117+N141</f>
        <v>4167.93</v>
      </c>
      <c r="O213" s="656">
        <f>O42+O51+O109+O117+O141</f>
        <v>4206.204999999999</v>
      </c>
      <c r="Q213" s="656">
        <f>Q42+Q51+Q109+Q117+Q141</f>
        <v>4309.2049999999999</v>
      </c>
      <c r="R213" s="656">
        <f>R42+R51+R109+R117+R141</f>
        <v>3728.3650000000007</v>
      </c>
      <c r="T213" s="656">
        <f>T42+T51+T109+T117+T141</f>
        <v>4451.0640000000003</v>
      </c>
      <c r="U213" s="656">
        <f>U42+U51+U109+U117+U141</f>
        <v>3739.5840000000003</v>
      </c>
      <c r="W213" s="656">
        <f>W42+W51+W109+W117+W141</f>
        <v>5283.74</v>
      </c>
      <c r="X213" s="656">
        <f>X42+X51+X109+X117+X141</f>
        <v>5006.5860000000002</v>
      </c>
      <c r="Z213" s="656">
        <f>Z42+Z51+Z109+Z117+Z141</f>
        <v>5188.6419999999998</v>
      </c>
      <c r="AA213" s="656">
        <f>AA42+AA51+AA109+AA117+AA141</f>
        <v>5177.7960000000003</v>
      </c>
      <c r="AC213" s="656">
        <f>AC42+AC51+AC109+AC117+AC141</f>
        <v>4655.42</v>
      </c>
      <c r="AD213" s="656">
        <f>AD42+AD51+AD109+AD117+AD141</f>
        <v>4645.92</v>
      </c>
    </row>
    <row r="214" spans="2:31" ht="19.5" customHeight="1">
      <c r="B214" s="434"/>
      <c r="C214" s="434"/>
    </row>
    <row r="215" spans="2:31" ht="20.100000000000001" customHeight="1">
      <c r="B215" s="434"/>
      <c r="C215" s="434"/>
    </row>
    <row r="216" spans="2:31" ht="20.100000000000001" customHeight="1">
      <c r="B216" s="434"/>
      <c r="C216" s="434"/>
    </row>
    <row r="217" spans="2:31" ht="20.100000000000001" customHeight="1">
      <c r="B217" s="434"/>
      <c r="C217" s="434"/>
    </row>
    <row r="218" spans="2:31" ht="20.100000000000001" customHeight="1">
      <c r="B218" s="434"/>
      <c r="C218" s="434"/>
    </row>
    <row r="219" spans="2:31" ht="20.100000000000001" customHeight="1">
      <c r="B219" s="434"/>
      <c r="C219" s="434"/>
    </row>
    <row r="220" spans="2:31" ht="20.100000000000001" customHeight="1">
      <c r="B220" s="434"/>
      <c r="C220" s="434"/>
    </row>
    <row r="221" spans="2:31" ht="20.100000000000001" customHeight="1">
      <c r="B221" s="434"/>
      <c r="C221" s="434"/>
    </row>
    <row r="222" spans="2:31" ht="20.100000000000001" customHeight="1">
      <c r="B222" s="434"/>
      <c r="C222" s="434"/>
    </row>
    <row r="223" spans="2:31" ht="20.100000000000001" customHeight="1">
      <c r="B223" s="434"/>
      <c r="C223" s="434"/>
    </row>
    <row r="224" spans="2:31" ht="20.100000000000001" customHeight="1">
      <c r="B224" s="434"/>
      <c r="C224" s="434"/>
    </row>
    <row r="225" spans="2:3" ht="20.100000000000001" customHeight="1">
      <c r="B225" s="434"/>
      <c r="C225" s="434"/>
    </row>
    <row r="226" spans="2:3" ht="20.100000000000001" customHeight="1">
      <c r="B226" s="434"/>
      <c r="C226" s="434"/>
    </row>
    <row r="227" spans="2:3" ht="20.100000000000001" customHeight="1">
      <c r="B227" s="434"/>
      <c r="C227" s="434"/>
    </row>
    <row r="228" spans="2:3" ht="20.100000000000001" customHeight="1">
      <c r="B228" s="434"/>
      <c r="C228" s="434"/>
    </row>
    <row r="229" spans="2:3" ht="20.100000000000001" customHeight="1">
      <c r="B229" s="434"/>
      <c r="C229" s="434"/>
    </row>
    <row r="230" spans="2:3" ht="20.100000000000001" customHeight="1">
      <c r="B230" s="434"/>
      <c r="C230" s="434"/>
    </row>
    <row r="231" spans="2:3" ht="20.100000000000001" customHeight="1">
      <c r="B231" s="434"/>
      <c r="C231" s="434"/>
    </row>
    <row r="232" spans="2:3" ht="20.100000000000001" customHeight="1">
      <c r="B232" s="434"/>
      <c r="C232" s="434"/>
    </row>
    <row r="233" spans="2:3" ht="20.100000000000001" customHeight="1">
      <c r="B233" s="434"/>
      <c r="C233" s="434"/>
    </row>
    <row r="234" spans="2:3" ht="20.100000000000001" customHeight="1">
      <c r="B234" s="434"/>
      <c r="C234" s="434"/>
    </row>
    <row r="235" spans="2:3" ht="20.100000000000001" customHeight="1">
      <c r="B235" s="434"/>
      <c r="C235" s="434"/>
    </row>
    <row r="236" spans="2:3" ht="20.100000000000001" customHeight="1">
      <c r="B236" s="434"/>
      <c r="C236" s="434"/>
    </row>
    <row r="237" spans="2:3" ht="20.100000000000001" customHeight="1">
      <c r="B237" s="434"/>
      <c r="C237" s="434"/>
    </row>
    <row r="238" spans="2:3" ht="20.100000000000001" customHeight="1">
      <c r="B238" s="434"/>
      <c r="C238" s="434"/>
    </row>
    <row r="239" spans="2:3" ht="20.100000000000001" customHeight="1">
      <c r="B239" s="434"/>
      <c r="C239" s="434"/>
    </row>
    <row r="240" spans="2:3" ht="20.100000000000001" customHeight="1">
      <c r="B240" s="434"/>
      <c r="C240" s="434"/>
    </row>
    <row r="241" spans="2:3" ht="20.100000000000001" customHeight="1">
      <c r="B241" s="434"/>
      <c r="C241" s="434"/>
    </row>
    <row r="242" spans="2:3" ht="20.100000000000001" customHeight="1">
      <c r="B242" s="434"/>
      <c r="C242" s="434"/>
    </row>
    <row r="243" spans="2:3" ht="20.100000000000001" customHeight="1">
      <c r="B243" s="434"/>
      <c r="C243" s="434"/>
    </row>
    <row r="244" spans="2:3" ht="20.100000000000001" customHeight="1">
      <c r="B244" s="434"/>
      <c r="C244" s="434"/>
    </row>
    <row r="245" spans="2:3" ht="20.100000000000001" customHeight="1">
      <c r="B245" s="434"/>
      <c r="C245" s="434"/>
    </row>
    <row r="246" spans="2:3" ht="20.100000000000001" customHeight="1">
      <c r="B246" s="434"/>
      <c r="C246" s="434"/>
    </row>
    <row r="247" spans="2:3" ht="20.100000000000001" customHeight="1">
      <c r="B247" s="434"/>
      <c r="C247" s="434"/>
    </row>
    <row r="248" spans="2:3" ht="20.100000000000001" customHeight="1">
      <c r="B248" s="434"/>
      <c r="C248" s="434"/>
    </row>
    <row r="249" spans="2:3" ht="20.100000000000001" customHeight="1">
      <c r="B249" s="434"/>
      <c r="C249" s="434"/>
    </row>
    <row r="250" spans="2:3" ht="20.100000000000001" customHeight="1">
      <c r="B250" s="434"/>
      <c r="C250" s="434"/>
    </row>
    <row r="251" spans="2:3" ht="20.100000000000001" customHeight="1">
      <c r="B251" s="434"/>
      <c r="C251" s="434"/>
    </row>
    <row r="252" spans="2:3" ht="20.100000000000001" customHeight="1">
      <c r="B252" s="434"/>
      <c r="C252" s="434"/>
    </row>
    <row r="253" spans="2:3" ht="20.100000000000001" customHeight="1">
      <c r="B253" s="434"/>
      <c r="C253" s="434"/>
    </row>
    <row r="254" spans="2:3" ht="20.100000000000001" customHeight="1">
      <c r="B254" s="434"/>
      <c r="C254" s="434"/>
    </row>
    <row r="255" spans="2:3" ht="20.100000000000001" customHeight="1">
      <c r="B255" s="434"/>
      <c r="C255" s="434"/>
    </row>
    <row r="256" spans="2:3" ht="20.100000000000001" customHeight="1">
      <c r="B256" s="434"/>
      <c r="C256" s="434"/>
    </row>
    <row r="257" spans="2:3" ht="20.100000000000001" customHeight="1">
      <c r="B257" s="434"/>
      <c r="C257" s="434"/>
    </row>
    <row r="258" spans="2:3" ht="20.100000000000001" customHeight="1">
      <c r="B258" s="434"/>
      <c r="C258" s="434"/>
    </row>
    <row r="259" spans="2:3" ht="20.100000000000001" customHeight="1">
      <c r="B259" s="434"/>
      <c r="C259" s="434"/>
    </row>
    <row r="260" spans="2:3" ht="20.100000000000001" customHeight="1">
      <c r="B260" s="434"/>
      <c r="C260" s="434"/>
    </row>
    <row r="261" spans="2:3" ht="20.100000000000001" customHeight="1">
      <c r="B261" s="434"/>
      <c r="C261" s="434"/>
    </row>
    <row r="262" spans="2:3" ht="20.100000000000001" customHeight="1">
      <c r="B262" s="434"/>
      <c r="C262" s="434"/>
    </row>
    <row r="263" spans="2:3" ht="20.100000000000001" customHeight="1">
      <c r="B263" s="434"/>
      <c r="C263" s="434"/>
    </row>
    <row r="264" spans="2:3" ht="20.100000000000001" customHeight="1">
      <c r="B264" s="434"/>
      <c r="C264" s="434"/>
    </row>
    <row r="265" spans="2:3" ht="20.100000000000001" customHeight="1">
      <c r="B265" s="434"/>
      <c r="C265" s="434"/>
    </row>
    <row r="266" spans="2:3" ht="20.100000000000001" customHeight="1">
      <c r="B266" s="434"/>
      <c r="C266" s="434"/>
    </row>
    <row r="267" spans="2:3" ht="20.100000000000001" customHeight="1">
      <c r="B267" s="434"/>
      <c r="C267" s="434"/>
    </row>
    <row r="268" spans="2:3" ht="20.100000000000001" customHeight="1">
      <c r="B268" s="434"/>
      <c r="C268" s="434"/>
    </row>
    <row r="269" spans="2:3" ht="20.100000000000001" customHeight="1">
      <c r="B269" s="434"/>
      <c r="C269" s="434"/>
    </row>
    <row r="270" spans="2:3" ht="20.100000000000001" customHeight="1">
      <c r="B270" s="434"/>
      <c r="C270" s="434"/>
    </row>
    <row r="271" spans="2:3" ht="20.100000000000001" customHeight="1">
      <c r="B271" s="434"/>
      <c r="C271" s="434"/>
    </row>
    <row r="272" spans="2:3" ht="20.100000000000001" customHeight="1">
      <c r="B272" s="434"/>
      <c r="C272" s="434"/>
    </row>
    <row r="273" spans="2:3" ht="20.100000000000001" customHeight="1">
      <c r="B273" s="434"/>
      <c r="C273" s="434"/>
    </row>
    <row r="274" spans="2:3" ht="20.100000000000001" customHeight="1">
      <c r="B274" s="434"/>
      <c r="C274" s="434"/>
    </row>
    <row r="275" spans="2:3" ht="20.100000000000001" customHeight="1">
      <c r="B275" s="434"/>
      <c r="C275" s="434"/>
    </row>
    <row r="276" spans="2:3" ht="20.100000000000001" customHeight="1">
      <c r="B276" s="434"/>
      <c r="C276" s="434"/>
    </row>
    <row r="277" spans="2:3" ht="20.100000000000001" customHeight="1">
      <c r="B277" s="434"/>
      <c r="C277" s="434"/>
    </row>
    <row r="278" spans="2:3" ht="20.100000000000001" customHeight="1">
      <c r="B278" s="434"/>
      <c r="C278" s="434"/>
    </row>
    <row r="279" spans="2:3" ht="20.100000000000001" customHeight="1">
      <c r="B279" s="434"/>
      <c r="C279" s="434"/>
    </row>
    <row r="280" spans="2:3" ht="20.100000000000001" customHeight="1">
      <c r="B280" s="434"/>
      <c r="C280" s="434"/>
    </row>
    <row r="281" spans="2:3" ht="20.100000000000001" customHeight="1">
      <c r="B281" s="434"/>
      <c r="C281" s="434"/>
    </row>
    <row r="282" spans="2:3" ht="20.100000000000001" customHeight="1">
      <c r="B282" s="434"/>
      <c r="C282" s="434"/>
    </row>
    <row r="283" spans="2:3" ht="20.100000000000001" customHeight="1">
      <c r="B283" s="434"/>
      <c r="C283" s="434"/>
    </row>
    <row r="284" spans="2:3" ht="20.100000000000001" customHeight="1">
      <c r="B284" s="434"/>
      <c r="C284" s="434"/>
    </row>
    <row r="285" spans="2:3" ht="20.100000000000001" customHeight="1">
      <c r="B285" s="434"/>
      <c r="C285" s="434"/>
    </row>
    <row r="286" spans="2:3" ht="20.100000000000001" customHeight="1">
      <c r="B286" s="434"/>
      <c r="C286" s="434"/>
    </row>
    <row r="287" spans="2:3" ht="20.100000000000001" customHeight="1">
      <c r="B287" s="434"/>
      <c r="C287" s="434"/>
    </row>
    <row r="288" spans="2:3" ht="20.100000000000001" customHeight="1">
      <c r="B288" s="434"/>
      <c r="C288" s="434"/>
    </row>
    <row r="289" spans="2:3" ht="20.100000000000001" customHeight="1">
      <c r="B289" s="434"/>
      <c r="C289" s="434"/>
    </row>
    <row r="290" spans="2:3" ht="20.100000000000001" customHeight="1">
      <c r="B290" s="434"/>
      <c r="C290" s="434"/>
    </row>
    <row r="291" spans="2:3" ht="20.100000000000001" customHeight="1">
      <c r="B291" s="434"/>
      <c r="C291" s="434"/>
    </row>
    <row r="292" spans="2:3" ht="20.100000000000001" customHeight="1">
      <c r="B292" s="434"/>
      <c r="C292" s="434"/>
    </row>
    <row r="293" spans="2:3" ht="20.100000000000001" customHeight="1">
      <c r="B293" s="434"/>
      <c r="C293" s="434"/>
    </row>
    <row r="294" spans="2:3" ht="20.100000000000001" customHeight="1">
      <c r="B294" s="434"/>
      <c r="C294" s="434"/>
    </row>
    <row r="295" spans="2:3" ht="20.100000000000001" customHeight="1">
      <c r="B295" s="434"/>
      <c r="C295" s="434"/>
    </row>
    <row r="296" spans="2:3" ht="20.100000000000001" customHeight="1">
      <c r="B296" s="434"/>
      <c r="C296" s="434"/>
    </row>
    <row r="297" spans="2:3" ht="20.100000000000001" customHeight="1">
      <c r="B297" s="434"/>
      <c r="C297" s="434"/>
    </row>
    <row r="298" spans="2:3" ht="20.100000000000001" customHeight="1">
      <c r="B298" s="434"/>
      <c r="C298" s="434"/>
    </row>
    <row r="299" spans="2:3" ht="20.100000000000001" customHeight="1">
      <c r="B299" s="434"/>
      <c r="C299" s="434"/>
    </row>
    <row r="300" spans="2:3" ht="20.100000000000001" customHeight="1">
      <c r="B300" s="434"/>
      <c r="C300" s="434"/>
    </row>
    <row r="301" spans="2:3" ht="20.100000000000001" customHeight="1">
      <c r="B301" s="434"/>
      <c r="C301" s="434"/>
    </row>
    <row r="302" spans="2:3" ht="20.100000000000001" customHeight="1">
      <c r="B302" s="434"/>
      <c r="C302" s="434"/>
    </row>
    <row r="303" spans="2:3" ht="20.100000000000001" customHeight="1">
      <c r="B303" s="434"/>
      <c r="C303" s="434"/>
    </row>
    <row r="304" spans="2:3" ht="20.100000000000001" customHeight="1">
      <c r="B304" s="434"/>
      <c r="C304" s="434"/>
    </row>
    <row r="305" spans="2:3" ht="20.100000000000001" customHeight="1">
      <c r="B305" s="434"/>
      <c r="C305" s="434"/>
    </row>
    <row r="306" spans="2:3" ht="20.100000000000001" customHeight="1">
      <c r="B306" s="434"/>
      <c r="C306" s="434"/>
    </row>
    <row r="307" spans="2:3" ht="20.100000000000001" customHeight="1">
      <c r="B307" s="434"/>
      <c r="C307" s="434"/>
    </row>
    <row r="308" spans="2:3" ht="20.100000000000001" customHeight="1">
      <c r="B308" s="434"/>
      <c r="C308" s="434"/>
    </row>
    <row r="309" spans="2:3" ht="20.100000000000001" customHeight="1">
      <c r="B309" s="434"/>
      <c r="C309" s="434"/>
    </row>
    <row r="310" spans="2:3" ht="20.100000000000001" customHeight="1">
      <c r="B310" s="434"/>
      <c r="C310" s="434"/>
    </row>
    <row r="311" spans="2:3" ht="20.100000000000001" customHeight="1">
      <c r="B311" s="434"/>
      <c r="C311" s="434"/>
    </row>
    <row r="312" spans="2:3" ht="20.100000000000001" customHeight="1">
      <c r="B312" s="434"/>
      <c r="C312" s="434"/>
    </row>
    <row r="313" spans="2:3" ht="20.100000000000001" customHeight="1">
      <c r="B313" s="434"/>
      <c r="C313" s="434"/>
    </row>
    <row r="314" spans="2:3" ht="20.100000000000001" customHeight="1">
      <c r="B314" s="434"/>
      <c r="C314" s="434"/>
    </row>
    <row r="315" spans="2:3" ht="20.100000000000001" customHeight="1">
      <c r="B315" s="434"/>
      <c r="C315" s="434"/>
    </row>
    <row r="316" spans="2:3" ht="20.100000000000001" customHeight="1">
      <c r="B316" s="434"/>
      <c r="C316" s="434"/>
    </row>
    <row r="317" spans="2:3" ht="20.100000000000001" customHeight="1">
      <c r="B317" s="434"/>
      <c r="C317" s="434"/>
    </row>
    <row r="318" spans="2:3" ht="20.100000000000001" customHeight="1">
      <c r="B318" s="434"/>
      <c r="C318" s="434"/>
    </row>
    <row r="319" spans="2:3" ht="20.100000000000001" customHeight="1">
      <c r="B319" s="434"/>
      <c r="C319" s="434"/>
    </row>
    <row r="320" spans="2:3" ht="20.100000000000001" customHeight="1">
      <c r="B320" s="434"/>
      <c r="C320" s="434"/>
    </row>
    <row r="321" spans="2:3" ht="20.100000000000001" customHeight="1">
      <c r="B321" s="434"/>
      <c r="C321" s="434"/>
    </row>
    <row r="322" spans="2:3" ht="20.100000000000001" customHeight="1">
      <c r="B322" s="434"/>
      <c r="C322" s="434"/>
    </row>
    <row r="323" spans="2:3" ht="20.100000000000001" customHeight="1">
      <c r="B323" s="434"/>
      <c r="C323" s="434"/>
    </row>
    <row r="324" spans="2:3" ht="20.100000000000001" customHeight="1">
      <c r="B324" s="434"/>
      <c r="C324" s="434"/>
    </row>
    <row r="325" spans="2:3" ht="20.100000000000001" customHeight="1">
      <c r="B325" s="434"/>
      <c r="C325" s="434"/>
    </row>
    <row r="326" spans="2:3" ht="20.100000000000001" customHeight="1">
      <c r="B326" s="434"/>
      <c r="C326" s="434"/>
    </row>
    <row r="327" spans="2:3" ht="20.100000000000001" customHeight="1">
      <c r="B327" s="434"/>
      <c r="C327" s="434"/>
    </row>
    <row r="328" spans="2:3" ht="20.100000000000001" customHeight="1">
      <c r="B328" s="434"/>
      <c r="C328" s="434"/>
    </row>
    <row r="329" spans="2:3" ht="20.100000000000001" customHeight="1">
      <c r="B329" s="434"/>
      <c r="C329" s="434"/>
    </row>
    <row r="330" spans="2:3" ht="20.100000000000001" customHeight="1">
      <c r="B330" s="434"/>
      <c r="C330" s="434"/>
    </row>
    <row r="331" spans="2:3" ht="20.100000000000001" customHeight="1">
      <c r="B331" s="434"/>
      <c r="C331" s="434"/>
    </row>
    <row r="332" spans="2:3" ht="20.100000000000001" customHeight="1">
      <c r="B332" s="434"/>
      <c r="C332" s="434"/>
    </row>
    <row r="333" spans="2:3" ht="20.100000000000001" customHeight="1">
      <c r="B333" s="434"/>
      <c r="C333" s="434"/>
    </row>
    <row r="334" spans="2:3" ht="20.100000000000001" customHeight="1">
      <c r="B334" s="434"/>
      <c r="C334" s="434"/>
    </row>
    <row r="335" spans="2:3" ht="20.100000000000001" customHeight="1">
      <c r="B335" s="434"/>
      <c r="C335" s="434"/>
    </row>
    <row r="336" spans="2:3" ht="20.100000000000001" customHeight="1">
      <c r="B336" s="434"/>
      <c r="C336" s="434"/>
    </row>
    <row r="337" spans="2:3" ht="20.100000000000001" customHeight="1">
      <c r="B337" s="434"/>
      <c r="C337" s="434"/>
    </row>
    <row r="338" spans="2:3" ht="20.100000000000001" customHeight="1">
      <c r="B338" s="434"/>
      <c r="C338" s="434"/>
    </row>
    <row r="339" spans="2:3" ht="20.100000000000001" customHeight="1">
      <c r="B339" s="434"/>
      <c r="C339" s="434"/>
    </row>
    <row r="340" spans="2:3" ht="20.100000000000001" customHeight="1">
      <c r="B340" s="434"/>
      <c r="C340" s="434"/>
    </row>
    <row r="341" spans="2:3" ht="20.100000000000001" customHeight="1">
      <c r="B341" s="434"/>
      <c r="C341" s="434"/>
    </row>
    <row r="342" spans="2:3" ht="20.100000000000001" customHeight="1">
      <c r="B342" s="434"/>
      <c r="C342" s="434"/>
    </row>
    <row r="343" spans="2:3" ht="20.100000000000001" customHeight="1">
      <c r="B343" s="434"/>
      <c r="C343" s="434"/>
    </row>
    <row r="344" spans="2:3" ht="20.100000000000001" customHeight="1">
      <c r="B344" s="434"/>
      <c r="C344" s="434"/>
    </row>
    <row r="345" spans="2:3" ht="20.100000000000001" customHeight="1">
      <c r="B345" s="434"/>
      <c r="C345" s="434"/>
    </row>
    <row r="346" spans="2:3" ht="20.100000000000001" customHeight="1">
      <c r="B346" s="434"/>
      <c r="C346" s="434"/>
    </row>
    <row r="347" spans="2:3" ht="20.100000000000001" customHeight="1">
      <c r="B347" s="434"/>
      <c r="C347" s="434"/>
    </row>
    <row r="348" spans="2:3" ht="20.100000000000001" customHeight="1">
      <c r="B348" s="434"/>
      <c r="C348" s="434"/>
    </row>
    <row r="349" spans="2:3" ht="20.100000000000001" customHeight="1">
      <c r="B349" s="434"/>
      <c r="C349" s="434"/>
    </row>
    <row r="350" spans="2:3" ht="20.100000000000001" customHeight="1">
      <c r="B350" s="434"/>
      <c r="C350" s="434"/>
    </row>
    <row r="351" spans="2:3" ht="20.100000000000001" customHeight="1">
      <c r="B351" s="434"/>
      <c r="C351" s="434"/>
    </row>
    <row r="352" spans="2:3" ht="20.100000000000001" customHeight="1">
      <c r="B352" s="434"/>
      <c r="C352" s="434"/>
    </row>
    <row r="353" spans="2:3" ht="20.100000000000001" customHeight="1">
      <c r="B353" s="434"/>
      <c r="C353" s="434"/>
    </row>
    <row r="354" spans="2:3" ht="20.100000000000001" customHeight="1">
      <c r="B354" s="434"/>
      <c r="C354" s="434"/>
    </row>
    <row r="355" spans="2:3" ht="20.100000000000001" customHeight="1">
      <c r="B355" s="434"/>
      <c r="C355" s="434"/>
    </row>
    <row r="356" spans="2:3" ht="20.100000000000001" customHeight="1">
      <c r="B356" s="434"/>
      <c r="C356" s="434"/>
    </row>
    <row r="357" spans="2:3" ht="20.100000000000001" customHeight="1">
      <c r="B357" s="434"/>
      <c r="C357" s="434"/>
    </row>
    <row r="358" spans="2:3" ht="20.100000000000001" customHeight="1">
      <c r="B358" s="434"/>
      <c r="C358" s="434"/>
    </row>
    <row r="359" spans="2:3" ht="20.100000000000001" customHeight="1">
      <c r="B359" s="434"/>
      <c r="C359" s="434"/>
    </row>
    <row r="360" spans="2:3" ht="20.100000000000001" customHeight="1">
      <c r="B360" s="434"/>
      <c r="C360" s="434"/>
    </row>
    <row r="361" spans="2:3" ht="20.100000000000001" customHeight="1">
      <c r="B361" s="434"/>
      <c r="C361" s="434"/>
    </row>
    <row r="362" spans="2:3" ht="20.100000000000001" customHeight="1">
      <c r="B362" s="434"/>
      <c r="C362" s="434"/>
    </row>
    <row r="363" spans="2:3" ht="20.100000000000001" customHeight="1">
      <c r="B363" s="434"/>
      <c r="C363" s="434"/>
    </row>
    <row r="364" spans="2:3" ht="20.100000000000001" customHeight="1">
      <c r="B364" s="434"/>
      <c r="C364" s="434"/>
    </row>
    <row r="365" spans="2:3" ht="20.100000000000001" customHeight="1">
      <c r="B365" s="434"/>
      <c r="C365" s="434"/>
    </row>
    <row r="366" spans="2:3" ht="20.100000000000001" customHeight="1">
      <c r="B366" s="434"/>
      <c r="C366" s="434"/>
    </row>
    <row r="367" spans="2:3" ht="20.100000000000001" customHeight="1">
      <c r="B367" s="434"/>
      <c r="C367" s="434"/>
    </row>
    <row r="368" spans="2:3" ht="20.100000000000001" customHeight="1">
      <c r="B368" s="434"/>
      <c r="C368" s="434"/>
    </row>
    <row r="369" spans="2:3" ht="20.100000000000001" customHeight="1">
      <c r="B369" s="434"/>
      <c r="C369" s="434"/>
    </row>
    <row r="370" spans="2:3" ht="20.100000000000001" customHeight="1">
      <c r="B370" s="434"/>
      <c r="C370" s="434"/>
    </row>
    <row r="371" spans="2:3" ht="20.100000000000001" customHeight="1">
      <c r="B371" s="434"/>
      <c r="C371" s="434"/>
    </row>
    <row r="372" spans="2:3" ht="20.100000000000001" customHeight="1">
      <c r="B372" s="434"/>
      <c r="C372" s="434"/>
    </row>
    <row r="373" spans="2:3" ht="20.100000000000001" customHeight="1">
      <c r="B373" s="434"/>
      <c r="C373" s="434"/>
    </row>
    <row r="374" spans="2:3" ht="20.100000000000001" customHeight="1">
      <c r="B374" s="434"/>
      <c r="C374" s="434"/>
    </row>
    <row r="375" spans="2:3" ht="20.100000000000001" customHeight="1">
      <c r="B375" s="434"/>
      <c r="C375" s="434"/>
    </row>
    <row r="376" spans="2:3" ht="20.100000000000001" customHeight="1">
      <c r="B376" s="434"/>
      <c r="C376" s="434"/>
    </row>
    <row r="377" spans="2:3" ht="20.100000000000001" customHeight="1">
      <c r="B377" s="434"/>
      <c r="C377" s="434"/>
    </row>
    <row r="378" spans="2:3" ht="20.100000000000001" customHeight="1">
      <c r="B378" s="434"/>
      <c r="C378" s="434"/>
    </row>
    <row r="379" spans="2:3" ht="20.100000000000001" customHeight="1">
      <c r="B379" s="434"/>
      <c r="C379" s="434"/>
    </row>
    <row r="380" spans="2:3" ht="20.100000000000001" customHeight="1">
      <c r="B380" s="434"/>
      <c r="C380" s="434"/>
    </row>
    <row r="381" spans="2:3" ht="20.100000000000001" customHeight="1">
      <c r="B381" s="434"/>
      <c r="C381" s="434"/>
    </row>
    <row r="382" spans="2:3" ht="20.100000000000001" customHeight="1">
      <c r="B382" s="434"/>
      <c r="C382" s="434"/>
    </row>
    <row r="383" spans="2:3" ht="20.100000000000001" customHeight="1">
      <c r="B383" s="434"/>
      <c r="C383" s="434"/>
    </row>
    <row r="384" spans="2:3" ht="20.100000000000001" customHeight="1">
      <c r="B384" s="434"/>
      <c r="C384" s="434"/>
    </row>
    <row r="385" spans="2:3" ht="20.100000000000001" customHeight="1">
      <c r="B385" s="434"/>
      <c r="C385" s="434"/>
    </row>
    <row r="386" spans="2:3" ht="20.100000000000001" customHeight="1">
      <c r="B386" s="434"/>
      <c r="C386" s="434"/>
    </row>
    <row r="387" spans="2:3" ht="20.100000000000001" customHeight="1">
      <c r="B387" s="434"/>
      <c r="C387" s="434"/>
    </row>
    <row r="388" spans="2:3" ht="20.100000000000001" customHeight="1">
      <c r="B388" s="434"/>
      <c r="C388" s="434"/>
    </row>
    <row r="389" spans="2:3" ht="20.100000000000001" customHeight="1">
      <c r="B389" s="434"/>
      <c r="C389" s="434"/>
    </row>
    <row r="390" spans="2:3" ht="20.100000000000001" customHeight="1">
      <c r="B390" s="434"/>
      <c r="C390" s="434"/>
    </row>
    <row r="391" spans="2:3" ht="20.100000000000001" customHeight="1">
      <c r="B391" s="434"/>
      <c r="C391" s="434"/>
    </row>
    <row r="392" spans="2:3" ht="20.100000000000001" customHeight="1">
      <c r="B392" s="434"/>
      <c r="C392" s="434"/>
    </row>
    <row r="393" spans="2:3" ht="20.100000000000001" customHeight="1">
      <c r="B393" s="434"/>
      <c r="C393" s="434"/>
    </row>
    <row r="394" spans="2:3" ht="20.100000000000001" customHeight="1">
      <c r="B394" s="434"/>
      <c r="C394" s="434"/>
    </row>
    <row r="395" spans="2:3" ht="20.100000000000001" customHeight="1">
      <c r="B395" s="434"/>
      <c r="C395" s="434"/>
    </row>
    <row r="396" spans="2:3" ht="20.100000000000001" customHeight="1">
      <c r="B396" s="434"/>
      <c r="C396" s="434"/>
    </row>
    <row r="397" spans="2:3" ht="20.100000000000001" customHeight="1">
      <c r="B397" s="434"/>
      <c r="C397" s="434"/>
    </row>
    <row r="398" spans="2:3" ht="20.100000000000001" customHeight="1">
      <c r="B398" s="434"/>
      <c r="C398" s="434"/>
    </row>
    <row r="399" spans="2:3" ht="20.100000000000001" customHeight="1">
      <c r="B399" s="434"/>
      <c r="C399" s="434"/>
    </row>
    <row r="400" spans="2:3" ht="20.100000000000001" customHeight="1">
      <c r="B400" s="434"/>
      <c r="C400" s="434"/>
    </row>
    <row r="401" spans="2:3" ht="20.100000000000001" customHeight="1">
      <c r="B401" s="434"/>
      <c r="C401" s="434"/>
    </row>
    <row r="402" spans="2:3" ht="20.100000000000001" customHeight="1">
      <c r="B402" s="434"/>
      <c r="C402" s="434"/>
    </row>
    <row r="403" spans="2:3" ht="20.100000000000001" customHeight="1">
      <c r="B403" s="434"/>
      <c r="C403" s="434"/>
    </row>
    <row r="404" spans="2:3" ht="20.100000000000001" customHeight="1">
      <c r="B404" s="434"/>
      <c r="C404" s="434"/>
    </row>
    <row r="405" spans="2:3" ht="20.100000000000001" customHeight="1">
      <c r="B405" s="434"/>
      <c r="C405" s="434"/>
    </row>
    <row r="406" spans="2:3" ht="20.100000000000001" customHeight="1">
      <c r="B406" s="434"/>
      <c r="C406" s="434"/>
    </row>
    <row r="407" spans="2:3" ht="20.100000000000001" customHeight="1">
      <c r="B407" s="434"/>
      <c r="C407" s="434"/>
    </row>
    <row r="408" spans="2:3" ht="20.100000000000001" customHeight="1">
      <c r="B408" s="434"/>
      <c r="C408" s="434"/>
    </row>
    <row r="409" spans="2:3" ht="20.100000000000001" customHeight="1">
      <c r="B409" s="434"/>
      <c r="C409" s="434"/>
    </row>
    <row r="410" spans="2:3" ht="20.100000000000001" customHeight="1">
      <c r="B410" s="434"/>
      <c r="C410" s="434"/>
    </row>
    <row r="411" spans="2:3" ht="20.100000000000001" customHeight="1">
      <c r="B411" s="434"/>
      <c r="C411" s="434"/>
    </row>
    <row r="412" spans="2:3" ht="20.100000000000001" customHeight="1">
      <c r="B412" s="434"/>
      <c r="C412" s="434"/>
    </row>
    <row r="413" spans="2:3" ht="20.100000000000001" customHeight="1">
      <c r="B413" s="434"/>
      <c r="C413" s="434"/>
    </row>
    <row r="414" spans="2:3" ht="20.100000000000001" customHeight="1">
      <c r="B414" s="434"/>
      <c r="C414" s="434"/>
    </row>
    <row r="415" spans="2:3" ht="20.100000000000001" customHeight="1">
      <c r="B415" s="434"/>
      <c r="C415" s="434"/>
    </row>
    <row r="416" spans="2:3" ht="20.100000000000001" customHeight="1">
      <c r="B416" s="434"/>
      <c r="C416" s="434"/>
    </row>
    <row r="417" spans="2:3" ht="20.100000000000001" customHeight="1">
      <c r="B417" s="434"/>
      <c r="C417" s="434"/>
    </row>
    <row r="418" spans="2:3" ht="20.100000000000001" customHeight="1">
      <c r="B418" s="434"/>
      <c r="C418" s="434"/>
    </row>
    <row r="419" spans="2:3" ht="20.100000000000001" customHeight="1">
      <c r="B419" s="434"/>
      <c r="C419" s="434"/>
    </row>
    <row r="420" spans="2:3" ht="20.100000000000001" customHeight="1">
      <c r="B420" s="434"/>
      <c r="C420" s="434"/>
    </row>
    <row r="421" spans="2:3" ht="20.100000000000001" customHeight="1">
      <c r="B421" s="434"/>
      <c r="C421" s="434"/>
    </row>
    <row r="422" spans="2:3" ht="20.100000000000001" customHeight="1">
      <c r="B422" s="434"/>
      <c r="C422" s="434"/>
    </row>
    <row r="423" spans="2:3" ht="20.100000000000001" customHeight="1">
      <c r="B423" s="434"/>
      <c r="C423" s="434"/>
    </row>
    <row r="424" spans="2:3" ht="20.100000000000001" customHeight="1">
      <c r="B424" s="434"/>
      <c r="C424" s="434"/>
    </row>
    <row r="425" spans="2:3" ht="20.100000000000001" customHeight="1">
      <c r="B425" s="434"/>
      <c r="C425" s="434"/>
    </row>
    <row r="426" spans="2:3" ht="20.100000000000001" customHeight="1">
      <c r="B426" s="434"/>
      <c r="C426" s="434"/>
    </row>
    <row r="427" spans="2:3" ht="20.100000000000001" customHeight="1">
      <c r="B427" s="434"/>
      <c r="C427" s="434"/>
    </row>
    <row r="428" spans="2:3" ht="20.100000000000001" customHeight="1">
      <c r="B428" s="434"/>
      <c r="C428" s="434"/>
    </row>
    <row r="429" spans="2:3" ht="20.100000000000001" customHeight="1">
      <c r="B429" s="434"/>
      <c r="C429" s="434"/>
    </row>
    <row r="430" spans="2:3" ht="20.100000000000001" customHeight="1">
      <c r="B430" s="434"/>
      <c r="C430" s="434"/>
    </row>
    <row r="431" spans="2:3" ht="20.100000000000001" customHeight="1">
      <c r="B431" s="434"/>
      <c r="C431" s="434"/>
    </row>
    <row r="432" spans="2:3" ht="20.100000000000001" customHeight="1">
      <c r="B432" s="434"/>
      <c r="C432" s="434"/>
    </row>
    <row r="433" spans="2:3" ht="20.100000000000001" customHeight="1">
      <c r="B433" s="434"/>
      <c r="C433" s="434"/>
    </row>
    <row r="434" spans="2:3" ht="20.100000000000001" customHeight="1">
      <c r="B434" s="434"/>
      <c r="C434" s="434"/>
    </row>
    <row r="435" spans="2:3" ht="20.100000000000001" customHeight="1">
      <c r="B435" s="434"/>
      <c r="C435" s="434"/>
    </row>
    <row r="436" spans="2:3" ht="20.100000000000001" customHeight="1">
      <c r="B436" s="434"/>
      <c r="C436" s="434"/>
    </row>
    <row r="437" spans="2:3" ht="20.100000000000001" customHeight="1">
      <c r="B437" s="434"/>
      <c r="C437" s="434"/>
    </row>
    <row r="438" spans="2:3" ht="20.100000000000001" customHeight="1">
      <c r="B438" s="434"/>
      <c r="C438" s="434"/>
    </row>
    <row r="439" spans="2:3" ht="20.100000000000001" customHeight="1">
      <c r="B439" s="434"/>
      <c r="C439" s="434"/>
    </row>
    <row r="440" spans="2:3" ht="20.100000000000001" customHeight="1">
      <c r="B440" s="434"/>
      <c r="C440" s="434"/>
    </row>
    <row r="441" spans="2:3" ht="20.100000000000001" customHeight="1">
      <c r="B441" s="434"/>
      <c r="C441" s="434"/>
    </row>
    <row r="442" spans="2:3" ht="20.100000000000001" customHeight="1">
      <c r="B442" s="434"/>
      <c r="C442" s="434"/>
    </row>
    <row r="443" spans="2:3" ht="20.100000000000001" customHeight="1">
      <c r="B443" s="434"/>
      <c r="C443" s="434"/>
    </row>
    <row r="444" spans="2:3" ht="20.100000000000001" customHeight="1">
      <c r="B444" s="434"/>
      <c r="C444" s="434"/>
    </row>
    <row r="445" spans="2:3" ht="20.100000000000001" customHeight="1">
      <c r="B445" s="434"/>
      <c r="C445" s="434"/>
    </row>
    <row r="446" spans="2:3" ht="20.100000000000001" customHeight="1">
      <c r="B446" s="434"/>
      <c r="C446" s="434"/>
    </row>
    <row r="447" spans="2:3" ht="20.100000000000001" customHeight="1">
      <c r="B447" s="434"/>
      <c r="C447" s="434"/>
    </row>
    <row r="448" spans="2:3" ht="20.100000000000001" customHeight="1">
      <c r="B448" s="434"/>
      <c r="C448" s="434"/>
    </row>
    <row r="449" spans="2:3" ht="20.100000000000001" customHeight="1">
      <c r="B449" s="434"/>
      <c r="C449" s="434"/>
    </row>
    <row r="450" spans="2:3" ht="20.100000000000001" customHeight="1">
      <c r="B450" s="434"/>
      <c r="C450" s="434"/>
    </row>
    <row r="451" spans="2:3" ht="20.100000000000001" customHeight="1">
      <c r="B451" s="434"/>
      <c r="C451" s="434"/>
    </row>
    <row r="452" spans="2:3" ht="20.100000000000001" customHeight="1">
      <c r="B452" s="434"/>
      <c r="C452" s="434"/>
    </row>
    <row r="453" spans="2:3" ht="20.100000000000001" customHeight="1">
      <c r="B453" s="434"/>
      <c r="C453" s="434"/>
    </row>
    <row r="454" spans="2:3" ht="20.100000000000001" customHeight="1">
      <c r="B454" s="434"/>
      <c r="C454" s="434"/>
    </row>
    <row r="455" spans="2:3" ht="20.100000000000001" customHeight="1">
      <c r="B455" s="434"/>
      <c r="C455" s="434"/>
    </row>
    <row r="456" spans="2:3" ht="20.100000000000001" customHeight="1">
      <c r="B456" s="434"/>
      <c r="C456" s="434"/>
    </row>
    <row r="457" spans="2:3" ht="20.100000000000001" customHeight="1">
      <c r="B457" s="434"/>
      <c r="C457" s="434"/>
    </row>
    <row r="458" spans="2:3" ht="20.100000000000001" customHeight="1">
      <c r="B458" s="434"/>
      <c r="C458" s="434"/>
    </row>
    <row r="459" spans="2:3" ht="20.100000000000001" customHeight="1">
      <c r="B459" s="434"/>
      <c r="C459" s="434"/>
    </row>
  </sheetData>
  <phoneticPr fontId="2"/>
  <printOptions horizontalCentered="1"/>
  <pageMargins left="0" right="0" top="0" bottom="0" header="0" footer="0"/>
  <pageSetup paperSize="9" scale="33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66FF66"/>
    <outlinePr showOutlineSymbols="0"/>
    <pageSetUpPr fitToPage="1"/>
  </sheetPr>
  <dimension ref="A1:AF464"/>
  <sheetViews>
    <sheetView showGridLines="0" showOutlineSymbols="0" view="pageBreakPreview" topLeftCell="B1" zoomScale="70" zoomScaleNormal="85" zoomScaleSheetLayoutView="70" workbookViewId="0">
      <pane xSplit="3" ySplit="12" topLeftCell="P156" activePane="bottomRight" state="frozen"/>
      <selection activeCell="X12" sqref="X12"/>
      <selection pane="topRight" activeCell="X12" sqref="X12"/>
      <selection pane="bottomLeft" activeCell="X12" sqref="X12"/>
      <selection pane="bottomRight" activeCell="X12" sqref="X12"/>
    </sheetView>
  </sheetViews>
  <sheetFormatPr defaultRowHeight="20.100000000000001" customHeight="1" outlineLevelRow="3"/>
  <cols>
    <col min="1" max="1" width="4.6640625" style="431" customWidth="1"/>
    <col min="2" max="2" width="13.5" style="431" bestFit="1" customWidth="1"/>
    <col min="3" max="3" width="14.33203125" style="431" hidden="1" customWidth="1"/>
    <col min="4" max="4" width="49.5" style="431" customWidth="1"/>
    <col min="5" max="6" width="13.83203125" style="431" hidden="1" customWidth="1"/>
    <col min="7" max="7" width="16.33203125" style="431" hidden="1" customWidth="1"/>
    <col min="8" max="9" width="13.83203125" style="431" hidden="1" customWidth="1"/>
    <col min="10" max="10" width="16.33203125" style="431" hidden="1" customWidth="1"/>
    <col min="11" max="12" width="13.83203125" style="431" hidden="1" customWidth="1"/>
    <col min="13" max="13" width="16.33203125" style="431" hidden="1" customWidth="1"/>
    <col min="14" max="15" width="13.83203125" style="431" customWidth="1"/>
    <col min="16" max="16" width="16.33203125" style="431" customWidth="1"/>
    <col min="17" max="18" width="13.83203125" style="431" customWidth="1"/>
    <col min="19" max="19" width="16.33203125" style="431" customWidth="1"/>
    <col min="20" max="21" width="13.83203125" style="431" customWidth="1"/>
    <col min="22" max="22" width="16.33203125" style="431" customWidth="1"/>
    <col min="23" max="24" width="13.83203125" style="431" customWidth="1"/>
    <col min="25" max="25" width="16.33203125" style="431" customWidth="1"/>
    <col min="26" max="27" width="13.83203125" style="431" customWidth="1"/>
    <col min="28" max="28" width="16.33203125" style="431" customWidth="1"/>
    <col min="29" max="30" width="13.83203125" style="431" customWidth="1"/>
    <col min="31" max="31" width="16.33203125" style="431" customWidth="1"/>
    <col min="32" max="16384" width="9.33203125" style="431"/>
  </cols>
  <sheetData>
    <row r="1" spans="1:31" ht="20.100000000000001" customHeight="1">
      <c r="A1" s="431" t="s">
        <v>261</v>
      </c>
    </row>
    <row r="2" spans="1:31" ht="15.75"/>
    <row r="3" spans="1:31" ht="20.25" customHeight="1"/>
    <row r="4" spans="1:31" ht="5.0999999999999996" customHeight="1">
      <c r="B4" s="434"/>
      <c r="C4" s="434"/>
    </row>
    <row r="5" spans="1:31" ht="17.100000000000001" hidden="1" customHeight="1">
      <c r="A5" s="435"/>
      <c r="B5" s="435"/>
      <c r="C5" s="435"/>
      <c r="D5" s="436" t="s">
        <v>1</v>
      </c>
      <c r="E5" s="437" t="s">
        <v>2</v>
      </c>
      <c r="F5" s="438"/>
      <c r="G5" s="439"/>
      <c r="H5" s="437" t="s">
        <v>2</v>
      </c>
      <c r="I5" s="438"/>
      <c r="J5" s="439"/>
      <c r="K5" s="437" t="s">
        <v>2</v>
      </c>
      <c r="L5" s="438"/>
      <c r="M5" s="439"/>
      <c r="N5" s="437" t="s">
        <v>2</v>
      </c>
      <c r="O5" s="438"/>
      <c r="P5" s="439"/>
      <c r="Q5" s="437" t="s">
        <v>2</v>
      </c>
      <c r="R5" s="438"/>
      <c r="S5" s="439"/>
      <c r="T5" s="437" t="s">
        <v>2</v>
      </c>
      <c r="U5" s="438"/>
      <c r="V5" s="439"/>
      <c r="W5" s="437" t="s">
        <v>2</v>
      </c>
      <c r="X5" s="438"/>
      <c r="Y5" s="439"/>
      <c r="Z5" s="437" t="s">
        <v>2</v>
      </c>
      <c r="AA5" s="438"/>
      <c r="AB5" s="439"/>
      <c r="AC5" s="437" t="s">
        <v>2</v>
      </c>
      <c r="AD5" s="438"/>
      <c r="AE5" s="439"/>
    </row>
    <row r="6" spans="1:31" s="446" customFormat="1" ht="17.100000000000001" customHeight="1">
      <c r="A6" s="440" t="s">
        <v>3</v>
      </c>
      <c r="B6" s="441" t="s">
        <v>4</v>
      </c>
      <c r="C6" s="441" t="s">
        <v>5</v>
      </c>
      <c r="D6" s="442" t="s">
        <v>6</v>
      </c>
      <c r="E6" s="443" t="s">
        <v>224</v>
      </c>
      <c r="F6" s="444"/>
      <c r="G6" s="445"/>
      <c r="H6" s="443" t="s">
        <v>225</v>
      </c>
      <c r="I6" s="444"/>
      <c r="J6" s="445"/>
      <c r="K6" s="443" t="s">
        <v>226</v>
      </c>
      <c r="L6" s="444"/>
      <c r="M6" s="445"/>
      <c r="N6" s="443" t="s">
        <v>229</v>
      </c>
      <c r="O6" s="444"/>
      <c r="P6" s="445"/>
      <c r="Q6" s="443" t="s">
        <v>230</v>
      </c>
      <c r="R6" s="444"/>
      <c r="S6" s="445"/>
      <c r="T6" s="443" t="s">
        <v>231</v>
      </c>
      <c r="U6" s="444"/>
      <c r="V6" s="445"/>
      <c r="W6" s="443" t="s">
        <v>267</v>
      </c>
      <c r="X6" s="444"/>
      <c r="Y6" s="445"/>
      <c r="Z6" s="443" t="s">
        <v>268</v>
      </c>
      <c r="AA6" s="444"/>
      <c r="AB6" s="445"/>
      <c r="AC6" s="443" t="s">
        <v>269</v>
      </c>
      <c r="AD6" s="444"/>
      <c r="AE6" s="445"/>
    </row>
    <row r="7" spans="1:31" s="446" customFormat="1" ht="23.25" customHeight="1" thickBot="1">
      <c r="A7" s="447"/>
      <c r="B7" s="448"/>
      <c r="C7" s="448" t="s">
        <v>7</v>
      </c>
      <c r="D7" s="449"/>
      <c r="E7" s="450" t="str">
        <f>'Prodn comparison '!AC7</f>
        <v>Rev. 7-4</v>
      </c>
      <c r="F7" s="451" t="str">
        <f>'Prodn comparison '!AD7</f>
        <v>Rev. 8-1</v>
      </c>
      <c r="G7" s="452" t="str">
        <f>'Prodn comparison '!AE7</f>
        <v>GAP</v>
      </c>
      <c r="H7" s="450" t="str">
        <f t="shared" ref="H7" si="0">E7</f>
        <v>Rev. 7-4</v>
      </c>
      <c r="I7" s="451" t="str">
        <f t="shared" ref="I7" si="1">F7</f>
        <v>Rev. 8-1</v>
      </c>
      <c r="J7" s="452" t="str">
        <f t="shared" ref="J7" si="2">G7</f>
        <v>GAP</v>
      </c>
      <c r="K7" s="453" t="str">
        <f>'Prodn comparison '!N7</f>
        <v>Rev. 7-4</v>
      </c>
      <c r="L7" s="454" t="str">
        <f>'Prodn comparison '!O7</f>
        <v>Rev. 8-1</v>
      </c>
      <c r="M7" s="452" t="str">
        <f t="shared" ref="M7" si="3">J7</f>
        <v>GAP</v>
      </c>
      <c r="N7" s="450" t="str">
        <f t="shared" ref="N7" si="4">K7</f>
        <v>Rev. 7-4</v>
      </c>
      <c r="O7" s="451" t="str">
        <f t="shared" ref="O7" si="5">L7</f>
        <v>Rev. 8-1</v>
      </c>
      <c r="P7" s="452" t="str">
        <f t="shared" ref="P7" si="6">M7</f>
        <v>GAP</v>
      </c>
      <c r="Q7" s="450" t="str">
        <f t="shared" ref="Q7" si="7">N7</f>
        <v>Rev. 7-4</v>
      </c>
      <c r="R7" s="451" t="str">
        <f t="shared" ref="R7" si="8">O7</f>
        <v>Rev. 8-1</v>
      </c>
      <c r="S7" s="452" t="str">
        <f t="shared" ref="S7" si="9">P7</f>
        <v>GAP</v>
      </c>
      <c r="T7" s="450" t="str">
        <f t="shared" ref="T7" si="10">Q7</f>
        <v>Rev. 7-4</v>
      </c>
      <c r="U7" s="451" t="str">
        <f t="shared" ref="U7" si="11">R7</f>
        <v>Rev. 8-1</v>
      </c>
      <c r="V7" s="452" t="str">
        <f t="shared" ref="V7" si="12">S7</f>
        <v>GAP</v>
      </c>
      <c r="W7" s="450" t="str">
        <f t="shared" ref="W7" si="13">T7</f>
        <v>Rev. 7-4</v>
      </c>
      <c r="X7" s="451" t="str">
        <f t="shared" ref="X7" si="14">U7</f>
        <v>Rev. 8-1</v>
      </c>
      <c r="Y7" s="452" t="str">
        <f t="shared" ref="Y7" si="15">V7</f>
        <v>GAP</v>
      </c>
      <c r="Z7" s="450" t="str">
        <f t="shared" ref="Z7" si="16">W7</f>
        <v>Rev. 7-4</v>
      </c>
      <c r="AA7" s="451" t="str">
        <f t="shared" ref="AA7" si="17">X7</f>
        <v>Rev. 8-1</v>
      </c>
      <c r="AB7" s="452" t="str">
        <f t="shared" ref="AB7" si="18">Y7</f>
        <v>GAP</v>
      </c>
      <c r="AC7" s="450" t="str">
        <f t="shared" ref="AC7" si="19">Z7</f>
        <v>Rev. 7-4</v>
      </c>
      <c r="AD7" s="451" t="str">
        <f t="shared" ref="AD7" si="20">AA7</f>
        <v>Rev. 8-1</v>
      </c>
      <c r="AE7" s="452" t="str">
        <f t="shared" ref="AE7" si="21">AB7</f>
        <v>GAP</v>
      </c>
    </row>
    <row r="8" spans="1:31" ht="25.5" hidden="1" customHeight="1" thickTop="1">
      <c r="A8" s="495"/>
      <c r="B8" s="503"/>
      <c r="C8" s="657">
        <v>6000355300</v>
      </c>
      <c r="D8" s="658" t="s">
        <v>8</v>
      </c>
      <c r="E8" s="659"/>
      <c r="F8" s="660"/>
      <c r="G8" s="479"/>
      <c r="H8" s="659"/>
      <c r="I8" s="660"/>
      <c r="J8" s="479"/>
      <c r="K8" s="659"/>
      <c r="L8" s="660"/>
      <c r="M8" s="479"/>
      <c r="N8" s="659"/>
      <c r="O8" s="660"/>
      <c r="P8" s="479"/>
      <c r="Q8" s="659"/>
      <c r="R8" s="660"/>
      <c r="S8" s="479"/>
      <c r="T8" s="659"/>
      <c r="U8" s="660"/>
      <c r="V8" s="479"/>
      <c r="W8" s="659"/>
      <c r="X8" s="660"/>
      <c r="Y8" s="479"/>
      <c r="Z8" s="659"/>
      <c r="AA8" s="660"/>
      <c r="AB8" s="479"/>
      <c r="AC8" s="659"/>
      <c r="AD8" s="660"/>
      <c r="AE8" s="479"/>
    </row>
    <row r="9" spans="1:31" ht="25.5" hidden="1" customHeight="1">
      <c r="A9" s="495"/>
      <c r="B9" s="503"/>
      <c r="C9" s="657">
        <v>6000355200</v>
      </c>
      <c r="D9" s="511" t="s">
        <v>9</v>
      </c>
      <c r="E9" s="659"/>
      <c r="F9" s="660"/>
      <c r="G9" s="479"/>
      <c r="H9" s="659"/>
      <c r="I9" s="660"/>
      <c r="J9" s="479"/>
      <c r="K9" s="659"/>
      <c r="L9" s="660"/>
      <c r="M9" s="479"/>
      <c r="N9" s="659"/>
      <c r="O9" s="660"/>
      <c r="P9" s="479"/>
      <c r="Q9" s="659"/>
      <c r="R9" s="660"/>
      <c r="S9" s="479"/>
      <c r="T9" s="659"/>
      <c r="U9" s="660"/>
      <c r="V9" s="479"/>
      <c r="W9" s="659"/>
      <c r="X9" s="660"/>
      <c r="Y9" s="479"/>
      <c r="Z9" s="659"/>
      <c r="AA9" s="660"/>
      <c r="AB9" s="479"/>
      <c r="AC9" s="659"/>
      <c r="AD9" s="660"/>
      <c r="AE9" s="479"/>
    </row>
    <row r="10" spans="1:31" ht="22.5" hidden="1" customHeight="1">
      <c r="A10" s="495">
        <v>1</v>
      </c>
      <c r="B10" s="503" t="s">
        <v>10</v>
      </c>
      <c r="C10" s="534">
        <v>100105445</v>
      </c>
      <c r="D10" s="661" t="s">
        <v>11</v>
      </c>
      <c r="E10" s="659">
        <v>0</v>
      </c>
      <c r="F10" s="659">
        <v>0</v>
      </c>
      <c r="G10" s="500"/>
      <c r="H10" s="659">
        <v>0</v>
      </c>
      <c r="I10" s="659">
        <v>0</v>
      </c>
      <c r="J10" s="500"/>
      <c r="K10" s="659">
        <v>0</v>
      </c>
      <c r="L10" s="659">
        <v>0</v>
      </c>
      <c r="M10" s="500"/>
      <c r="N10" s="659">
        <v>0</v>
      </c>
      <c r="O10" s="659">
        <v>0</v>
      </c>
      <c r="P10" s="500"/>
      <c r="Q10" s="659">
        <v>0</v>
      </c>
      <c r="R10" s="659">
        <v>0</v>
      </c>
      <c r="S10" s="500"/>
      <c r="T10" s="659">
        <v>0</v>
      </c>
      <c r="U10" s="659">
        <v>0</v>
      </c>
      <c r="V10" s="500"/>
      <c r="W10" s="659">
        <v>0</v>
      </c>
      <c r="X10" s="659">
        <v>0</v>
      </c>
      <c r="Y10" s="500"/>
      <c r="Z10" s="659">
        <v>0</v>
      </c>
      <c r="AA10" s="659">
        <v>0</v>
      </c>
      <c r="AB10" s="500"/>
      <c r="AC10" s="659">
        <v>0</v>
      </c>
      <c r="AD10" s="659">
        <v>0</v>
      </c>
      <c r="AE10" s="500"/>
    </row>
    <row r="11" spans="1:31" ht="19.5" hidden="1" customHeight="1" thickBot="1">
      <c r="A11" s="513"/>
      <c r="B11" s="514"/>
      <c r="C11" s="491"/>
      <c r="D11" s="515" t="s">
        <v>12</v>
      </c>
      <c r="E11" s="662">
        <f t="shared" ref="E11:G11" si="22">SUM(E8:E10)</f>
        <v>0</v>
      </c>
      <c r="F11" s="663">
        <f t="shared" si="22"/>
        <v>0</v>
      </c>
      <c r="G11" s="517">
        <f t="shared" si="22"/>
        <v>0</v>
      </c>
      <c r="H11" s="662">
        <f t="shared" ref="H11:J11" si="23">SUM(H8:H10)</f>
        <v>0</v>
      </c>
      <c r="I11" s="663">
        <f t="shared" si="23"/>
        <v>0</v>
      </c>
      <c r="J11" s="517">
        <f t="shared" si="23"/>
        <v>0</v>
      </c>
      <c r="K11" s="662">
        <f t="shared" ref="K11:M11" si="24">SUM(K8:K10)</f>
        <v>0</v>
      </c>
      <c r="L11" s="663">
        <f t="shared" si="24"/>
        <v>0</v>
      </c>
      <c r="M11" s="517">
        <f t="shared" si="24"/>
        <v>0</v>
      </c>
      <c r="N11" s="662">
        <f t="shared" ref="N11:P11" si="25">SUM(N8:N10)</f>
        <v>0</v>
      </c>
      <c r="O11" s="663">
        <f t="shared" si="25"/>
        <v>0</v>
      </c>
      <c r="P11" s="517">
        <f t="shared" si="25"/>
        <v>0</v>
      </c>
      <c r="Q11" s="662">
        <f t="shared" ref="Q11:S11" si="26">SUM(Q8:Q10)</f>
        <v>0</v>
      </c>
      <c r="R11" s="663">
        <f t="shared" si="26"/>
        <v>0</v>
      </c>
      <c r="S11" s="517">
        <f t="shared" si="26"/>
        <v>0</v>
      </c>
      <c r="T11" s="662">
        <f t="shared" ref="T11:V11" si="27">SUM(T8:T10)</f>
        <v>0</v>
      </c>
      <c r="U11" s="663">
        <f t="shared" si="27"/>
        <v>0</v>
      </c>
      <c r="V11" s="517">
        <f t="shared" si="27"/>
        <v>0</v>
      </c>
      <c r="W11" s="662">
        <f t="shared" ref="W11:Y11" si="28">SUM(W8:W10)</f>
        <v>0</v>
      </c>
      <c r="X11" s="663">
        <f t="shared" si="28"/>
        <v>0</v>
      </c>
      <c r="Y11" s="517">
        <f t="shared" si="28"/>
        <v>0</v>
      </c>
      <c r="Z11" s="662">
        <f t="shared" ref="Z11:AB11" si="29">SUM(Z8:Z10)</f>
        <v>0</v>
      </c>
      <c r="AA11" s="663">
        <f t="shared" si="29"/>
        <v>0</v>
      </c>
      <c r="AB11" s="517">
        <f t="shared" si="29"/>
        <v>0</v>
      </c>
      <c r="AC11" s="662">
        <f t="shared" ref="AC11:AE11" si="30">SUM(AC8:AC10)</f>
        <v>0</v>
      </c>
      <c r="AD11" s="663">
        <f t="shared" si="30"/>
        <v>0</v>
      </c>
      <c r="AE11" s="517">
        <f t="shared" si="30"/>
        <v>0</v>
      </c>
    </row>
    <row r="12" spans="1:31" ht="28.5" hidden="1" customHeight="1">
      <c r="A12" s="474"/>
      <c r="B12" s="503"/>
      <c r="C12" s="476"/>
      <c r="D12" s="477" t="s">
        <v>13</v>
      </c>
      <c r="E12" s="659"/>
      <c r="F12" s="660"/>
      <c r="G12" s="479"/>
      <c r="H12" s="659"/>
      <c r="I12" s="660"/>
      <c r="J12" s="479"/>
      <c r="K12" s="659"/>
      <c r="L12" s="660"/>
      <c r="M12" s="479"/>
      <c r="N12" s="659"/>
      <c r="O12" s="660"/>
      <c r="P12" s="479"/>
      <c r="Q12" s="659"/>
      <c r="R12" s="660"/>
      <c r="S12" s="479"/>
      <c r="T12" s="659"/>
      <c r="U12" s="660"/>
      <c r="V12" s="479"/>
      <c r="W12" s="659"/>
      <c r="X12" s="660"/>
      <c r="Y12" s="479"/>
      <c r="Z12" s="659"/>
      <c r="AA12" s="660"/>
      <c r="AB12" s="479"/>
      <c r="AC12" s="659"/>
      <c r="AD12" s="660"/>
      <c r="AE12" s="479"/>
    </row>
    <row r="13" spans="1:31" ht="23.1" customHeight="1" thickTop="1">
      <c r="A13" s="474">
        <v>1</v>
      </c>
      <c r="B13" s="503" t="s">
        <v>14</v>
      </c>
      <c r="C13" s="476">
        <v>6003485600</v>
      </c>
      <c r="D13" s="477" t="s">
        <v>15</v>
      </c>
      <c r="E13" s="533">
        <v>202.52799999999999</v>
      </c>
      <c r="F13" s="533">
        <v>202.52799999999999</v>
      </c>
      <c r="G13" s="479">
        <f>F13-E13</f>
        <v>0</v>
      </c>
      <c r="H13" s="664">
        <v>371.05200000000002</v>
      </c>
      <c r="I13" s="664">
        <v>371.05200000000002</v>
      </c>
      <c r="J13" s="479">
        <f>I13-H13</f>
        <v>0</v>
      </c>
      <c r="K13" s="664">
        <v>292.89600000000002</v>
      </c>
      <c r="L13" s="664">
        <v>292.89600000000002</v>
      </c>
      <c r="M13" s="479">
        <f>L13-K13</f>
        <v>0</v>
      </c>
      <c r="N13" s="664">
        <v>220</v>
      </c>
      <c r="O13" s="664">
        <v>229.416</v>
      </c>
      <c r="P13" s="479">
        <f>O13-N13</f>
        <v>9.4159999999999968</v>
      </c>
      <c r="Q13" s="664">
        <v>400</v>
      </c>
      <c r="R13" s="664">
        <v>360</v>
      </c>
      <c r="S13" s="479">
        <f>R13-Q13</f>
        <v>-40</v>
      </c>
      <c r="T13" s="664">
        <v>544</v>
      </c>
      <c r="U13" s="664">
        <v>618</v>
      </c>
      <c r="V13" s="479">
        <f>U13-T13</f>
        <v>74</v>
      </c>
      <c r="W13" s="664">
        <v>450</v>
      </c>
      <c r="X13" s="664">
        <v>358</v>
      </c>
      <c r="Y13" s="479">
        <f>X13-W13</f>
        <v>-92</v>
      </c>
      <c r="Z13" s="664">
        <v>450</v>
      </c>
      <c r="AA13" s="664">
        <v>539</v>
      </c>
      <c r="AB13" s="479">
        <f>AA13-Z13</f>
        <v>89</v>
      </c>
      <c r="AC13" s="664">
        <v>450</v>
      </c>
      <c r="AD13" s="664">
        <v>428</v>
      </c>
      <c r="AE13" s="479">
        <f>AD13-AC13</f>
        <v>-22</v>
      </c>
    </row>
    <row r="14" spans="1:31" ht="23.1" customHeight="1">
      <c r="A14" s="474"/>
      <c r="B14" s="503"/>
      <c r="C14" s="482">
        <v>100178374</v>
      </c>
      <c r="D14" s="477" t="s">
        <v>17</v>
      </c>
      <c r="E14" s="533">
        <v>74.444999999999993</v>
      </c>
      <c r="F14" s="533">
        <v>74.444999999999993</v>
      </c>
      <c r="G14" s="479">
        <f t="shared" ref="G14:G46" si="31">F14-E14</f>
        <v>0</v>
      </c>
      <c r="H14" s="664">
        <v>72.05</v>
      </c>
      <c r="I14" s="664">
        <v>72.05</v>
      </c>
      <c r="J14" s="479">
        <f t="shared" ref="J14:J46" si="32">I14-H14</f>
        <v>0</v>
      </c>
      <c r="K14" s="664">
        <v>94.174999999999997</v>
      </c>
      <c r="L14" s="664">
        <v>94.174999999999997</v>
      </c>
      <c r="M14" s="479">
        <f t="shared" ref="M14:M46" si="33">L14-K14</f>
        <v>0</v>
      </c>
      <c r="N14" s="664">
        <v>0</v>
      </c>
      <c r="O14" s="664">
        <v>0.05</v>
      </c>
      <c r="P14" s="479">
        <f t="shared" ref="P14:P46" si="34">O14-N14</f>
        <v>0.05</v>
      </c>
      <c r="Q14" s="664">
        <v>85</v>
      </c>
      <c r="R14" s="664">
        <v>70</v>
      </c>
      <c r="S14" s="479">
        <f t="shared" ref="S14:S46" si="35">R14-Q14</f>
        <v>-15</v>
      </c>
      <c r="T14" s="664">
        <v>221</v>
      </c>
      <c r="U14" s="664">
        <v>140</v>
      </c>
      <c r="V14" s="479">
        <f t="shared" ref="V14:V46" si="36">U14-T14</f>
        <v>-81</v>
      </c>
      <c r="W14" s="664">
        <v>120</v>
      </c>
      <c r="X14" s="664">
        <v>69</v>
      </c>
      <c r="Y14" s="479">
        <f t="shared" ref="Y14:Y46" si="37">X14-W14</f>
        <v>-51</v>
      </c>
      <c r="Z14" s="664">
        <v>120</v>
      </c>
      <c r="AA14" s="664">
        <v>120</v>
      </c>
      <c r="AB14" s="479">
        <f t="shared" ref="AB14:AB46" si="38">AA14-Z14</f>
        <v>0</v>
      </c>
      <c r="AC14" s="664">
        <v>100</v>
      </c>
      <c r="AD14" s="664">
        <v>95</v>
      </c>
      <c r="AE14" s="479">
        <f t="shared" ref="AE14:AE46" si="39">AD14-AC14</f>
        <v>-5</v>
      </c>
    </row>
    <row r="15" spans="1:31" ht="23.1" customHeight="1">
      <c r="A15" s="474"/>
      <c r="B15" s="503"/>
      <c r="C15" s="476">
        <v>6003419700</v>
      </c>
      <c r="D15" s="477" t="s">
        <v>18</v>
      </c>
      <c r="E15" s="533">
        <v>456.95</v>
      </c>
      <c r="F15" s="533">
        <v>456.95</v>
      </c>
      <c r="G15" s="479">
        <f t="shared" si="31"/>
        <v>0</v>
      </c>
      <c r="H15" s="664">
        <v>593.40800000000002</v>
      </c>
      <c r="I15" s="664">
        <v>593.40800000000002</v>
      </c>
      <c r="J15" s="479">
        <f t="shared" si="32"/>
        <v>0</v>
      </c>
      <c r="K15" s="664">
        <v>692.46</v>
      </c>
      <c r="L15" s="664">
        <v>692.46</v>
      </c>
      <c r="M15" s="479">
        <f t="shared" si="33"/>
        <v>0</v>
      </c>
      <c r="N15" s="664">
        <v>160</v>
      </c>
      <c r="O15" s="664">
        <v>165.148</v>
      </c>
      <c r="P15" s="479">
        <f t="shared" si="34"/>
        <v>5.1479999999999961</v>
      </c>
      <c r="Q15" s="664">
        <v>640</v>
      </c>
      <c r="R15" s="664">
        <v>600</v>
      </c>
      <c r="S15" s="479">
        <f t="shared" si="35"/>
        <v>-40</v>
      </c>
      <c r="T15" s="664">
        <v>1192</v>
      </c>
      <c r="U15" s="664">
        <v>685</v>
      </c>
      <c r="V15" s="479">
        <f t="shared" si="36"/>
        <v>-507</v>
      </c>
      <c r="W15" s="664">
        <v>620</v>
      </c>
      <c r="X15" s="664">
        <v>375</v>
      </c>
      <c r="Y15" s="479">
        <f t="shared" si="37"/>
        <v>-245</v>
      </c>
      <c r="Z15" s="664">
        <v>680</v>
      </c>
      <c r="AA15" s="664">
        <v>743</v>
      </c>
      <c r="AB15" s="479">
        <f t="shared" si="38"/>
        <v>63</v>
      </c>
      <c r="AC15" s="664">
        <v>610</v>
      </c>
      <c r="AD15" s="664">
        <v>563</v>
      </c>
      <c r="AE15" s="479">
        <f t="shared" si="39"/>
        <v>-47</v>
      </c>
    </row>
    <row r="16" spans="1:31" ht="20.100000000000001" customHeight="1">
      <c r="A16" s="474"/>
      <c r="B16" s="503"/>
      <c r="C16" s="476">
        <v>100093579</v>
      </c>
      <c r="D16" s="477" t="s">
        <v>19</v>
      </c>
      <c r="E16" s="533">
        <v>2.698</v>
      </c>
      <c r="F16" s="533">
        <v>2.698</v>
      </c>
      <c r="G16" s="479">
        <f t="shared" si="31"/>
        <v>0</v>
      </c>
      <c r="H16" s="664">
        <v>6.46</v>
      </c>
      <c r="I16" s="664">
        <v>6.46</v>
      </c>
      <c r="J16" s="479">
        <f t="shared" si="32"/>
        <v>0</v>
      </c>
      <c r="K16" s="664">
        <v>10.944000000000001</v>
      </c>
      <c r="L16" s="664">
        <v>10.944000000000001</v>
      </c>
      <c r="M16" s="479">
        <f t="shared" si="33"/>
        <v>0</v>
      </c>
      <c r="N16" s="664">
        <v>8</v>
      </c>
      <c r="O16" s="664">
        <v>10.554</v>
      </c>
      <c r="P16" s="479">
        <f t="shared" si="34"/>
        <v>2.5540000000000003</v>
      </c>
      <c r="Q16" s="664">
        <v>9</v>
      </c>
      <c r="R16" s="664">
        <v>6</v>
      </c>
      <c r="S16" s="479">
        <f t="shared" si="35"/>
        <v>-3</v>
      </c>
      <c r="T16" s="664">
        <v>16</v>
      </c>
      <c r="U16" s="664">
        <v>5</v>
      </c>
      <c r="V16" s="479">
        <f t="shared" si="36"/>
        <v>-11</v>
      </c>
      <c r="W16" s="664">
        <v>8</v>
      </c>
      <c r="X16" s="664">
        <v>9</v>
      </c>
      <c r="Y16" s="479">
        <f t="shared" si="37"/>
        <v>1</v>
      </c>
      <c r="Z16" s="664">
        <v>10</v>
      </c>
      <c r="AA16" s="664">
        <v>13</v>
      </c>
      <c r="AB16" s="479">
        <f t="shared" si="38"/>
        <v>3</v>
      </c>
      <c r="AC16" s="664">
        <v>5</v>
      </c>
      <c r="AD16" s="664">
        <v>7</v>
      </c>
      <c r="AE16" s="479">
        <f t="shared" si="39"/>
        <v>2</v>
      </c>
    </row>
    <row r="17" spans="1:31" ht="22.5" customHeight="1">
      <c r="A17" s="474"/>
      <c r="B17" s="503"/>
      <c r="C17" s="482">
        <v>100100435</v>
      </c>
      <c r="D17" s="477" t="s">
        <v>227</v>
      </c>
      <c r="E17" s="533">
        <v>0</v>
      </c>
      <c r="F17" s="533">
        <v>0</v>
      </c>
      <c r="G17" s="479">
        <f t="shared" si="31"/>
        <v>0</v>
      </c>
      <c r="H17" s="664">
        <v>24.608000000000001</v>
      </c>
      <c r="I17" s="664">
        <v>24.608000000000001</v>
      </c>
      <c r="J17" s="479">
        <f t="shared" si="32"/>
        <v>0</v>
      </c>
      <c r="K17" s="664">
        <v>29.088000000000001</v>
      </c>
      <c r="L17" s="664">
        <v>29.088000000000001</v>
      </c>
      <c r="M17" s="479">
        <f t="shared" si="33"/>
        <v>0</v>
      </c>
      <c r="N17" s="664">
        <v>0</v>
      </c>
      <c r="O17" s="664">
        <v>0</v>
      </c>
      <c r="P17" s="479">
        <f t="shared" si="34"/>
        <v>0</v>
      </c>
      <c r="Q17" s="664">
        <v>0</v>
      </c>
      <c r="R17" s="664">
        <v>0</v>
      </c>
      <c r="S17" s="479">
        <f t="shared" si="35"/>
        <v>0</v>
      </c>
      <c r="T17" s="664">
        <v>54</v>
      </c>
      <c r="U17" s="664">
        <v>20</v>
      </c>
      <c r="V17" s="479">
        <f t="shared" si="36"/>
        <v>-34</v>
      </c>
      <c r="W17" s="664">
        <v>15</v>
      </c>
      <c r="X17" s="664">
        <v>16</v>
      </c>
      <c r="Y17" s="479">
        <f t="shared" si="37"/>
        <v>1</v>
      </c>
      <c r="Z17" s="664">
        <v>15</v>
      </c>
      <c r="AA17" s="664">
        <v>54</v>
      </c>
      <c r="AB17" s="479">
        <f t="shared" si="38"/>
        <v>39</v>
      </c>
      <c r="AC17" s="664">
        <v>25</v>
      </c>
      <c r="AD17" s="664">
        <v>21</v>
      </c>
      <c r="AE17" s="479">
        <f t="shared" si="39"/>
        <v>-4</v>
      </c>
    </row>
    <row r="18" spans="1:31" s="434" customFormat="1" ht="23.1" customHeight="1">
      <c r="A18" s="474"/>
      <c r="B18" s="503"/>
      <c r="C18" s="476"/>
      <c r="D18" s="483" t="s">
        <v>74</v>
      </c>
      <c r="E18" s="533">
        <v>3.7250000000000001</v>
      </c>
      <c r="F18" s="533">
        <v>3.7250000000000001</v>
      </c>
      <c r="G18" s="479">
        <f t="shared" si="31"/>
        <v>0</v>
      </c>
      <c r="H18" s="664">
        <v>8.4499999999999993</v>
      </c>
      <c r="I18" s="664">
        <v>8.4499999999999993</v>
      </c>
      <c r="J18" s="479">
        <f t="shared" si="32"/>
        <v>0</v>
      </c>
      <c r="K18" s="664">
        <v>9.15</v>
      </c>
      <c r="L18" s="664">
        <v>9.15</v>
      </c>
      <c r="M18" s="479">
        <f t="shared" si="33"/>
        <v>0</v>
      </c>
      <c r="N18" s="664">
        <v>34</v>
      </c>
      <c r="O18" s="664">
        <v>34.982999999999997</v>
      </c>
      <c r="P18" s="479">
        <f t="shared" si="34"/>
        <v>0.98299999999999699</v>
      </c>
      <c r="Q18" s="664">
        <v>16</v>
      </c>
      <c r="R18" s="664">
        <v>7</v>
      </c>
      <c r="S18" s="479">
        <f t="shared" si="35"/>
        <v>-9</v>
      </c>
      <c r="T18" s="664">
        <v>40</v>
      </c>
      <c r="U18" s="664">
        <v>20</v>
      </c>
      <c r="V18" s="479">
        <f t="shared" si="36"/>
        <v>-20</v>
      </c>
      <c r="W18" s="664">
        <v>6</v>
      </c>
      <c r="X18" s="664">
        <v>21</v>
      </c>
      <c r="Y18" s="479">
        <f t="shared" si="37"/>
        <v>15</v>
      </c>
      <c r="Z18" s="664">
        <v>6</v>
      </c>
      <c r="AA18" s="664">
        <v>16</v>
      </c>
      <c r="AB18" s="479">
        <f t="shared" si="38"/>
        <v>10</v>
      </c>
      <c r="AC18" s="664">
        <v>6</v>
      </c>
      <c r="AD18" s="664">
        <v>18</v>
      </c>
      <c r="AE18" s="479">
        <f t="shared" si="39"/>
        <v>12</v>
      </c>
    </row>
    <row r="19" spans="1:31" s="434" customFormat="1" ht="21.75" customHeight="1">
      <c r="A19" s="474"/>
      <c r="B19" s="503"/>
      <c r="C19" s="665" t="s">
        <v>61</v>
      </c>
      <c r="D19" s="483" t="s">
        <v>62</v>
      </c>
      <c r="E19" s="533">
        <v>0.53700000000000003</v>
      </c>
      <c r="F19" s="533">
        <v>0.53700000000000003</v>
      </c>
      <c r="G19" s="479">
        <f t="shared" si="31"/>
        <v>0</v>
      </c>
      <c r="H19" s="664">
        <v>186.136</v>
      </c>
      <c r="I19" s="664">
        <v>186.136</v>
      </c>
      <c r="J19" s="479">
        <f t="shared" si="32"/>
        <v>0</v>
      </c>
      <c r="K19" s="664">
        <v>210.15</v>
      </c>
      <c r="L19" s="664">
        <v>210.15</v>
      </c>
      <c r="M19" s="479">
        <f t="shared" si="33"/>
        <v>0</v>
      </c>
      <c r="N19" s="664">
        <v>36</v>
      </c>
      <c r="O19" s="664">
        <v>38.478999999999999</v>
      </c>
      <c r="P19" s="479">
        <f t="shared" si="34"/>
        <v>2.4789999999999992</v>
      </c>
      <c r="Q19" s="664">
        <v>210</v>
      </c>
      <c r="R19" s="664">
        <v>155</v>
      </c>
      <c r="S19" s="479">
        <f t="shared" si="35"/>
        <v>-55</v>
      </c>
      <c r="T19" s="664">
        <v>468</v>
      </c>
      <c r="U19" s="664">
        <v>259</v>
      </c>
      <c r="V19" s="479">
        <f t="shared" si="36"/>
        <v>-209</v>
      </c>
      <c r="W19" s="664">
        <v>269</v>
      </c>
      <c r="X19" s="664">
        <v>154</v>
      </c>
      <c r="Y19" s="479">
        <f t="shared" si="37"/>
        <v>-115</v>
      </c>
      <c r="Z19" s="664">
        <v>298</v>
      </c>
      <c r="AA19" s="664">
        <v>265</v>
      </c>
      <c r="AB19" s="479">
        <f t="shared" si="38"/>
        <v>-33</v>
      </c>
      <c r="AC19" s="664">
        <v>249</v>
      </c>
      <c r="AD19" s="664">
        <v>221</v>
      </c>
      <c r="AE19" s="479">
        <f t="shared" si="39"/>
        <v>-28</v>
      </c>
    </row>
    <row r="20" spans="1:31" s="434" customFormat="1" ht="21.75" customHeight="1">
      <c r="A20" s="474"/>
      <c r="B20" s="503"/>
      <c r="C20" s="665"/>
      <c r="D20" s="483" t="s">
        <v>75</v>
      </c>
      <c r="E20" s="664">
        <v>10.95</v>
      </c>
      <c r="F20" s="664">
        <v>10.95</v>
      </c>
      <c r="G20" s="479">
        <f t="shared" si="31"/>
        <v>0</v>
      </c>
      <c r="H20" s="664">
        <v>11.375</v>
      </c>
      <c r="I20" s="664">
        <v>11.375</v>
      </c>
      <c r="J20" s="479">
        <f t="shared" si="32"/>
        <v>0</v>
      </c>
      <c r="K20" s="664">
        <v>5.6</v>
      </c>
      <c r="L20" s="664">
        <v>5.6</v>
      </c>
      <c r="M20" s="479">
        <f t="shared" si="33"/>
        <v>0</v>
      </c>
      <c r="N20" s="664">
        <v>2.9</v>
      </c>
      <c r="O20" s="664">
        <v>2.9</v>
      </c>
      <c r="P20" s="479">
        <f t="shared" si="34"/>
        <v>0</v>
      </c>
      <c r="Q20" s="664">
        <v>6</v>
      </c>
      <c r="R20" s="664">
        <v>6</v>
      </c>
      <c r="S20" s="479">
        <f t="shared" si="35"/>
        <v>0</v>
      </c>
      <c r="T20" s="664">
        <v>18.100000000000001</v>
      </c>
      <c r="U20" s="664">
        <v>9</v>
      </c>
      <c r="V20" s="479">
        <f t="shared" si="36"/>
        <v>-9.1000000000000014</v>
      </c>
      <c r="W20" s="664">
        <v>9</v>
      </c>
      <c r="X20" s="664">
        <v>9</v>
      </c>
      <c r="Y20" s="479">
        <f t="shared" si="37"/>
        <v>0</v>
      </c>
      <c r="Z20" s="664">
        <v>10</v>
      </c>
      <c r="AA20" s="664">
        <v>13</v>
      </c>
      <c r="AB20" s="479">
        <f t="shared" si="38"/>
        <v>3</v>
      </c>
      <c r="AC20" s="664">
        <v>9</v>
      </c>
      <c r="AD20" s="664">
        <v>10</v>
      </c>
      <c r="AE20" s="479">
        <f t="shared" si="39"/>
        <v>1</v>
      </c>
    </row>
    <row r="21" spans="1:31" s="434" customFormat="1" ht="21.75" customHeight="1">
      <c r="A21" s="474"/>
      <c r="B21" s="503"/>
      <c r="C21" s="665"/>
      <c r="D21" s="483" t="s">
        <v>90</v>
      </c>
      <c r="E21" s="664">
        <v>10.81</v>
      </c>
      <c r="F21" s="664">
        <v>10.81</v>
      </c>
      <c r="G21" s="479">
        <f t="shared" si="31"/>
        <v>0</v>
      </c>
      <c r="H21" s="664">
        <v>19.64</v>
      </c>
      <c r="I21" s="664">
        <v>19.64</v>
      </c>
      <c r="J21" s="479">
        <f t="shared" si="32"/>
        <v>0</v>
      </c>
      <c r="K21" s="664">
        <v>12.25</v>
      </c>
      <c r="L21" s="664">
        <v>12.25</v>
      </c>
      <c r="M21" s="479">
        <f t="shared" si="33"/>
        <v>0</v>
      </c>
      <c r="N21" s="664">
        <v>8</v>
      </c>
      <c r="O21" s="664">
        <v>9.375</v>
      </c>
      <c r="P21" s="479">
        <f t="shared" si="34"/>
        <v>1.375</v>
      </c>
      <c r="Q21" s="664">
        <v>6</v>
      </c>
      <c r="R21" s="664">
        <v>12</v>
      </c>
      <c r="S21" s="479">
        <f t="shared" si="35"/>
        <v>6</v>
      </c>
      <c r="T21" s="664">
        <v>28</v>
      </c>
      <c r="U21" s="664">
        <v>6</v>
      </c>
      <c r="V21" s="479">
        <f t="shared" si="36"/>
        <v>-22</v>
      </c>
      <c r="W21" s="664">
        <v>15</v>
      </c>
      <c r="X21" s="664">
        <v>15</v>
      </c>
      <c r="Y21" s="479">
        <f t="shared" si="37"/>
        <v>0</v>
      </c>
      <c r="Z21" s="664">
        <v>15</v>
      </c>
      <c r="AA21" s="664">
        <v>29</v>
      </c>
      <c r="AB21" s="479">
        <f t="shared" si="38"/>
        <v>14</v>
      </c>
      <c r="AC21" s="664">
        <v>10</v>
      </c>
      <c r="AD21" s="664">
        <v>10</v>
      </c>
      <c r="AE21" s="479">
        <f t="shared" si="39"/>
        <v>0</v>
      </c>
    </row>
    <row r="22" spans="1:31" s="434" customFormat="1" ht="21.75" customHeight="1">
      <c r="A22" s="474"/>
      <c r="B22" s="503"/>
      <c r="C22" s="665"/>
      <c r="D22" s="483" t="s">
        <v>64</v>
      </c>
      <c r="E22" s="664">
        <v>2.7</v>
      </c>
      <c r="F22" s="664">
        <v>2.7</v>
      </c>
      <c r="G22" s="479">
        <f t="shared" si="31"/>
        <v>0</v>
      </c>
      <c r="H22" s="664">
        <v>8.27</v>
      </c>
      <c r="I22" s="664">
        <v>8.27</v>
      </c>
      <c r="J22" s="479">
        <f t="shared" si="32"/>
        <v>0</v>
      </c>
      <c r="K22" s="664">
        <v>32.65</v>
      </c>
      <c r="L22" s="664">
        <v>32.65</v>
      </c>
      <c r="M22" s="479">
        <f t="shared" si="33"/>
        <v>0</v>
      </c>
      <c r="N22" s="664">
        <v>23</v>
      </c>
      <c r="O22" s="664">
        <v>23.434000000000001</v>
      </c>
      <c r="P22" s="479">
        <f t="shared" si="34"/>
        <v>0.43400000000000105</v>
      </c>
      <c r="Q22" s="664">
        <v>34</v>
      </c>
      <c r="R22" s="664">
        <v>34</v>
      </c>
      <c r="S22" s="479">
        <f t="shared" si="35"/>
        <v>0</v>
      </c>
      <c r="T22" s="664">
        <v>36</v>
      </c>
      <c r="U22" s="664">
        <v>61</v>
      </c>
      <c r="V22" s="479">
        <f t="shared" si="36"/>
        <v>25</v>
      </c>
      <c r="W22" s="664">
        <v>42</v>
      </c>
      <c r="X22" s="664">
        <v>45</v>
      </c>
      <c r="Y22" s="479">
        <f t="shared" si="37"/>
        <v>3</v>
      </c>
      <c r="Z22" s="664">
        <v>59</v>
      </c>
      <c r="AA22" s="664">
        <v>64</v>
      </c>
      <c r="AB22" s="479">
        <f t="shared" si="38"/>
        <v>5</v>
      </c>
      <c r="AC22" s="664">
        <v>37</v>
      </c>
      <c r="AD22" s="664">
        <v>36</v>
      </c>
      <c r="AE22" s="479">
        <f t="shared" si="39"/>
        <v>-1</v>
      </c>
    </row>
    <row r="23" spans="1:31" s="434" customFormat="1" ht="21.75" customHeight="1" thickBot="1">
      <c r="A23" s="474"/>
      <c r="B23" s="503"/>
      <c r="C23" s="666"/>
      <c r="D23" s="486" t="s">
        <v>65</v>
      </c>
      <c r="E23" s="641">
        <v>115.086</v>
      </c>
      <c r="F23" s="641">
        <v>115.086</v>
      </c>
      <c r="G23" s="488">
        <f t="shared" si="31"/>
        <v>0</v>
      </c>
      <c r="H23" s="641">
        <v>45.777999999999999</v>
      </c>
      <c r="I23" s="641">
        <v>45.777999999999999</v>
      </c>
      <c r="J23" s="488">
        <f t="shared" si="32"/>
        <v>0</v>
      </c>
      <c r="K23" s="641">
        <v>37.49</v>
      </c>
      <c r="L23" s="641">
        <v>37.49</v>
      </c>
      <c r="M23" s="488">
        <f t="shared" si="33"/>
        <v>0</v>
      </c>
      <c r="N23" s="641">
        <v>23</v>
      </c>
      <c r="O23" s="641">
        <v>23.75</v>
      </c>
      <c r="P23" s="488">
        <f t="shared" si="34"/>
        <v>0.75</v>
      </c>
      <c r="Q23" s="641">
        <v>50</v>
      </c>
      <c r="R23" s="641">
        <v>10</v>
      </c>
      <c r="S23" s="488">
        <f t="shared" si="35"/>
        <v>-40</v>
      </c>
      <c r="T23" s="641">
        <v>164</v>
      </c>
      <c r="U23" s="641">
        <v>15</v>
      </c>
      <c r="V23" s="488">
        <f t="shared" si="36"/>
        <v>-149</v>
      </c>
      <c r="W23" s="641">
        <v>109</v>
      </c>
      <c r="X23" s="641">
        <v>83</v>
      </c>
      <c r="Y23" s="488">
        <f t="shared" si="37"/>
        <v>-26</v>
      </c>
      <c r="Z23" s="641">
        <v>112</v>
      </c>
      <c r="AA23" s="641">
        <v>104</v>
      </c>
      <c r="AB23" s="488">
        <f t="shared" si="38"/>
        <v>-8</v>
      </c>
      <c r="AC23" s="641">
        <v>94</v>
      </c>
      <c r="AD23" s="641">
        <v>94</v>
      </c>
      <c r="AE23" s="488">
        <f t="shared" si="39"/>
        <v>0</v>
      </c>
    </row>
    <row r="24" spans="1:31" ht="20.100000000000001" hidden="1" customHeight="1" thickBot="1">
      <c r="A24" s="489"/>
      <c r="B24" s="514"/>
      <c r="C24" s="491"/>
      <c r="D24" s="492" t="s">
        <v>12</v>
      </c>
      <c r="E24" s="493">
        <f>SUM(E13:E23)</f>
        <v>880.42900000000009</v>
      </c>
      <c r="F24" s="493">
        <f>SUM(F13:F23)</f>
        <v>880.42900000000009</v>
      </c>
      <c r="G24" s="494">
        <f t="shared" si="31"/>
        <v>0</v>
      </c>
      <c r="H24" s="493">
        <f>SUM(H13:H23)</f>
        <v>1347.2270000000001</v>
      </c>
      <c r="I24" s="493">
        <f>SUM(I13:I23)</f>
        <v>1347.2270000000001</v>
      </c>
      <c r="J24" s="494">
        <f t="shared" si="32"/>
        <v>0</v>
      </c>
      <c r="K24" s="493">
        <f>SUM(K13:K23)</f>
        <v>1426.8530000000001</v>
      </c>
      <c r="L24" s="493">
        <f>SUM(L13:L23)</f>
        <v>1426.8530000000001</v>
      </c>
      <c r="M24" s="494">
        <f t="shared" si="33"/>
        <v>0</v>
      </c>
      <c r="N24" s="493">
        <f>SUM(N13:N23)</f>
        <v>514.9</v>
      </c>
      <c r="O24" s="493">
        <f>SUM(O13:O23)</f>
        <v>538.08899999999994</v>
      </c>
      <c r="P24" s="494">
        <f t="shared" si="34"/>
        <v>23.188999999999965</v>
      </c>
      <c r="Q24" s="493">
        <f>SUM(Q13:Q23)</f>
        <v>1456</v>
      </c>
      <c r="R24" s="493">
        <f>SUM(R13:R23)</f>
        <v>1260</v>
      </c>
      <c r="S24" s="494">
        <f t="shared" si="35"/>
        <v>-196</v>
      </c>
      <c r="T24" s="493">
        <f>SUM(T13:T23)</f>
        <v>2781.1</v>
      </c>
      <c r="U24" s="493">
        <f>SUM(U13:U23)</f>
        <v>1838</v>
      </c>
      <c r="V24" s="494">
        <f t="shared" si="36"/>
        <v>-943.09999999999991</v>
      </c>
      <c r="W24" s="493">
        <f>SUM(W13:W23)</f>
        <v>1663</v>
      </c>
      <c r="X24" s="493">
        <f>SUM(X13:X23)</f>
        <v>1154</v>
      </c>
      <c r="Y24" s="494">
        <f t="shared" si="37"/>
        <v>-509</v>
      </c>
      <c r="Z24" s="493">
        <f>SUM(Z13:Z23)</f>
        <v>1775</v>
      </c>
      <c r="AA24" s="493">
        <f>SUM(AA13:AA23)</f>
        <v>1960</v>
      </c>
      <c r="AB24" s="494">
        <f t="shared" si="38"/>
        <v>185</v>
      </c>
      <c r="AC24" s="493">
        <f>SUM(AC13:AC23)</f>
        <v>1595</v>
      </c>
      <c r="AD24" s="493">
        <f>SUM(AD13:AD23)</f>
        <v>1503</v>
      </c>
      <c r="AE24" s="494">
        <f t="shared" si="39"/>
        <v>-92</v>
      </c>
    </row>
    <row r="25" spans="1:31" ht="23.1" hidden="1" customHeight="1">
      <c r="A25" s="549">
        <v>2</v>
      </c>
      <c r="B25" s="667" t="s">
        <v>24</v>
      </c>
      <c r="C25" s="668">
        <v>100278957</v>
      </c>
      <c r="D25" s="669" t="s">
        <v>46</v>
      </c>
      <c r="E25" s="670">
        <v>0</v>
      </c>
      <c r="F25" s="670">
        <v>0</v>
      </c>
      <c r="G25" s="528">
        <f t="shared" si="31"/>
        <v>0</v>
      </c>
      <c r="H25" s="670">
        <v>0</v>
      </c>
      <c r="I25" s="670">
        <v>0</v>
      </c>
      <c r="J25" s="528">
        <f t="shared" si="32"/>
        <v>0</v>
      </c>
      <c r="K25" s="670">
        <v>0</v>
      </c>
      <c r="L25" s="670">
        <v>0</v>
      </c>
      <c r="M25" s="528">
        <f t="shared" si="33"/>
        <v>0</v>
      </c>
      <c r="N25" s="670">
        <v>0</v>
      </c>
      <c r="O25" s="670">
        <v>0</v>
      </c>
      <c r="P25" s="528">
        <f t="shared" si="34"/>
        <v>0</v>
      </c>
      <c r="Q25" s="670">
        <v>0</v>
      </c>
      <c r="R25" s="670">
        <v>0</v>
      </c>
      <c r="S25" s="528">
        <f t="shared" si="35"/>
        <v>0</v>
      </c>
      <c r="T25" s="670">
        <v>0</v>
      </c>
      <c r="U25" s="670">
        <v>0</v>
      </c>
      <c r="V25" s="528">
        <f t="shared" si="36"/>
        <v>0</v>
      </c>
      <c r="W25" s="670">
        <v>0</v>
      </c>
      <c r="X25" s="670">
        <v>0</v>
      </c>
      <c r="Y25" s="528">
        <f t="shared" si="37"/>
        <v>0</v>
      </c>
      <c r="Z25" s="670">
        <v>0</v>
      </c>
      <c r="AA25" s="670">
        <v>0</v>
      </c>
      <c r="AB25" s="528">
        <f t="shared" si="38"/>
        <v>0</v>
      </c>
      <c r="AC25" s="670">
        <v>0</v>
      </c>
      <c r="AD25" s="670">
        <v>0</v>
      </c>
      <c r="AE25" s="528">
        <f t="shared" si="39"/>
        <v>0</v>
      </c>
    </row>
    <row r="26" spans="1:31" ht="33" hidden="1" customHeight="1">
      <c r="A26" s="495"/>
      <c r="B26" s="496"/>
      <c r="C26" s="501"/>
      <c r="D26" s="671" t="s">
        <v>108</v>
      </c>
      <c r="E26" s="533">
        <v>0</v>
      </c>
      <c r="F26" s="533">
        <v>0</v>
      </c>
      <c r="G26" s="479">
        <f t="shared" si="31"/>
        <v>0</v>
      </c>
      <c r="H26" s="533">
        <v>0</v>
      </c>
      <c r="I26" s="533">
        <v>0</v>
      </c>
      <c r="J26" s="479">
        <f t="shared" si="32"/>
        <v>0</v>
      </c>
      <c r="K26" s="533">
        <v>0</v>
      </c>
      <c r="L26" s="533">
        <v>0</v>
      </c>
      <c r="M26" s="479">
        <f t="shared" si="33"/>
        <v>0</v>
      </c>
      <c r="N26" s="533">
        <v>0</v>
      </c>
      <c r="O26" s="533">
        <v>0</v>
      </c>
      <c r="P26" s="479">
        <f t="shared" si="34"/>
        <v>0</v>
      </c>
      <c r="Q26" s="533">
        <v>0</v>
      </c>
      <c r="R26" s="533">
        <v>0</v>
      </c>
      <c r="S26" s="479">
        <f t="shared" si="35"/>
        <v>0</v>
      </c>
      <c r="T26" s="533">
        <v>0</v>
      </c>
      <c r="U26" s="533">
        <v>0</v>
      </c>
      <c r="V26" s="479">
        <f t="shared" si="36"/>
        <v>0</v>
      </c>
      <c r="W26" s="533">
        <v>0</v>
      </c>
      <c r="X26" s="533">
        <v>0</v>
      </c>
      <c r="Y26" s="479">
        <f t="shared" si="37"/>
        <v>0</v>
      </c>
      <c r="Z26" s="533">
        <v>0</v>
      </c>
      <c r="AA26" s="533">
        <v>0</v>
      </c>
      <c r="AB26" s="479">
        <f t="shared" si="38"/>
        <v>0</v>
      </c>
      <c r="AC26" s="533">
        <v>0</v>
      </c>
      <c r="AD26" s="533">
        <v>0</v>
      </c>
      <c r="AE26" s="479">
        <f t="shared" si="39"/>
        <v>0</v>
      </c>
    </row>
    <row r="27" spans="1:31" ht="33.75" hidden="1" customHeight="1">
      <c r="A27" s="495"/>
      <c r="B27" s="503"/>
      <c r="C27" s="504"/>
      <c r="D27" s="505" t="s">
        <v>115</v>
      </c>
      <c r="E27" s="533">
        <v>0</v>
      </c>
      <c r="F27" s="533">
        <v>0</v>
      </c>
      <c r="G27" s="500">
        <f t="shared" si="31"/>
        <v>0</v>
      </c>
      <c r="H27" s="533">
        <v>0</v>
      </c>
      <c r="I27" s="533">
        <v>0</v>
      </c>
      <c r="J27" s="500">
        <f t="shared" si="32"/>
        <v>0</v>
      </c>
      <c r="K27" s="533">
        <v>0</v>
      </c>
      <c r="L27" s="533">
        <v>0</v>
      </c>
      <c r="M27" s="500">
        <f t="shared" si="33"/>
        <v>0</v>
      </c>
      <c r="N27" s="533">
        <v>0</v>
      </c>
      <c r="O27" s="533">
        <v>0</v>
      </c>
      <c r="P27" s="500">
        <f t="shared" si="34"/>
        <v>0</v>
      </c>
      <c r="Q27" s="533">
        <v>0</v>
      </c>
      <c r="R27" s="533">
        <v>0</v>
      </c>
      <c r="S27" s="500">
        <f t="shared" si="35"/>
        <v>0</v>
      </c>
      <c r="T27" s="533">
        <v>0</v>
      </c>
      <c r="U27" s="533">
        <v>0</v>
      </c>
      <c r="V27" s="500">
        <f t="shared" si="36"/>
        <v>0</v>
      </c>
      <c r="W27" s="533">
        <v>0</v>
      </c>
      <c r="X27" s="533">
        <v>0</v>
      </c>
      <c r="Y27" s="500">
        <f t="shared" si="37"/>
        <v>0</v>
      </c>
      <c r="Z27" s="533">
        <v>0</v>
      </c>
      <c r="AA27" s="533">
        <v>0</v>
      </c>
      <c r="AB27" s="500">
        <f t="shared" si="38"/>
        <v>0</v>
      </c>
      <c r="AC27" s="533">
        <v>0</v>
      </c>
      <c r="AD27" s="533">
        <v>0</v>
      </c>
      <c r="AE27" s="500">
        <f t="shared" si="39"/>
        <v>0</v>
      </c>
    </row>
    <row r="28" spans="1:31" ht="36" hidden="1" customHeight="1">
      <c r="A28" s="495"/>
      <c r="B28" s="503"/>
      <c r="C28" s="504"/>
      <c r="D28" s="505" t="s">
        <v>91</v>
      </c>
      <c r="E28" s="672">
        <v>0</v>
      </c>
      <c r="F28" s="672">
        <v>0</v>
      </c>
      <c r="G28" s="507">
        <f t="shared" si="31"/>
        <v>0</v>
      </c>
      <c r="H28" s="672">
        <v>0</v>
      </c>
      <c r="I28" s="672">
        <v>0</v>
      </c>
      <c r="J28" s="507">
        <f t="shared" si="32"/>
        <v>0</v>
      </c>
      <c r="K28" s="672">
        <v>0</v>
      </c>
      <c r="L28" s="672">
        <v>0</v>
      </c>
      <c r="M28" s="507">
        <f t="shared" si="33"/>
        <v>0</v>
      </c>
      <c r="N28" s="672">
        <v>0</v>
      </c>
      <c r="O28" s="672">
        <v>0</v>
      </c>
      <c r="P28" s="507">
        <f t="shared" si="34"/>
        <v>0</v>
      </c>
      <c r="Q28" s="672">
        <v>0</v>
      </c>
      <c r="R28" s="672">
        <v>0</v>
      </c>
      <c r="S28" s="507">
        <f t="shared" si="35"/>
        <v>0</v>
      </c>
      <c r="T28" s="672">
        <v>0</v>
      </c>
      <c r="U28" s="672">
        <v>0</v>
      </c>
      <c r="V28" s="507">
        <f t="shared" si="36"/>
        <v>0</v>
      </c>
      <c r="W28" s="672">
        <v>0</v>
      </c>
      <c r="X28" s="672">
        <v>0</v>
      </c>
      <c r="Y28" s="507">
        <f t="shared" si="37"/>
        <v>0</v>
      </c>
      <c r="Z28" s="672">
        <v>0</v>
      </c>
      <c r="AA28" s="672">
        <v>0</v>
      </c>
      <c r="AB28" s="507">
        <f t="shared" si="38"/>
        <v>0</v>
      </c>
      <c r="AC28" s="672">
        <v>0</v>
      </c>
      <c r="AD28" s="672">
        <v>0</v>
      </c>
      <c r="AE28" s="507">
        <f t="shared" si="39"/>
        <v>0</v>
      </c>
    </row>
    <row r="29" spans="1:31" ht="23.1" hidden="1" customHeight="1">
      <c r="A29" s="495"/>
      <c r="B29" s="503"/>
      <c r="C29" s="504"/>
      <c r="D29" s="505" t="s">
        <v>76</v>
      </c>
      <c r="E29" s="533">
        <v>0</v>
      </c>
      <c r="F29" s="533">
        <v>0</v>
      </c>
      <c r="G29" s="500">
        <f t="shared" si="31"/>
        <v>0</v>
      </c>
      <c r="H29" s="533">
        <v>0</v>
      </c>
      <c r="I29" s="533">
        <v>0</v>
      </c>
      <c r="J29" s="500">
        <f t="shared" si="32"/>
        <v>0</v>
      </c>
      <c r="K29" s="533">
        <v>0</v>
      </c>
      <c r="L29" s="533">
        <v>0</v>
      </c>
      <c r="M29" s="500">
        <f t="shared" si="33"/>
        <v>0</v>
      </c>
      <c r="N29" s="533">
        <v>0</v>
      </c>
      <c r="O29" s="533">
        <v>0</v>
      </c>
      <c r="P29" s="500">
        <f t="shared" si="34"/>
        <v>0</v>
      </c>
      <c r="Q29" s="533">
        <v>0</v>
      </c>
      <c r="R29" s="533">
        <v>0</v>
      </c>
      <c r="S29" s="500">
        <f t="shared" si="35"/>
        <v>0</v>
      </c>
      <c r="T29" s="533">
        <v>0</v>
      </c>
      <c r="U29" s="533">
        <v>0</v>
      </c>
      <c r="V29" s="500">
        <f t="shared" si="36"/>
        <v>0</v>
      </c>
      <c r="W29" s="533">
        <v>0</v>
      </c>
      <c r="X29" s="533">
        <v>0</v>
      </c>
      <c r="Y29" s="500">
        <f t="shared" si="37"/>
        <v>0</v>
      </c>
      <c r="Z29" s="533">
        <v>0</v>
      </c>
      <c r="AA29" s="533">
        <v>0</v>
      </c>
      <c r="AB29" s="500">
        <f t="shared" si="38"/>
        <v>0</v>
      </c>
      <c r="AC29" s="533">
        <v>0</v>
      </c>
      <c r="AD29" s="533">
        <v>0</v>
      </c>
      <c r="AE29" s="500">
        <f t="shared" si="39"/>
        <v>0</v>
      </c>
    </row>
    <row r="30" spans="1:31" ht="23.1" hidden="1" customHeight="1">
      <c r="A30" s="495"/>
      <c r="B30" s="503"/>
      <c r="C30" s="504"/>
      <c r="D30" s="505" t="s">
        <v>92</v>
      </c>
      <c r="E30" s="672">
        <v>0</v>
      </c>
      <c r="F30" s="672">
        <v>0</v>
      </c>
      <c r="G30" s="507">
        <f t="shared" si="31"/>
        <v>0</v>
      </c>
      <c r="H30" s="672">
        <v>0</v>
      </c>
      <c r="I30" s="672">
        <v>0</v>
      </c>
      <c r="J30" s="507">
        <f t="shared" si="32"/>
        <v>0</v>
      </c>
      <c r="K30" s="672">
        <v>0</v>
      </c>
      <c r="L30" s="672">
        <v>0</v>
      </c>
      <c r="M30" s="507">
        <f t="shared" si="33"/>
        <v>0</v>
      </c>
      <c r="N30" s="672">
        <v>0</v>
      </c>
      <c r="O30" s="672">
        <v>0</v>
      </c>
      <c r="P30" s="507">
        <f t="shared" si="34"/>
        <v>0</v>
      </c>
      <c r="Q30" s="672">
        <v>0</v>
      </c>
      <c r="R30" s="672">
        <v>0</v>
      </c>
      <c r="S30" s="507">
        <f t="shared" si="35"/>
        <v>0</v>
      </c>
      <c r="T30" s="672">
        <v>0</v>
      </c>
      <c r="U30" s="672">
        <v>0</v>
      </c>
      <c r="V30" s="507">
        <f t="shared" si="36"/>
        <v>0</v>
      </c>
      <c r="W30" s="672">
        <v>0</v>
      </c>
      <c r="X30" s="672">
        <v>0</v>
      </c>
      <c r="Y30" s="507">
        <f t="shared" si="37"/>
        <v>0</v>
      </c>
      <c r="Z30" s="672">
        <v>0</v>
      </c>
      <c r="AA30" s="672">
        <v>0</v>
      </c>
      <c r="AB30" s="507">
        <f t="shared" si="38"/>
        <v>0</v>
      </c>
      <c r="AC30" s="672">
        <v>0</v>
      </c>
      <c r="AD30" s="672">
        <v>0</v>
      </c>
      <c r="AE30" s="507">
        <f t="shared" si="39"/>
        <v>0</v>
      </c>
    </row>
    <row r="31" spans="1:31" ht="30" hidden="1" customHeight="1">
      <c r="A31" s="495"/>
      <c r="B31" s="503"/>
      <c r="C31" s="504"/>
      <c r="D31" s="505" t="s">
        <v>93</v>
      </c>
      <c r="E31" s="533">
        <v>0</v>
      </c>
      <c r="F31" s="533">
        <v>0</v>
      </c>
      <c r="G31" s="500">
        <f t="shared" si="31"/>
        <v>0</v>
      </c>
      <c r="H31" s="533">
        <v>0</v>
      </c>
      <c r="I31" s="533">
        <v>0</v>
      </c>
      <c r="J31" s="500">
        <f t="shared" si="32"/>
        <v>0</v>
      </c>
      <c r="K31" s="533">
        <v>0</v>
      </c>
      <c r="L31" s="533">
        <v>0</v>
      </c>
      <c r="M31" s="500">
        <f t="shared" si="33"/>
        <v>0</v>
      </c>
      <c r="N31" s="533">
        <v>0</v>
      </c>
      <c r="O31" s="533">
        <v>0</v>
      </c>
      <c r="P31" s="500">
        <f t="shared" si="34"/>
        <v>0</v>
      </c>
      <c r="Q31" s="533">
        <v>0</v>
      </c>
      <c r="R31" s="533">
        <v>0</v>
      </c>
      <c r="S31" s="500">
        <f t="shared" si="35"/>
        <v>0</v>
      </c>
      <c r="T31" s="533">
        <v>0</v>
      </c>
      <c r="U31" s="533">
        <v>0</v>
      </c>
      <c r="V31" s="500">
        <f t="shared" si="36"/>
        <v>0</v>
      </c>
      <c r="W31" s="533">
        <v>0</v>
      </c>
      <c r="X31" s="533">
        <v>0</v>
      </c>
      <c r="Y31" s="500">
        <f t="shared" si="37"/>
        <v>0</v>
      </c>
      <c r="Z31" s="533">
        <v>0</v>
      </c>
      <c r="AA31" s="533">
        <v>0</v>
      </c>
      <c r="AB31" s="500">
        <f t="shared" si="38"/>
        <v>0</v>
      </c>
      <c r="AC31" s="533">
        <v>0</v>
      </c>
      <c r="AD31" s="533">
        <v>0</v>
      </c>
      <c r="AE31" s="500">
        <f t="shared" si="39"/>
        <v>0</v>
      </c>
    </row>
    <row r="32" spans="1:31" ht="30.75" hidden="1" customHeight="1">
      <c r="A32" s="495"/>
      <c r="B32" s="503"/>
      <c r="C32" s="504"/>
      <c r="D32" s="505" t="s">
        <v>94</v>
      </c>
      <c r="E32" s="533">
        <v>0</v>
      </c>
      <c r="F32" s="533">
        <v>0</v>
      </c>
      <c r="G32" s="500">
        <f t="shared" si="31"/>
        <v>0</v>
      </c>
      <c r="H32" s="533">
        <v>0</v>
      </c>
      <c r="I32" s="533">
        <v>0</v>
      </c>
      <c r="J32" s="500">
        <f t="shared" si="32"/>
        <v>0</v>
      </c>
      <c r="K32" s="533">
        <v>0</v>
      </c>
      <c r="L32" s="533">
        <v>0</v>
      </c>
      <c r="M32" s="500">
        <f t="shared" si="33"/>
        <v>0</v>
      </c>
      <c r="N32" s="533">
        <v>0</v>
      </c>
      <c r="O32" s="533">
        <v>0</v>
      </c>
      <c r="P32" s="500">
        <f t="shared" si="34"/>
        <v>0</v>
      </c>
      <c r="Q32" s="533">
        <v>0</v>
      </c>
      <c r="R32" s="533">
        <v>0</v>
      </c>
      <c r="S32" s="500">
        <f t="shared" si="35"/>
        <v>0</v>
      </c>
      <c r="T32" s="533">
        <v>0</v>
      </c>
      <c r="U32" s="533">
        <v>0</v>
      </c>
      <c r="V32" s="500">
        <f t="shared" si="36"/>
        <v>0</v>
      </c>
      <c r="W32" s="533">
        <v>0</v>
      </c>
      <c r="X32" s="533">
        <v>0</v>
      </c>
      <c r="Y32" s="500">
        <f t="shared" si="37"/>
        <v>0</v>
      </c>
      <c r="Z32" s="533">
        <v>0</v>
      </c>
      <c r="AA32" s="533">
        <v>0</v>
      </c>
      <c r="AB32" s="500">
        <f t="shared" si="38"/>
        <v>0</v>
      </c>
      <c r="AC32" s="533">
        <v>0</v>
      </c>
      <c r="AD32" s="533">
        <v>0</v>
      </c>
      <c r="AE32" s="500">
        <f t="shared" si="39"/>
        <v>0</v>
      </c>
    </row>
    <row r="33" spans="1:32" ht="32.25" hidden="1" thickBot="1">
      <c r="A33" s="495"/>
      <c r="B33" s="503"/>
      <c r="C33" s="504" t="s">
        <v>57</v>
      </c>
      <c r="D33" s="508" t="s">
        <v>95</v>
      </c>
      <c r="E33" s="533">
        <v>0</v>
      </c>
      <c r="F33" s="533">
        <v>0</v>
      </c>
      <c r="G33" s="479">
        <f t="shared" si="31"/>
        <v>0</v>
      </c>
      <c r="H33" s="533">
        <v>0</v>
      </c>
      <c r="I33" s="533">
        <v>0</v>
      </c>
      <c r="J33" s="479">
        <f t="shared" si="32"/>
        <v>0</v>
      </c>
      <c r="K33" s="533">
        <v>0</v>
      </c>
      <c r="L33" s="533">
        <v>0</v>
      </c>
      <c r="M33" s="479">
        <f t="shared" si="33"/>
        <v>0</v>
      </c>
      <c r="N33" s="533">
        <v>0</v>
      </c>
      <c r="O33" s="533">
        <v>0</v>
      </c>
      <c r="P33" s="479">
        <f t="shared" si="34"/>
        <v>0</v>
      </c>
      <c r="Q33" s="533">
        <v>0</v>
      </c>
      <c r="R33" s="533">
        <v>0</v>
      </c>
      <c r="S33" s="479">
        <f t="shared" si="35"/>
        <v>0</v>
      </c>
      <c r="T33" s="533">
        <v>0</v>
      </c>
      <c r="U33" s="533">
        <v>0</v>
      </c>
      <c r="V33" s="479">
        <f t="shared" si="36"/>
        <v>0</v>
      </c>
      <c r="W33" s="533">
        <v>0</v>
      </c>
      <c r="X33" s="533">
        <v>0</v>
      </c>
      <c r="Y33" s="479">
        <f t="shared" si="37"/>
        <v>0</v>
      </c>
      <c r="Z33" s="533">
        <v>0</v>
      </c>
      <c r="AA33" s="533">
        <v>0</v>
      </c>
      <c r="AB33" s="479">
        <f t="shared" si="38"/>
        <v>0</v>
      </c>
      <c r="AC33" s="533">
        <v>0</v>
      </c>
      <c r="AD33" s="533">
        <v>0</v>
      </c>
      <c r="AE33" s="479">
        <f t="shared" si="39"/>
        <v>0</v>
      </c>
      <c r="AF33" s="434"/>
    </row>
    <row r="34" spans="1:32" s="434" customFormat="1" ht="21" hidden="1" customHeight="1">
      <c r="A34" s="474"/>
      <c r="B34" s="503"/>
      <c r="C34" s="510"/>
      <c r="D34" s="509" t="s">
        <v>97</v>
      </c>
      <c r="E34" s="533">
        <v>0</v>
      </c>
      <c r="F34" s="533">
        <v>0</v>
      </c>
      <c r="G34" s="479">
        <f t="shared" si="31"/>
        <v>0</v>
      </c>
      <c r="H34" s="533">
        <v>0</v>
      </c>
      <c r="I34" s="533">
        <v>0</v>
      </c>
      <c r="J34" s="479">
        <f t="shared" si="32"/>
        <v>0</v>
      </c>
      <c r="K34" s="533">
        <v>0</v>
      </c>
      <c r="L34" s="533">
        <v>0</v>
      </c>
      <c r="M34" s="479">
        <f t="shared" si="33"/>
        <v>0</v>
      </c>
      <c r="N34" s="533">
        <v>0</v>
      </c>
      <c r="O34" s="533">
        <v>0</v>
      </c>
      <c r="P34" s="479">
        <f t="shared" si="34"/>
        <v>0</v>
      </c>
      <c r="Q34" s="533">
        <v>0</v>
      </c>
      <c r="R34" s="533">
        <v>0</v>
      </c>
      <c r="S34" s="479">
        <f t="shared" si="35"/>
        <v>0</v>
      </c>
      <c r="T34" s="533">
        <v>0</v>
      </c>
      <c r="U34" s="533">
        <v>0</v>
      </c>
      <c r="V34" s="479">
        <f t="shared" si="36"/>
        <v>0</v>
      </c>
      <c r="W34" s="533">
        <v>0</v>
      </c>
      <c r="X34" s="533">
        <v>0</v>
      </c>
      <c r="Y34" s="479">
        <f t="shared" si="37"/>
        <v>0</v>
      </c>
      <c r="Z34" s="533">
        <v>0</v>
      </c>
      <c r="AA34" s="533">
        <v>0</v>
      </c>
      <c r="AB34" s="479">
        <f t="shared" si="38"/>
        <v>0</v>
      </c>
      <c r="AC34" s="533">
        <v>0</v>
      </c>
      <c r="AD34" s="533">
        <v>0</v>
      </c>
      <c r="AE34" s="479">
        <f t="shared" si="39"/>
        <v>0</v>
      </c>
    </row>
    <row r="35" spans="1:32" s="434" customFormat="1" ht="32.25" hidden="1" thickBot="1">
      <c r="A35" s="474"/>
      <c r="B35" s="503"/>
      <c r="C35" s="510"/>
      <c r="D35" s="509" t="s">
        <v>96</v>
      </c>
      <c r="E35" s="533">
        <v>0</v>
      </c>
      <c r="F35" s="533">
        <v>0</v>
      </c>
      <c r="G35" s="479">
        <f t="shared" si="31"/>
        <v>0</v>
      </c>
      <c r="H35" s="533">
        <v>0</v>
      </c>
      <c r="I35" s="533">
        <v>0</v>
      </c>
      <c r="J35" s="479">
        <f t="shared" si="32"/>
        <v>0</v>
      </c>
      <c r="K35" s="533">
        <v>0</v>
      </c>
      <c r="L35" s="533">
        <v>0</v>
      </c>
      <c r="M35" s="479">
        <f t="shared" si="33"/>
        <v>0</v>
      </c>
      <c r="N35" s="533">
        <v>0</v>
      </c>
      <c r="O35" s="533">
        <v>0</v>
      </c>
      <c r="P35" s="479">
        <f t="shared" si="34"/>
        <v>0</v>
      </c>
      <c r="Q35" s="533">
        <v>0</v>
      </c>
      <c r="R35" s="533">
        <v>0</v>
      </c>
      <c r="S35" s="479">
        <f t="shared" si="35"/>
        <v>0</v>
      </c>
      <c r="T35" s="533">
        <v>0</v>
      </c>
      <c r="U35" s="533">
        <v>0</v>
      </c>
      <c r="V35" s="479">
        <f t="shared" si="36"/>
        <v>0</v>
      </c>
      <c r="W35" s="533">
        <v>0</v>
      </c>
      <c r="X35" s="533">
        <v>0</v>
      </c>
      <c r="Y35" s="479">
        <f t="shared" si="37"/>
        <v>0</v>
      </c>
      <c r="Z35" s="533">
        <v>0</v>
      </c>
      <c r="AA35" s="533">
        <v>0</v>
      </c>
      <c r="AB35" s="479">
        <f t="shared" si="38"/>
        <v>0</v>
      </c>
      <c r="AC35" s="533">
        <v>0</v>
      </c>
      <c r="AD35" s="533">
        <v>0</v>
      </c>
      <c r="AE35" s="479">
        <f t="shared" si="39"/>
        <v>0</v>
      </c>
    </row>
    <row r="36" spans="1:32" ht="30" hidden="1" customHeight="1">
      <c r="A36" s="495"/>
      <c r="B36" s="503"/>
      <c r="C36" s="510"/>
      <c r="D36" s="505" t="s">
        <v>98</v>
      </c>
      <c r="E36" s="533">
        <v>0</v>
      </c>
      <c r="F36" s="533">
        <v>0</v>
      </c>
      <c r="G36" s="479">
        <f t="shared" si="31"/>
        <v>0</v>
      </c>
      <c r="H36" s="533">
        <v>0</v>
      </c>
      <c r="I36" s="533">
        <v>0</v>
      </c>
      <c r="J36" s="479">
        <f t="shared" si="32"/>
        <v>0</v>
      </c>
      <c r="K36" s="533">
        <v>0</v>
      </c>
      <c r="L36" s="533">
        <v>0</v>
      </c>
      <c r="M36" s="479">
        <f t="shared" si="33"/>
        <v>0</v>
      </c>
      <c r="N36" s="533">
        <v>0</v>
      </c>
      <c r="O36" s="533">
        <v>0</v>
      </c>
      <c r="P36" s="479">
        <f t="shared" si="34"/>
        <v>0</v>
      </c>
      <c r="Q36" s="533">
        <v>0</v>
      </c>
      <c r="R36" s="533">
        <v>0</v>
      </c>
      <c r="S36" s="479">
        <f t="shared" si="35"/>
        <v>0</v>
      </c>
      <c r="T36" s="533">
        <v>0</v>
      </c>
      <c r="U36" s="533">
        <v>0</v>
      </c>
      <c r="V36" s="479">
        <f t="shared" si="36"/>
        <v>0</v>
      </c>
      <c r="W36" s="533">
        <v>0</v>
      </c>
      <c r="X36" s="533">
        <v>0</v>
      </c>
      <c r="Y36" s="479">
        <f t="shared" si="37"/>
        <v>0</v>
      </c>
      <c r="Z36" s="533">
        <v>0</v>
      </c>
      <c r="AA36" s="533">
        <v>0</v>
      </c>
      <c r="AB36" s="479">
        <f t="shared" si="38"/>
        <v>0</v>
      </c>
      <c r="AC36" s="533">
        <v>0</v>
      </c>
      <c r="AD36" s="533">
        <v>0</v>
      </c>
      <c r="AE36" s="479">
        <f t="shared" si="39"/>
        <v>0</v>
      </c>
      <c r="AF36" s="434"/>
    </row>
    <row r="37" spans="1:32" s="434" customFormat="1" ht="30" hidden="1" customHeight="1">
      <c r="A37" s="474"/>
      <c r="B37" s="503"/>
      <c r="C37" s="504"/>
      <c r="D37" s="505" t="s">
        <v>103</v>
      </c>
      <c r="E37" s="533">
        <v>0</v>
      </c>
      <c r="F37" s="533">
        <v>0</v>
      </c>
      <c r="G37" s="479">
        <f t="shared" si="31"/>
        <v>0</v>
      </c>
      <c r="H37" s="533">
        <v>0</v>
      </c>
      <c r="I37" s="533">
        <v>0</v>
      </c>
      <c r="J37" s="479">
        <f t="shared" si="32"/>
        <v>0</v>
      </c>
      <c r="K37" s="533">
        <v>0</v>
      </c>
      <c r="L37" s="533">
        <v>0</v>
      </c>
      <c r="M37" s="479">
        <f t="shared" si="33"/>
        <v>0</v>
      </c>
      <c r="N37" s="533">
        <v>0</v>
      </c>
      <c r="O37" s="533">
        <v>0</v>
      </c>
      <c r="P37" s="479">
        <f t="shared" si="34"/>
        <v>0</v>
      </c>
      <c r="Q37" s="533">
        <v>0</v>
      </c>
      <c r="R37" s="533">
        <v>0</v>
      </c>
      <c r="S37" s="479">
        <f t="shared" si="35"/>
        <v>0</v>
      </c>
      <c r="T37" s="533">
        <v>0</v>
      </c>
      <c r="U37" s="533">
        <v>0</v>
      </c>
      <c r="V37" s="479">
        <f t="shared" si="36"/>
        <v>0</v>
      </c>
      <c r="W37" s="533">
        <v>0</v>
      </c>
      <c r="X37" s="533">
        <v>0</v>
      </c>
      <c r="Y37" s="479">
        <f t="shared" si="37"/>
        <v>0</v>
      </c>
      <c r="Z37" s="533">
        <v>0</v>
      </c>
      <c r="AA37" s="533">
        <v>0</v>
      </c>
      <c r="AB37" s="479">
        <f t="shared" si="38"/>
        <v>0</v>
      </c>
      <c r="AC37" s="533">
        <v>0</v>
      </c>
      <c r="AD37" s="533">
        <v>0</v>
      </c>
      <c r="AE37" s="479">
        <f t="shared" si="39"/>
        <v>0</v>
      </c>
    </row>
    <row r="38" spans="1:32" s="434" customFormat="1" ht="30" hidden="1" customHeight="1">
      <c r="A38" s="474"/>
      <c r="B38" s="503"/>
      <c r="C38" s="504"/>
      <c r="D38" s="505" t="s">
        <v>106</v>
      </c>
      <c r="E38" s="533">
        <v>0</v>
      </c>
      <c r="F38" s="533">
        <v>0</v>
      </c>
      <c r="G38" s="479">
        <f t="shared" si="31"/>
        <v>0</v>
      </c>
      <c r="H38" s="533">
        <v>0</v>
      </c>
      <c r="I38" s="533">
        <v>0</v>
      </c>
      <c r="J38" s="479">
        <f t="shared" si="32"/>
        <v>0</v>
      </c>
      <c r="K38" s="533">
        <v>0</v>
      </c>
      <c r="L38" s="533">
        <v>0</v>
      </c>
      <c r="M38" s="479">
        <f t="shared" si="33"/>
        <v>0</v>
      </c>
      <c r="N38" s="533">
        <v>0</v>
      </c>
      <c r="O38" s="533">
        <v>0</v>
      </c>
      <c r="P38" s="479">
        <f t="shared" si="34"/>
        <v>0</v>
      </c>
      <c r="Q38" s="533">
        <v>0</v>
      </c>
      <c r="R38" s="533">
        <v>0</v>
      </c>
      <c r="S38" s="479">
        <f t="shared" si="35"/>
        <v>0</v>
      </c>
      <c r="T38" s="533">
        <v>0</v>
      </c>
      <c r="U38" s="533">
        <v>0</v>
      </c>
      <c r="V38" s="479">
        <f t="shared" si="36"/>
        <v>0</v>
      </c>
      <c r="W38" s="533">
        <v>0</v>
      </c>
      <c r="X38" s="533">
        <v>0</v>
      </c>
      <c r="Y38" s="479">
        <f t="shared" si="37"/>
        <v>0</v>
      </c>
      <c r="Z38" s="533">
        <v>0</v>
      </c>
      <c r="AA38" s="533">
        <v>0</v>
      </c>
      <c r="AB38" s="479">
        <f t="shared" si="38"/>
        <v>0</v>
      </c>
      <c r="AC38" s="533">
        <v>0</v>
      </c>
      <c r="AD38" s="533">
        <v>0</v>
      </c>
      <c r="AE38" s="479">
        <f t="shared" si="39"/>
        <v>0</v>
      </c>
    </row>
    <row r="39" spans="1:32" s="434" customFormat="1" ht="30" hidden="1" customHeight="1">
      <c r="A39" s="474"/>
      <c r="B39" s="503"/>
      <c r="C39" s="504"/>
      <c r="D39" s="505" t="s">
        <v>107</v>
      </c>
      <c r="E39" s="533">
        <v>0</v>
      </c>
      <c r="F39" s="533">
        <v>0</v>
      </c>
      <c r="G39" s="479">
        <f t="shared" si="31"/>
        <v>0</v>
      </c>
      <c r="H39" s="533">
        <v>0</v>
      </c>
      <c r="I39" s="533">
        <v>0</v>
      </c>
      <c r="J39" s="479">
        <f t="shared" si="32"/>
        <v>0</v>
      </c>
      <c r="K39" s="533">
        <v>0</v>
      </c>
      <c r="L39" s="533">
        <v>0</v>
      </c>
      <c r="M39" s="479">
        <f t="shared" si="33"/>
        <v>0</v>
      </c>
      <c r="N39" s="533">
        <v>0</v>
      </c>
      <c r="O39" s="533">
        <v>0</v>
      </c>
      <c r="P39" s="479">
        <f t="shared" si="34"/>
        <v>0</v>
      </c>
      <c r="Q39" s="533">
        <v>0</v>
      </c>
      <c r="R39" s="533">
        <v>0</v>
      </c>
      <c r="S39" s="479">
        <f t="shared" si="35"/>
        <v>0</v>
      </c>
      <c r="T39" s="533">
        <v>0</v>
      </c>
      <c r="U39" s="533">
        <v>0</v>
      </c>
      <c r="V39" s="479">
        <f t="shared" si="36"/>
        <v>0</v>
      </c>
      <c r="W39" s="533">
        <v>0</v>
      </c>
      <c r="X39" s="533">
        <v>0</v>
      </c>
      <c r="Y39" s="479">
        <f t="shared" si="37"/>
        <v>0</v>
      </c>
      <c r="Z39" s="533">
        <v>0</v>
      </c>
      <c r="AA39" s="533">
        <v>0</v>
      </c>
      <c r="AB39" s="479">
        <f t="shared" si="38"/>
        <v>0</v>
      </c>
      <c r="AC39" s="533">
        <v>0</v>
      </c>
      <c r="AD39" s="533">
        <v>0</v>
      </c>
      <c r="AE39" s="479">
        <f t="shared" si="39"/>
        <v>0</v>
      </c>
    </row>
    <row r="40" spans="1:32" ht="26.25" hidden="1" customHeight="1">
      <c r="A40" s="495"/>
      <c r="B40" s="503"/>
      <c r="C40" s="510"/>
      <c r="D40" s="508" t="s">
        <v>109</v>
      </c>
      <c r="E40" s="499">
        <v>0</v>
      </c>
      <c r="F40" s="499">
        <v>0</v>
      </c>
      <c r="G40" s="479">
        <f t="shared" si="31"/>
        <v>0</v>
      </c>
      <c r="H40" s="499">
        <v>0</v>
      </c>
      <c r="I40" s="499">
        <v>0</v>
      </c>
      <c r="J40" s="479">
        <f t="shared" si="32"/>
        <v>0</v>
      </c>
      <c r="K40" s="499">
        <v>0</v>
      </c>
      <c r="L40" s="499">
        <v>0</v>
      </c>
      <c r="M40" s="479">
        <f t="shared" si="33"/>
        <v>0</v>
      </c>
      <c r="N40" s="499">
        <v>0</v>
      </c>
      <c r="O40" s="499">
        <v>0</v>
      </c>
      <c r="P40" s="479">
        <f t="shared" si="34"/>
        <v>0</v>
      </c>
      <c r="Q40" s="499">
        <v>0</v>
      </c>
      <c r="R40" s="499">
        <v>0</v>
      </c>
      <c r="S40" s="479">
        <f t="shared" si="35"/>
        <v>0</v>
      </c>
      <c r="T40" s="499">
        <v>0</v>
      </c>
      <c r="U40" s="499">
        <v>0</v>
      </c>
      <c r="V40" s="479">
        <f t="shared" si="36"/>
        <v>0</v>
      </c>
      <c r="W40" s="499">
        <v>0</v>
      </c>
      <c r="X40" s="499">
        <v>0</v>
      </c>
      <c r="Y40" s="479">
        <f t="shared" si="37"/>
        <v>0</v>
      </c>
      <c r="Z40" s="499">
        <v>0</v>
      </c>
      <c r="AA40" s="499">
        <v>0</v>
      </c>
      <c r="AB40" s="479">
        <f t="shared" si="38"/>
        <v>0</v>
      </c>
      <c r="AC40" s="499">
        <v>0</v>
      </c>
      <c r="AD40" s="499">
        <v>0</v>
      </c>
      <c r="AE40" s="479">
        <f t="shared" si="39"/>
        <v>0</v>
      </c>
      <c r="AF40" s="434"/>
    </row>
    <row r="41" spans="1:32" ht="23.1" hidden="1" customHeight="1">
      <c r="A41" s="495"/>
      <c r="B41" s="503"/>
      <c r="C41" s="504">
        <v>100133676</v>
      </c>
      <c r="D41" s="511" t="s">
        <v>25</v>
      </c>
      <c r="E41" s="499">
        <v>0</v>
      </c>
      <c r="F41" s="499">
        <v>0</v>
      </c>
      <c r="G41" s="479">
        <f t="shared" si="31"/>
        <v>0</v>
      </c>
      <c r="H41" s="499">
        <v>0</v>
      </c>
      <c r="I41" s="499">
        <v>0</v>
      </c>
      <c r="J41" s="479">
        <f t="shared" si="32"/>
        <v>0</v>
      </c>
      <c r="K41" s="499">
        <v>0</v>
      </c>
      <c r="L41" s="499">
        <v>0</v>
      </c>
      <c r="M41" s="479">
        <f t="shared" si="33"/>
        <v>0</v>
      </c>
      <c r="N41" s="499">
        <v>0</v>
      </c>
      <c r="O41" s="499">
        <v>0</v>
      </c>
      <c r="P41" s="479">
        <f t="shared" si="34"/>
        <v>0</v>
      </c>
      <c r="Q41" s="499">
        <v>0</v>
      </c>
      <c r="R41" s="499">
        <v>0</v>
      </c>
      <c r="S41" s="479">
        <f t="shared" si="35"/>
        <v>0</v>
      </c>
      <c r="T41" s="499">
        <v>0</v>
      </c>
      <c r="U41" s="499">
        <v>0</v>
      </c>
      <c r="V41" s="479">
        <f t="shared" si="36"/>
        <v>0</v>
      </c>
      <c r="W41" s="499">
        <v>0</v>
      </c>
      <c r="X41" s="499">
        <v>0</v>
      </c>
      <c r="Y41" s="479">
        <f t="shared" si="37"/>
        <v>0</v>
      </c>
      <c r="Z41" s="499">
        <v>0</v>
      </c>
      <c r="AA41" s="499">
        <v>0</v>
      </c>
      <c r="AB41" s="479">
        <f t="shared" si="38"/>
        <v>0</v>
      </c>
      <c r="AC41" s="499">
        <v>0</v>
      </c>
      <c r="AD41" s="499">
        <v>0</v>
      </c>
      <c r="AE41" s="479">
        <f t="shared" si="39"/>
        <v>0</v>
      </c>
      <c r="AF41" s="434"/>
    </row>
    <row r="42" spans="1:32" ht="23.1" hidden="1" customHeight="1">
      <c r="A42" s="495"/>
      <c r="B42" s="503"/>
      <c r="C42" s="501">
        <v>100241577</v>
      </c>
      <c r="D42" s="511" t="s">
        <v>26</v>
      </c>
      <c r="E42" s="499">
        <v>0</v>
      </c>
      <c r="F42" s="499">
        <v>0</v>
      </c>
      <c r="G42" s="500">
        <f t="shared" si="31"/>
        <v>0</v>
      </c>
      <c r="H42" s="499">
        <v>0</v>
      </c>
      <c r="I42" s="499">
        <v>0</v>
      </c>
      <c r="J42" s="500">
        <f t="shared" si="32"/>
        <v>0</v>
      </c>
      <c r="K42" s="499">
        <v>0</v>
      </c>
      <c r="L42" s="499">
        <v>0</v>
      </c>
      <c r="M42" s="500">
        <f t="shared" si="33"/>
        <v>0</v>
      </c>
      <c r="N42" s="499">
        <v>0</v>
      </c>
      <c r="O42" s="499">
        <v>0</v>
      </c>
      <c r="P42" s="500">
        <f t="shared" si="34"/>
        <v>0</v>
      </c>
      <c r="Q42" s="499">
        <v>0</v>
      </c>
      <c r="R42" s="499">
        <v>0</v>
      </c>
      <c r="S42" s="500">
        <f t="shared" si="35"/>
        <v>0</v>
      </c>
      <c r="T42" s="499">
        <v>0</v>
      </c>
      <c r="U42" s="499">
        <v>0</v>
      </c>
      <c r="V42" s="500">
        <f t="shared" si="36"/>
        <v>0</v>
      </c>
      <c r="W42" s="499">
        <v>0</v>
      </c>
      <c r="X42" s="499">
        <v>0</v>
      </c>
      <c r="Y42" s="500">
        <f t="shared" si="37"/>
        <v>0</v>
      </c>
      <c r="Z42" s="499">
        <v>0</v>
      </c>
      <c r="AA42" s="499">
        <v>0</v>
      </c>
      <c r="AB42" s="500">
        <f t="shared" si="38"/>
        <v>0</v>
      </c>
      <c r="AC42" s="499">
        <v>0</v>
      </c>
      <c r="AD42" s="499">
        <v>0</v>
      </c>
      <c r="AE42" s="500">
        <f t="shared" si="39"/>
        <v>0</v>
      </c>
    </row>
    <row r="43" spans="1:32" ht="23.1" hidden="1" customHeight="1">
      <c r="A43" s="495"/>
      <c r="B43" s="503"/>
      <c r="C43" s="501">
        <v>100241605</v>
      </c>
      <c r="D43" s="512" t="s">
        <v>27</v>
      </c>
      <c r="E43" s="499">
        <v>0</v>
      </c>
      <c r="F43" s="499">
        <v>0</v>
      </c>
      <c r="G43" s="500">
        <f t="shared" si="31"/>
        <v>0</v>
      </c>
      <c r="H43" s="499">
        <v>0</v>
      </c>
      <c r="I43" s="499">
        <v>0</v>
      </c>
      <c r="J43" s="500">
        <f t="shared" si="32"/>
        <v>0</v>
      </c>
      <c r="K43" s="499">
        <v>0</v>
      </c>
      <c r="L43" s="499">
        <v>0</v>
      </c>
      <c r="M43" s="500">
        <f t="shared" si="33"/>
        <v>0</v>
      </c>
      <c r="N43" s="499">
        <v>0</v>
      </c>
      <c r="O43" s="499">
        <v>0</v>
      </c>
      <c r="P43" s="500">
        <f t="shared" si="34"/>
        <v>0</v>
      </c>
      <c r="Q43" s="499">
        <v>0</v>
      </c>
      <c r="R43" s="499">
        <v>0</v>
      </c>
      <c r="S43" s="500">
        <f t="shared" si="35"/>
        <v>0</v>
      </c>
      <c r="T43" s="499">
        <v>0</v>
      </c>
      <c r="U43" s="499">
        <v>0</v>
      </c>
      <c r="V43" s="500">
        <f t="shared" si="36"/>
        <v>0</v>
      </c>
      <c r="W43" s="499">
        <v>0</v>
      </c>
      <c r="X43" s="499">
        <v>0</v>
      </c>
      <c r="Y43" s="500">
        <f t="shared" si="37"/>
        <v>0</v>
      </c>
      <c r="Z43" s="499">
        <v>0</v>
      </c>
      <c r="AA43" s="499">
        <v>0</v>
      </c>
      <c r="AB43" s="500">
        <f t="shared" si="38"/>
        <v>0</v>
      </c>
      <c r="AC43" s="499">
        <v>0</v>
      </c>
      <c r="AD43" s="499">
        <v>0</v>
      </c>
      <c r="AE43" s="500">
        <f t="shared" si="39"/>
        <v>0</v>
      </c>
    </row>
    <row r="44" spans="1:32" ht="23.1" hidden="1" customHeight="1">
      <c r="A44" s="495"/>
      <c r="B44" s="503"/>
      <c r="C44" s="504">
        <v>100256094</v>
      </c>
      <c r="D44" s="511" t="s">
        <v>78</v>
      </c>
      <c r="E44" s="499">
        <v>0</v>
      </c>
      <c r="F44" s="499">
        <v>0</v>
      </c>
      <c r="G44" s="500">
        <f t="shared" si="31"/>
        <v>0</v>
      </c>
      <c r="H44" s="499">
        <v>0</v>
      </c>
      <c r="I44" s="499">
        <v>0</v>
      </c>
      <c r="J44" s="500">
        <f t="shared" si="32"/>
        <v>0</v>
      </c>
      <c r="K44" s="499">
        <v>0</v>
      </c>
      <c r="L44" s="499">
        <v>0</v>
      </c>
      <c r="M44" s="500">
        <f t="shared" si="33"/>
        <v>0</v>
      </c>
      <c r="N44" s="499">
        <v>0</v>
      </c>
      <c r="O44" s="499">
        <v>0</v>
      </c>
      <c r="P44" s="500">
        <f t="shared" si="34"/>
        <v>0</v>
      </c>
      <c r="Q44" s="499">
        <v>0</v>
      </c>
      <c r="R44" s="499">
        <v>0</v>
      </c>
      <c r="S44" s="500">
        <f t="shared" si="35"/>
        <v>0</v>
      </c>
      <c r="T44" s="499">
        <v>0</v>
      </c>
      <c r="U44" s="499">
        <v>0</v>
      </c>
      <c r="V44" s="500">
        <f t="shared" si="36"/>
        <v>0</v>
      </c>
      <c r="W44" s="499">
        <v>0</v>
      </c>
      <c r="X44" s="499">
        <v>0</v>
      </c>
      <c r="Y44" s="500">
        <f t="shared" si="37"/>
        <v>0</v>
      </c>
      <c r="Z44" s="499">
        <v>0</v>
      </c>
      <c r="AA44" s="499">
        <v>0</v>
      </c>
      <c r="AB44" s="500">
        <f t="shared" si="38"/>
        <v>0</v>
      </c>
      <c r="AC44" s="499">
        <v>0</v>
      </c>
      <c r="AD44" s="499">
        <v>0</v>
      </c>
      <c r="AE44" s="500">
        <f t="shared" si="39"/>
        <v>0</v>
      </c>
    </row>
    <row r="45" spans="1:32" ht="23.1" hidden="1" customHeight="1">
      <c r="A45" s="495"/>
      <c r="B45" s="503"/>
      <c r="C45" s="504">
        <v>100255935</v>
      </c>
      <c r="D45" s="511" t="s">
        <v>79</v>
      </c>
      <c r="E45" s="499">
        <v>0</v>
      </c>
      <c r="F45" s="499">
        <v>0</v>
      </c>
      <c r="G45" s="500">
        <f t="shared" si="31"/>
        <v>0</v>
      </c>
      <c r="H45" s="499">
        <v>0</v>
      </c>
      <c r="I45" s="499">
        <v>0</v>
      </c>
      <c r="J45" s="500">
        <f t="shared" si="32"/>
        <v>0</v>
      </c>
      <c r="K45" s="499">
        <v>0</v>
      </c>
      <c r="L45" s="499">
        <v>0</v>
      </c>
      <c r="M45" s="500">
        <f t="shared" si="33"/>
        <v>0</v>
      </c>
      <c r="N45" s="499">
        <v>0</v>
      </c>
      <c r="O45" s="499">
        <v>0</v>
      </c>
      <c r="P45" s="500">
        <f t="shared" si="34"/>
        <v>0</v>
      </c>
      <c r="Q45" s="499">
        <v>0</v>
      </c>
      <c r="R45" s="499">
        <v>0</v>
      </c>
      <c r="S45" s="500">
        <f t="shared" si="35"/>
        <v>0</v>
      </c>
      <c r="T45" s="499">
        <v>0</v>
      </c>
      <c r="U45" s="499">
        <v>0</v>
      </c>
      <c r="V45" s="500">
        <f t="shared" si="36"/>
        <v>0</v>
      </c>
      <c r="W45" s="499">
        <v>0</v>
      </c>
      <c r="X45" s="499">
        <v>0</v>
      </c>
      <c r="Y45" s="500">
        <f t="shared" si="37"/>
        <v>0</v>
      </c>
      <c r="Z45" s="499">
        <v>0</v>
      </c>
      <c r="AA45" s="499">
        <v>0</v>
      </c>
      <c r="AB45" s="500">
        <f t="shared" si="38"/>
        <v>0</v>
      </c>
      <c r="AC45" s="499">
        <v>0</v>
      </c>
      <c r="AD45" s="499">
        <v>0</v>
      </c>
      <c r="AE45" s="500">
        <f t="shared" si="39"/>
        <v>0</v>
      </c>
    </row>
    <row r="46" spans="1:32" ht="20.100000000000001" hidden="1" customHeight="1" thickBot="1">
      <c r="A46" s="513"/>
      <c r="B46" s="514"/>
      <c r="C46" s="491"/>
      <c r="D46" s="515" t="s">
        <v>12</v>
      </c>
      <c r="E46" s="516">
        <f>SUM(E25:E45)</f>
        <v>0</v>
      </c>
      <c r="F46" s="516">
        <f>SUM(F25:F45)</f>
        <v>0</v>
      </c>
      <c r="G46" s="517">
        <f t="shared" si="31"/>
        <v>0</v>
      </c>
      <c r="H46" s="516">
        <f>SUM(H25:H45)</f>
        <v>0</v>
      </c>
      <c r="I46" s="516">
        <f>SUM(I25:I45)</f>
        <v>0</v>
      </c>
      <c r="J46" s="517">
        <f t="shared" si="32"/>
        <v>0</v>
      </c>
      <c r="K46" s="516">
        <f>SUM(K25:K45)</f>
        <v>0</v>
      </c>
      <c r="L46" s="516">
        <f>SUM(L25:L45)</f>
        <v>0</v>
      </c>
      <c r="M46" s="517">
        <f t="shared" si="33"/>
        <v>0</v>
      </c>
      <c r="N46" s="516">
        <f>SUM(N25:N45)</f>
        <v>0</v>
      </c>
      <c r="O46" s="516">
        <f>SUM(O25:O45)</f>
        <v>0</v>
      </c>
      <c r="P46" s="517">
        <f t="shared" si="34"/>
        <v>0</v>
      </c>
      <c r="Q46" s="516">
        <f>SUM(Q25:Q45)</f>
        <v>0</v>
      </c>
      <c r="R46" s="516">
        <f>SUM(R25:R45)</f>
        <v>0</v>
      </c>
      <c r="S46" s="517">
        <f t="shared" si="35"/>
        <v>0</v>
      </c>
      <c r="T46" s="516">
        <f>SUM(T25:T45)</f>
        <v>0</v>
      </c>
      <c r="U46" s="516">
        <f>SUM(U25:U45)</f>
        <v>0</v>
      </c>
      <c r="V46" s="517">
        <f t="shared" si="36"/>
        <v>0</v>
      </c>
      <c r="W46" s="516">
        <f>SUM(W25:W45)</f>
        <v>0</v>
      </c>
      <c r="X46" s="516">
        <f>SUM(X25:X45)</f>
        <v>0</v>
      </c>
      <c r="Y46" s="517">
        <f t="shared" si="37"/>
        <v>0</v>
      </c>
      <c r="Z46" s="516">
        <f>SUM(Z25:Z45)</f>
        <v>0</v>
      </c>
      <c r="AA46" s="516">
        <f>SUM(AA25:AA45)</f>
        <v>0</v>
      </c>
      <c r="AB46" s="517">
        <f t="shared" si="38"/>
        <v>0</v>
      </c>
      <c r="AC46" s="516">
        <f>SUM(AC25:AC45)</f>
        <v>0</v>
      </c>
      <c r="AD46" s="516">
        <f>SUM(AD25:AD45)</f>
        <v>0</v>
      </c>
      <c r="AE46" s="517">
        <f t="shared" si="39"/>
        <v>0</v>
      </c>
    </row>
    <row r="47" spans="1:32" ht="20.100000000000001" customHeight="1" thickBot="1">
      <c r="A47" s="469"/>
      <c r="B47" s="470"/>
      <c r="C47" s="518"/>
      <c r="D47" s="519" t="s">
        <v>28</v>
      </c>
      <c r="E47" s="520">
        <f>E46+E24</f>
        <v>880.42900000000009</v>
      </c>
      <c r="F47" s="520">
        <f>F46+F24</f>
        <v>880.42900000000009</v>
      </c>
      <c r="G47" s="521">
        <f t="shared" ref="G47" si="40">G46+G24</f>
        <v>0</v>
      </c>
      <c r="H47" s="520">
        <f>H46+H24</f>
        <v>1347.2270000000001</v>
      </c>
      <c r="I47" s="520">
        <f>I46+I24</f>
        <v>1347.2270000000001</v>
      </c>
      <c r="J47" s="521">
        <f t="shared" ref="J47" si="41">J46+J24</f>
        <v>0</v>
      </c>
      <c r="K47" s="520">
        <f>K46+K24</f>
        <v>1426.8530000000001</v>
      </c>
      <c r="L47" s="520">
        <f>L46+L24</f>
        <v>1426.8530000000001</v>
      </c>
      <c r="M47" s="521">
        <f t="shared" ref="M47" si="42">M46+M24</f>
        <v>0</v>
      </c>
      <c r="N47" s="520">
        <f>N46+N24</f>
        <v>514.9</v>
      </c>
      <c r="O47" s="520">
        <f>O46+O24</f>
        <v>538.08899999999994</v>
      </c>
      <c r="P47" s="521">
        <f t="shared" ref="P47" si="43">P46+P24</f>
        <v>23.188999999999965</v>
      </c>
      <c r="Q47" s="520">
        <f>Q46+Q24</f>
        <v>1456</v>
      </c>
      <c r="R47" s="520">
        <f>R46+R24</f>
        <v>1260</v>
      </c>
      <c r="S47" s="521">
        <f t="shared" ref="S47" si="44">S46+S24</f>
        <v>-196</v>
      </c>
      <c r="T47" s="520">
        <f>T46+T24</f>
        <v>2781.1</v>
      </c>
      <c r="U47" s="520">
        <f>U46+U24</f>
        <v>1838</v>
      </c>
      <c r="V47" s="521">
        <f t="shared" ref="V47" si="45">V46+V24</f>
        <v>-943.09999999999991</v>
      </c>
      <c r="W47" s="520">
        <f>W46+W24</f>
        <v>1663</v>
      </c>
      <c r="X47" s="520">
        <f>X46+X24</f>
        <v>1154</v>
      </c>
      <c r="Y47" s="521">
        <f t="shared" ref="Y47" si="46">Y46+Y24</f>
        <v>-509</v>
      </c>
      <c r="Z47" s="520">
        <f>Z46+Z24</f>
        <v>1775</v>
      </c>
      <c r="AA47" s="520">
        <f>AA46+AA24</f>
        <v>1960</v>
      </c>
      <c r="AB47" s="521">
        <f t="shared" ref="AB47" si="47">AB46+AB24</f>
        <v>185</v>
      </c>
      <c r="AC47" s="520">
        <f>AC46+AC24</f>
        <v>1595</v>
      </c>
      <c r="AD47" s="520">
        <f>AD46+AD24</f>
        <v>1503</v>
      </c>
      <c r="AE47" s="521">
        <f t="shared" ref="AE47" si="48">AE46+AE24</f>
        <v>-92</v>
      </c>
    </row>
    <row r="48" spans="1:32" ht="20.100000000000001" customHeight="1" thickBot="1">
      <c r="B48" s="434"/>
      <c r="C48" s="434"/>
      <c r="E48" s="522"/>
      <c r="F48" s="522"/>
      <c r="G48" s="472"/>
      <c r="H48" s="522"/>
      <c r="I48" s="522"/>
      <c r="J48" s="472"/>
      <c r="K48" s="522"/>
      <c r="L48" s="522"/>
      <c r="M48" s="472"/>
      <c r="N48" s="522"/>
      <c r="O48" s="522"/>
      <c r="P48" s="472"/>
      <c r="Q48" s="522"/>
      <c r="R48" s="522"/>
      <c r="S48" s="472"/>
      <c r="T48" s="522"/>
      <c r="U48" s="522"/>
      <c r="V48" s="472"/>
      <c r="W48" s="522"/>
      <c r="X48" s="522"/>
      <c r="Y48" s="472"/>
      <c r="Z48" s="522"/>
      <c r="AA48" s="522"/>
      <c r="AB48" s="472"/>
      <c r="AC48" s="522"/>
      <c r="AD48" s="522"/>
      <c r="AE48" s="472"/>
    </row>
    <row r="49" spans="1:31" ht="23.1" customHeight="1">
      <c r="A49" s="523">
        <v>3</v>
      </c>
      <c r="B49" s="524" t="s">
        <v>14</v>
      </c>
      <c r="C49" s="525">
        <v>100087443</v>
      </c>
      <c r="D49" s="526" t="s">
        <v>34</v>
      </c>
      <c r="E49" s="527">
        <v>223.70599999999999</v>
      </c>
      <c r="F49" s="527">
        <v>223.70599999999999</v>
      </c>
      <c r="G49" s="528">
        <f t="shared" ref="G49:G56" si="49">F49-E49</f>
        <v>0</v>
      </c>
      <c r="H49" s="527">
        <v>220.90299999999999</v>
      </c>
      <c r="I49" s="527">
        <v>220.90299999999999</v>
      </c>
      <c r="J49" s="528">
        <f t="shared" ref="J49:J56" si="50">I49-H49</f>
        <v>0</v>
      </c>
      <c r="K49" s="527">
        <v>54</v>
      </c>
      <c r="L49" s="527">
        <v>54</v>
      </c>
      <c r="M49" s="528">
        <f t="shared" ref="M49:M56" si="51">L49-K49</f>
        <v>0</v>
      </c>
      <c r="N49" s="527">
        <v>200</v>
      </c>
      <c r="O49" s="527">
        <v>138.30000000000001</v>
      </c>
      <c r="P49" s="528">
        <f t="shared" ref="P49:P56" si="52">O49-N49</f>
        <v>-61.699999999999989</v>
      </c>
      <c r="Q49" s="527">
        <v>200</v>
      </c>
      <c r="R49" s="527">
        <v>200</v>
      </c>
      <c r="S49" s="707">
        <f t="shared" ref="S49:S56" si="53">R49-Q49</f>
        <v>0</v>
      </c>
      <c r="T49" s="527">
        <v>200</v>
      </c>
      <c r="U49" s="527">
        <v>200</v>
      </c>
      <c r="V49" s="528">
        <f t="shared" ref="V49:V56" si="54">U49-T49</f>
        <v>0</v>
      </c>
      <c r="W49" s="527">
        <v>250</v>
      </c>
      <c r="X49" s="527">
        <v>250</v>
      </c>
      <c r="Y49" s="707">
        <f t="shared" ref="Y49:Y56" si="55">X49-W49</f>
        <v>0</v>
      </c>
      <c r="Z49" s="712">
        <v>300</v>
      </c>
      <c r="AA49" s="712">
        <v>300</v>
      </c>
      <c r="AB49" s="707">
        <f t="shared" ref="AB49:AB56" si="56">AA49-Z49</f>
        <v>0</v>
      </c>
      <c r="AC49" s="712">
        <v>270</v>
      </c>
      <c r="AD49" s="712">
        <v>270</v>
      </c>
      <c r="AE49" s="707">
        <f t="shared" ref="AE49:AE56" si="57">AD49-AC49</f>
        <v>0</v>
      </c>
    </row>
    <row r="50" spans="1:31" ht="23.1" customHeight="1">
      <c r="A50" s="459"/>
      <c r="B50" s="457"/>
      <c r="C50" s="529"/>
      <c r="D50" s="530" t="s">
        <v>80</v>
      </c>
      <c r="E50" s="533">
        <v>104.494</v>
      </c>
      <c r="F50" s="533">
        <v>104.494</v>
      </c>
      <c r="G50" s="479">
        <f t="shared" si="49"/>
        <v>0</v>
      </c>
      <c r="H50" s="533">
        <v>57.497</v>
      </c>
      <c r="I50" s="533">
        <v>57.497</v>
      </c>
      <c r="J50" s="479">
        <f t="shared" si="50"/>
        <v>0</v>
      </c>
      <c r="K50" s="533">
        <v>119.4</v>
      </c>
      <c r="L50" s="533">
        <v>119.4</v>
      </c>
      <c r="M50" s="479">
        <f t="shared" si="51"/>
        <v>0</v>
      </c>
      <c r="N50" s="533">
        <v>65</v>
      </c>
      <c r="O50" s="533">
        <v>161.4</v>
      </c>
      <c r="P50" s="479">
        <f t="shared" si="52"/>
        <v>96.4</v>
      </c>
      <c r="Q50" s="533">
        <v>140</v>
      </c>
      <c r="R50" s="533">
        <v>110</v>
      </c>
      <c r="S50" s="708">
        <f t="shared" si="53"/>
        <v>-30</v>
      </c>
      <c r="T50" s="533">
        <v>140</v>
      </c>
      <c r="U50" s="533">
        <v>170</v>
      </c>
      <c r="V50" s="479">
        <f t="shared" si="54"/>
        <v>30</v>
      </c>
      <c r="W50" s="533">
        <v>150</v>
      </c>
      <c r="X50" s="533">
        <v>150</v>
      </c>
      <c r="Y50" s="708">
        <f t="shared" si="55"/>
        <v>0</v>
      </c>
      <c r="Z50" s="713">
        <v>150</v>
      </c>
      <c r="AA50" s="713">
        <v>150</v>
      </c>
      <c r="AB50" s="708">
        <f t="shared" si="56"/>
        <v>0</v>
      </c>
      <c r="AC50" s="713">
        <v>100</v>
      </c>
      <c r="AD50" s="713">
        <v>100</v>
      </c>
      <c r="AE50" s="708">
        <f t="shared" si="57"/>
        <v>0</v>
      </c>
    </row>
    <row r="51" spans="1:31" ht="23.1" customHeight="1">
      <c r="A51" s="459"/>
      <c r="B51" s="457"/>
      <c r="C51" s="531"/>
      <c r="D51" s="532" t="s">
        <v>63</v>
      </c>
      <c r="E51" s="533">
        <v>160.70400000000001</v>
      </c>
      <c r="F51" s="533">
        <v>160.70400000000001</v>
      </c>
      <c r="G51" s="479">
        <f t="shared" si="49"/>
        <v>0</v>
      </c>
      <c r="H51" s="533">
        <v>116.64</v>
      </c>
      <c r="I51" s="533">
        <v>116.64</v>
      </c>
      <c r="J51" s="479">
        <f t="shared" si="50"/>
        <v>0</v>
      </c>
      <c r="K51" s="533">
        <v>85.59</v>
      </c>
      <c r="L51" s="533">
        <v>85.59</v>
      </c>
      <c r="M51" s="479">
        <f t="shared" si="51"/>
        <v>0</v>
      </c>
      <c r="N51" s="533">
        <v>93</v>
      </c>
      <c r="O51" s="533">
        <v>101.03400000000001</v>
      </c>
      <c r="P51" s="479">
        <f t="shared" si="52"/>
        <v>8.034000000000006</v>
      </c>
      <c r="Q51" s="533">
        <v>130</v>
      </c>
      <c r="R51" s="533">
        <v>120</v>
      </c>
      <c r="S51" s="708">
        <f t="shared" si="53"/>
        <v>-10</v>
      </c>
      <c r="T51" s="533">
        <v>120</v>
      </c>
      <c r="U51" s="533">
        <v>108</v>
      </c>
      <c r="V51" s="479">
        <f t="shared" si="54"/>
        <v>-12</v>
      </c>
      <c r="W51" s="533">
        <v>120</v>
      </c>
      <c r="X51" s="533">
        <v>120</v>
      </c>
      <c r="Y51" s="708">
        <f t="shared" si="55"/>
        <v>0</v>
      </c>
      <c r="Z51" s="713">
        <v>150</v>
      </c>
      <c r="AA51" s="713">
        <v>150</v>
      </c>
      <c r="AB51" s="708">
        <f t="shared" si="56"/>
        <v>0</v>
      </c>
      <c r="AC51" s="713">
        <v>110</v>
      </c>
      <c r="AD51" s="713">
        <v>110</v>
      </c>
      <c r="AE51" s="708">
        <f t="shared" si="57"/>
        <v>0</v>
      </c>
    </row>
    <row r="52" spans="1:31" ht="23.1" customHeight="1">
      <c r="A52" s="459"/>
      <c r="B52" s="457"/>
      <c r="C52" s="460"/>
      <c r="D52" s="477" t="s">
        <v>48</v>
      </c>
      <c r="E52" s="533">
        <v>116.813</v>
      </c>
      <c r="F52" s="533">
        <v>116.813</v>
      </c>
      <c r="G52" s="479">
        <f t="shared" si="49"/>
        <v>0</v>
      </c>
      <c r="H52" s="533">
        <v>54.081000000000003</v>
      </c>
      <c r="I52" s="533">
        <v>54.081000000000003</v>
      </c>
      <c r="J52" s="479">
        <f t="shared" si="50"/>
        <v>0</v>
      </c>
      <c r="K52" s="533">
        <v>54.975000000000001</v>
      </c>
      <c r="L52" s="533">
        <v>54.975000000000001</v>
      </c>
      <c r="M52" s="479">
        <f t="shared" si="51"/>
        <v>0</v>
      </c>
      <c r="N52" s="533">
        <v>61</v>
      </c>
      <c r="O52" s="533">
        <v>62.831000000000003</v>
      </c>
      <c r="P52" s="479">
        <f t="shared" si="52"/>
        <v>1.8310000000000031</v>
      </c>
      <c r="Q52" s="533">
        <v>86</v>
      </c>
      <c r="R52" s="533">
        <v>45</v>
      </c>
      <c r="S52" s="708">
        <f t="shared" si="53"/>
        <v>-41</v>
      </c>
      <c r="T52" s="533">
        <v>160</v>
      </c>
      <c r="U52" s="533">
        <v>77</v>
      </c>
      <c r="V52" s="479">
        <f t="shared" si="54"/>
        <v>-83</v>
      </c>
      <c r="W52" s="533">
        <v>150</v>
      </c>
      <c r="X52" s="533">
        <v>129</v>
      </c>
      <c r="Y52" s="708">
        <f t="shared" si="55"/>
        <v>-21</v>
      </c>
      <c r="Z52" s="713">
        <v>170</v>
      </c>
      <c r="AA52" s="713">
        <v>167</v>
      </c>
      <c r="AB52" s="708">
        <f t="shared" si="56"/>
        <v>-3</v>
      </c>
      <c r="AC52" s="713">
        <v>130</v>
      </c>
      <c r="AD52" s="713">
        <v>130</v>
      </c>
      <c r="AE52" s="708">
        <f t="shared" si="57"/>
        <v>0</v>
      </c>
    </row>
    <row r="53" spans="1:31" ht="23.1" customHeight="1">
      <c r="A53" s="459"/>
      <c r="B53" s="457"/>
      <c r="C53" s="460">
        <v>100142895</v>
      </c>
      <c r="D53" s="477" t="s">
        <v>35</v>
      </c>
      <c r="E53" s="533">
        <v>114.2</v>
      </c>
      <c r="F53" s="533">
        <v>114.2</v>
      </c>
      <c r="G53" s="479">
        <f t="shared" si="49"/>
        <v>0</v>
      </c>
      <c r="H53" s="533">
        <v>127.956</v>
      </c>
      <c r="I53" s="533">
        <v>127.956</v>
      </c>
      <c r="J53" s="479">
        <f t="shared" si="50"/>
        <v>0</v>
      </c>
      <c r="K53" s="533">
        <v>35.674999999999997</v>
      </c>
      <c r="L53" s="533">
        <v>35.674999999999997</v>
      </c>
      <c r="M53" s="479">
        <f t="shared" si="51"/>
        <v>0</v>
      </c>
      <c r="N53" s="533">
        <v>25</v>
      </c>
      <c r="O53" s="533">
        <v>45.424999999999997</v>
      </c>
      <c r="P53" s="479">
        <f t="shared" si="52"/>
        <v>20.424999999999997</v>
      </c>
      <c r="Q53" s="533">
        <v>100</v>
      </c>
      <c r="R53" s="533">
        <v>44.2</v>
      </c>
      <c r="S53" s="708">
        <f t="shared" si="53"/>
        <v>-55.8</v>
      </c>
      <c r="T53" s="533">
        <v>100</v>
      </c>
      <c r="U53" s="533">
        <v>120.7</v>
      </c>
      <c r="V53" s="479">
        <f t="shared" si="54"/>
        <v>20.700000000000003</v>
      </c>
      <c r="W53" s="533">
        <v>200</v>
      </c>
      <c r="X53" s="533">
        <v>140</v>
      </c>
      <c r="Y53" s="708">
        <f t="shared" si="55"/>
        <v>-60</v>
      </c>
      <c r="Z53" s="713">
        <v>178</v>
      </c>
      <c r="AA53" s="713">
        <v>160</v>
      </c>
      <c r="AB53" s="708">
        <f t="shared" si="56"/>
        <v>-18</v>
      </c>
      <c r="AC53" s="713">
        <v>135</v>
      </c>
      <c r="AD53" s="713">
        <v>135</v>
      </c>
      <c r="AE53" s="708">
        <f t="shared" si="57"/>
        <v>0</v>
      </c>
    </row>
    <row r="54" spans="1:31" ht="23.1" customHeight="1">
      <c r="A54" s="459"/>
      <c r="B54" s="457"/>
      <c r="C54" s="534"/>
      <c r="D54" s="477" t="s">
        <v>49</v>
      </c>
      <c r="E54" s="533">
        <v>10.5</v>
      </c>
      <c r="F54" s="533">
        <v>10.5</v>
      </c>
      <c r="G54" s="479">
        <f t="shared" si="49"/>
        <v>0</v>
      </c>
      <c r="H54" s="533">
        <v>0</v>
      </c>
      <c r="I54" s="533">
        <v>0</v>
      </c>
      <c r="J54" s="479">
        <f t="shared" si="50"/>
        <v>0</v>
      </c>
      <c r="K54" s="533">
        <v>35.700000000000003</v>
      </c>
      <c r="L54" s="533">
        <v>35.700000000000003</v>
      </c>
      <c r="M54" s="479">
        <f t="shared" si="51"/>
        <v>0</v>
      </c>
      <c r="N54" s="533">
        <v>25</v>
      </c>
      <c r="O54" s="533">
        <v>5.15</v>
      </c>
      <c r="P54" s="479">
        <f t="shared" si="52"/>
        <v>-19.850000000000001</v>
      </c>
      <c r="Q54" s="533">
        <v>13</v>
      </c>
      <c r="R54" s="533">
        <v>39</v>
      </c>
      <c r="S54" s="708">
        <f t="shared" si="53"/>
        <v>26</v>
      </c>
      <c r="T54" s="533">
        <v>80</v>
      </c>
      <c r="U54" s="533">
        <v>85</v>
      </c>
      <c r="V54" s="479">
        <f t="shared" si="54"/>
        <v>5</v>
      </c>
      <c r="W54" s="533">
        <v>0</v>
      </c>
      <c r="X54" s="533">
        <v>46.96</v>
      </c>
      <c r="Y54" s="708">
        <f t="shared" si="55"/>
        <v>46.96</v>
      </c>
      <c r="Z54" s="713">
        <v>0</v>
      </c>
      <c r="AA54" s="713">
        <v>0</v>
      </c>
      <c r="AB54" s="708">
        <f t="shared" si="56"/>
        <v>0</v>
      </c>
      <c r="AC54" s="713">
        <v>0</v>
      </c>
      <c r="AD54" s="713">
        <v>0</v>
      </c>
      <c r="AE54" s="708">
        <f t="shared" si="57"/>
        <v>0</v>
      </c>
    </row>
    <row r="55" spans="1:31" ht="22.5" customHeight="1" thickBot="1">
      <c r="A55" s="456"/>
      <c r="B55" s="457"/>
      <c r="C55" s="535">
        <v>100144400</v>
      </c>
      <c r="D55" s="536" t="s">
        <v>36</v>
      </c>
      <c r="E55" s="641">
        <v>80.075000000000003</v>
      </c>
      <c r="F55" s="641">
        <v>80.075000000000003</v>
      </c>
      <c r="G55" s="488">
        <f t="shared" si="49"/>
        <v>0</v>
      </c>
      <c r="H55" s="641">
        <v>320</v>
      </c>
      <c r="I55" s="641">
        <v>320</v>
      </c>
      <c r="J55" s="488">
        <f t="shared" si="50"/>
        <v>0</v>
      </c>
      <c r="K55" s="641">
        <v>68</v>
      </c>
      <c r="L55" s="641">
        <v>68</v>
      </c>
      <c r="M55" s="488">
        <f t="shared" si="51"/>
        <v>0</v>
      </c>
      <c r="N55" s="641">
        <v>80</v>
      </c>
      <c r="O55" s="641">
        <v>80</v>
      </c>
      <c r="P55" s="488">
        <f t="shared" si="52"/>
        <v>0</v>
      </c>
      <c r="Q55" s="641">
        <v>94</v>
      </c>
      <c r="R55" s="641">
        <v>80</v>
      </c>
      <c r="S55" s="709">
        <f t="shared" si="53"/>
        <v>-14</v>
      </c>
      <c r="T55" s="641">
        <v>94</v>
      </c>
      <c r="U55" s="641">
        <v>140</v>
      </c>
      <c r="V55" s="488">
        <f t="shared" si="54"/>
        <v>46</v>
      </c>
      <c r="W55" s="641">
        <v>160</v>
      </c>
      <c r="X55" s="641">
        <v>160</v>
      </c>
      <c r="Y55" s="709">
        <f t="shared" si="55"/>
        <v>0</v>
      </c>
      <c r="Z55" s="714">
        <v>140</v>
      </c>
      <c r="AA55" s="714">
        <v>140</v>
      </c>
      <c r="AB55" s="709">
        <f t="shared" si="56"/>
        <v>0</v>
      </c>
      <c r="AC55" s="714">
        <v>140</v>
      </c>
      <c r="AD55" s="714">
        <v>140</v>
      </c>
      <c r="AE55" s="709">
        <f t="shared" si="57"/>
        <v>0</v>
      </c>
    </row>
    <row r="56" spans="1:31" s="434" customFormat="1" ht="23.1" customHeight="1" thickBot="1">
      <c r="A56" s="466"/>
      <c r="B56" s="467"/>
      <c r="C56" s="673"/>
      <c r="D56" s="674" t="s">
        <v>50</v>
      </c>
      <c r="E56" s="541">
        <f>SUM(E49:E55)</f>
        <v>810.49200000000008</v>
      </c>
      <c r="F56" s="541">
        <f>SUM(F49:F55)</f>
        <v>810.49200000000008</v>
      </c>
      <c r="G56" s="675">
        <f t="shared" si="49"/>
        <v>0</v>
      </c>
      <c r="H56" s="541">
        <f>SUM(H49:H55)</f>
        <v>897.077</v>
      </c>
      <c r="I56" s="541">
        <f>SUM(I49:I55)</f>
        <v>897.077</v>
      </c>
      <c r="J56" s="675">
        <f t="shared" si="50"/>
        <v>0</v>
      </c>
      <c r="K56" s="541">
        <f>SUM(K49:K55)</f>
        <v>453.34000000000003</v>
      </c>
      <c r="L56" s="541">
        <f>SUM(L49:L55)</f>
        <v>453.34000000000003</v>
      </c>
      <c r="M56" s="676">
        <f t="shared" si="51"/>
        <v>0</v>
      </c>
      <c r="N56" s="541">
        <f>SUM(N49:N55)</f>
        <v>549</v>
      </c>
      <c r="O56" s="541">
        <f>SUM(O49:O55)</f>
        <v>594.1400000000001</v>
      </c>
      <c r="P56" s="676">
        <f t="shared" si="52"/>
        <v>45.1400000000001</v>
      </c>
      <c r="Q56" s="541">
        <f>SUM(Q49:Q55)</f>
        <v>763</v>
      </c>
      <c r="R56" s="541">
        <f>SUM(R49:R55)</f>
        <v>638.20000000000005</v>
      </c>
      <c r="S56" s="711">
        <f t="shared" si="53"/>
        <v>-124.79999999999995</v>
      </c>
      <c r="T56" s="541">
        <f>SUM(T49:T55)</f>
        <v>894</v>
      </c>
      <c r="U56" s="541">
        <f>SUM(U49:U55)</f>
        <v>900.7</v>
      </c>
      <c r="V56" s="676">
        <f t="shared" si="54"/>
        <v>6.7000000000000455</v>
      </c>
      <c r="W56" s="541">
        <f>SUM(W49:W55)</f>
        <v>1030</v>
      </c>
      <c r="X56" s="541">
        <f>SUM(X49:X55)</f>
        <v>995.96</v>
      </c>
      <c r="Y56" s="711">
        <f t="shared" si="55"/>
        <v>-34.039999999999964</v>
      </c>
      <c r="Z56" s="715">
        <f>SUM(Z49:Z55)</f>
        <v>1088</v>
      </c>
      <c r="AA56" s="715">
        <f>SUM(AA49:AA55)</f>
        <v>1067</v>
      </c>
      <c r="AB56" s="711">
        <f t="shared" si="56"/>
        <v>-21</v>
      </c>
      <c r="AC56" s="715">
        <f>SUM(AC49:AC55)</f>
        <v>885</v>
      </c>
      <c r="AD56" s="715">
        <f>SUM(AD49:AD55)</f>
        <v>885</v>
      </c>
      <c r="AE56" s="711">
        <f t="shared" si="57"/>
        <v>0</v>
      </c>
    </row>
    <row r="57" spans="1:31" s="434" customFormat="1" ht="7.5" customHeight="1" thickBot="1">
      <c r="A57" s="503"/>
      <c r="B57" s="503"/>
      <c r="C57" s="543"/>
      <c r="D57" s="503"/>
      <c r="E57" s="544"/>
      <c r="F57" s="544"/>
      <c r="G57" s="545"/>
      <c r="H57" s="544"/>
      <c r="I57" s="544"/>
      <c r="J57" s="545"/>
      <c r="K57" s="544"/>
      <c r="L57" s="544"/>
      <c r="M57" s="545"/>
      <c r="N57" s="544"/>
      <c r="O57" s="544"/>
      <c r="P57" s="545"/>
      <c r="Q57" s="544"/>
      <c r="R57" s="544"/>
      <c r="S57" s="545"/>
      <c r="T57" s="544"/>
      <c r="U57" s="544"/>
      <c r="V57" s="545"/>
      <c r="W57" s="544"/>
      <c r="X57" s="544"/>
      <c r="Y57" s="545"/>
      <c r="Z57" s="544"/>
      <c r="AA57" s="544"/>
      <c r="AB57" s="545"/>
      <c r="AC57" s="544"/>
      <c r="AD57" s="544"/>
      <c r="AE57" s="545"/>
    </row>
    <row r="58" spans="1:31" s="434" customFormat="1" ht="20.100000000000001" hidden="1" customHeight="1">
      <c r="D58" s="434" t="s">
        <v>15</v>
      </c>
      <c r="E58" s="546"/>
      <c r="F58" s="546"/>
      <c r="H58" s="546"/>
      <c r="I58" s="546"/>
      <c r="K58" s="546"/>
      <c r="L58" s="546"/>
      <c r="N58" s="546"/>
      <c r="O58" s="546"/>
      <c r="Q58" s="546"/>
      <c r="R58" s="546"/>
      <c r="T58" s="546"/>
      <c r="U58" s="546"/>
      <c r="W58" s="546"/>
      <c r="X58" s="546"/>
      <c r="Z58" s="546"/>
      <c r="AA58" s="546"/>
      <c r="AC58" s="546"/>
      <c r="AD58" s="546"/>
    </row>
    <row r="59" spans="1:31" s="434" customFormat="1" ht="20.100000000000001" hidden="1" customHeight="1">
      <c r="D59" s="434" t="s">
        <v>16</v>
      </c>
      <c r="E59" s="546"/>
      <c r="F59" s="546"/>
      <c r="H59" s="546"/>
      <c r="I59" s="546"/>
      <c r="K59" s="546"/>
      <c r="L59" s="546"/>
      <c r="N59" s="546"/>
      <c r="O59" s="546"/>
      <c r="Q59" s="546"/>
      <c r="R59" s="546"/>
      <c r="T59" s="546"/>
      <c r="U59" s="546"/>
      <c r="W59" s="546"/>
      <c r="X59" s="546"/>
      <c r="Z59" s="546"/>
      <c r="AA59" s="546"/>
      <c r="AC59" s="546"/>
      <c r="AD59" s="546"/>
    </row>
    <row r="60" spans="1:31" s="434" customFormat="1" ht="20.100000000000001" hidden="1" customHeight="1">
      <c r="D60" s="434" t="s">
        <v>17</v>
      </c>
      <c r="E60" s="546"/>
      <c r="F60" s="546"/>
      <c r="H60" s="546"/>
      <c r="I60" s="546"/>
      <c r="K60" s="546"/>
      <c r="L60" s="546"/>
      <c r="N60" s="546"/>
      <c r="O60" s="546"/>
      <c r="Q60" s="546"/>
      <c r="R60" s="546"/>
      <c r="T60" s="546"/>
      <c r="U60" s="546"/>
      <c r="W60" s="546"/>
      <c r="X60" s="546"/>
      <c r="Z60" s="546"/>
      <c r="AA60" s="546"/>
      <c r="AC60" s="546"/>
      <c r="AD60" s="546"/>
    </row>
    <row r="61" spans="1:31" s="434" customFormat="1" ht="20.100000000000001" hidden="1" customHeight="1">
      <c r="D61" s="434" t="s">
        <v>18</v>
      </c>
      <c r="E61" s="546"/>
      <c r="F61" s="546"/>
      <c r="H61" s="546"/>
      <c r="I61" s="546"/>
      <c r="K61" s="546"/>
      <c r="L61" s="546"/>
      <c r="N61" s="546"/>
      <c r="O61" s="546"/>
      <c r="Q61" s="546"/>
      <c r="R61" s="546"/>
      <c r="T61" s="546"/>
      <c r="U61" s="546"/>
      <c r="W61" s="546"/>
      <c r="X61" s="546"/>
      <c r="Z61" s="546"/>
      <c r="AA61" s="546"/>
      <c r="AC61" s="546"/>
      <c r="AD61" s="546"/>
    </row>
    <row r="62" spans="1:31" ht="20.100000000000001" hidden="1" customHeight="1">
      <c r="B62" s="434"/>
      <c r="C62" s="434"/>
      <c r="D62" s="434" t="s">
        <v>19</v>
      </c>
      <c r="E62" s="546"/>
      <c r="F62" s="546"/>
      <c r="G62" s="434"/>
      <c r="H62" s="546"/>
      <c r="I62" s="546"/>
      <c r="J62" s="434"/>
      <c r="K62" s="546"/>
      <c r="L62" s="546"/>
      <c r="M62" s="434"/>
      <c r="N62" s="546"/>
      <c r="O62" s="546"/>
      <c r="P62" s="434"/>
      <c r="Q62" s="546"/>
      <c r="R62" s="546"/>
      <c r="S62" s="434"/>
      <c r="T62" s="546"/>
      <c r="U62" s="546"/>
      <c r="V62" s="434"/>
      <c r="W62" s="546"/>
      <c r="X62" s="546"/>
      <c r="Y62" s="434"/>
      <c r="Z62" s="546"/>
      <c r="AA62" s="546"/>
      <c r="AB62" s="434"/>
      <c r="AC62" s="546"/>
      <c r="AD62" s="546"/>
      <c r="AE62" s="434"/>
    </row>
    <row r="63" spans="1:31" ht="20.100000000000001" hidden="1" customHeight="1">
      <c r="B63" s="434"/>
      <c r="C63" s="434"/>
      <c r="D63" s="434" t="s">
        <v>20</v>
      </c>
      <c r="E63" s="546"/>
      <c r="F63" s="546"/>
      <c r="G63" s="434"/>
      <c r="H63" s="546"/>
      <c r="I63" s="546"/>
      <c r="J63" s="434"/>
      <c r="K63" s="546"/>
      <c r="L63" s="546"/>
      <c r="M63" s="434"/>
      <c r="N63" s="546"/>
      <c r="O63" s="546"/>
      <c r="P63" s="434"/>
      <c r="Q63" s="546"/>
      <c r="R63" s="546"/>
      <c r="S63" s="434"/>
      <c r="T63" s="546"/>
      <c r="U63" s="546"/>
      <c r="V63" s="434"/>
      <c r="W63" s="546"/>
      <c r="X63" s="546"/>
      <c r="Y63" s="434"/>
      <c r="Z63" s="546"/>
      <c r="AA63" s="546"/>
      <c r="AB63" s="434"/>
      <c r="AC63" s="546"/>
      <c r="AD63" s="546"/>
      <c r="AE63" s="434"/>
    </row>
    <row r="64" spans="1:31" ht="20.100000000000001" hidden="1" customHeight="1">
      <c r="B64" s="434"/>
      <c r="C64" s="434"/>
      <c r="D64" s="434" t="s">
        <v>21</v>
      </c>
      <c r="E64" s="546"/>
      <c r="F64" s="546"/>
      <c r="G64" s="434"/>
      <c r="H64" s="546"/>
      <c r="I64" s="546"/>
      <c r="J64" s="434"/>
      <c r="K64" s="546"/>
      <c r="L64" s="546"/>
      <c r="M64" s="434"/>
      <c r="N64" s="546"/>
      <c r="O64" s="546"/>
      <c r="P64" s="434"/>
      <c r="Q64" s="546"/>
      <c r="R64" s="546"/>
      <c r="S64" s="434"/>
      <c r="T64" s="546"/>
      <c r="U64" s="546"/>
      <c r="V64" s="434"/>
      <c r="W64" s="546"/>
      <c r="X64" s="546"/>
      <c r="Y64" s="434"/>
      <c r="Z64" s="546"/>
      <c r="AA64" s="546"/>
      <c r="AB64" s="434"/>
      <c r="AC64" s="546"/>
      <c r="AD64" s="546"/>
      <c r="AE64" s="434"/>
    </row>
    <row r="65" spans="1:31" ht="20.100000000000001" hidden="1" customHeight="1">
      <c r="B65" s="434"/>
      <c r="C65" s="434"/>
      <c r="D65" s="434" t="s">
        <v>22</v>
      </c>
      <c r="E65" s="546"/>
      <c r="F65" s="546"/>
      <c r="G65" s="434"/>
      <c r="H65" s="546"/>
      <c r="I65" s="546"/>
      <c r="J65" s="434"/>
      <c r="K65" s="546"/>
      <c r="L65" s="546"/>
      <c r="M65" s="434"/>
      <c r="N65" s="546"/>
      <c r="O65" s="546"/>
      <c r="P65" s="434"/>
      <c r="Q65" s="546"/>
      <c r="R65" s="546"/>
      <c r="S65" s="434"/>
      <c r="T65" s="546"/>
      <c r="U65" s="546"/>
      <c r="V65" s="434"/>
      <c r="W65" s="546"/>
      <c r="X65" s="546"/>
      <c r="Y65" s="434"/>
      <c r="Z65" s="546"/>
      <c r="AA65" s="546"/>
      <c r="AB65" s="434"/>
      <c r="AC65" s="546"/>
      <c r="AD65" s="546"/>
      <c r="AE65" s="434"/>
    </row>
    <row r="66" spans="1:31" ht="20.100000000000001" hidden="1" customHeight="1" thickBot="1">
      <c r="B66" s="434"/>
      <c r="C66" s="434"/>
      <c r="D66" s="434" t="s">
        <v>23</v>
      </c>
      <c r="E66" s="546"/>
      <c r="F66" s="546"/>
      <c r="G66" s="434"/>
      <c r="H66" s="546"/>
      <c r="I66" s="546"/>
      <c r="J66" s="434"/>
      <c r="K66" s="546"/>
      <c r="L66" s="546"/>
      <c r="M66" s="434"/>
      <c r="N66" s="546"/>
      <c r="O66" s="546"/>
      <c r="P66" s="434"/>
      <c r="Q66" s="546"/>
      <c r="R66" s="546"/>
      <c r="S66" s="434"/>
      <c r="T66" s="546"/>
      <c r="U66" s="546"/>
      <c r="V66" s="434"/>
      <c r="W66" s="546"/>
      <c r="X66" s="546"/>
      <c r="Y66" s="434"/>
      <c r="Z66" s="546"/>
      <c r="AA66" s="546"/>
      <c r="AB66" s="434"/>
      <c r="AC66" s="546"/>
      <c r="AD66" s="546"/>
      <c r="AE66" s="434"/>
    </row>
    <row r="67" spans="1:31" ht="17.100000000000001" hidden="1" customHeight="1">
      <c r="A67" s="435"/>
      <c r="B67" s="435"/>
      <c r="C67" s="435"/>
      <c r="D67" s="436" t="s">
        <v>1</v>
      </c>
      <c r="E67" s="547"/>
      <c r="F67" s="547"/>
      <c r="G67" s="439"/>
      <c r="H67" s="547"/>
      <c r="I67" s="547"/>
      <c r="J67" s="439"/>
      <c r="K67" s="547"/>
      <c r="L67" s="547"/>
      <c r="M67" s="439"/>
      <c r="N67" s="547"/>
      <c r="O67" s="547"/>
      <c r="P67" s="439"/>
      <c r="Q67" s="547"/>
      <c r="R67" s="547"/>
      <c r="S67" s="439"/>
      <c r="T67" s="547"/>
      <c r="U67" s="547"/>
      <c r="V67" s="439"/>
      <c r="W67" s="547"/>
      <c r="X67" s="547"/>
      <c r="Y67" s="439"/>
      <c r="Z67" s="547"/>
      <c r="AA67" s="547"/>
      <c r="AB67" s="439"/>
      <c r="AC67" s="547"/>
      <c r="AD67" s="547"/>
      <c r="AE67" s="439"/>
    </row>
    <row r="68" spans="1:31" s="446" customFormat="1" ht="17.100000000000001" hidden="1" customHeight="1">
      <c r="A68" s="440" t="s">
        <v>3</v>
      </c>
      <c r="B68" s="441" t="s">
        <v>4</v>
      </c>
      <c r="C68" s="441" t="s">
        <v>5</v>
      </c>
      <c r="D68" s="442" t="s">
        <v>6</v>
      </c>
      <c r="E68" s="443"/>
      <c r="F68" s="443"/>
      <c r="G68" s="445"/>
      <c r="H68" s="443"/>
      <c r="I68" s="443"/>
      <c r="J68" s="445"/>
      <c r="K68" s="443"/>
      <c r="L68" s="443"/>
      <c r="M68" s="445"/>
      <c r="N68" s="443"/>
      <c r="O68" s="443"/>
      <c r="P68" s="445"/>
      <c r="Q68" s="443"/>
      <c r="R68" s="443"/>
      <c r="S68" s="445"/>
      <c r="T68" s="443"/>
      <c r="U68" s="443"/>
      <c r="V68" s="445"/>
      <c r="W68" s="443"/>
      <c r="X68" s="443"/>
      <c r="Y68" s="445"/>
      <c r="Z68" s="443"/>
      <c r="AA68" s="443"/>
      <c r="AB68" s="445"/>
      <c r="AC68" s="443"/>
      <c r="AD68" s="443"/>
      <c r="AE68" s="445"/>
    </row>
    <row r="69" spans="1:31" s="446" customFormat="1" ht="23.25" hidden="1" customHeight="1" thickBot="1">
      <c r="A69" s="447"/>
      <c r="B69" s="448"/>
      <c r="C69" s="448" t="s">
        <v>7</v>
      </c>
      <c r="D69" s="449"/>
      <c r="E69" s="548"/>
      <c r="F69" s="548"/>
      <c r="G69" s="452" t="s">
        <v>66</v>
      </c>
      <c r="H69" s="548"/>
      <c r="I69" s="548"/>
      <c r="J69" s="452" t="s">
        <v>66</v>
      </c>
      <c r="K69" s="548"/>
      <c r="L69" s="548"/>
      <c r="M69" s="452" t="s">
        <v>66</v>
      </c>
      <c r="N69" s="548"/>
      <c r="O69" s="548"/>
      <c r="P69" s="452" t="s">
        <v>66</v>
      </c>
      <c r="Q69" s="548"/>
      <c r="R69" s="548"/>
      <c r="S69" s="452" t="s">
        <v>66</v>
      </c>
      <c r="T69" s="548"/>
      <c r="U69" s="548"/>
      <c r="V69" s="452" t="s">
        <v>66</v>
      </c>
      <c r="W69" s="548"/>
      <c r="X69" s="548"/>
      <c r="Y69" s="452" t="s">
        <v>66</v>
      </c>
      <c r="Z69" s="548"/>
      <c r="AA69" s="548"/>
      <c r="AB69" s="452" t="s">
        <v>66</v>
      </c>
      <c r="AC69" s="548"/>
      <c r="AD69" s="548"/>
      <c r="AE69" s="452" t="s">
        <v>66</v>
      </c>
    </row>
    <row r="70" spans="1:31" ht="22.5" hidden="1" customHeight="1" thickTop="1">
      <c r="A70" s="549">
        <v>5</v>
      </c>
      <c r="B70" s="550" t="s">
        <v>52</v>
      </c>
      <c r="C70" s="551">
        <v>6003707000</v>
      </c>
      <c r="D70" s="552" t="s">
        <v>29</v>
      </c>
      <c r="E70" s="553"/>
      <c r="F70" s="553"/>
      <c r="G70" s="528">
        <f t="shared" ref="G70" si="58">F70-E70</f>
        <v>0</v>
      </c>
      <c r="H70" s="553"/>
      <c r="I70" s="553"/>
      <c r="J70" s="528">
        <f t="shared" ref="J70" si="59">I70-H70</f>
        <v>0</v>
      </c>
      <c r="K70" s="553"/>
      <c r="L70" s="553"/>
      <c r="M70" s="528">
        <f t="shared" ref="M70" si="60">L70-K70</f>
        <v>0</v>
      </c>
      <c r="N70" s="553"/>
      <c r="O70" s="553"/>
      <c r="P70" s="528">
        <f t="shared" ref="P70" si="61">O70-N70</f>
        <v>0</v>
      </c>
      <c r="Q70" s="553"/>
      <c r="R70" s="553"/>
      <c r="S70" s="528">
        <f t="shared" ref="S70" si="62">R70-Q70</f>
        <v>0</v>
      </c>
      <c r="T70" s="553"/>
      <c r="U70" s="553"/>
      <c r="V70" s="528">
        <f t="shared" ref="V70" si="63">U70-T70</f>
        <v>0</v>
      </c>
      <c r="W70" s="553"/>
      <c r="X70" s="553"/>
      <c r="Y70" s="528">
        <f t="shared" ref="Y70" si="64">X70-W70</f>
        <v>0</v>
      </c>
      <c r="Z70" s="553"/>
      <c r="AA70" s="553"/>
      <c r="AB70" s="528">
        <f t="shared" ref="AB70" si="65">AA70-Z70</f>
        <v>0</v>
      </c>
      <c r="AC70" s="553"/>
      <c r="AD70" s="553"/>
      <c r="AE70" s="528">
        <f t="shared" ref="AE70" si="66">AD70-AC70</f>
        <v>0</v>
      </c>
    </row>
    <row r="71" spans="1:31" ht="22.5" hidden="1" customHeight="1">
      <c r="A71" s="495"/>
      <c r="B71" s="554"/>
      <c r="C71" s="555">
        <v>6003712500</v>
      </c>
      <c r="D71" s="556" t="s">
        <v>30</v>
      </c>
      <c r="E71" s="533"/>
      <c r="F71" s="533"/>
      <c r="G71" s="479">
        <f t="shared" ref="G71" si="67">E71-F71</f>
        <v>0</v>
      </c>
      <c r="H71" s="533"/>
      <c r="I71" s="533"/>
      <c r="J71" s="479">
        <f t="shared" ref="J71" si="68">H71-I71</f>
        <v>0</v>
      </c>
      <c r="K71" s="533"/>
      <c r="L71" s="533"/>
      <c r="M71" s="479">
        <f t="shared" ref="M71" si="69">K71-L71</f>
        <v>0</v>
      </c>
      <c r="N71" s="533"/>
      <c r="O71" s="533"/>
      <c r="P71" s="479">
        <f t="shared" ref="P71" si="70">N71-O71</f>
        <v>0</v>
      </c>
      <c r="Q71" s="533"/>
      <c r="R71" s="533"/>
      <c r="S71" s="479">
        <f t="shared" ref="S71" si="71">Q71-R71</f>
        <v>0</v>
      </c>
      <c r="T71" s="533"/>
      <c r="U71" s="533"/>
      <c r="V71" s="479">
        <f t="shared" ref="V71" si="72">T71-U71</f>
        <v>0</v>
      </c>
      <c r="W71" s="533"/>
      <c r="X71" s="533"/>
      <c r="Y71" s="479">
        <f t="shared" ref="Y71" si="73">W71-X71</f>
        <v>0</v>
      </c>
      <c r="Z71" s="533"/>
      <c r="AA71" s="533"/>
      <c r="AB71" s="479">
        <f t="shared" ref="AB71" si="74">Z71-AA71</f>
        <v>0</v>
      </c>
      <c r="AC71" s="533"/>
      <c r="AD71" s="533"/>
      <c r="AE71" s="479">
        <f t="shared" ref="AE71" si="75">AC71-AD71</f>
        <v>0</v>
      </c>
    </row>
    <row r="72" spans="1:31" ht="22.5" hidden="1" customHeight="1">
      <c r="A72" s="495"/>
      <c r="B72" s="554"/>
      <c r="C72" s="555">
        <v>6003712600</v>
      </c>
      <c r="D72" s="556" t="s">
        <v>31</v>
      </c>
      <c r="E72" s="533"/>
      <c r="F72" s="533"/>
      <c r="G72" s="479">
        <f t="shared" ref="G72:G122" si="76">F72-E72</f>
        <v>0</v>
      </c>
      <c r="H72" s="533"/>
      <c r="I72" s="533"/>
      <c r="J72" s="479">
        <f t="shared" ref="J72:J122" si="77">I72-H72</f>
        <v>0</v>
      </c>
      <c r="K72" s="533"/>
      <c r="L72" s="533"/>
      <c r="M72" s="479">
        <f t="shared" ref="M72:M122" si="78">L72-K72</f>
        <v>0</v>
      </c>
      <c r="N72" s="533"/>
      <c r="O72" s="533"/>
      <c r="P72" s="479">
        <f t="shared" ref="P72:P122" si="79">O72-N72</f>
        <v>0</v>
      </c>
      <c r="Q72" s="533"/>
      <c r="R72" s="533"/>
      <c r="S72" s="479">
        <f t="shared" ref="S72:S122" si="80">R72-Q72</f>
        <v>0</v>
      </c>
      <c r="T72" s="533"/>
      <c r="U72" s="533"/>
      <c r="V72" s="479">
        <f t="shared" ref="V72:V122" si="81">U72-T72</f>
        <v>0</v>
      </c>
      <c r="W72" s="533"/>
      <c r="X72" s="533"/>
      <c r="Y72" s="479">
        <f t="shared" ref="Y72:Y122" si="82">X72-W72</f>
        <v>0</v>
      </c>
      <c r="Z72" s="533"/>
      <c r="AA72" s="533"/>
      <c r="AB72" s="479">
        <f t="shared" ref="AB72:AB122" si="83">AA72-Z72</f>
        <v>0</v>
      </c>
      <c r="AC72" s="533"/>
      <c r="AD72" s="533"/>
      <c r="AE72" s="479">
        <f t="shared" ref="AE72:AE122" si="84">AD72-AC72</f>
        <v>0</v>
      </c>
    </row>
    <row r="73" spans="1:31" s="434" customFormat="1" ht="22.5" hidden="1" customHeight="1">
      <c r="A73" s="474"/>
      <c r="B73" s="554"/>
      <c r="C73" s="557">
        <v>100171697</v>
      </c>
      <c r="D73" s="558" t="s">
        <v>32</v>
      </c>
      <c r="E73" s="533"/>
      <c r="F73" s="533"/>
      <c r="G73" s="479">
        <f t="shared" si="76"/>
        <v>0</v>
      </c>
      <c r="H73" s="533"/>
      <c r="I73" s="533"/>
      <c r="J73" s="479">
        <f t="shared" si="77"/>
        <v>0</v>
      </c>
      <c r="K73" s="533"/>
      <c r="L73" s="533"/>
      <c r="M73" s="479">
        <f t="shared" si="78"/>
        <v>0</v>
      </c>
      <c r="N73" s="533"/>
      <c r="O73" s="533"/>
      <c r="P73" s="479">
        <f t="shared" si="79"/>
        <v>0</v>
      </c>
      <c r="Q73" s="533"/>
      <c r="R73" s="533"/>
      <c r="S73" s="479">
        <f t="shared" si="80"/>
        <v>0</v>
      </c>
      <c r="T73" s="533"/>
      <c r="U73" s="533"/>
      <c r="V73" s="479">
        <f t="shared" si="81"/>
        <v>0</v>
      </c>
      <c r="W73" s="533"/>
      <c r="X73" s="533"/>
      <c r="Y73" s="479">
        <f t="shared" si="82"/>
        <v>0</v>
      </c>
      <c r="Z73" s="533"/>
      <c r="AA73" s="533"/>
      <c r="AB73" s="479">
        <f t="shared" si="83"/>
        <v>0</v>
      </c>
      <c r="AC73" s="533"/>
      <c r="AD73" s="533"/>
      <c r="AE73" s="479">
        <f t="shared" si="84"/>
        <v>0</v>
      </c>
    </row>
    <row r="74" spans="1:31" s="434" customFormat="1" ht="23.1" hidden="1" customHeight="1">
      <c r="A74" s="474">
        <v>5</v>
      </c>
      <c r="B74" s="554" t="s">
        <v>52</v>
      </c>
      <c r="C74" s="557">
        <v>100190386</v>
      </c>
      <c r="D74" s="558" t="s">
        <v>81</v>
      </c>
      <c r="E74" s="533"/>
      <c r="F74" s="533"/>
      <c r="G74" s="479">
        <f t="shared" si="76"/>
        <v>0</v>
      </c>
      <c r="H74" s="533"/>
      <c r="I74" s="533"/>
      <c r="J74" s="479">
        <f t="shared" si="77"/>
        <v>0</v>
      </c>
      <c r="K74" s="533"/>
      <c r="L74" s="533"/>
      <c r="M74" s="479">
        <f t="shared" si="78"/>
        <v>0</v>
      </c>
      <c r="N74" s="533"/>
      <c r="O74" s="533"/>
      <c r="P74" s="479">
        <f t="shared" si="79"/>
        <v>0</v>
      </c>
      <c r="Q74" s="533"/>
      <c r="R74" s="533"/>
      <c r="S74" s="479">
        <f t="shared" si="80"/>
        <v>0</v>
      </c>
      <c r="T74" s="533"/>
      <c r="U74" s="533"/>
      <c r="V74" s="479">
        <f t="shared" si="81"/>
        <v>0</v>
      </c>
      <c r="W74" s="533"/>
      <c r="X74" s="533"/>
      <c r="Y74" s="479">
        <f t="shared" si="82"/>
        <v>0</v>
      </c>
      <c r="Z74" s="533"/>
      <c r="AA74" s="533"/>
      <c r="AB74" s="479">
        <f t="shared" si="83"/>
        <v>0</v>
      </c>
      <c r="AC74" s="533"/>
      <c r="AD74" s="533"/>
      <c r="AE74" s="479">
        <f t="shared" si="84"/>
        <v>0</v>
      </c>
    </row>
    <row r="75" spans="1:31" s="434" customFormat="1" ht="23.1" hidden="1" customHeight="1" thickBot="1">
      <c r="A75" s="474"/>
      <c r="B75" s="554"/>
      <c r="C75" s="557">
        <v>100190440</v>
      </c>
      <c r="D75" s="558" t="s">
        <v>82</v>
      </c>
      <c r="E75" s="559"/>
      <c r="F75" s="559"/>
      <c r="G75" s="560">
        <f t="shared" si="76"/>
        <v>0</v>
      </c>
      <c r="H75" s="559"/>
      <c r="I75" s="559"/>
      <c r="J75" s="560">
        <f t="shared" si="77"/>
        <v>0</v>
      </c>
      <c r="K75" s="559"/>
      <c r="L75" s="559"/>
      <c r="M75" s="560">
        <f t="shared" si="78"/>
        <v>0</v>
      </c>
      <c r="N75" s="559"/>
      <c r="O75" s="559"/>
      <c r="P75" s="560">
        <f t="shared" si="79"/>
        <v>0</v>
      </c>
      <c r="Q75" s="559"/>
      <c r="R75" s="559"/>
      <c r="S75" s="560">
        <f t="shared" si="80"/>
        <v>0</v>
      </c>
      <c r="T75" s="559"/>
      <c r="U75" s="559"/>
      <c r="V75" s="560">
        <f t="shared" si="81"/>
        <v>0</v>
      </c>
      <c r="W75" s="559"/>
      <c r="X75" s="559"/>
      <c r="Y75" s="560">
        <f t="shared" si="82"/>
        <v>0</v>
      </c>
      <c r="Z75" s="559"/>
      <c r="AA75" s="559"/>
      <c r="AB75" s="560">
        <f t="shared" si="83"/>
        <v>0</v>
      </c>
      <c r="AC75" s="559"/>
      <c r="AD75" s="559"/>
      <c r="AE75" s="560">
        <f t="shared" si="84"/>
        <v>0</v>
      </c>
    </row>
    <row r="76" spans="1:31" s="434" customFormat="1" ht="21" hidden="1" customHeight="1">
      <c r="A76" s="561">
        <v>4</v>
      </c>
      <c r="B76" s="677" t="s">
        <v>52</v>
      </c>
      <c r="C76" s="562">
        <v>100250476</v>
      </c>
      <c r="D76" s="678" t="s">
        <v>125</v>
      </c>
      <c r="E76" s="553">
        <v>1.5</v>
      </c>
      <c r="F76" s="553">
        <v>1.5</v>
      </c>
      <c r="G76" s="528">
        <f t="shared" si="76"/>
        <v>0</v>
      </c>
      <c r="H76" s="553">
        <v>0</v>
      </c>
      <c r="I76" s="553">
        <v>0</v>
      </c>
      <c r="J76" s="528">
        <f t="shared" si="77"/>
        <v>0</v>
      </c>
      <c r="K76" s="553">
        <v>0</v>
      </c>
      <c r="L76" s="553">
        <v>0</v>
      </c>
      <c r="M76" s="528">
        <f t="shared" si="78"/>
        <v>0</v>
      </c>
      <c r="N76" s="553">
        <v>0</v>
      </c>
      <c r="O76" s="553">
        <v>0</v>
      </c>
      <c r="P76" s="528">
        <f t="shared" si="79"/>
        <v>0</v>
      </c>
      <c r="Q76" s="553">
        <v>0</v>
      </c>
      <c r="R76" s="553">
        <v>0</v>
      </c>
      <c r="S76" s="528">
        <f t="shared" si="80"/>
        <v>0</v>
      </c>
      <c r="T76" s="553">
        <v>0</v>
      </c>
      <c r="U76" s="553">
        <v>0</v>
      </c>
      <c r="V76" s="528">
        <f t="shared" si="81"/>
        <v>0</v>
      </c>
      <c r="W76" s="553">
        <v>0</v>
      </c>
      <c r="X76" s="553">
        <v>0</v>
      </c>
      <c r="Y76" s="528">
        <f t="shared" si="82"/>
        <v>0</v>
      </c>
      <c r="Z76" s="553">
        <v>0</v>
      </c>
      <c r="AA76" s="553">
        <v>0</v>
      </c>
      <c r="AB76" s="528">
        <f t="shared" si="83"/>
        <v>0</v>
      </c>
      <c r="AC76" s="553">
        <v>0</v>
      </c>
      <c r="AD76" s="553">
        <v>0</v>
      </c>
      <c r="AE76" s="528">
        <f t="shared" si="84"/>
        <v>0</v>
      </c>
    </row>
    <row r="77" spans="1:31" s="434" customFormat="1" ht="17.25" hidden="1" customHeight="1">
      <c r="A77" s="474"/>
      <c r="B77" s="554"/>
      <c r="C77" s="565">
        <v>100257685</v>
      </c>
      <c r="D77" s="556" t="s">
        <v>126</v>
      </c>
      <c r="E77" s="533">
        <v>0</v>
      </c>
      <c r="F77" s="533">
        <v>0</v>
      </c>
      <c r="G77" s="479">
        <f t="shared" si="76"/>
        <v>0</v>
      </c>
      <c r="H77" s="533">
        <v>0</v>
      </c>
      <c r="I77" s="533">
        <v>0</v>
      </c>
      <c r="J77" s="479">
        <f t="shared" si="77"/>
        <v>0</v>
      </c>
      <c r="K77" s="533">
        <v>0</v>
      </c>
      <c r="L77" s="533">
        <v>0</v>
      </c>
      <c r="M77" s="479">
        <f t="shared" si="78"/>
        <v>0</v>
      </c>
      <c r="N77" s="533">
        <v>0</v>
      </c>
      <c r="O77" s="533">
        <v>0</v>
      </c>
      <c r="P77" s="479">
        <f t="shared" si="79"/>
        <v>0</v>
      </c>
      <c r="Q77" s="533">
        <v>0</v>
      </c>
      <c r="R77" s="533">
        <v>0</v>
      </c>
      <c r="S77" s="479">
        <f t="shared" si="80"/>
        <v>0</v>
      </c>
      <c r="T77" s="533">
        <v>0</v>
      </c>
      <c r="U77" s="533">
        <v>0</v>
      </c>
      <c r="V77" s="479">
        <f t="shared" si="81"/>
        <v>0</v>
      </c>
      <c r="W77" s="533">
        <v>0</v>
      </c>
      <c r="X77" s="533">
        <v>0</v>
      </c>
      <c r="Y77" s="479">
        <f t="shared" si="82"/>
        <v>0</v>
      </c>
      <c r="Z77" s="533">
        <v>0</v>
      </c>
      <c r="AA77" s="533">
        <v>0</v>
      </c>
      <c r="AB77" s="479">
        <f t="shared" si="83"/>
        <v>0</v>
      </c>
      <c r="AC77" s="533">
        <v>0</v>
      </c>
      <c r="AD77" s="533">
        <v>0</v>
      </c>
      <c r="AE77" s="479">
        <f t="shared" si="84"/>
        <v>0</v>
      </c>
    </row>
    <row r="78" spans="1:31" s="434" customFormat="1" ht="30.75" hidden="1" customHeight="1">
      <c r="A78" s="474"/>
      <c r="B78" s="554"/>
      <c r="C78" s="566">
        <v>100250476</v>
      </c>
      <c r="D78" s="512" t="s">
        <v>83</v>
      </c>
      <c r="E78" s="533">
        <v>0</v>
      </c>
      <c r="F78" s="533">
        <v>0</v>
      </c>
      <c r="G78" s="567">
        <f t="shared" si="76"/>
        <v>0</v>
      </c>
      <c r="H78" s="533">
        <v>0</v>
      </c>
      <c r="I78" s="533">
        <v>0</v>
      </c>
      <c r="J78" s="567">
        <f t="shared" si="77"/>
        <v>0</v>
      </c>
      <c r="K78" s="533">
        <v>0</v>
      </c>
      <c r="L78" s="533">
        <v>0</v>
      </c>
      <c r="M78" s="567">
        <f t="shared" si="78"/>
        <v>0</v>
      </c>
      <c r="N78" s="533">
        <v>0</v>
      </c>
      <c r="O78" s="533">
        <v>0</v>
      </c>
      <c r="P78" s="567">
        <f t="shared" si="79"/>
        <v>0</v>
      </c>
      <c r="Q78" s="533">
        <v>0</v>
      </c>
      <c r="R78" s="533">
        <v>0</v>
      </c>
      <c r="S78" s="567">
        <f t="shared" si="80"/>
        <v>0</v>
      </c>
      <c r="T78" s="533">
        <v>0</v>
      </c>
      <c r="U78" s="533">
        <v>0</v>
      </c>
      <c r="V78" s="567">
        <f t="shared" si="81"/>
        <v>0</v>
      </c>
      <c r="W78" s="533">
        <v>0</v>
      </c>
      <c r="X78" s="533">
        <v>0</v>
      </c>
      <c r="Y78" s="567">
        <f t="shared" si="82"/>
        <v>0</v>
      </c>
      <c r="Z78" s="533">
        <v>0</v>
      </c>
      <c r="AA78" s="533">
        <v>0</v>
      </c>
      <c r="AB78" s="567">
        <f t="shared" si="83"/>
        <v>0</v>
      </c>
      <c r="AC78" s="533">
        <v>0</v>
      </c>
      <c r="AD78" s="533">
        <v>0</v>
      </c>
      <c r="AE78" s="567">
        <f t="shared" si="84"/>
        <v>0</v>
      </c>
    </row>
    <row r="79" spans="1:31" s="434" customFormat="1" ht="21.75" hidden="1" customHeight="1" thickBot="1">
      <c r="A79" s="474"/>
      <c r="B79" s="554"/>
      <c r="C79" s="565">
        <v>100257685</v>
      </c>
      <c r="D79" s="558" t="s">
        <v>129</v>
      </c>
      <c r="E79" s="679">
        <v>1.5</v>
      </c>
      <c r="F79" s="679">
        <v>1.5</v>
      </c>
      <c r="G79" s="571">
        <f t="shared" si="76"/>
        <v>0</v>
      </c>
      <c r="H79" s="679">
        <v>0</v>
      </c>
      <c r="I79" s="679">
        <v>0</v>
      </c>
      <c r="J79" s="571">
        <f t="shared" si="77"/>
        <v>0</v>
      </c>
      <c r="K79" s="679">
        <v>0</v>
      </c>
      <c r="L79" s="679">
        <v>0</v>
      </c>
      <c r="M79" s="571">
        <f t="shared" si="78"/>
        <v>0</v>
      </c>
      <c r="N79" s="679">
        <v>0</v>
      </c>
      <c r="O79" s="679">
        <v>0</v>
      </c>
      <c r="P79" s="571">
        <f t="shared" si="79"/>
        <v>0</v>
      </c>
      <c r="Q79" s="679">
        <v>0</v>
      </c>
      <c r="R79" s="679">
        <v>0</v>
      </c>
      <c r="S79" s="571">
        <f t="shared" si="80"/>
        <v>0</v>
      </c>
      <c r="T79" s="679">
        <v>0</v>
      </c>
      <c r="U79" s="679">
        <v>0</v>
      </c>
      <c r="V79" s="571">
        <f t="shared" si="81"/>
        <v>0</v>
      </c>
      <c r="W79" s="679">
        <v>0</v>
      </c>
      <c r="X79" s="679">
        <v>0</v>
      </c>
      <c r="Y79" s="571">
        <f t="shared" si="82"/>
        <v>0</v>
      </c>
      <c r="Z79" s="679">
        <v>0</v>
      </c>
      <c r="AA79" s="679">
        <v>0</v>
      </c>
      <c r="AB79" s="571">
        <f t="shared" si="83"/>
        <v>0</v>
      </c>
      <c r="AC79" s="679">
        <v>0</v>
      </c>
      <c r="AD79" s="679">
        <v>0</v>
      </c>
      <c r="AE79" s="571">
        <f t="shared" si="84"/>
        <v>0</v>
      </c>
    </row>
    <row r="80" spans="1:31" s="434" customFormat="1" ht="22.5" customHeight="1">
      <c r="A80" s="561"/>
      <c r="B80" s="677" t="s">
        <v>52</v>
      </c>
      <c r="C80" s="562">
        <v>100257685</v>
      </c>
      <c r="D80" s="552" t="s">
        <v>99</v>
      </c>
      <c r="E80" s="527">
        <f>321.3-113.4</f>
        <v>207.9</v>
      </c>
      <c r="F80" s="527">
        <f>321.3-113.4</f>
        <v>207.9</v>
      </c>
      <c r="G80" s="528">
        <f t="shared" si="76"/>
        <v>0</v>
      </c>
      <c r="H80" s="527">
        <v>379.88200000000001</v>
      </c>
      <c r="I80" s="527">
        <v>379.88200000000001</v>
      </c>
      <c r="J80" s="528">
        <f t="shared" si="77"/>
        <v>0</v>
      </c>
      <c r="K80" s="527">
        <v>90.72</v>
      </c>
      <c r="L80" s="527">
        <v>90.72</v>
      </c>
      <c r="M80" s="528">
        <f t="shared" si="78"/>
        <v>0</v>
      </c>
      <c r="N80" s="573">
        <v>295.04000000000002</v>
      </c>
      <c r="O80" s="573">
        <v>295.31200000000001</v>
      </c>
      <c r="P80" s="528">
        <f t="shared" si="79"/>
        <v>0.27199999999999136</v>
      </c>
      <c r="Q80" s="573">
        <v>161</v>
      </c>
      <c r="R80" s="573">
        <v>0</v>
      </c>
      <c r="S80" s="528">
        <f t="shared" si="80"/>
        <v>-161</v>
      </c>
      <c r="T80" s="573">
        <v>82</v>
      </c>
      <c r="U80" s="573">
        <v>200</v>
      </c>
      <c r="V80" s="528">
        <f t="shared" si="81"/>
        <v>118</v>
      </c>
      <c r="W80" s="573">
        <v>250</v>
      </c>
      <c r="X80" s="573">
        <v>250</v>
      </c>
      <c r="Y80" s="528">
        <f t="shared" si="82"/>
        <v>0</v>
      </c>
      <c r="Z80" s="573">
        <v>250</v>
      </c>
      <c r="AA80" s="573">
        <v>250</v>
      </c>
      <c r="AB80" s="528">
        <f t="shared" si="83"/>
        <v>0</v>
      </c>
      <c r="AC80" s="573">
        <v>250</v>
      </c>
      <c r="AD80" s="573">
        <v>250</v>
      </c>
      <c r="AE80" s="528">
        <f t="shared" si="84"/>
        <v>0</v>
      </c>
    </row>
    <row r="81" spans="1:31" s="434" customFormat="1" ht="21" customHeight="1">
      <c r="A81" s="474"/>
      <c r="B81" s="554"/>
      <c r="C81" s="574">
        <v>100257685</v>
      </c>
      <c r="D81" s="556" t="s">
        <v>100</v>
      </c>
      <c r="E81" s="480">
        <v>1.512</v>
      </c>
      <c r="F81" s="480">
        <v>1.512</v>
      </c>
      <c r="G81" s="567">
        <f t="shared" si="76"/>
        <v>0</v>
      </c>
      <c r="H81" s="480">
        <v>2.3079999999999998</v>
      </c>
      <c r="I81" s="480">
        <v>2.3079999999999998</v>
      </c>
      <c r="J81" s="567">
        <f t="shared" si="77"/>
        <v>0</v>
      </c>
      <c r="K81" s="480">
        <v>0</v>
      </c>
      <c r="L81" s="480">
        <v>0</v>
      </c>
      <c r="M81" s="567">
        <f t="shared" si="78"/>
        <v>0</v>
      </c>
      <c r="N81" s="480">
        <v>0</v>
      </c>
      <c r="O81" s="480">
        <v>0</v>
      </c>
      <c r="P81" s="567">
        <f t="shared" si="79"/>
        <v>0</v>
      </c>
      <c r="Q81" s="480">
        <v>0</v>
      </c>
      <c r="R81" s="480">
        <v>0</v>
      </c>
      <c r="S81" s="567">
        <f t="shared" si="80"/>
        <v>0</v>
      </c>
      <c r="T81" s="480">
        <v>0</v>
      </c>
      <c r="U81" s="480">
        <v>0</v>
      </c>
      <c r="V81" s="567">
        <f t="shared" si="81"/>
        <v>0</v>
      </c>
      <c r="W81" s="480">
        <v>0</v>
      </c>
      <c r="X81" s="480">
        <v>0</v>
      </c>
      <c r="Y81" s="567">
        <f t="shared" si="82"/>
        <v>0</v>
      </c>
      <c r="Z81" s="480">
        <v>0</v>
      </c>
      <c r="AA81" s="480">
        <v>0</v>
      </c>
      <c r="AB81" s="567">
        <f t="shared" si="83"/>
        <v>0</v>
      </c>
      <c r="AC81" s="480">
        <v>0</v>
      </c>
      <c r="AD81" s="480">
        <v>0</v>
      </c>
      <c r="AE81" s="567">
        <f t="shared" si="84"/>
        <v>0</v>
      </c>
    </row>
    <row r="82" spans="1:31" s="434" customFormat="1" ht="26.25" hidden="1" customHeight="1">
      <c r="A82" s="474"/>
      <c r="B82" s="554"/>
      <c r="C82" s="574">
        <v>100257685</v>
      </c>
      <c r="D82" s="556" t="s">
        <v>101</v>
      </c>
      <c r="E82" s="480">
        <v>0</v>
      </c>
      <c r="F82" s="480">
        <v>0</v>
      </c>
      <c r="G82" s="567">
        <f t="shared" si="76"/>
        <v>0</v>
      </c>
      <c r="H82" s="480">
        <v>0</v>
      </c>
      <c r="I82" s="480">
        <v>0</v>
      </c>
      <c r="J82" s="567">
        <f t="shared" si="77"/>
        <v>0</v>
      </c>
      <c r="K82" s="480">
        <v>0</v>
      </c>
      <c r="L82" s="480">
        <v>0</v>
      </c>
      <c r="M82" s="567">
        <f t="shared" si="78"/>
        <v>0</v>
      </c>
      <c r="N82" s="480">
        <v>0</v>
      </c>
      <c r="O82" s="480">
        <v>0</v>
      </c>
      <c r="P82" s="567">
        <f t="shared" si="79"/>
        <v>0</v>
      </c>
      <c r="Q82" s="480">
        <v>0</v>
      </c>
      <c r="R82" s="480">
        <v>0</v>
      </c>
      <c r="S82" s="567">
        <f t="shared" si="80"/>
        <v>0</v>
      </c>
      <c r="T82" s="480">
        <v>0</v>
      </c>
      <c r="U82" s="480">
        <v>0</v>
      </c>
      <c r="V82" s="567">
        <f t="shared" si="81"/>
        <v>0</v>
      </c>
      <c r="W82" s="480">
        <v>0</v>
      </c>
      <c r="X82" s="480">
        <v>0</v>
      </c>
      <c r="Y82" s="567">
        <f t="shared" si="82"/>
        <v>0</v>
      </c>
      <c r="Z82" s="480">
        <v>0</v>
      </c>
      <c r="AA82" s="480">
        <v>0</v>
      </c>
      <c r="AB82" s="567">
        <f t="shared" si="83"/>
        <v>0</v>
      </c>
      <c r="AC82" s="480">
        <v>0</v>
      </c>
      <c r="AD82" s="480">
        <v>0</v>
      </c>
      <c r="AE82" s="567">
        <f t="shared" si="84"/>
        <v>0</v>
      </c>
    </row>
    <row r="83" spans="1:31" s="434" customFormat="1" ht="18.75" hidden="1" customHeight="1">
      <c r="A83" s="474"/>
      <c r="B83" s="554"/>
      <c r="C83" s="574">
        <v>100257685</v>
      </c>
      <c r="D83" s="556" t="s">
        <v>102</v>
      </c>
      <c r="E83" s="480">
        <v>0</v>
      </c>
      <c r="F83" s="480">
        <v>0</v>
      </c>
      <c r="G83" s="567">
        <f t="shared" si="76"/>
        <v>0</v>
      </c>
      <c r="H83" s="480">
        <v>0</v>
      </c>
      <c r="I83" s="480">
        <v>0</v>
      </c>
      <c r="J83" s="567">
        <f t="shared" si="77"/>
        <v>0</v>
      </c>
      <c r="K83" s="480">
        <v>0</v>
      </c>
      <c r="L83" s="480">
        <v>0</v>
      </c>
      <c r="M83" s="567">
        <f t="shared" si="78"/>
        <v>0</v>
      </c>
      <c r="N83" s="480">
        <v>0</v>
      </c>
      <c r="O83" s="480">
        <v>0</v>
      </c>
      <c r="P83" s="567">
        <f t="shared" si="79"/>
        <v>0</v>
      </c>
      <c r="Q83" s="480">
        <v>0</v>
      </c>
      <c r="R83" s="480">
        <v>0</v>
      </c>
      <c r="S83" s="567">
        <f t="shared" si="80"/>
        <v>0</v>
      </c>
      <c r="T83" s="480">
        <v>0</v>
      </c>
      <c r="U83" s="480">
        <v>0</v>
      </c>
      <c r="V83" s="567">
        <f t="shared" si="81"/>
        <v>0</v>
      </c>
      <c r="W83" s="480">
        <v>0</v>
      </c>
      <c r="X83" s="480">
        <v>0</v>
      </c>
      <c r="Y83" s="567">
        <f t="shared" si="82"/>
        <v>0</v>
      </c>
      <c r="Z83" s="480">
        <v>0</v>
      </c>
      <c r="AA83" s="480">
        <v>0</v>
      </c>
      <c r="AB83" s="567">
        <f t="shared" si="83"/>
        <v>0</v>
      </c>
      <c r="AC83" s="480">
        <v>0</v>
      </c>
      <c r="AD83" s="480">
        <v>0</v>
      </c>
      <c r="AE83" s="567">
        <f t="shared" si="84"/>
        <v>0</v>
      </c>
    </row>
    <row r="84" spans="1:31" s="434" customFormat="1" ht="22.5" customHeight="1">
      <c r="A84" s="474"/>
      <c r="B84" s="554"/>
      <c r="C84" s="574">
        <v>100257685</v>
      </c>
      <c r="D84" s="556" t="s">
        <v>133</v>
      </c>
      <c r="E84" s="478">
        <v>21.617999999999999</v>
      </c>
      <c r="F84" s="478">
        <v>21.617999999999999</v>
      </c>
      <c r="G84" s="567">
        <f t="shared" si="76"/>
        <v>0</v>
      </c>
      <c r="H84" s="478">
        <v>9.0739999999999998</v>
      </c>
      <c r="I84" s="478">
        <v>9.0739999999999998</v>
      </c>
      <c r="J84" s="567">
        <f t="shared" si="77"/>
        <v>0</v>
      </c>
      <c r="K84" s="478">
        <v>0</v>
      </c>
      <c r="L84" s="478">
        <v>0</v>
      </c>
      <c r="M84" s="567">
        <f t="shared" si="78"/>
        <v>0</v>
      </c>
      <c r="N84" s="480">
        <v>90.7</v>
      </c>
      <c r="O84" s="480">
        <v>90.75</v>
      </c>
      <c r="P84" s="567">
        <f t="shared" si="79"/>
        <v>4.9999999999997158E-2</v>
      </c>
      <c r="Q84" s="480">
        <v>19.3</v>
      </c>
      <c r="R84" s="480">
        <v>45.3</v>
      </c>
      <c r="S84" s="567">
        <f t="shared" si="80"/>
        <v>25.999999999999996</v>
      </c>
      <c r="T84" s="480">
        <v>40</v>
      </c>
      <c r="U84" s="480">
        <v>31</v>
      </c>
      <c r="V84" s="567">
        <f t="shared" si="81"/>
        <v>-9</v>
      </c>
      <c r="W84" s="478">
        <v>49</v>
      </c>
      <c r="X84" s="478">
        <v>68</v>
      </c>
      <c r="Y84" s="567">
        <f t="shared" si="82"/>
        <v>19</v>
      </c>
      <c r="Z84" s="478">
        <v>36</v>
      </c>
      <c r="AA84" s="478">
        <v>36</v>
      </c>
      <c r="AB84" s="567">
        <f t="shared" si="83"/>
        <v>0</v>
      </c>
      <c r="AC84" s="478">
        <v>57</v>
      </c>
      <c r="AD84" s="478">
        <v>31</v>
      </c>
      <c r="AE84" s="567">
        <f t="shared" si="84"/>
        <v>-26</v>
      </c>
    </row>
    <row r="85" spans="1:31" s="434" customFormat="1" ht="23.1" customHeight="1">
      <c r="A85" s="474"/>
      <c r="B85" s="554"/>
      <c r="C85" s="574">
        <v>100257685</v>
      </c>
      <c r="D85" s="556" t="s">
        <v>132</v>
      </c>
      <c r="E85" s="478">
        <v>44.999000000000002</v>
      </c>
      <c r="F85" s="478">
        <v>44.999000000000002</v>
      </c>
      <c r="G85" s="567">
        <f t="shared" si="76"/>
        <v>0</v>
      </c>
      <c r="H85" s="478">
        <v>49.898000000000003</v>
      </c>
      <c r="I85" s="478">
        <v>49.898000000000003</v>
      </c>
      <c r="J85" s="567">
        <f t="shared" si="77"/>
        <v>0</v>
      </c>
      <c r="K85" s="478">
        <v>0</v>
      </c>
      <c r="L85" s="478">
        <v>0</v>
      </c>
      <c r="M85" s="567">
        <f t="shared" si="78"/>
        <v>0</v>
      </c>
      <c r="N85" s="480">
        <v>81.647999999999996</v>
      </c>
      <c r="O85" s="480">
        <v>81.647999999999996</v>
      </c>
      <c r="P85" s="567">
        <f t="shared" si="79"/>
        <v>0</v>
      </c>
      <c r="Q85" s="480">
        <v>60</v>
      </c>
      <c r="R85" s="480">
        <v>100</v>
      </c>
      <c r="S85" s="567">
        <f t="shared" si="80"/>
        <v>40</v>
      </c>
      <c r="T85" s="480">
        <v>81</v>
      </c>
      <c r="U85" s="480">
        <v>58</v>
      </c>
      <c r="V85" s="567">
        <f t="shared" si="81"/>
        <v>-23</v>
      </c>
      <c r="W85" s="478">
        <v>100</v>
      </c>
      <c r="X85" s="478">
        <v>90</v>
      </c>
      <c r="Y85" s="567">
        <f t="shared" si="82"/>
        <v>-10</v>
      </c>
      <c r="Z85" s="478">
        <v>100</v>
      </c>
      <c r="AA85" s="478">
        <v>40</v>
      </c>
      <c r="AB85" s="567">
        <f t="shared" si="83"/>
        <v>-60</v>
      </c>
      <c r="AC85" s="478">
        <v>70</v>
      </c>
      <c r="AD85" s="478">
        <v>68</v>
      </c>
      <c r="AE85" s="567">
        <f t="shared" si="84"/>
        <v>-2</v>
      </c>
    </row>
    <row r="86" spans="1:31" s="434" customFormat="1" ht="22.5" customHeight="1">
      <c r="A86" s="474"/>
      <c r="B86" s="554"/>
      <c r="C86" s="574">
        <v>100257685</v>
      </c>
      <c r="D86" s="556" t="s">
        <v>141</v>
      </c>
      <c r="E86" s="680">
        <v>60.48</v>
      </c>
      <c r="F86" s="680">
        <v>60.48</v>
      </c>
      <c r="G86" s="567">
        <f t="shared" si="76"/>
        <v>0</v>
      </c>
      <c r="H86" s="680">
        <v>78.626000000000005</v>
      </c>
      <c r="I86" s="680">
        <v>78.626000000000005</v>
      </c>
      <c r="J86" s="567">
        <f t="shared" si="77"/>
        <v>0</v>
      </c>
      <c r="K86" s="680">
        <v>190.56200000000001</v>
      </c>
      <c r="L86" s="680">
        <v>190.56200000000001</v>
      </c>
      <c r="M86" s="567">
        <f t="shared" si="78"/>
        <v>0</v>
      </c>
      <c r="N86" s="680">
        <v>272.98399999999998</v>
      </c>
      <c r="O86" s="680">
        <v>272.74599999999998</v>
      </c>
      <c r="P86" s="567">
        <f t="shared" si="79"/>
        <v>-0.23799999999999955</v>
      </c>
      <c r="Q86" s="680">
        <v>192.3</v>
      </c>
      <c r="R86" s="680">
        <v>192.3</v>
      </c>
      <c r="S86" s="567">
        <f t="shared" si="80"/>
        <v>0</v>
      </c>
      <c r="T86" s="680">
        <v>119</v>
      </c>
      <c r="U86" s="680">
        <v>119</v>
      </c>
      <c r="V86" s="567">
        <f t="shared" si="81"/>
        <v>0</v>
      </c>
      <c r="W86" s="680">
        <v>353.3</v>
      </c>
      <c r="X86" s="680">
        <v>353.3</v>
      </c>
      <c r="Y86" s="567">
        <f t="shared" si="82"/>
        <v>0</v>
      </c>
      <c r="Z86" s="680">
        <v>196.3</v>
      </c>
      <c r="AA86" s="680">
        <v>196.3</v>
      </c>
      <c r="AB86" s="567">
        <f t="shared" si="83"/>
        <v>0</v>
      </c>
      <c r="AC86" s="680">
        <v>150</v>
      </c>
      <c r="AD86" s="680">
        <v>150</v>
      </c>
      <c r="AE86" s="567">
        <f t="shared" si="84"/>
        <v>0</v>
      </c>
    </row>
    <row r="87" spans="1:31" s="434" customFormat="1" ht="23.1" customHeight="1">
      <c r="A87" s="474"/>
      <c r="B87" s="554"/>
      <c r="C87" s="574">
        <v>100257685</v>
      </c>
      <c r="D87" s="556" t="s">
        <v>142</v>
      </c>
      <c r="E87" s="680">
        <v>60.48</v>
      </c>
      <c r="F87" s="680">
        <v>60.48</v>
      </c>
      <c r="G87" s="567">
        <f t="shared" si="76"/>
        <v>0</v>
      </c>
      <c r="H87" s="680">
        <v>78.626000000000005</v>
      </c>
      <c r="I87" s="680">
        <v>78.626000000000005</v>
      </c>
      <c r="J87" s="567">
        <f t="shared" si="77"/>
        <v>0</v>
      </c>
      <c r="K87" s="680">
        <v>190.56200000000001</v>
      </c>
      <c r="L87" s="680">
        <v>190.56200000000001</v>
      </c>
      <c r="M87" s="567">
        <f t="shared" si="78"/>
        <v>0</v>
      </c>
      <c r="N87" s="680">
        <v>273.67899999999997</v>
      </c>
      <c r="O87" s="680">
        <v>273.44099999999997</v>
      </c>
      <c r="P87" s="567">
        <f t="shared" si="79"/>
        <v>-0.23799999999999955</v>
      </c>
      <c r="Q87" s="680">
        <v>214.3</v>
      </c>
      <c r="R87" s="680">
        <v>214.3</v>
      </c>
      <c r="S87" s="567">
        <f t="shared" si="80"/>
        <v>0</v>
      </c>
      <c r="T87" s="680">
        <v>128</v>
      </c>
      <c r="U87" s="680">
        <v>128</v>
      </c>
      <c r="V87" s="567">
        <f t="shared" si="81"/>
        <v>0</v>
      </c>
      <c r="W87" s="680">
        <v>351</v>
      </c>
      <c r="X87" s="680">
        <v>351</v>
      </c>
      <c r="Y87" s="567">
        <f t="shared" si="82"/>
        <v>0</v>
      </c>
      <c r="Z87" s="680">
        <v>169.34</v>
      </c>
      <c r="AA87" s="680">
        <v>169.34</v>
      </c>
      <c r="AB87" s="567">
        <f t="shared" si="83"/>
        <v>0</v>
      </c>
      <c r="AC87" s="680">
        <v>166.32</v>
      </c>
      <c r="AD87" s="680">
        <v>166.32</v>
      </c>
      <c r="AE87" s="567">
        <f t="shared" si="84"/>
        <v>0</v>
      </c>
    </row>
    <row r="88" spans="1:31" s="434" customFormat="1" ht="22.5" customHeight="1">
      <c r="A88" s="474"/>
      <c r="B88" s="554"/>
      <c r="C88" s="574">
        <v>100257685</v>
      </c>
      <c r="D88" s="556" t="s">
        <v>139</v>
      </c>
      <c r="E88" s="680">
        <v>254.01599999999999</v>
      </c>
      <c r="F88" s="680">
        <v>254.01599999999999</v>
      </c>
      <c r="G88" s="567">
        <f t="shared" si="76"/>
        <v>0</v>
      </c>
      <c r="H88" s="680">
        <v>18.146000000000001</v>
      </c>
      <c r="I88" s="680">
        <v>18.146000000000001</v>
      </c>
      <c r="J88" s="567">
        <f t="shared" si="77"/>
        <v>0</v>
      </c>
      <c r="K88" s="680">
        <f>60.48+145.152</f>
        <v>205.63199999999998</v>
      </c>
      <c r="L88" s="680">
        <f>60.48+145.152</f>
        <v>205.63199999999998</v>
      </c>
      <c r="M88" s="567">
        <f t="shared" si="78"/>
        <v>0</v>
      </c>
      <c r="N88" s="680">
        <v>163.73600000000002</v>
      </c>
      <c r="O88" s="680">
        <v>194.042</v>
      </c>
      <c r="P88" s="567">
        <f t="shared" si="79"/>
        <v>30.305999999999983</v>
      </c>
      <c r="Q88" s="680">
        <v>125</v>
      </c>
      <c r="R88" s="680">
        <v>169</v>
      </c>
      <c r="S88" s="567">
        <f t="shared" si="80"/>
        <v>44</v>
      </c>
      <c r="T88" s="680">
        <v>215</v>
      </c>
      <c r="U88" s="680">
        <v>172</v>
      </c>
      <c r="V88" s="567">
        <f t="shared" si="81"/>
        <v>-43</v>
      </c>
      <c r="W88" s="680">
        <v>180</v>
      </c>
      <c r="X88" s="680">
        <v>63.5</v>
      </c>
      <c r="Y88" s="567">
        <f t="shared" si="82"/>
        <v>-116.5</v>
      </c>
      <c r="Z88" s="680">
        <v>250</v>
      </c>
      <c r="AA88" s="680">
        <v>57</v>
      </c>
      <c r="AB88" s="567">
        <f t="shared" si="83"/>
        <v>-193</v>
      </c>
      <c r="AC88" s="680">
        <v>300</v>
      </c>
      <c r="AD88" s="680">
        <f>300</f>
        <v>300</v>
      </c>
      <c r="AE88" s="567">
        <f t="shared" si="84"/>
        <v>0</v>
      </c>
    </row>
    <row r="89" spans="1:31" s="434" customFormat="1" ht="23.25" customHeight="1">
      <c r="A89" s="474"/>
      <c r="B89" s="554"/>
      <c r="C89" s="574">
        <v>100257685</v>
      </c>
      <c r="D89" s="556" t="s">
        <v>140</v>
      </c>
      <c r="E89" s="680">
        <v>247.96799999999999</v>
      </c>
      <c r="F89" s="680">
        <v>247.96799999999999</v>
      </c>
      <c r="G89" s="567">
        <f t="shared" si="76"/>
        <v>0</v>
      </c>
      <c r="H89" s="680">
        <v>36.29</v>
      </c>
      <c r="I89" s="680">
        <v>36.29</v>
      </c>
      <c r="J89" s="567">
        <f t="shared" si="77"/>
        <v>0</v>
      </c>
      <c r="K89" s="680">
        <f>60.48+114.912</f>
        <v>175.392</v>
      </c>
      <c r="L89" s="680">
        <f>60.48+114.912</f>
        <v>175.392</v>
      </c>
      <c r="M89" s="567">
        <f t="shared" si="78"/>
        <v>0</v>
      </c>
      <c r="N89" s="680">
        <v>230.369</v>
      </c>
      <c r="O89" s="680">
        <v>269.779</v>
      </c>
      <c r="P89" s="567">
        <f t="shared" si="79"/>
        <v>39.409999999999997</v>
      </c>
      <c r="Q89" s="680">
        <v>121</v>
      </c>
      <c r="R89" s="680">
        <v>120</v>
      </c>
      <c r="S89" s="567">
        <f t="shared" si="80"/>
        <v>-1</v>
      </c>
      <c r="T89" s="680">
        <v>168</v>
      </c>
      <c r="U89" s="680">
        <v>178</v>
      </c>
      <c r="V89" s="567">
        <f t="shared" si="81"/>
        <v>10</v>
      </c>
      <c r="W89" s="680">
        <v>216</v>
      </c>
      <c r="X89" s="680">
        <v>48.3</v>
      </c>
      <c r="Y89" s="567">
        <f t="shared" si="82"/>
        <v>-167.7</v>
      </c>
      <c r="Z89" s="680">
        <v>250</v>
      </c>
      <c r="AA89" s="680">
        <v>48</v>
      </c>
      <c r="AB89" s="567">
        <f t="shared" si="83"/>
        <v>-202</v>
      </c>
      <c r="AC89" s="680">
        <v>250</v>
      </c>
      <c r="AD89" s="680">
        <f>250</f>
        <v>250</v>
      </c>
      <c r="AE89" s="567">
        <f t="shared" si="84"/>
        <v>0</v>
      </c>
    </row>
    <row r="90" spans="1:31" s="434" customFormat="1" ht="23.25" hidden="1" customHeight="1">
      <c r="A90" s="474"/>
      <c r="B90" s="554"/>
      <c r="C90" s="574">
        <v>100257700</v>
      </c>
      <c r="D90" s="556" t="s">
        <v>127</v>
      </c>
      <c r="E90" s="533">
        <v>0</v>
      </c>
      <c r="F90" s="533">
        <v>0</v>
      </c>
      <c r="G90" s="479">
        <f t="shared" si="76"/>
        <v>0</v>
      </c>
      <c r="H90" s="533">
        <v>0</v>
      </c>
      <c r="I90" s="533">
        <v>0</v>
      </c>
      <c r="J90" s="479">
        <f t="shared" si="77"/>
        <v>0</v>
      </c>
      <c r="K90" s="533">
        <v>0</v>
      </c>
      <c r="L90" s="533">
        <v>0</v>
      </c>
      <c r="M90" s="479">
        <f t="shared" si="78"/>
        <v>0</v>
      </c>
      <c r="N90" s="533">
        <v>0</v>
      </c>
      <c r="O90" s="533">
        <v>0</v>
      </c>
      <c r="P90" s="479">
        <f t="shared" si="79"/>
        <v>0</v>
      </c>
      <c r="Q90" s="533">
        <v>0</v>
      </c>
      <c r="R90" s="533">
        <v>0</v>
      </c>
      <c r="S90" s="479">
        <f t="shared" si="80"/>
        <v>0</v>
      </c>
      <c r="T90" s="533">
        <v>0</v>
      </c>
      <c r="U90" s="533">
        <v>0</v>
      </c>
      <c r="V90" s="479">
        <f t="shared" si="81"/>
        <v>0</v>
      </c>
      <c r="W90" s="533">
        <v>0</v>
      </c>
      <c r="X90" s="533">
        <v>0</v>
      </c>
      <c r="Y90" s="479">
        <f t="shared" si="82"/>
        <v>0</v>
      </c>
      <c r="Z90" s="533">
        <v>0</v>
      </c>
      <c r="AA90" s="533">
        <v>0</v>
      </c>
      <c r="AB90" s="479">
        <f t="shared" si="83"/>
        <v>0</v>
      </c>
      <c r="AC90" s="533">
        <v>0</v>
      </c>
      <c r="AD90" s="533">
        <v>0</v>
      </c>
      <c r="AE90" s="479">
        <f t="shared" si="84"/>
        <v>0</v>
      </c>
    </row>
    <row r="91" spans="1:31" ht="23.25" hidden="1" customHeight="1">
      <c r="A91" s="495"/>
      <c r="B91" s="554"/>
      <c r="C91" s="555">
        <v>100280696</v>
      </c>
      <c r="D91" s="556" t="s">
        <v>128</v>
      </c>
      <c r="E91" s="533">
        <v>0</v>
      </c>
      <c r="F91" s="533">
        <v>0</v>
      </c>
      <c r="G91" s="479">
        <f t="shared" si="76"/>
        <v>0</v>
      </c>
      <c r="H91" s="533">
        <v>0</v>
      </c>
      <c r="I91" s="533">
        <v>0</v>
      </c>
      <c r="J91" s="479">
        <f t="shared" si="77"/>
        <v>0</v>
      </c>
      <c r="K91" s="533">
        <v>0</v>
      </c>
      <c r="L91" s="533">
        <v>0</v>
      </c>
      <c r="M91" s="479">
        <f t="shared" si="78"/>
        <v>0</v>
      </c>
      <c r="N91" s="533">
        <v>0</v>
      </c>
      <c r="O91" s="533">
        <v>0</v>
      </c>
      <c r="P91" s="479">
        <f t="shared" si="79"/>
        <v>0</v>
      </c>
      <c r="Q91" s="533">
        <v>0</v>
      </c>
      <c r="R91" s="533">
        <v>0</v>
      </c>
      <c r="S91" s="479">
        <f t="shared" si="80"/>
        <v>0</v>
      </c>
      <c r="T91" s="533">
        <v>0</v>
      </c>
      <c r="U91" s="533">
        <v>0</v>
      </c>
      <c r="V91" s="479">
        <f t="shared" si="81"/>
        <v>0</v>
      </c>
      <c r="W91" s="533">
        <v>0</v>
      </c>
      <c r="X91" s="533">
        <v>0</v>
      </c>
      <c r="Y91" s="479">
        <f t="shared" si="82"/>
        <v>0</v>
      </c>
      <c r="Z91" s="533">
        <v>0</v>
      </c>
      <c r="AA91" s="533">
        <v>0</v>
      </c>
      <c r="AB91" s="479">
        <f t="shared" si="83"/>
        <v>0</v>
      </c>
      <c r="AC91" s="533">
        <v>0</v>
      </c>
      <c r="AD91" s="533">
        <v>0</v>
      </c>
      <c r="AE91" s="479">
        <f t="shared" si="84"/>
        <v>0</v>
      </c>
    </row>
    <row r="92" spans="1:31" ht="23.25" customHeight="1">
      <c r="A92" s="495"/>
      <c r="B92" s="554"/>
      <c r="C92" s="555">
        <v>100280696</v>
      </c>
      <c r="D92" s="556" t="s">
        <v>116</v>
      </c>
      <c r="E92" s="533">
        <v>211.68</v>
      </c>
      <c r="F92" s="533">
        <v>211.68</v>
      </c>
      <c r="G92" s="479">
        <f t="shared" si="76"/>
        <v>0</v>
      </c>
      <c r="H92" s="533">
        <v>211.68</v>
      </c>
      <c r="I92" s="533">
        <v>211.68</v>
      </c>
      <c r="J92" s="479">
        <f t="shared" si="77"/>
        <v>0</v>
      </c>
      <c r="K92" s="533">
        <v>105.84</v>
      </c>
      <c r="L92" s="533">
        <v>105.84</v>
      </c>
      <c r="M92" s="479">
        <f t="shared" si="78"/>
        <v>0</v>
      </c>
      <c r="N92" s="533">
        <v>158</v>
      </c>
      <c r="O92" s="533">
        <v>233.10400000000001</v>
      </c>
      <c r="P92" s="479">
        <f t="shared" si="79"/>
        <v>75.104000000000013</v>
      </c>
      <c r="Q92" s="533">
        <v>52</v>
      </c>
      <c r="R92" s="533">
        <v>82.3</v>
      </c>
      <c r="S92" s="479">
        <f t="shared" si="80"/>
        <v>30.299999999999997</v>
      </c>
      <c r="T92" s="533">
        <v>58</v>
      </c>
      <c r="U92" s="533">
        <v>0</v>
      </c>
      <c r="V92" s="479">
        <f t="shared" si="81"/>
        <v>-58</v>
      </c>
      <c r="W92" s="533">
        <v>0</v>
      </c>
      <c r="X92" s="533">
        <v>0</v>
      </c>
      <c r="Y92" s="479">
        <f t="shared" si="82"/>
        <v>0</v>
      </c>
      <c r="Z92" s="533">
        <v>0</v>
      </c>
      <c r="AA92" s="533">
        <v>0</v>
      </c>
      <c r="AB92" s="479">
        <f t="shared" si="83"/>
        <v>0</v>
      </c>
      <c r="AC92" s="533">
        <v>0</v>
      </c>
      <c r="AD92" s="533">
        <v>0</v>
      </c>
      <c r="AE92" s="479">
        <f t="shared" si="84"/>
        <v>0</v>
      </c>
    </row>
    <row r="93" spans="1:31" ht="22.5" customHeight="1">
      <c r="A93" s="495"/>
      <c r="B93" s="554"/>
      <c r="C93" s="555"/>
      <c r="D93" s="556" t="s">
        <v>104</v>
      </c>
      <c r="E93" s="533">
        <v>0</v>
      </c>
      <c r="F93" s="533">
        <v>0</v>
      </c>
      <c r="G93" s="479">
        <f t="shared" si="76"/>
        <v>0</v>
      </c>
      <c r="H93" s="533">
        <v>0</v>
      </c>
      <c r="I93" s="533">
        <v>0</v>
      </c>
      <c r="J93" s="479">
        <f t="shared" si="77"/>
        <v>0</v>
      </c>
      <c r="K93" s="533">
        <v>0</v>
      </c>
      <c r="L93" s="533">
        <v>0</v>
      </c>
      <c r="M93" s="479">
        <f t="shared" si="78"/>
        <v>0</v>
      </c>
      <c r="N93" s="533">
        <v>0</v>
      </c>
      <c r="O93" s="533">
        <v>2E-3</v>
      </c>
      <c r="P93" s="479">
        <f t="shared" si="79"/>
        <v>2E-3</v>
      </c>
      <c r="Q93" s="533">
        <v>0</v>
      </c>
      <c r="R93" s="533">
        <v>0</v>
      </c>
      <c r="S93" s="479">
        <f t="shared" si="80"/>
        <v>0</v>
      </c>
      <c r="T93" s="533">
        <v>0</v>
      </c>
      <c r="U93" s="533">
        <v>0</v>
      </c>
      <c r="V93" s="479">
        <f t="shared" si="81"/>
        <v>0</v>
      </c>
      <c r="W93" s="533">
        <v>0</v>
      </c>
      <c r="X93" s="533">
        <v>0</v>
      </c>
      <c r="Y93" s="479">
        <f t="shared" si="82"/>
        <v>0</v>
      </c>
      <c r="Z93" s="533">
        <v>0</v>
      </c>
      <c r="AA93" s="533">
        <v>0</v>
      </c>
      <c r="AB93" s="479">
        <f t="shared" si="83"/>
        <v>0</v>
      </c>
      <c r="AC93" s="533">
        <v>0</v>
      </c>
      <c r="AD93" s="533">
        <v>0</v>
      </c>
      <c r="AE93" s="479">
        <f t="shared" si="84"/>
        <v>0</v>
      </c>
    </row>
    <row r="94" spans="1:31" ht="23.1" customHeight="1">
      <c r="A94" s="495"/>
      <c r="B94" s="554"/>
      <c r="C94" s="555"/>
      <c r="D94" s="556" t="s">
        <v>105</v>
      </c>
      <c r="E94" s="533">
        <v>0</v>
      </c>
      <c r="F94" s="533">
        <v>0</v>
      </c>
      <c r="G94" s="479">
        <f t="shared" si="76"/>
        <v>0</v>
      </c>
      <c r="H94" s="533">
        <v>0</v>
      </c>
      <c r="I94" s="533">
        <v>0</v>
      </c>
      <c r="J94" s="479">
        <f t="shared" si="77"/>
        <v>0</v>
      </c>
      <c r="K94" s="533">
        <v>0</v>
      </c>
      <c r="L94" s="533">
        <v>0</v>
      </c>
      <c r="M94" s="479">
        <f t="shared" si="78"/>
        <v>0</v>
      </c>
      <c r="N94" s="533">
        <v>0</v>
      </c>
      <c r="O94" s="533">
        <v>2E-3</v>
      </c>
      <c r="P94" s="479">
        <f t="shared" si="79"/>
        <v>2E-3</v>
      </c>
      <c r="Q94" s="533">
        <v>0</v>
      </c>
      <c r="R94" s="533">
        <v>0</v>
      </c>
      <c r="S94" s="479">
        <f t="shared" si="80"/>
        <v>0</v>
      </c>
      <c r="T94" s="533">
        <v>0</v>
      </c>
      <c r="U94" s="533">
        <v>0</v>
      </c>
      <c r="V94" s="479">
        <f t="shared" si="81"/>
        <v>0</v>
      </c>
      <c r="W94" s="533">
        <v>0</v>
      </c>
      <c r="X94" s="533">
        <v>0</v>
      </c>
      <c r="Y94" s="479">
        <f t="shared" si="82"/>
        <v>0</v>
      </c>
      <c r="Z94" s="533">
        <v>0</v>
      </c>
      <c r="AA94" s="533">
        <v>0</v>
      </c>
      <c r="AB94" s="479">
        <f t="shared" si="83"/>
        <v>0</v>
      </c>
      <c r="AC94" s="533">
        <v>0</v>
      </c>
      <c r="AD94" s="533">
        <v>0</v>
      </c>
      <c r="AE94" s="479">
        <f t="shared" si="84"/>
        <v>0</v>
      </c>
    </row>
    <row r="95" spans="1:31" ht="31.5">
      <c r="A95" s="495"/>
      <c r="B95" s="554"/>
      <c r="C95" s="583" t="s">
        <v>60</v>
      </c>
      <c r="D95" s="576" t="s">
        <v>242</v>
      </c>
      <c r="E95" s="670">
        <v>14.4</v>
      </c>
      <c r="F95" s="670">
        <v>14.4</v>
      </c>
      <c r="G95" s="479">
        <f t="shared" si="76"/>
        <v>0</v>
      </c>
      <c r="H95" s="670">
        <v>10.8</v>
      </c>
      <c r="I95" s="670">
        <v>10.8</v>
      </c>
      <c r="J95" s="479">
        <f t="shared" si="77"/>
        <v>0</v>
      </c>
      <c r="K95" s="670">
        <v>16.2</v>
      </c>
      <c r="L95" s="670">
        <v>16.2</v>
      </c>
      <c r="M95" s="479">
        <f t="shared" si="78"/>
        <v>0</v>
      </c>
      <c r="N95" s="670">
        <v>18</v>
      </c>
      <c r="O95" s="670">
        <v>18</v>
      </c>
      <c r="P95" s="479">
        <f t="shared" si="79"/>
        <v>0</v>
      </c>
      <c r="Q95" s="670">
        <v>0</v>
      </c>
      <c r="R95" s="670">
        <v>0</v>
      </c>
      <c r="S95" s="479">
        <f t="shared" si="80"/>
        <v>0</v>
      </c>
      <c r="T95" s="670">
        <v>6.6</v>
      </c>
      <c r="U95" s="670">
        <v>6.6</v>
      </c>
      <c r="V95" s="479">
        <f t="shared" si="81"/>
        <v>0</v>
      </c>
      <c r="W95" s="670">
        <v>12</v>
      </c>
      <c r="X95" s="670">
        <v>12</v>
      </c>
      <c r="Y95" s="479">
        <f t="shared" si="82"/>
        <v>0</v>
      </c>
      <c r="Z95" s="670">
        <v>24</v>
      </c>
      <c r="AA95" s="670">
        <v>24</v>
      </c>
      <c r="AB95" s="479">
        <f t="shared" si="83"/>
        <v>0</v>
      </c>
      <c r="AC95" s="670">
        <v>0</v>
      </c>
      <c r="AD95" s="670">
        <v>0</v>
      </c>
      <c r="AE95" s="479">
        <f t="shared" si="84"/>
        <v>0</v>
      </c>
    </row>
    <row r="96" spans="1:31" ht="31.5">
      <c r="A96" s="495"/>
      <c r="B96" s="554"/>
      <c r="C96" s="583" t="s">
        <v>60</v>
      </c>
      <c r="D96" s="576" t="s">
        <v>243</v>
      </c>
      <c r="E96" s="670">
        <f>50+36.4</f>
        <v>86.4</v>
      </c>
      <c r="F96" s="670">
        <f>50+36.4</f>
        <v>86.4</v>
      </c>
      <c r="G96" s="479">
        <f t="shared" si="76"/>
        <v>0</v>
      </c>
      <c r="H96" s="670">
        <v>7.2</v>
      </c>
      <c r="I96" s="670">
        <v>7.2</v>
      </c>
      <c r="J96" s="479">
        <f t="shared" si="77"/>
        <v>0</v>
      </c>
      <c r="K96" s="670">
        <v>0</v>
      </c>
      <c r="L96" s="670">
        <v>0</v>
      </c>
      <c r="M96" s="479">
        <f t="shared" si="78"/>
        <v>0</v>
      </c>
      <c r="N96" s="670">
        <v>46.6</v>
      </c>
      <c r="O96" s="670">
        <v>52.091000000000001</v>
      </c>
      <c r="P96" s="479">
        <f t="shared" si="79"/>
        <v>5.4909999999999997</v>
      </c>
      <c r="Q96" s="670">
        <v>57.4</v>
      </c>
      <c r="R96" s="670">
        <v>51.908999999999999</v>
      </c>
      <c r="S96" s="479">
        <f t="shared" si="80"/>
        <v>-5.4909999999999997</v>
      </c>
      <c r="T96" s="670">
        <v>20</v>
      </c>
      <c r="U96" s="670">
        <v>20</v>
      </c>
      <c r="V96" s="479">
        <f t="shared" si="81"/>
        <v>0</v>
      </c>
      <c r="W96" s="670">
        <v>25</v>
      </c>
      <c r="X96" s="670">
        <v>25</v>
      </c>
      <c r="Y96" s="479">
        <f t="shared" si="82"/>
        <v>0</v>
      </c>
      <c r="Z96" s="670">
        <v>6</v>
      </c>
      <c r="AA96" s="670">
        <v>11.5</v>
      </c>
      <c r="AB96" s="479">
        <f t="shared" si="83"/>
        <v>5.5</v>
      </c>
      <c r="AC96" s="670">
        <v>0</v>
      </c>
      <c r="AD96" s="670">
        <v>0</v>
      </c>
      <c r="AE96" s="479">
        <f t="shared" si="84"/>
        <v>0</v>
      </c>
    </row>
    <row r="97" spans="1:31" ht="31.5">
      <c r="A97" s="495"/>
      <c r="B97" s="554"/>
      <c r="C97" s="583" t="s">
        <v>60</v>
      </c>
      <c r="D97" s="576" t="s">
        <v>244</v>
      </c>
      <c r="E97" s="681">
        <v>0.41799999999999998</v>
      </c>
      <c r="F97" s="681">
        <v>0.41799999999999998</v>
      </c>
      <c r="G97" s="580">
        <f t="shared" si="76"/>
        <v>0</v>
      </c>
      <c r="H97" s="670">
        <v>13.327</v>
      </c>
      <c r="I97" s="670">
        <v>13.327</v>
      </c>
      <c r="J97" s="479">
        <f t="shared" si="77"/>
        <v>0</v>
      </c>
      <c r="K97" s="670">
        <v>43.21</v>
      </c>
      <c r="L97" s="670">
        <v>43.21</v>
      </c>
      <c r="M97" s="479">
        <f t="shared" si="78"/>
        <v>0</v>
      </c>
      <c r="N97" s="670">
        <v>44.8</v>
      </c>
      <c r="O97" s="670">
        <v>44.81</v>
      </c>
      <c r="P97" s="479">
        <f t="shared" si="79"/>
        <v>1.0000000000005116E-2</v>
      </c>
      <c r="Q97" s="670">
        <v>13.2</v>
      </c>
      <c r="R97" s="670">
        <v>13.2</v>
      </c>
      <c r="S97" s="479">
        <f t="shared" si="80"/>
        <v>0</v>
      </c>
      <c r="T97" s="670">
        <v>35</v>
      </c>
      <c r="U97" s="670">
        <v>35</v>
      </c>
      <c r="V97" s="479">
        <f t="shared" si="81"/>
        <v>0</v>
      </c>
      <c r="W97" s="670">
        <v>20</v>
      </c>
      <c r="X97" s="670">
        <v>20</v>
      </c>
      <c r="Y97" s="479">
        <f t="shared" si="82"/>
        <v>0</v>
      </c>
      <c r="Z97" s="670">
        <v>25</v>
      </c>
      <c r="AA97" s="670">
        <v>25</v>
      </c>
      <c r="AB97" s="479">
        <f t="shared" si="83"/>
        <v>0</v>
      </c>
      <c r="AC97" s="670">
        <v>43.3</v>
      </c>
      <c r="AD97" s="670">
        <f>45-1.7</f>
        <v>43.3</v>
      </c>
      <c r="AE97" s="479">
        <f t="shared" si="84"/>
        <v>0</v>
      </c>
    </row>
    <row r="98" spans="1:31" ht="31.5">
      <c r="A98" s="495"/>
      <c r="B98" s="554"/>
      <c r="C98" s="583" t="s">
        <v>60</v>
      </c>
      <c r="D98" s="581" t="s">
        <v>245</v>
      </c>
      <c r="E98" s="681">
        <v>1.2290000000000001</v>
      </c>
      <c r="F98" s="681">
        <v>1.2290000000000001</v>
      </c>
      <c r="G98" s="580">
        <f t="shared" si="76"/>
        <v>0</v>
      </c>
      <c r="H98" s="681">
        <v>2E-3</v>
      </c>
      <c r="I98" s="681">
        <v>2E-3</v>
      </c>
      <c r="J98" s="580">
        <f t="shared" si="77"/>
        <v>0</v>
      </c>
      <c r="K98" s="681">
        <v>0</v>
      </c>
      <c r="L98" s="681">
        <v>0</v>
      </c>
      <c r="M98" s="580">
        <f t="shared" si="78"/>
        <v>0</v>
      </c>
      <c r="N98" s="681">
        <v>1.41</v>
      </c>
      <c r="O98" s="681">
        <v>1.41</v>
      </c>
      <c r="P98" s="580">
        <f t="shared" si="79"/>
        <v>0</v>
      </c>
      <c r="Q98" s="670">
        <v>5.4</v>
      </c>
      <c r="R98" s="670">
        <v>5.4</v>
      </c>
      <c r="S98" s="479">
        <f t="shared" si="80"/>
        <v>0</v>
      </c>
      <c r="T98" s="670">
        <v>17.2</v>
      </c>
      <c r="U98" s="670">
        <v>17.2</v>
      </c>
      <c r="V98" s="479">
        <f t="shared" si="81"/>
        <v>0</v>
      </c>
      <c r="W98" s="670">
        <v>40</v>
      </c>
      <c r="X98" s="670">
        <v>40</v>
      </c>
      <c r="Y98" s="479">
        <f t="shared" si="82"/>
        <v>0</v>
      </c>
      <c r="Z98" s="670">
        <v>25</v>
      </c>
      <c r="AA98" s="670">
        <v>25</v>
      </c>
      <c r="AB98" s="479">
        <f t="shared" si="83"/>
        <v>0</v>
      </c>
      <c r="AC98" s="670">
        <v>20</v>
      </c>
      <c r="AD98" s="670">
        <f>13.2+6.8-5.5</f>
        <v>14.5</v>
      </c>
      <c r="AE98" s="479">
        <f t="shared" si="84"/>
        <v>-5.5</v>
      </c>
    </row>
    <row r="99" spans="1:31" ht="31.5">
      <c r="A99" s="495"/>
      <c r="B99" s="554"/>
      <c r="C99" s="583" t="s">
        <v>60</v>
      </c>
      <c r="D99" s="581" t="s">
        <v>237</v>
      </c>
      <c r="E99" s="681">
        <v>0</v>
      </c>
      <c r="F99" s="681">
        <v>0</v>
      </c>
      <c r="G99" s="580">
        <f t="shared" ref="G99" si="85">F99-E99</f>
        <v>0</v>
      </c>
      <c r="H99" s="681">
        <v>0.315</v>
      </c>
      <c r="I99" s="681">
        <v>0.315</v>
      </c>
      <c r="J99" s="580">
        <f t="shared" ref="J99" si="86">I99-H99</f>
        <v>0</v>
      </c>
      <c r="K99" s="681">
        <v>0.54100000000000004</v>
      </c>
      <c r="L99" s="681">
        <v>0.54100000000000004</v>
      </c>
      <c r="M99" s="580">
        <f t="shared" ref="M99" si="87">L99-K99</f>
        <v>0</v>
      </c>
      <c r="N99" s="681">
        <v>0</v>
      </c>
      <c r="O99" s="681">
        <v>0</v>
      </c>
      <c r="P99" s="580">
        <f t="shared" si="79"/>
        <v>0</v>
      </c>
      <c r="Q99" s="681">
        <v>1.23</v>
      </c>
      <c r="R99" s="681">
        <v>1.23</v>
      </c>
      <c r="S99" s="580">
        <f t="shared" si="80"/>
        <v>0</v>
      </c>
      <c r="T99" s="670">
        <v>0</v>
      </c>
      <c r="U99" s="670">
        <v>0</v>
      </c>
      <c r="V99" s="479">
        <f t="shared" si="81"/>
        <v>0</v>
      </c>
      <c r="W99" s="670">
        <v>2</v>
      </c>
      <c r="X99" s="670">
        <v>3.423</v>
      </c>
      <c r="Y99" s="479">
        <f t="shared" si="82"/>
        <v>1.423</v>
      </c>
      <c r="Z99" s="670">
        <v>3.423</v>
      </c>
      <c r="AA99" s="670">
        <v>2</v>
      </c>
      <c r="AB99" s="479">
        <f t="shared" si="83"/>
        <v>-1.423</v>
      </c>
      <c r="AC99" s="670">
        <v>0</v>
      </c>
      <c r="AD99" s="670">
        <v>0</v>
      </c>
      <c r="AE99" s="479">
        <f t="shared" si="84"/>
        <v>0</v>
      </c>
    </row>
    <row r="100" spans="1:31" ht="31.5">
      <c r="A100" s="495"/>
      <c r="B100" s="554"/>
      <c r="C100" s="583" t="s">
        <v>60</v>
      </c>
      <c r="D100" s="581" t="s">
        <v>246</v>
      </c>
      <c r="E100" s="681">
        <v>0</v>
      </c>
      <c r="F100" s="681">
        <v>0</v>
      </c>
      <c r="G100" s="580">
        <f t="shared" si="76"/>
        <v>0</v>
      </c>
      <c r="H100" s="681">
        <v>0.315</v>
      </c>
      <c r="I100" s="681">
        <v>0.315</v>
      </c>
      <c r="J100" s="580">
        <f t="shared" si="77"/>
        <v>0</v>
      </c>
      <c r="K100" s="681">
        <v>0.54100000000000004</v>
      </c>
      <c r="L100" s="681">
        <v>0.54100000000000004</v>
      </c>
      <c r="M100" s="580">
        <f t="shared" si="78"/>
        <v>0</v>
      </c>
      <c r="N100" s="681">
        <v>0</v>
      </c>
      <c r="O100" s="681">
        <v>0</v>
      </c>
      <c r="P100" s="580">
        <f t="shared" si="79"/>
        <v>0</v>
      </c>
      <c r="Q100" s="681">
        <v>1.23</v>
      </c>
      <c r="R100" s="681">
        <v>1.23</v>
      </c>
      <c r="S100" s="580">
        <f t="shared" si="80"/>
        <v>0</v>
      </c>
      <c r="T100" s="670">
        <v>0</v>
      </c>
      <c r="U100" s="670">
        <v>0</v>
      </c>
      <c r="V100" s="479">
        <f t="shared" si="81"/>
        <v>0</v>
      </c>
      <c r="W100" s="670">
        <v>1.6</v>
      </c>
      <c r="X100" s="670">
        <v>3.0230000000000001</v>
      </c>
      <c r="Y100" s="479">
        <f t="shared" si="82"/>
        <v>1.423</v>
      </c>
      <c r="Z100" s="670">
        <v>3.823</v>
      </c>
      <c r="AA100" s="670">
        <v>2.4</v>
      </c>
      <c r="AB100" s="479">
        <f t="shared" si="83"/>
        <v>-1.423</v>
      </c>
      <c r="AC100" s="670">
        <v>0</v>
      </c>
      <c r="AD100" s="670">
        <v>0</v>
      </c>
      <c r="AE100" s="479">
        <f t="shared" si="84"/>
        <v>0</v>
      </c>
    </row>
    <row r="101" spans="1:31" ht="31.5">
      <c r="A101" s="495"/>
      <c r="B101" s="554"/>
      <c r="C101" s="583" t="s">
        <v>60</v>
      </c>
      <c r="D101" s="581" t="s">
        <v>266</v>
      </c>
      <c r="E101" s="681">
        <v>0</v>
      </c>
      <c r="F101" s="681">
        <v>0</v>
      </c>
      <c r="G101" s="580">
        <f t="shared" si="76"/>
        <v>0</v>
      </c>
      <c r="H101" s="681">
        <v>0</v>
      </c>
      <c r="I101" s="681">
        <v>0</v>
      </c>
      <c r="J101" s="580">
        <f t="shared" si="77"/>
        <v>0</v>
      </c>
      <c r="K101" s="681">
        <v>0</v>
      </c>
      <c r="L101" s="681">
        <v>0</v>
      </c>
      <c r="M101" s="580">
        <f t="shared" si="78"/>
        <v>0</v>
      </c>
      <c r="N101" s="681">
        <v>2.33</v>
      </c>
      <c r="O101" s="681">
        <v>2.33</v>
      </c>
      <c r="P101" s="580">
        <f t="shared" si="79"/>
        <v>0</v>
      </c>
      <c r="Q101" s="681">
        <v>0.03</v>
      </c>
      <c r="R101" s="681">
        <v>0.03</v>
      </c>
      <c r="S101" s="580">
        <f t="shared" si="80"/>
        <v>0</v>
      </c>
      <c r="T101" s="681">
        <v>0.2</v>
      </c>
      <c r="U101" s="681">
        <v>0.2</v>
      </c>
      <c r="V101" s="580">
        <f t="shared" si="81"/>
        <v>0</v>
      </c>
      <c r="W101" s="681">
        <v>0.54</v>
      </c>
      <c r="X101" s="681">
        <v>0.54</v>
      </c>
      <c r="Y101" s="580">
        <f t="shared" si="82"/>
        <v>0</v>
      </c>
      <c r="Z101" s="681">
        <v>0</v>
      </c>
      <c r="AA101" s="681">
        <v>0</v>
      </c>
      <c r="AB101" s="580">
        <f t="shared" si="83"/>
        <v>0</v>
      </c>
      <c r="AC101" s="681">
        <v>3.52</v>
      </c>
      <c r="AD101" s="681">
        <v>3.52</v>
      </c>
      <c r="AE101" s="580">
        <f t="shared" si="84"/>
        <v>0</v>
      </c>
    </row>
    <row r="102" spans="1:31" s="434" customFormat="1" ht="23.1" customHeight="1">
      <c r="A102" s="474"/>
      <c r="B102" s="554"/>
      <c r="C102" s="555" t="s">
        <v>60</v>
      </c>
      <c r="D102" s="556" t="s">
        <v>136</v>
      </c>
      <c r="E102" s="670">
        <v>28.117999999999999</v>
      </c>
      <c r="F102" s="670">
        <v>28.117999999999999</v>
      </c>
      <c r="G102" s="479">
        <f t="shared" si="76"/>
        <v>0</v>
      </c>
      <c r="H102" s="670">
        <v>43.429000000000002</v>
      </c>
      <c r="I102" s="670">
        <v>43.429000000000002</v>
      </c>
      <c r="J102" s="479">
        <f t="shared" si="77"/>
        <v>0</v>
      </c>
      <c r="K102" s="670">
        <v>51.84</v>
      </c>
      <c r="L102" s="670">
        <v>51.84</v>
      </c>
      <c r="M102" s="479">
        <f t="shared" si="78"/>
        <v>0</v>
      </c>
      <c r="N102" s="670">
        <v>13.623999999999999</v>
      </c>
      <c r="O102" s="670">
        <v>19.984000000000002</v>
      </c>
      <c r="P102" s="479">
        <f t="shared" si="79"/>
        <v>6.360000000000003</v>
      </c>
      <c r="Q102" s="670">
        <v>33.72</v>
      </c>
      <c r="R102" s="670">
        <v>33.72</v>
      </c>
      <c r="S102" s="479">
        <f t="shared" si="80"/>
        <v>0</v>
      </c>
      <c r="T102" s="670">
        <v>65</v>
      </c>
      <c r="U102" s="670">
        <v>65</v>
      </c>
      <c r="V102" s="479">
        <f t="shared" si="81"/>
        <v>0</v>
      </c>
      <c r="W102" s="670">
        <v>65</v>
      </c>
      <c r="X102" s="670">
        <v>65</v>
      </c>
      <c r="Y102" s="479">
        <f t="shared" si="82"/>
        <v>0</v>
      </c>
      <c r="Z102" s="670">
        <v>27</v>
      </c>
      <c r="AA102" s="670">
        <v>27</v>
      </c>
      <c r="AB102" s="479">
        <f t="shared" si="83"/>
        <v>0</v>
      </c>
      <c r="AC102" s="670">
        <v>40</v>
      </c>
      <c r="AD102" s="670">
        <v>40</v>
      </c>
      <c r="AE102" s="479">
        <f t="shared" si="84"/>
        <v>0</v>
      </c>
    </row>
    <row r="103" spans="1:31" ht="23.1" customHeight="1">
      <c r="A103" s="495"/>
      <c r="B103" s="554"/>
      <c r="C103" s="583"/>
      <c r="D103" s="556" t="s">
        <v>148</v>
      </c>
      <c r="E103" s="670">
        <v>0</v>
      </c>
      <c r="F103" s="670">
        <v>0</v>
      </c>
      <c r="G103" s="479">
        <f t="shared" si="76"/>
        <v>0</v>
      </c>
      <c r="H103" s="670">
        <v>0</v>
      </c>
      <c r="I103" s="670">
        <v>0</v>
      </c>
      <c r="J103" s="479">
        <f t="shared" si="77"/>
        <v>0</v>
      </c>
      <c r="K103" s="670">
        <v>0</v>
      </c>
      <c r="L103" s="670">
        <v>0</v>
      </c>
      <c r="M103" s="479">
        <f t="shared" si="78"/>
        <v>0</v>
      </c>
      <c r="N103" s="670">
        <v>-0.441</v>
      </c>
      <c r="O103" s="670">
        <v>-0.441</v>
      </c>
      <c r="P103" s="479">
        <f t="shared" si="79"/>
        <v>0</v>
      </c>
      <c r="Q103" s="670">
        <v>0.32</v>
      </c>
      <c r="R103" s="670">
        <v>0.32</v>
      </c>
      <c r="S103" s="479">
        <f t="shared" si="80"/>
        <v>0</v>
      </c>
      <c r="T103" s="670">
        <v>0</v>
      </c>
      <c r="U103" s="670">
        <v>0</v>
      </c>
      <c r="V103" s="479">
        <f t="shared" si="81"/>
        <v>0</v>
      </c>
      <c r="W103" s="670">
        <v>0.16</v>
      </c>
      <c r="X103" s="670">
        <v>0.16</v>
      </c>
      <c r="Y103" s="479">
        <f t="shared" si="82"/>
        <v>0</v>
      </c>
      <c r="Z103" s="670">
        <v>0.16</v>
      </c>
      <c r="AA103" s="670">
        <v>0.16</v>
      </c>
      <c r="AB103" s="479">
        <f t="shared" si="83"/>
        <v>0</v>
      </c>
      <c r="AC103" s="670">
        <v>0</v>
      </c>
      <c r="AD103" s="670">
        <v>0</v>
      </c>
      <c r="AE103" s="479">
        <f t="shared" si="84"/>
        <v>0</v>
      </c>
    </row>
    <row r="104" spans="1:31" ht="23.1" customHeight="1">
      <c r="A104" s="495"/>
      <c r="B104" s="554"/>
      <c r="C104" s="583"/>
      <c r="D104" s="556" t="s">
        <v>149</v>
      </c>
      <c r="E104" s="670">
        <v>0</v>
      </c>
      <c r="F104" s="670">
        <v>0</v>
      </c>
      <c r="G104" s="479">
        <f t="shared" si="76"/>
        <v>0</v>
      </c>
      <c r="H104" s="670">
        <v>0</v>
      </c>
      <c r="I104" s="670">
        <v>0</v>
      </c>
      <c r="J104" s="479">
        <f t="shared" si="77"/>
        <v>0</v>
      </c>
      <c r="K104" s="670">
        <v>0</v>
      </c>
      <c r="L104" s="670">
        <v>0</v>
      </c>
      <c r="M104" s="479">
        <f t="shared" si="78"/>
        <v>0</v>
      </c>
      <c r="N104" s="670">
        <v>0</v>
      </c>
      <c r="O104" s="670">
        <v>6.0000000000000001E-3</v>
      </c>
      <c r="P104" s="479">
        <f t="shared" si="79"/>
        <v>6.0000000000000001E-3</v>
      </c>
      <c r="Q104" s="670">
        <v>0</v>
      </c>
      <c r="R104" s="670">
        <v>0</v>
      </c>
      <c r="S104" s="479">
        <f t="shared" si="80"/>
        <v>0</v>
      </c>
      <c r="T104" s="670">
        <v>0</v>
      </c>
      <c r="U104" s="670">
        <v>0</v>
      </c>
      <c r="V104" s="479">
        <f t="shared" si="81"/>
        <v>0</v>
      </c>
      <c r="W104" s="670">
        <v>0.16</v>
      </c>
      <c r="X104" s="670">
        <v>0.16</v>
      </c>
      <c r="Y104" s="479">
        <f t="shared" si="82"/>
        <v>0</v>
      </c>
      <c r="Z104" s="670">
        <v>0.16</v>
      </c>
      <c r="AA104" s="670">
        <v>0.16</v>
      </c>
      <c r="AB104" s="479">
        <f t="shared" si="83"/>
        <v>0</v>
      </c>
      <c r="AC104" s="670">
        <v>0</v>
      </c>
      <c r="AD104" s="670">
        <v>0</v>
      </c>
      <c r="AE104" s="479">
        <f t="shared" si="84"/>
        <v>0</v>
      </c>
    </row>
    <row r="105" spans="1:31" ht="23.1" customHeight="1">
      <c r="A105" s="495"/>
      <c r="B105" s="554"/>
      <c r="C105" s="583"/>
      <c r="D105" s="556" t="s">
        <v>146</v>
      </c>
      <c r="E105" s="670">
        <v>1.5</v>
      </c>
      <c r="F105" s="670">
        <v>1.5</v>
      </c>
      <c r="G105" s="479">
        <f t="shared" si="76"/>
        <v>0</v>
      </c>
      <c r="H105" s="670">
        <v>0</v>
      </c>
      <c r="I105" s="670">
        <v>0</v>
      </c>
      <c r="J105" s="479">
        <f t="shared" si="77"/>
        <v>0</v>
      </c>
      <c r="K105" s="670">
        <v>0</v>
      </c>
      <c r="L105" s="670">
        <v>0</v>
      </c>
      <c r="M105" s="479">
        <f t="shared" si="78"/>
        <v>0</v>
      </c>
      <c r="N105" s="670">
        <v>0</v>
      </c>
      <c r="O105" s="670">
        <v>0</v>
      </c>
      <c r="P105" s="479">
        <f t="shared" si="79"/>
        <v>0</v>
      </c>
      <c r="Q105" s="670">
        <v>0</v>
      </c>
      <c r="R105" s="670">
        <v>0</v>
      </c>
      <c r="S105" s="479">
        <f t="shared" si="80"/>
        <v>0</v>
      </c>
      <c r="T105" s="670">
        <v>0</v>
      </c>
      <c r="U105" s="670">
        <v>0</v>
      </c>
      <c r="V105" s="479">
        <f t="shared" si="81"/>
        <v>0</v>
      </c>
      <c r="W105" s="670">
        <v>0</v>
      </c>
      <c r="X105" s="670">
        <v>0</v>
      </c>
      <c r="Y105" s="479">
        <f t="shared" si="82"/>
        <v>0</v>
      </c>
      <c r="Z105" s="670">
        <v>0</v>
      </c>
      <c r="AA105" s="670">
        <v>0</v>
      </c>
      <c r="AB105" s="479">
        <f t="shared" si="83"/>
        <v>0</v>
      </c>
      <c r="AC105" s="670">
        <v>0</v>
      </c>
      <c r="AD105" s="670">
        <v>0</v>
      </c>
      <c r="AE105" s="479">
        <f t="shared" si="84"/>
        <v>0</v>
      </c>
    </row>
    <row r="106" spans="1:31" ht="23.1" customHeight="1">
      <c r="A106" s="495"/>
      <c r="B106" s="554"/>
      <c r="C106" s="583"/>
      <c r="D106" s="556" t="s">
        <v>147</v>
      </c>
      <c r="E106" s="670">
        <v>3</v>
      </c>
      <c r="F106" s="670">
        <v>3</v>
      </c>
      <c r="G106" s="479">
        <f t="shared" si="76"/>
        <v>0</v>
      </c>
      <c r="H106" s="670">
        <v>0</v>
      </c>
      <c r="I106" s="670">
        <v>0</v>
      </c>
      <c r="J106" s="479">
        <f t="shared" si="77"/>
        <v>0</v>
      </c>
      <c r="K106" s="670">
        <v>0</v>
      </c>
      <c r="L106" s="670">
        <v>0</v>
      </c>
      <c r="M106" s="479">
        <f t="shared" si="78"/>
        <v>0</v>
      </c>
      <c r="N106" s="670">
        <v>0</v>
      </c>
      <c r="O106" s="670">
        <v>0</v>
      </c>
      <c r="P106" s="479">
        <f t="shared" si="79"/>
        <v>0</v>
      </c>
      <c r="Q106" s="670">
        <v>0</v>
      </c>
      <c r="R106" s="670">
        <v>0</v>
      </c>
      <c r="S106" s="479">
        <f t="shared" si="80"/>
        <v>0</v>
      </c>
      <c r="T106" s="670">
        <v>0</v>
      </c>
      <c r="U106" s="670">
        <v>0</v>
      </c>
      <c r="V106" s="479">
        <f t="shared" si="81"/>
        <v>0</v>
      </c>
      <c r="W106" s="670">
        <v>0</v>
      </c>
      <c r="X106" s="670">
        <v>0</v>
      </c>
      <c r="Y106" s="479">
        <f t="shared" si="82"/>
        <v>0</v>
      </c>
      <c r="Z106" s="670">
        <v>0</v>
      </c>
      <c r="AA106" s="670">
        <v>0</v>
      </c>
      <c r="AB106" s="479">
        <f t="shared" si="83"/>
        <v>0</v>
      </c>
      <c r="AC106" s="670">
        <v>0</v>
      </c>
      <c r="AD106" s="670">
        <v>0</v>
      </c>
      <c r="AE106" s="479">
        <f t="shared" si="84"/>
        <v>0</v>
      </c>
    </row>
    <row r="107" spans="1:31" ht="23.1" customHeight="1">
      <c r="A107" s="495"/>
      <c r="B107" s="554"/>
      <c r="C107" s="682"/>
      <c r="D107" s="556" t="s">
        <v>130</v>
      </c>
      <c r="E107" s="499">
        <v>0</v>
      </c>
      <c r="F107" s="499">
        <v>0</v>
      </c>
      <c r="G107" s="479">
        <f t="shared" si="76"/>
        <v>0</v>
      </c>
      <c r="H107" s="499">
        <v>0</v>
      </c>
      <c r="I107" s="499">
        <v>0</v>
      </c>
      <c r="J107" s="479">
        <f t="shared" si="77"/>
        <v>0</v>
      </c>
      <c r="K107" s="499">
        <v>2.1589999999999998</v>
      </c>
      <c r="L107" s="499">
        <v>2.1589999999999998</v>
      </c>
      <c r="M107" s="479">
        <f t="shared" si="78"/>
        <v>0</v>
      </c>
      <c r="N107" s="499">
        <v>1.5429999999999999</v>
      </c>
      <c r="O107" s="499">
        <v>1.5429999999999999</v>
      </c>
      <c r="P107" s="479">
        <f t="shared" si="79"/>
        <v>0</v>
      </c>
      <c r="Q107" s="499">
        <v>0</v>
      </c>
      <c r="R107" s="499">
        <v>0</v>
      </c>
      <c r="S107" s="479">
        <f t="shared" si="80"/>
        <v>0</v>
      </c>
      <c r="T107" s="499">
        <v>1.1000000000000001</v>
      </c>
      <c r="U107" s="499">
        <v>1.1000000000000001</v>
      </c>
      <c r="V107" s="479">
        <f t="shared" si="81"/>
        <v>0</v>
      </c>
      <c r="W107" s="499">
        <v>1.1000000000000001</v>
      </c>
      <c r="X107" s="499">
        <v>1.1000000000000001</v>
      </c>
      <c r="Y107" s="479">
        <f t="shared" si="82"/>
        <v>0</v>
      </c>
      <c r="Z107" s="499">
        <v>0</v>
      </c>
      <c r="AA107" s="499">
        <v>0</v>
      </c>
      <c r="AB107" s="479">
        <f t="shared" si="83"/>
        <v>0</v>
      </c>
      <c r="AC107" s="499">
        <v>0</v>
      </c>
      <c r="AD107" s="499">
        <v>0</v>
      </c>
      <c r="AE107" s="479">
        <f t="shared" si="84"/>
        <v>0</v>
      </c>
    </row>
    <row r="108" spans="1:31" ht="23.1" customHeight="1">
      <c r="A108" s="495"/>
      <c r="B108" s="554"/>
      <c r="C108" s="682"/>
      <c r="D108" s="556" t="s">
        <v>131</v>
      </c>
      <c r="E108" s="499">
        <v>0</v>
      </c>
      <c r="F108" s="499">
        <v>0</v>
      </c>
      <c r="G108" s="479">
        <f t="shared" si="76"/>
        <v>0</v>
      </c>
      <c r="H108" s="499">
        <v>0</v>
      </c>
      <c r="I108" s="499">
        <v>0</v>
      </c>
      <c r="J108" s="479">
        <f t="shared" si="77"/>
        <v>0</v>
      </c>
      <c r="K108" s="499">
        <v>2.5920000000000001</v>
      </c>
      <c r="L108" s="499">
        <v>2.5920000000000001</v>
      </c>
      <c r="M108" s="479">
        <f t="shared" si="78"/>
        <v>0</v>
      </c>
      <c r="N108" s="499">
        <v>0.85399999999999998</v>
      </c>
      <c r="O108" s="499">
        <v>0.85399999999999998</v>
      </c>
      <c r="P108" s="479">
        <f t="shared" si="79"/>
        <v>0</v>
      </c>
      <c r="Q108" s="499">
        <v>0</v>
      </c>
      <c r="R108" s="499">
        <v>0</v>
      </c>
      <c r="S108" s="479">
        <f t="shared" si="80"/>
        <v>0</v>
      </c>
      <c r="T108" s="499">
        <v>1.1000000000000001</v>
      </c>
      <c r="U108" s="499">
        <v>1.1000000000000001</v>
      </c>
      <c r="V108" s="479">
        <f t="shared" si="81"/>
        <v>0</v>
      </c>
      <c r="W108" s="499">
        <v>1.1000000000000001</v>
      </c>
      <c r="X108" s="499">
        <v>1.1000000000000001</v>
      </c>
      <c r="Y108" s="479">
        <f t="shared" si="82"/>
        <v>0</v>
      </c>
      <c r="Z108" s="499">
        <v>0.6</v>
      </c>
      <c r="AA108" s="499">
        <v>0.6</v>
      </c>
      <c r="AB108" s="479">
        <f t="shared" si="83"/>
        <v>0</v>
      </c>
      <c r="AC108" s="499">
        <v>0.23400000000000001</v>
      </c>
      <c r="AD108" s="499">
        <v>0.23400000000000001</v>
      </c>
      <c r="AE108" s="479">
        <f t="shared" si="84"/>
        <v>0</v>
      </c>
    </row>
    <row r="109" spans="1:31" s="434" customFormat="1" ht="23.1" customHeight="1">
      <c r="A109" s="474"/>
      <c r="B109" s="554"/>
      <c r="C109" s="683"/>
      <c r="D109" s="582" t="s">
        <v>168</v>
      </c>
      <c r="E109" s="684">
        <v>2.234</v>
      </c>
      <c r="F109" s="684">
        <v>2.234</v>
      </c>
      <c r="G109" s="580">
        <f t="shared" si="76"/>
        <v>0</v>
      </c>
      <c r="H109" s="684">
        <v>0.58399999999999996</v>
      </c>
      <c r="I109" s="684">
        <v>0.58399999999999996</v>
      </c>
      <c r="J109" s="580">
        <f t="shared" si="77"/>
        <v>0</v>
      </c>
      <c r="K109" s="684">
        <v>0</v>
      </c>
      <c r="L109" s="684">
        <v>0</v>
      </c>
      <c r="M109" s="580">
        <f t="shared" si="78"/>
        <v>0</v>
      </c>
      <c r="N109" s="684">
        <v>0.1</v>
      </c>
      <c r="O109" s="684">
        <v>0.1</v>
      </c>
      <c r="P109" s="580">
        <f t="shared" si="79"/>
        <v>0</v>
      </c>
      <c r="Q109" s="684">
        <v>3.9</v>
      </c>
      <c r="R109" s="684">
        <v>4.75</v>
      </c>
      <c r="S109" s="580">
        <f t="shared" si="80"/>
        <v>0.85000000000000009</v>
      </c>
      <c r="T109" s="684">
        <v>3.3</v>
      </c>
      <c r="U109" s="684">
        <v>3.3</v>
      </c>
      <c r="V109" s="580">
        <f t="shared" si="81"/>
        <v>0</v>
      </c>
      <c r="W109" s="684">
        <v>0</v>
      </c>
      <c r="X109" s="684">
        <v>0</v>
      </c>
      <c r="Y109" s="580">
        <f t="shared" si="82"/>
        <v>0</v>
      </c>
      <c r="Z109" s="685">
        <v>0</v>
      </c>
      <c r="AA109" s="685">
        <v>0</v>
      </c>
      <c r="AB109" s="479">
        <f t="shared" si="83"/>
        <v>0</v>
      </c>
      <c r="AC109" s="685">
        <v>10</v>
      </c>
      <c r="AD109" s="685">
        <v>10</v>
      </c>
      <c r="AE109" s="479">
        <f t="shared" si="84"/>
        <v>0</v>
      </c>
    </row>
    <row r="110" spans="1:31" s="434" customFormat="1" ht="23.1" customHeight="1">
      <c r="A110" s="474"/>
      <c r="B110" s="554"/>
      <c r="C110" s="683"/>
      <c r="D110" s="582" t="s">
        <v>169</v>
      </c>
      <c r="E110" s="684">
        <v>2.1739999999999999</v>
      </c>
      <c r="F110" s="684">
        <v>2.1739999999999999</v>
      </c>
      <c r="G110" s="580">
        <f t="shared" si="76"/>
        <v>0</v>
      </c>
      <c r="H110" s="684">
        <v>0.58399999999999996</v>
      </c>
      <c r="I110" s="684">
        <v>0.58399999999999996</v>
      </c>
      <c r="J110" s="580">
        <f t="shared" si="77"/>
        <v>0</v>
      </c>
      <c r="K110" s="684">
        <v>0</v>
      </c>
      <c r="L110" s="684">
        <v>0</v>
      </c>
      <c r="M110" s="580">
        <f t="shared" si="78"/>
        <v>0</v>
      </c>
      <c r="N110" s="684">
        <v>0.1</v>
      </c>
      <c r="O110" s="684">
        <v>0.1</v>
      </c>
      <c r="P110" s="580">
        <f t="shared" si="79"/>
        <v>0</v>
      </c>
      <c r="Q110" s="684">
        <v>3.9</v>
      </c>
      <c r="R110" s="684">
        <v>4.75</v>
      </c>
      <c r="S110" s="580">
        <f t="shared" si="80"/>
        <v>0.85000000000000009</v>
      </c>
      <c r="T110" s="684">
        <v>3.3</v>
      </c>
      <c r="U110" s="684">
        <v>3.3</v>
      </c>
      <c r="V110" s="580">
        <f t="shared" si="81"/>
        <v>0</v>
      </c>
      <c r="W110" s="684">
        <v>0</v>
      </c>
      <c r="X110" s="684">
        <v>0</v>
      </c>
      <c r="Y110" s="580">
        <f t="shared" si="82"/>
        <v>0</v>
      </c>
      <c r="Z110" s="685">
        <v>0</v>
      </c>
      <c r="AA110" s="685">
        <v>0</v>
      </c>
      <c r="AB110" s="479">
        <f t="shared" si="83"/>
        <v>0</v>
      </c>
      <c r="AC110" s="685">
        <v>10</v>
      </c>
      <c r="AD110" s="685">
        <v>10</v>
      </c>
      <c r="AE110" s="479">
        <f t="shared" si="84"/>
        <v>0</v>
      </c>
    </row>
    <row r="111" spans="1:31" s="434" customFormat="1" ht="22.5" customHeight="1">
      <c r="A111" s="474"/>
      <c r="B111" s="554"/>
      <c r="C111" s="683"/>
      <c r="D111" s="556" t="s">
        <v>222</v>
      </c>
      <c r="E111" s="686">
        <v>64.072000000000003</v>
      </c>
      <c r="F111" s="686">
        <v>64.072000000000003</v>
      </c>
      <c r="G111" s="479">
        <f t="shared" si="76"/>
        <v>0</v>
      </c>
      <c r="H111" s="686">
        <v>19.361999999999998</v>
      </c>
      <c r="I111" s="686">
        <v>19.361999999999998</v>
      </c>
      <c r="J111" s="479">
        <f t="shared" si="77"/>
        <v>0</v>
      </c>
      <c r="K111" s="686">
        <v>74.8</v>
      </c>
      <c r="L111" s="686">
        <v>74.8</v>
      </c>
      <c r="M111" s="479">
        <f t="shared" si="78"/>
        <v>0</v>
      </c>
      <c r="N111" s="686">
        <v>-3.919</v>
      </c>
      <c r="O111" s="686">
        <v>-3.919</v>
      </c>
      <c r="P111" s="479">
        <f t="shared" si="79"/>
        <v>0</v>
      </c>
      <c r="Q111" s="686">
        <v>30</v>
      </c>
      <c r="R111" s="686">
        <v>0</v>
      </c>
      <c r="S111" s="479">
        <f t="shared" si="80"/>
        <v>-30</v>
      </c>
      <c r="T111" s="686">
        <v>22</v>
      </c>
      <c r="U111" s="686">
        <v>22</v>
      </c>
      <c r="V111" s="479">
        <f t="shared" si="81"/>
        <v>0</v>
      </c>
      <c r="W111" s="686">
        <v>13.2</v>
      </c>
      <c r="X111" s="686">
        <v>13.2</v>
      </c>
      <c r="Y111" s="479">
        <f t="shared" si="82"/>
        <v>0</v>
      </c>
      <c r="Z111" s="686">
        <v>17.600000000000001</v>
      </c>
      <c r="AA111" s="686">
        <v>0</v>
      </c>
      <c r="AB111" s="479">
        <f t="shared" si="83"/>
        <v>-17.600000000000001</v>
      </c>
      <c r="AC111" s="686">
        <v>20</v>
      </c>
      <c r="AD111" s="686">
        <v>0</v>
      </c>
      <c r="AE111" s="479">
        <f t="shared" si="84"/>
        <v>-20</v>
      </c>
    </row>
    <row r="112" spans="1:31" s="434" customFormat="1" ht="23.1" customHeight="1" thickBot="1">
      <c r="A112" s="474"/>
      <c r="B112" s="554"/>
      <c r="C112" s="683"/>
      <c r="D112" s="556" t="s">
        <v>223</v>
      </c>
      <c r="E112" s="680">
        <v>68.477999999999994</v>
      </c>
      <c r="F112" s="680">
        <v>68.477999999999994</v>
      </c>
      <c r="G112" s="479">
        <f t="shared" si="76"/>
        <v>0</v>
      </c>
      <c r="H112" s="680">
        <v>2E-3</v>
      </c>
      <c r="I112" s="680">
        <v>2E-3</v>
      </c>
      <c r="J112" s="479">
        <f t="shared" si="77"/>
        <v>0</v>
      </c>
      <c r="K112" s="680">
        <v>74.8</v>
      </c>
      <c r="L112" s="680">
        <v>74.8</v>
      </c>
      <c r="M112" s="479">
        <f t="shared" si="78"/>
        <v>0</v>
      </c>
      <c r="N112" s="680">
        <v>0.15599999999999969</v>
      </c>
      <c r="O112" s="680">
        <v>0.156</v>
      </c>
      <c r="P112" s="479">
        <f t="shared" si="79"/>
        <v>3.0531133177191805E-16</v>
      </c>
      <c r="Q112" s="680">
        <v>30</v>
      </c>
      <c r="R112" s="680">
        <v>0</v>
      </c>
      <c r="S112" s="479">
        <f t="shared" si="80"/>
        <v>-30</v>
      </c>
      <c r="T112" s="680">
        <v>8</v>
      </c>
      <c r="U112" s="680">
        <v>8</v>
      </c>
      <c r="V112" s="479">
        <f t="shared" si="81"/>
        <v>0</v>
      </c>
      <c r="W112" s="680">
        <v>13.2</v>
      </c>
      <c r="X112" s="680">
        <v>13.2</v>
      </c>
      <c r="Y112" s="479">
        <f t="shared" si="82"/>
        <v>0</v>
      </c>
      <c r="Z112" s="680">
        <v>17.600000000000001</v>
      </c>
      <c r="AA112" s="680">
        <v>0</v>
      </c>
      <c r="AB112" s="479">
        <f t="shared" si="83"/>
        <v>-17.600000000000001</v>
      </c>
      <c r="AC112" s="680">
        <v>20</v>
      </c>
      <c r="AD112" s="680">
        <v>0</v>
      </c>
      <c r="AE112" s="479">
        <f t="shared" si="84"/>
        <v>-20</v>
      </c>
    </row>
    <row r="113" spans="1:31" ht="22.5" hidden="1" customHeight="1" thickBot="1">
      <c r="A113" s="513"/>
      <c r="B113" s="592"/>
      <c r="C113" s="589">
        <v>100145808</v>
      </c>
      <c r="D113" s="590" t="s">
        <v>84</v>
      </c>
      <c r="E113" s="541">
        <v>0</v>
      </c>
      <c r="F113" s="541">
        <v>0</v>
      </c>
      <c r="G113" s="494">
        <f t="shared" si="76"/>
        <v>0</v>
      </c>
      <c r="H113" s="541">
        <v>0</v>
      </c>
      <c r="I113" s="541">
        <v>0</v>
      </c>
      <c r="J113" s="494">
        <f t="shared" si="77"/>
        <v>0</v>
      </c>
      <c r="K113" s="541">
        <v>0</v>
      </c>
      <c r="L113" s="541">
        <v>0</v>
      </c>
      <c r="M113" s="494">
        <f t="shared" si="78"/>
        <v>0</v>
      </c>
      <c r="N113" s="541">
        <v>0</v>
      </c>
      <c r="O113" s="541">
        <v>0</v>
      </c>
      <c r="P113" s="494">
        <f t="shared" si="79"/>
        <v>0</v>
      </c>
      <c r="Q113" s="541">
        <v>0</v>
      </c>
      <c r="R113" s="541">
        <v>0</v>
      </c>
      <c r="S113" s="494">
        <f t="shared" si="80"/>
        <v>0</v>
      </c>
      <c r="T113" s="541">
        <v>0</v>
      </c>
      <c r="U113" s="541">
        <v>0</v>
      </c>
      <c r="V113" s="494">
        <f t="shared" si="81"/>
        <v>0</v>
      </c>
      <c r="W113" s="541">
        <v>0</v>
      </c>
      <c r="X113" s="541">
        <v>0</v>
      </c>
      <c r="Y113" s="494">
        <f t="shared" si="82"/>
        <v>0</v>
      </c>
      <c r="Z113" s="541">
        <v>0</v>
      </c>
      <c r="AA113" s="541">
        <v>0</v>
      </c>
      <c r="AB113" s="494">
        <f t="shared" si="83"/>
        <v>0</v>
      </c>
      <c r="AC113" s="541">
        <v>0</v>
      </c>
      <c r="AD113" s="541">
        <v>0</v>
      </c>
      <c r="AE113" s="494">
        <f t="shared" si="84"/>
        <v>0</v>
      </c>
    </row>
    <row r="114" spans="1:31" ht="21.75" customHeight="1" thickBot="1">
      <c r="A114" s="513"/>
      <c r="B114" s="592"/>
      <c r="C114" s="593"/>
      <c r="D114" s="716" t="s">
        <v>33</v>
      </c>
      <c r="E114" s="520">
        <f>SUM(E76:E113)</f>
        <v>1385.6759999999999</v>
      </c>
      <c r="F114" s="520">
        <f>SUM(F76:F113)</f>
        <v>1385.6759999999999</v>
      </c>
      <c r="G114" s="521">
        <f t="shared" si="76"/>
        <v>0</v>
      </c>
      <c r="H114" s="520">
        <f>SUM(H78:H113)</f>
        <v>960.44999999999982</v>
      </c>
      <c r="I114" s="520">
        <f>SUM(I78:I113)</f>
        <v>960.44999999999982</v>
      </c>
      <c r="J114" s="521">
        <f t="shared" si="77"/>
        <v>0</v>
      </c>
      <c r="K114" s="520">
        <f>SUM(K78:K113)</f>
        <v>1225.3910000000003</v>
      </c>
      <c r="L114" s="520">
        <f>SUM(L78:L113)</f>
        <v>1225.3910000000003</v>
      </c>
      <c r="M114" s="521">
        <f t="shared" si="78"/>
        <v>0</v>
      </c>
      <c r="N114" s="520">
        <f>SUM(N78:N113)</f>
        <v>1691.3129999999994</v>
      </c>
      <c r="O114" s="520">
        <f>SUM(O78:O113)</f>
        <v>1847.8499999999992</v>
      </c>
      <c r="P114" s="521">
        <f t="shared" si="79"/>
        <v>156.53699999999981</v>
      </c>
      <c r="Q114" s="520">
        <f>SUM(Q78:Q113)</f>
        <v>1125.2300000000002</v>
      </c>
      <c r="R114" s="520">
        <f>SUM(R78:R113)</f>
        <v>1039.739</v>
      </c>
      <c r="S114" s="521">
        <f t="shared" si="80"/>
        <v>-85.491000000000213</v>
      </c>
      <c r="T114" s="520">
        <f>SUM(T78:T113)</f>
        <v>1073.7999999999997</v>
      </c>
      <c r="U114" s="520">
        <f>SUM(U78:U113)</f>
        <v>1068.7999999999997</v>
      </c>
      <c r="V114" s="521">
        <f t="shared" si="81"/>
        <v>-5</v>
      </c>
      <c r="W114" s="520">
        <f>SUM(W78:W113)</f>
        <v>1694.36</v>
      </c>
      <c r="X114" s="520">
        <f>SUM(X78:X113)</f>
        <v>1422.0059999999999</v>
      </c>
      <c r="Y114" s="521">
        <f t="shared" si="82"/>
        <v>-272.35400000000004</v>
      </c>
      <c r="Z114" s="520">
        <f>SUM(Z78:Z113)</f>
        <v>1402.0059999999999</v>
      </c>
      <c r="AA114" s="520">
        <f>SUM(AA78:AA113)</f>
        <v>914.45999999999992</v>
      </c>
      <c r="AB114" s="521">
        <f t="shared" si="83"/>
        <v>-487.54599999999994</v>
      </c>
      <c r="AC114" s="520">
        <f>SUM(AC78:AC113)</f>
        <v>1410.3739999999998</v>
      </c>
      <c r="AD114" s="520">
        <f>SUM(AD78:AD113)</f>
        <v>1336.8739999999998</v>
      </c>
      <c r="AE114" s="521">
        <f t="shared" si="84"/>
        <v>-73.5</v>
      </c>
    </row>
    <row r="115" spans="1:31" ht="23.1" customHeight="1">
      <c r="A115" s="456">
        <v>5</v>
      </c>
      <c r="B115" s="457" t="s">
        <v>53</v>
      </c>
      <c r="C115" s="529">
        <v>100173213</v>
      </c>
      <c r="D115" s="483" t="s">
        <v>85</v>
      </c>
      <c r="E115" s="478">
        <v>0.88</v>
      </c>
      <c r="F115" s="478">
        <v>0.88</v>
      </c>
      <c r="G115" s="479">
        <f t="shared" si="76"/>
        <v>0</v>
      </c>
      <c r="H115" s="478">
        <v>0</v>
      </c>
      <c r="I115" s="478">
        <v>0</v>
      </c>
      <c r="J115" s="479">
        <f t="shared" si="77"/>
        <v>0</v>
      </c>
      <c r="K115" s="478">
        <v>0</v>
      </c>
      <c r="L115" s="478">
        <v>0</v>
      </c>
      <c r="M115" s="479">
        <f t="shared" si="78"/>
        <v>0</v>
      </c>
      <c r="N115" s="478">
        <v>0</v>
      </c>
      <c r="O115" s="478">
        <v>0</v>
      </c>
      <c r="P115" s="479">
        <f t="shared" si="79"/>
        <v>0</v>
      </c>
      <c r="Q115" s="478">
        <v>0</v>
      </c>
      <c r="R115" s="478">
        <v>0</v>
      </c>
      <c r="S115" s="479">
        <f t="shared" si="80"/>
        <v>0</v>
      </c>
      <c r="T115" s="478">
        <v>1.6</v>
      </c>
      <c r="U115" s="478">
        <v>1.6</v>
      </c>
      <c r="V115" s="479">
        <f t="shared" si="81"/>
        <v>0</v>
      </c>
      <c r="W115" s="478">
        <v>0</v>
      </c>
      <c r="X115" s="478">
        <v>0</v>
      </c>
      <c r="Y115" s="479">
        <f t="shared" si="82"/>
        <v>0</v>
      </c>
      <c r="Z115" s="478">
        <v>0</v>
      </c>
      <c r="AA115" s="478">
        <v>0</v>
      </c>
      <c r="AB115" s="479">
        <f t="shared" si="83"/>
        <v>0</v>
      </c>
      <c r="AC115" s="478">
        <v>0.5</v>
      </c>
      <c r="AD115" s="478">
        <v>0.5</v>
      </c>
      <c r="AE115" s="479">
        <f t="shared" si="84"/>
        <v>0</v>
      </c>
    </row>
    <row r="116" spans="1:31" ht="23.1" customHeight="1">
      <c r="A116" s="456"/>
      <c r="B116" s="457"/>
      <c r="C116" s="460">
        <v>100172064</v>
      </c>
      <c r="D116" s="477" t="s">
        <v>86</v>
      </c>
      <c r="E116" s="478">
        <v>6.3360000000000003</v>
      </c>
      <c r="F116" s="478">
        <v>6.3360000000000003</v>
      </c>
      <c r="G116" s="479">
        <f t="shared" si="76"/>
        <v>0</v>
      </c>
      <c r="H116" s="478">
        <v>2.1120000000000001</v>
      </c>
      <c r="I116" s="478">
        <v>2.1120000000000001</v>
      </c>
      <c r="J116" s="479">
        <f t="shared" si="77"/>
        <v>0</v>
      </c>
      <c r="K116" s="478">
        <v>6.3360000000000003</v>
      </c>
      <c r="L116" s="478">
        <v>6.3360000000000003</v>
      </c>
      <c r="M116" s="479">
        <f t="shared" si="78"/>
        <v>0</v>
      </c>
      <c r="N116" s="478">
        <v>8.4480000000000004</v>
      </c>
      <c r="O116" s="478">
        <v>8.4529999999999994</v>
      </c>
      <c r="P116" s="479">
        <f t="shared" si="79"/>
        <v>4.9999999999990052E-3</v>
      </c>
      <c r="Q116" s="478">
        <v>0.95199999999999996</v>
      </c>
      <c r="R116" s="478">
        <v>0.95199999999999996</v>
      </c>
      <c r="S116" s="479">
        <f t="shared" si="80"/>
        <v>0</v>
      </c>
      <c r="T116" s="478">
        <v>7.3</v>
      </c>
      <c r="U116" s="478">
        <v>7.3</v>
      </c>
      <c r="V116" s="479">
        <f t="shared" si="81"/>
        <v>0</v>
      </c>
      <c r="W116" s="478">
        <v>5.2</v>
      </c>
      <c r="X116" s="478">
        <v>5.2</v>
      </c>
      <c r="Y116" s="479">
        <f t="shared" si="82"/>
        <v>0</v>
      </c>
      <c r="Z116" s="478">
        <v>6.3</v>
      </c>
      <c r="AA116" s="478">
        <v>6.3</v>
      </c>
      <c r="AB116" s="479">
        <f t="shared" si="83"/>
        <v>0</v>
      </c>
      <c r="AC116" s="478">
        <v>4.2</v>
      </c>
      <c r="AD116" s="478">
        <v>4.2</v>
      </c>
      <c r="AE116" s="479">
        <f t="shared" si="84"/>
        <v>0</v>
      </c>
    </row>
    <row r="117" spans="1:31" s="434" customFormat="1" ht="23.1" customHeight="1">
      <c r="A117" s="459"/>
      <c r="B117" s="457"/>
      <c r="C117" s="460">
        <v>100195737</v>
      </c>
      <c r="D117" s="477" t="s">
        <v>87</v>
      </c>
      <c r="E117" s="533">
        <v>71.28</v>
      </c>
      <c r="F117" s="533">
        <v>71.28</v>
      </c>
      <c r="G117" s="479">
        <f t="shared" si="76"/>
        <v>0</v>
      </c>
      <c r="H117" s="533">
        <v>0</v>
      </c>
      <c r="I117" s="533">
        <v>0</v>
      </c>
      <c r="J117" s="479">
        <f t="shared" si="77"/>
        <v>0</v>
      </c>
      <c r="K117" s="533">
        <v>58.96</v>
      </c>
      <c r="L117" s="533">
        <v>58.96</v>
      </c>
      <c r="M117" s="479">
        <f t="shared" si="78"/>
        <v>0</v>
      </c>
      <c r="N117" s="533">
        <v>71.28</v>
      </c>
      <c r="O117" s="533">
        <v>71.28</v>
      </c>
      <c r="P117" s="479">
        <f t="shared" si="79"/>
        <v>0</v>
      </c>
      <c r="Q117" s="533">
        <v>121</v>
      </c>
      <c r="R117" s="533">
        <v>121</v>
      </c>
      <c r="S117" s="479">
        <f t="shared" si="80"/>
        <v>0</v>
      </c>
      <c r="T117" s="533">
        <v>103</v>
      </c>
      <c r="U117" s="533">
        <v>103</v>
      </c>
      <c r="V117" s="479">
        <f t="shared" si="81"/>
        <v>0</v>
      </c>
      <c r="W117" s="533">
        <v>140</v>
      </c>
      <c r="X117" s="533">
        <v>140</v>
      </c>
      <c r="Y117" s="479">
        <f t="shared" si="82"/>
        <v>0</v>
      </c>
      <c r="Z117" s="533">
        <v>110</v>
      </c>
      <c r="AA117" s="533">
        <v>110</v>
      </c>
      <c r="AB117" s="479">
        <f t="shared" si="83"/>
        <v>0</v>
      </c>
      <c r="AC117" s="533">
        <v>71</v>
      </c>
      <c r="AD117" s="533">
        <v>71</v>
      </c>
      <c r="AE117" s="479">
        <f t="shared" si="84"/>
        <v>0</v>
      </c>
    </row>
    <row r="118" spans="1:31" ht="23.1" customHeight="1">
      <c r="A118" s="456"/>
      <c r="B118" s="457"/>
      <c r="C118" s="458">
        <v>100243304</v>
      </c>
      <c r="D118" s="687" t="s">
        <v>88</v>
      </c>
      <c r="E118" s="533">
        <v>216</v>
      </c>
      <c r="F118" s="533">
        <v>216</v>
      </c>
      <c r="G118" s="479">
        <f t="shared" si="76"/>
        <v>0</v>
      </c>
      <c r="H118" s="533">
        <v>135</v>
      </c>
      <c r="I118" s="533">
        <v>135</v>
      </c>
      <c r="J118" s="479">
        <f t="shared" si="77"/>
        <v>0</v>
      </c>
      <c r="K118" s="533">
        <v>162</v>
      </c>
      <c r="L118" s="533">
        <v>162</v>
      </c>
      <c r="M118" s="479">
        <f t="shared" si="78"/>
        <v>0</v>
      </c>
      <c r="N118" s="533">
        <v>215.03899999999999</v>
      </c>
      <c r="O118" s="533">
        <v>215.03899999999999</v>
      </c>
      <c r="P118" s="479">
        <f t="shared" si="79"/>
        <v>0</v>
      </c>
      <c r="Q118" s="533">
        <v>100</v>
      </c>
      <c r="R118" s="533">
        <v>100</v>
      </c>
      <c r="S118" s="479">
        <f t="shared" si="80"/>
        <v>0</v>
      </c>
      <c r="T118" s="533">
        <v>100</v>
      </c>
      <c r="U118" s="533">
        <v>100</v>
      </c>
      <c r="V118" s="479">
        <f t="shared" si="81"/>
        <v>0</v>
      </c>
      <c r="W118" s="533">
        <v>100</v>
      </c>
      <c r="X118" s="533">
        <v>100</v>
      </c>
      <c r="Y118" s="479">
        <f t="shared" si="82"/>
        <v>0</v>
      </c>
      <c r="Z118" s="533">
        <v>120</v>
      </c>
      <c r="AA118" s="533">
        <v>120</v>
      </c>
      <c r="AB118" s="479">
        <f t="shared" si="83"/>
        <v>0</v>
      </c>
      <c r="AC118" s="533">
        <v>90</v>
      </c>
      <c r="AD118" s="533">
        <v>90</v>
      </c>
      <c r="AE118" s="479">
        <f t="shared" si="84"/>
        <v>0</v>
      </c>
    </row>
    <row r="119" spans="1:31" s="434" customFormat="1" ht="22.5" customHeight="1">
      <c r="A119" s="459"/>
      <c r="B119" s="457"/>
      <c r="C119" s="460" t="s">
        <v>59</v>
      </c>
      <c r="D119" s="477" t="s">
        <v>89</v>
      </c>
      <c r="E119" s="533">
        <v>1148.537</v>
      </c>
      <c r="F119" s="533">
        <v>1148.537</v>
      </c>
      <c r="G119" s="479">
        <f t="shared" si="76"/>
        <v>0</v>
      </c>
      <c r="H119" s="533">
        <v>277.2</v>
      </c>
      <c r="I119" s="533">
        <v>277.2</v>
      </c>
      <c r="J119" s="479">
        <f t="shared" si="77"/>
        <v>0</v>
      </c>
      <c r="K119" s="533">
        <v>689.04</v>
      </c>
      <c r="L119" s="533">
        <v>689.04</v>
      </c>
      <c r="M119" s="479">
        <f t="shared" si="78"/>
        <v>0</v>
      </c>
      <c r="N119" s="533">
        <v>403.92</v>
      </c>
      <c r="O119" s="533">
        <v>403.97800000000001</v>
      </c>
      <c r="P119" s="479">
        <f t="shared" si="79"/>
        <v>5.7999999999992724E-2</v>
      </c>
      <c r="Q119" s="533">
        <v>427</v>
      </c>
      <c r="R119" s="533">
        <v>308.2</v>
      </c>
      <c r="S119" s="479">
        <f t="shared" si="80"/>
        <v>-118.80000000000001</v>
      </c>
      <c r="T119" s="533">
        <v>614</v>
      </c>
      <c r="U119" s="533">
        <v>614</v>
      </c>
      <c r="V119" s="479">
        <f t="shared" si="81"/>
        <v>0</v>
      </c>
      <c r="W119" s="533">
        <v>600</v>
      </c>
      <c r="X119" s="533">
        <v>600</v>
      </c>
      <c r="Y119" s="479">
        <f t="shared" si="82"/>
        <v>0</v>
      </c>
      <c r="Z119" s="533">
        <v>600</v>
      </c>
      <c r="AA119" s="533">
        <v>600</v>
      </c>
      <c r="AB119" s="479">
        <f t="shared" si="83"/>
        <v>0</v>
      </c>
      <c r="AC119" s="533">
        <v>420</v>
      </c>
      <c r="AD119" s="533">
        <v>420</v>
      </c>
      <c r="AE119" s="479">
        <f t="shared" si="84"/>
        <v>0</v>
      </c>
    </row>
    <row r="120" spans="1:31" s="434" customFormat="1" ht="23.1" customHeight="1" thickBot="1">
      <c r="A120" s="459"/>
      <c r="B120" s="457"/>
      <c r="C120" s="688"/>
      <c r="D120" s="477" t="s">
        <v>135</v>
      </c>
      <c r="E120" s="670">
        <v>918</v>
      </c>
      <c r="F120" s="670">
        <v>918</v>
      </c>
      <c r="G120" s="479">
        <f t="shared" ref="G120" si="88">F120-E120</f>
        <v>0</v>
      </c>
      <c r="H120" s="533">
        <f>432-351</f>
        <v>81</v>
      </c>
      <c r="I120" s="533">
        <f>432-351</f>
        <v>81</v>
      </c>
      <c r="J120" s="479">
        <f t="shared" ref="J120" si="89">I120-H120</f>
        <v>0</v>
      </c>
      <c r="K120" s="533">
        <v>546</v>
      </c>
      <c r="L120" s="533">
        <v>546</v>
      </c>
      <c r="M120" s="479">
        <f t="shared" ref="M120" si="90">L120-K120</f>
        <v>0</v>
      </c>
      <c r="N120" s="533">
        <v>216</v>
      </c>
      <c r="O120" s="533">
        <v>216</v>
      </c>
      <c r="P120" s="479">
        <f t="shared" ref="P120" si="91">O120-N120</f>
        <v>0</v>
      </c>
      <c r="Q120" s="533">
        <v>550</v>
      </c>
      <c r="R120" s="533">
        <v>550</v>
      </c>
      <c r="S120" s="479">
        <f t="shared" ref="S120" si="92">R120-Q120</f>
        <v>0</v>
      </c>
      <c r="T120" s="533">
        <v>550</v>
      </c>
      <c r="U120" s="533">
        <v>550</v>
      </c>
      <c r="V120" s="479">
        <f t="shared" ref="V120" si="93">U120-T120</f>
        <v>0</v>
      </c>
      <c r="W120" s="533">
        <v>800</v>
      </c>
      <c r="X120" s="533">
        <v>800</v>
      </c>
      <c r="Y120" s="479">
        <f t="shared" ref="Y120" si="94">X120-W120</f>
        <v>0</v>
      </c>
      <c r="Z120" s="533">
        <v>750</v>
      </c>
      <c r="AA120" s="533">
        <v>750</v>
      </c>
      <c r="AB120" s="479">
        <f t="shared" ref="AB120" si="95">AA120-Z120</f>
        <v>0</v>
      </c>
      <c r="AC120" s="533">
        <v>792</v>
      </c>
      <c r="AD120" s="533">
        <v>792</v>
      </c>
      <c r="AE120" s="479">
        <f t="shared" ref="AE120" si="96">AD120-AC120</f>
        <v>0</v>
      </c>
    </row>
    <row r="121" spans="1:31" s="434" customFormat="1" ht="23.1" customHeight="1" thickBot="1">
      <c r="A121" s="459"/>
      <c r="B121" s="457"/>
      <c r="C121" s="688"/>
      <c r="D121" s="597" t="s">
        <v>270</v>
      </c>
      <c r="E121" s="640">
        <v>918</v>
      </c>
      <c r="F121" s="640">
        <v>918</v>
      </c>
      <c r="G121" s="599">
        <f t="shared" si="76"/>
        <v>0</v>
      </c>
      <c r="H121" s="640">
        <v>0</v>
      </c>
      <c r="I121" s="640">
        <v>0</v>
      </c>
      <c r="J121" s="599">
        <f t="shared" si="77"/>
        <v>0</v>
      </c>
      <c r="K121" s="600">
        <v>0.01</v>
      </c>
      <c r="L121" s="600">
        <v>0.01</v>
      </c>
      <c r="M121" s="599">
        <f t="shared" si="78"/>
        <v>0</v>
      </c>
      <c r="N121" s="600">
        <v>0.26500000000000001</v>
      </c>
      <c r="O121" s="600">
        <v>0.26500000000000001</v>
      </c>
      <c r="P121" s="599">
        <f t="shared" si="79"/>
        <v>0</v>
      </c>
      <c r="Q121" s="640">
        <v>5.0000000000000001E-3</v>
      </c>
      <c r="R121" s="600">
        <v>5.0000000000000001E-3</v>
      </c>
      <c r="S121" s="599">
        <f t="shared" si="80"/>
        <v>0</v>
      </c>
      <c r="T121" s="640">
        <v>0</v>
      </c>
      <c r="U121" s="640">
        <v>0</v>
      </c>
      <c r="V121" s="599">
        <f t="shared" si="81"/>
        <v>0</v>
      </c>
      <c r="W121" s="640">
        <v>0</v>
      </c>
      <c r="X121" s="689">
        <v>0</v>
      </c>
      <c r="Y121" s="690">
        <f t="shared" si="82"/>
        <v>0</v>
      </c>
      <c r="Z121" s="689">
        <v>0</v>
      </c>
      <c r="AA121" s="689">
        <v>0</v>
      </c>
      <c r="AB121" s="690">
        <f t="shared" si="83"/>
        <v>0</v>
      </c>
      <c r="AC121" s="689">
        <v>0</v>
      </c>
      <c r="AD121" s="689">
        <v>0</v>
      </c>
      <c r="AE121" s="690">
        <f t="shared" si="84"/>
        <v>0</v>
      </c>
    </row>
    <row r="122" spans="1:31" s="434" customFormat="1" ht="20.100000000000001" customHeight="1" thickBot="1">
      <c r="A122" s="466"/>
      <c r="B122" s="467"/>
      <c r="C122" s="602"/>
      <c r="D122" s="603" t="s">
        <v>51</v>
      </c>
      <c r="E122" s="591">
        <f>SUM(E115:E121)</f>
        <v>3279.0329999999999</v>
      </c>
      <c r="F122" s="591">
        <f>SUM(F115:F121)</f>
        <v>3279.0329999999999</v>
      </c>
      <c r="G122" s="494">
        <f t="shared" si="76"/>
        <v>0</v>
      </c>
      <c r="H122" s="591">
        <f>SUM(H115:H121)</f>
        <v>495.31200000000001</v>
      </c>
      <c r="I122" s="591">
        <f>SUM(I115:I121)</f>
        <v>495.31200000000001</v>
      </c>
      <c r="J122" s="494">
        <f t="shared" si="77"/>
        <v>0</v>
      </c>
      <c r="K122" s="591">
        <f>SUM(K115:K121)</f>
        <v>1462.346</v>
      </c>
      <c r="L122" s="591">
        <f>SUM(L115:L121)</f>
        <v>1462.346</v>
      </c>
      <c r="M122" s="494">
        <f t="shared" si="78"/>
        <v>0</v>
      </c>
      <c r="N122" s="591">
        <f>SUM(N115:N121)</f>
        <v>914.952</v>
      </c>
      <c r="O122" s="591">
        <f>SUM(O115:O121)</f>
        <v>915.01499999999999</v>
      </c>
      <c r="P122" s="494">
        <f t="shared" si="79"/>
        <v>6.2999999999988177E-2</v>
      </c>
      <c r="Q122" s="591">
        <f>SUM(Q115:Q121)</f>
        <v>1198.9570000000001</v>
      </c>
      <c r="R122" s="591">
        <f>SUM(R115:R121)</f>
        <v>1080.1570000000002</v>
      </c>
      <c r="S122" s="494">
        <f t="shared" si="80"/>
        <v>-118.79999999999995</v>
      </c>
      <c r="T122" s="591">
        <f>SUM(T115:T121)</f>
        <v>1375.9</v>
      </c>
      <c r="U122" s="591">
        <f>SUM(U115:U121)</f>
        <v>1375.9</v>
      </c>
      <c r="V122" s="494">
        <f t="shared" si="81"/>
        <v>0</v>
      </c>
      <c r="W122" s="591">
        <f>SUM(W115:W121)</f>
        <v>1645.2</v>
      </c>
      <c r="X122" s="591">
        <f>SUM(X115:X121)</f>
        <v>1645.2</v>
      </c>
      <c r="Y122" s="494">
        <f t="shared" si="82"/>
        <v>0</v>
      </c>
      <c r="Z122" s="591">
        <f>SUM(Z115:Z121)</f>
        <v>1586.3</v>
      </c>
      <c r="AA122" s="591">
        <f>SUM(AA115:AA121)</f>
        <v>1586.3</v>
      </c>
      <c r="AB122" s="494">
        <f t="shared" si="83"/>
        <v>0</v>
      </c>
      <c r="AC122" s="591">
        <f>SUM(AC115:AC121)</f>
        <v>1377.7</v>
      </c>
      <c r="AD122" s="591">
        <f>SUM(AD115:AD121)</f>
        <v>1377.7</v>
      </c>
      <c r="AE122" s="494">
        <f t="shared" si="84"/>
        <v>0</v>
      </c>
    </row>
    <row r="123" spans="1:31" ht="20.100000000000001" hidden="1" customHeight="1" thickBot="1">
      <c r="B123" s="434"/>
      <c r="C123" s="434"/>
      <c r="E123" s="522"/>
      <c r="F123" s="522"/>
      <c r="G123" s="472"/>
      <c r="H123" s="522"/>
      <c r="I123" s="522"/>
      <c r="J123" s="472"/>
      <c r="K123" s="522"/>
      <c r="L123" s="522"/>
      <c r="M123" s="472"/>
      <c r="N123" s="522"/>
      <c r="O123" s="522"/>
      <c r="P123" s="472"/>
      <c r="Q123" s="522"/>
      <c r="R123" s="522"/>
      <c r="S123" s="472"/>
      <c r="T123" s="522"/>
      <c r="U123" s="522"/>
      <c r="V123" s="472"/>
      <c r="W123" s="522"/>
      <c r="X123" s="522"/>
      <c r="Y123" s="472"/>
      <c r="Z123" s="522"/>
      <c r="AA123" s="522"/>
      <c r="AB123" s="472"/>
      <c r="AC123" s="522"/>
      <c r="AD123" s="522"/>
      <c r="AE123" s="472"/>
    </row>
    <row r="124" spans="1:31" ht="23.1" hidden="1" customHeight="1">
      <c r="A124" s="607">
        <v>7</v>
      </c>
      <c r="B124" s="524" t="s">
        <v>54</v>
      </c>
      <c r="C124" s="460">
        <v>100075673</v>
      </c>
      <c r="D124" s="691" t="s">
        <v>38</v>
      </c>
      <c r="E124" s="553">
        <v>0</v>
      </c>
      <c r="F124" s="553">
        <v>0</v>
      </c>
      <c r="G124" s="528">
        <f t="shared" ref="G124:G145" si="97">F124-E124</f>
        <v>0</v>
      </c>
      <c r="H124" s="553">
        <v>0</v>
      </c>
      <c r="I124" s="553">
        <v>0</v>
      </c>
      <c r="J124" s="528">
        <f t="shared" ref="J124:J145" si="98">I124-H124</f>
        <v>0</v>
      </c>
      <c r="K124" s="553">
        <v>0</v>
      </c>
      <c r="L124" s="553">
        <v>0</v>
      </c>
      <c r="M124" s="528">
        <f t="shared" ref="M124:M145" si="99">L124-K124</f>
        <v>0</v>
      </c>
      <c r="N124" s="553">
        <v>0</v>
      </c>
      <c r="O124" s="553">
        <v>0</v>
      </c>
      <c r="P124" s="528">
        <f t="shared" ref="P124:P145" si="100">O124-N124</f>
        <v>0</v>
      </c>
      <c r="Q124" s="553">
        <v>0</v>
      </c>
      <c r="R124" s="553">
        <v>0</v>
      </c>
      <c r="S124" s="528">
        <f t="shared" ref="S124:S145" si="101">R124-Q124</f>
        <v>0</v>
      </c>
      <c r="T124" s="553">
        <v>0</v>
      </c>
      <c r="U124" s="553">
        <v>0</v>
      </c>
      <c r="V124" s="528">
        <f t="shared" ref="V124:V145" si="102">U124-T124</f>
        <v>0</v>
      </c>
      <c r="W124" s="553">
        <v>0</v>
      </c>
      <c r="X124" s="553">
        <v>0</v>
      </c>
      <c r="Y124" s="528">
        <f t="shared" ref="Y124:Y145" si="103">X124-W124</f>
        <v>0</v>
      </c>
      <c r="Z124" s="553">
        <v>0</v>
      </c>
      <c r="AA124" s="553">
        <v>0</v>
      </c>
      <c r="AB124" s="528">
        <f t="shared" ref="AB124:AB145" si="104">AA124-Z124</f>
        <v>0</v>
      </c>
      <c r="AC124" s="553">
        <v>0</v>
      </c>
      <c r="AD124" s="553">
        <v>0</v>
      </c>
      <c r="AE124" s="528">
        <f t="shared" ref="AE124:AE145" si="105">AD124-AC124</f>
        <v>0</v>
      </c>
    </row>
    <row r="125" spans="1:31" s="434" customFormat="1" ht="23.1" hidden="1" customHeight="1">
      <c r="A125" s="459"/>
      <c r="B125" s="457"/>
      <c r="C125" s="460">
        <v>100067506</v>
      </c>
      <c r="D125" s="477" t="s">
        <v>39</v>
      </c>
      <c r="E125" s="670">
        <v>0</v>
      </c>
      <c r="F125" s="670">
        <v>0</v>
      </c>
      <c r="G125" s="479">
        <f t="shared" si="97"/>
        <v>0</v>
      </c>
      <c r="H125" s="670">
        <v>0</v>
      </c>
      <c r="I125" s="670">
        <v>0</v>
      </c>
      <c r="J125" s="479">
        <f t="shared" si="98"/>
        <v>0</v>
      </c>
      <c r="K125" s="670">
        <v>0</v>
      </c>
      <c r="L125" s="670">
        <v>0</v>
      </c>
      <c r="M125" s="479">
        <f t="shared" si="99"/>
        <v>0</v>
      </c>
      <c r="N125" s="670">
        <v>0</v>
      </c>
      <c r="O125" s="670">
        <v>0</v>
      </c>
      <c r="P125" s="479">
        <f t="shared" si="100"/>
        <v>0</v>
      </c>
      <c r="Q125" s="670">
        <v>0</v>
      </c>
      <c r="R125" s="670">
        <v>0</v>
      </c>
      <c r="S125" s="479">
        <f t="shared" si="101"/>
        <v>0</v>
      </c>
      <c r="T125" s="670">
        <v>0</v>
      </c>
      <c r="U125" s="670">
        <v>0</v>
      </c>
      <c r="V125" s="479">
        <f t="shared" si="102"/>
        <v>0</v>
      </c>
      <c r="W125" s="670">
        <v>0</v>
      </c>
      <c r="X125" s="670">
        <v>0</v>
      </c>
      <c r="Y125" s="479">
        <f t="shared" si="103"/>
        <v>0</v>
      </c>
      <c r="Z125" s="670">
        <v>0</v>
      </c>
      <c r="AA125" s="670">
        <v>0</v>
      </c>
      <c r="AB125" s="479">
        <f t="shared" si="104"/>
        <v>0</v>
      </c>
      <c r="AC125" s="670">
        <v>0</v>
      </c>
      <c r="AD125" s="670">
        <v>0</v>
      </c>
      <c r="AE125" s="479">
        <f t="shared" si="105"/>
        <v>0</v>
      </c>
    </row>
    <row r="126" spans="1:31" ht="23.1" hidden="1" customHeight="1">
      <c r="A126" s="456"/>
      <c r="B126" s="457"/>
      <c r="C126" s="460">
        <v>100244754</v>
      </c>
      <c r="D126" s="477" t="s">
        <v>40</v>
      </c>
      <c r="E126" s="478">
        <v>0</v>
      </c>
      <c r="F126" s="478">
        <v>0</v>
      </c>
      <c r="G126" s="567">
        <f t="shared" si="97"/>
        <v>0</v>
      </c>
      <c r="H126" s="478">
        <v>0</v>
      </c>
      <c r="I126" s="478">
        <v>0</v>
      </c>
      <c r="J126" s="567">
        <f t="shared" si="98"/>
        <v>0</v>
      </c>
      <c r="K126" s="478">
        <v>0</v>
      </c>
      <c r="L126" s="478">
        <v>0</v>
      </c>
      <c r="M126" s="567">
        <f t="shared" si="99"/>
        <v>0</v>
      </c>
      <c r="N126" s="478">
        <v>0</v>
      </c>
      <c r="O126" s="478">
        <v>0</v>
      </c>
      <c r="P126" s="567">
        <f t="shared" si="100"/>
        <v>0</v>
      </c>
      <c r="Q126" s="478">
        <v>0</v>
      </c>
      <c r="R126" s="478">
        <v>0</v>
      </c>
      <c r="S126" s="567">
        <f t="shared" si="101"/>
        <v>0</v>
      </c>
      <c r="T126" s="478">
        <v>0</v>
      </c>
      <c r="U126" s="478">
        <v>0</v>
      </c>
      <c r="V126" s="567">
        <f t="shared" si="102"/>
        <v>0</v>
      </c>
      <c r="W126" s="478">
        <v>0</v>
      </c>
      <c r="X126" s="478">
        <v>0</v>
      </c>
      <c r="Y126" s="567">
        <f t="shared" si="103"/>
        <v>0</v>
      </c>
      <c r="Z126" s="478">
        <v>0</v>
      </c>
      <c r="AA126" s="478">
        <v>0</v>
      </c>
      <c r="AB126" s="567">
        <f t="shared" si="104"/>
        <v>0</v>
      </c>
      <c r="AC126" s="478">
        <v>0</v>
      </c>
      <c r="AD126" s="478">
        <v>0</v>
      </c>
      <c r="AE126" s="567">
        <f t="shared" si="105"/>
        <v>0</v>
      </c>
    </row>
    <row r="127" spans="1:31" s="434" customFormat="1" ht="23.1" hidden="1" customHeight="1">
      <c r="A127" s="459"/>
      <c r="B127" s="457"/>
      <c r="C127" s="460">
        <v>100006918</v>
      </c>
      <c r="D127" s="477" t="s">
        <v>41</v>
      </c>
      <c r="E127" s="499">
        <v>0</v>
      </c>
      <c r="F127" s="499">
        <v>0</v>
      </c>
      <c r="G127" s="479">
        <f t="shared" si="97"/>
        <v>0</v>
      </c>
      <c r="H127" s="499">
        <v>0</v>
      </c>
      <c r="I127" s="499">
        <v>0</v>
      </c>
      <c r="J127" s="479">
        <f t="shared" si="98"/>
        <v>0</v>
      </c>
      <c r="K127" s="499">
        <v>0</v>
      </c>
      <c r="L127" s="499">
        <v>0</v>
      </c>
      <c r="M127" s="479">
        <f t="shared" si="99"/>
        <v>0</v>
      </c>
      <c r="N127" s="499">
        <v>0</v>
      </c>
      <c r="O127" s="499">
        <v>0</v>
      </c>
      <c r="P127" s="479">
        <f t="shared" si="100"/>
        <v>0</v>
      </c>
      <c r="Q127" s="499">
        <v>0</v>
      </c>
      <c r="R127" s="499">
        <v>0</v>
      </c>
      <c r="S127" s="479">
        <f t="shared" si="101"/>
        <v>0</v>
      </c>
      <c r="T127" s="499">
        <v>0</v>
      </c>
      <c r="U127" s="499">
        <v>0</v>
      </c>
      <c r="V127" s="479">
        <f t="shared" si="102"/>
        <v>0</v>
      </c>
      <c r="W127" s="499">
        <v>0</v>
      </c>
      <c r="X127" s="499">
        <v>0</v>
      </c>
      <c r="Y127" s="479">
        <f t="shared" si="103"/>
        <v>0</v>
      </c>
      <c r="Z127" s="499">
        <v>0</v>
      </c>
      <c r="AA127" s="499">
        <v>0</v>
      </c>
      <c r="AB127" s="479">
        <f t="shared" si="104"/>
        <v>0</v>
      </c>
      <c r="AC127" s="499">
        <v>0</v>
      </c>
      <c r="AD127" s="499">
        <v>0</v>
      </c>
      <c r="AE127" s="479">
        <f t="shared" si="105"/>
        <v>0</v>
      </c>
    </row>
    <row r="128" spans="1:31" ht="22.5" hidden="1" customHeight="1">
      <c r="A128" s="456"/>
      <c r="B128" s="457"/>
      <c r="C128" s="608">
        <v>100261841</v>
      </c>
      <c r="D128" s="609" t="s">
        <v>44</v>
      </c>
      <c r="E128" s="692">
        <v>0</v>
      </c>
      <c r="F128" s="692">
        <v>0</v>
      </c>
      <c r="G128" s="580">
        <f t="shared" si="97"/>
        <v>0</v>
      </c>
      <c r="H128" s="692">
        <v>0</v>
      </c>
      <c r="I128" s="692">
        <v>0</v>
      </c>
      <c r="J128" s="580">
        <f t="shared" si="98"/>
        <v>0</v>
      </c>
      <c r="K128" s="692">
        <v>0</v>
      </c>
      <c r="L128" s="692">
        <v>0</v>
      </c>
      <c r="M128" s="580">
        <f t="shared" si="99"/>
        <v>0</v>
      </c>
      <c r="N128" s="692">
        <v>0</v>
      </c>
      <c r="O128" s="692">
        <v>0</v>
      </c>
      <c r="P128" s="580">
        <f t="shared" si="100"/>
        <v>0</v>
      </c>
      <c r="Q128" s="692">
        <v>0</v>
      </c>
      <c r="R128" s="692">
        <v>0</v>
      </c>
      <c r="S128" s="580">
        <f t="shared" si="101"/>
        <v>0</v>
      </c>
      <c r="T128" s="692">
        <v>0</v>
      </c>
      <c r="U128" s="692">
        <v>0</v>
      </c>
      <c r="V128" s="580">
        <f t="shared" si="102"/>
        <v>0</v>
      </c>
      <c r="W128" s="692">
        <v>0</v>
      </c>
      <c r="X128" s="692">
        <v>0</v>
      </c>
      <c r="Y128" s="580">
        <f t="shared" si="103"/>
        <v>0</v>
      </c>
      <c r="Z128" s="692">
        <v>0</v>
      </c>
      <c r="AA128" s="692">
        <v>0</v>
      </c>
      <c r="AB128" s="580">
        <f t="shared" si="104"/>
        <v>0</v>
      </c>
      <c r="AC128" s="692">
        <v>0</v>
      </c>
      <c r="AD128" s="692">
        <v>0</v>
      </c>
      <c r="AE128" s="580">
        <f t="shared" si="105"/>
        <v>0</v>
      </c>
    </row>
    <row r="129" spans="1:31" ht="23.1" hidden="1" customHeight="1">
      <c r="A129" s="456"/>
      <c r="B129" s="457"/>
      <c r="C129" s="611">
        <v>100057555</v>
      </c>
      <c r="D129" s="612" t="s">
        <v>45</v>
      </c>
      <c r="E129" s="613">
        <v>0</v>
      </c>
      <c r="F129" s="613">
        <v>0</v>
      </c>
      <c r="G129" s="614">
        <f t="shared" si="97"/>
        <v>0</v>
      </c>
      <c r="H129" s="613">
        <v>0</v>
      </c>
      <c r="I129" s="613">
        <v>0</v>
      </c>
      <c r="J129" s="614">
        <f t="shared" si="98"/>
        <v>0</v>
      </c>
      <c r="K129" s="613">
        <v>0</v>
      </c>
      <c r="L129" s="613">
        <v>0</v>
      </c>
      <c r="M129" s="614">
        <f t="shared" si="99"/>
        <v>0</v>
      </c>
      <c r="N129" s="613">
        <v>0</v>
      </c>
      <c r="O129" s="613">
        <v>0</v>
      </c>
      <c r="P129" s="614">
        <f t="shared" si="100"/>
        <v>0</v>
      </c>
      <c r="Q129" s="613">
        <v>0</v>
      </c>
      <c r="R129" s="613">
        <v>0</v>
      </c>
      <c r="S129" s="614">
        <f t="shared" si="101"/>
        <v>0</v>
      </c>
      <c r="T129" s="613">
        <v>0</v>
      </c>
      <c r="U129" s="613">
        <v>0</v>
      </c>
      <c r="V129" s="614">
        <f t="shared" si="102"/>
        <v>0</v>
      </c>
      <c r="W129" s="613">
        <v>0</v>
      </c>
      <c r="X129" s="613">
        <v>0</v>
      </c>
      <c r="Y129" s="614">
        <f t="shared" si="103"/>
        <v>0</v>
      </c>
      <c r="Z129" s="613">
        <v>0</v>
      </c>
      <c r="AA129" s="613">
        <v>0</v>
      </c>
      <c r="AB129" s="614">
        <f t="shared" si="104"/>
        <v>0</v>
      </c>
      <c r="AC129" s="613">
        <v>0</v>
      </c>
      <c r="AD129" s="613">
        <v>0</v>
      </c>
      <c r="AE129" s="614">
        <f t="shared" si="105"/>
        <v>0</v>
      </c>
    </row>
    <row r="130" spans="1:31" ht="23.1" hidden="1" customHeight="1" thickBot="1">
      <c r="A130" s="607">
        <v>7</v>
      </c>
      <c r="B130" s="524" t="s">
        <v>54</v>
      </c>
      <c r="C130" s="615">
        <v>100127652</v>
      </c>
      <c r="D130" s="616" t="s">
        <v>47</v>
      </c>
      <c r="E130" s="573">
        <v>0</v>
      </c>
      <c r="F130" s="573">
        <v>0</v>
      </c>
      <c r="G130" s="617">
        <f t="shared" si="97"/>
        <v>0</v>
      </c>
      <c r="H130" s="573">
        <v>0</v>
      </c>
      <c r="I130" s="573">
        <v>0</v>
      </c>
      <c r="J130" s="617">
        <f t="shared" si="98"/>
        <v>0</v>
      </c>
      <c r="K130" s="573">
        <v>0</v>
      </c>
      <c r="L130" s="573">
        <v>0</v>
      </c>
      <c r="M130" s="617">
        <f t="shared" si="99"/>
        <v>0</v>
      </c>
      <c r="N130" s="573">
        <v>0</v>
      </c>
      <c r="O130" s="573">
        <v>0</v>
      </c>
      <c r="P130" s="617">
        <f t="shared" si="100"/>
        <v>0</v>
      </c>
      <c r="Q130" s="573">
        <v>0</v>
      </c>
      <c r="R130" s="573">
        <v>0</v>
      </c>
      <c r="S130" s="617">
        <f t="shared" si="101"/>
        <v>0</v>
      </c>
      <c r="T130" s="573">
        <v>0</v>
      </c>
      <c r="U130" s="573">
        <v>0</v>
      </c>
      <c r="V130" s="617">
        <f t="shared" si="102"/>
        <v>0</v>
      </c>
      <c r="W130" s="573">
        <v>0</v>
      </c>
      <c r="X130" s="573">
        <v>0</v>
      </c>
      <c r="Y130" s="617">
        <f t="shared" si="103"/>
        <v>0</v>
      </c>
      <c r="Z130" s="573">
        <v>0</v>
      </c>
      <c r="AA130" s="573">
        <v>0</v>
      </c>
      <c r="AB130" s="617">
        <f t="shared" si="104"/>
        <v>0</v>
      </c>
      <c r="AC130" s="573">
        <v>0</v>
      </c>
      <c r="AD130" s="573">
        <v>0</v>
      </c>
      <c r="AE130" s="617">
        <f t="shared" si="105"/>
        <v>0</v>
      </c>
    </row>
    <row r="131" spans="1:31" ht="23.1" hidden="1" customHeight="1">
      <c r="A131" s="456"/>
      <c r="B131" s="457"/>
      <c r="C131" s="458">
        <v>100173595</v>
      </c>
      <c r="D131" s="618" t="s">
        <v>56</v>
      </c>
      <c r="E131" s="619">
        <v>0</v>
      </c>
      <c r="F131" s="619">
        <v>0</v>
      </c>
      <c r="G131" s="500">
        <f t="shared" si="97"/>
        <v>0</v>
      </c>
      <c r="H131" s="619">
        <v>0</v>
      </c>
      <c r="I131" s="619">
        <v>0</v>
      </c>
      <c r="J131" s="500">
        <f t="shared" si="98"/>
        <v>0</v>
      </c>
      <c r="K131" s="619">
        <v>0</v>
      </c>
      <c r="L131" s="619">
        <v>0</v>
      </c>
      <c r="M131" s="500">
        <f t="shared" si="99"/>
        <v>0</v>
      </c>
      <c r="N131" s="619">
        <v>0</v>
      </c>
      <c r="O131" s="619">
        <v>0</v>
      </c>
      <c r="P131" s="500">
        <f t="shared" si="100"/>
        <v>0</v>
      </c>
      <c r="Q131" s="619">
        <v>0</v>
      </c>
      <c r="R131" s="619">
        <v>0</v>
      </c>
      <c r="S131" s="500">
        <f t="shared" si="101"/>
        <v>0</v>
      </c>
      <c r="T131" s="619">
        <v>0</v>
      </c>
      <c r="U131" s="619">
        <v>0</v>
      </c>
      <c r="V131" s="500">
        <f t="shared" si="102"/>
        <v>0</v>
      </c>
      <c r="W131" s="619">
        <v>0</v>
      </c>
      <c r="X131" s="619">
        <v>0</v>
      </c>
      <c r="Y131" s="500">
        <f t="shared" si="103"/>
        <v>0</v>
      </c>
      <c r="Z131" s="619">
        <v>0</v>
      </c>
      <c r="AA131" s="619">
        <v>0</v>
      </c>
      <c r="AB131" s="500">
        <f t="shared" si="104"/>
        <v>0</v>
      </c>
      <c r="AC131" s="619">
        <v>0</v>
      </c>
      <c r="AD131" s="619">
        <v>0</v>
      </c>
      <c r="AE131" s="500">
        <f t="shared" si="105"/>
        <v>0</v>
      </c>
    </row>
    <row r="132" spans="1:31" ht="23.1" hidden="1" customHeight="1" thickBot="1">
      <c r="A132" s="456"/>
      <c r="B132" s="457"/>
      <c r="C132" s="620"/>
      <c r="D132" s="621" t="s">
        <v>58</v>
      </c>
      <c r="E132" s="622">
        <v>0</v>
      </c>
      <c r="F132" s="622">
        <v>0</v>
      </c>
      <c r="G132" s="623">
        <f t="shared" si="97"/>
        <v>0</v>
      </c>
      <c r="H132" s="622">
        <v>0</v>
      </c>
      <c r="I132" s="622">
        <v>0</v>
      </c>
      <c r="J132" s="623">
        <f t="shared" si="98"/>
        <v>0</v>
      </c>
      <c r="K132" s="622">
        <v>0</v>
      </c>
      <c r="L132" s="622">
        <v>0</v>
      </c>
      <c r="M132" s="623">
        <f t="shared" si="99"/>
        <v>0</v>
      </c>
      <c r="N132" s="622">
        <v>0</v>
      </c>
      <c r="O132" s="622">
        <v>0</v>
      </c>
      <c r="P132" s="623">
        <f t="shared" si="100"/>
        <v>0</v>
      </c>
      <c r="Q132" s="622">
        <v>0</v>
      </c>
      <c r="R132" s="622">
        <v>0</v>
      </c>
      <c r="S132" s="623">
        <f t="shared" si="101"/>
        <v>0</v>
      </c>
      <c r="T132" s="622">
        <v>0</v>
      </c>
      <c r="U132" s="622">
        <v>0</v>
      </c>
      <c r="V132" s="623">
        <f t="shared" si="102"/>
        <v>0</v>
      </c>
      <c r="W132" s="622">
        <v>0</v>
      </c>
      <c r="X132" s="622">
        <v>0</v>
      </c>
      <c r="Y132" s="623">
        <f t="shared" si="103"/>
        <v>0</v>
      </c>
      <c r="Z132" s="622">
        <v>0</v>
      </c>
      <c r="AA132" s="622">
        <v>0</v>
      </c>
      <c r="AB132" s="623">
        <f t="shared" si="104"/>
        <v>0</v>
      </c>
      <c r="AC132" s="622">
        <v>0</v>
      </c>
      <c r="AD132" s="622">
        <v>0</v>
      </c>
      <c r="AE132" s="623">
        <f t="shared" si="105"/>
        <v>0</v>
      </c>
    </row>
    <row r="133" spans="1:31" s="434" customFormat="1" ht="20.100000000000001" hidden="1" customHeight="1" thickBot="1">
      <c r="A133" s="466"/>
      <c r="B133" s="467"/>
      <c r="C133" s="468"/>
      <c r="D133" s="624" t="s">
        <v>37</v>
      </c>
      <c r="E133" s="625">
        <f t="shared" ref="E133:F133" si="106">SUM(E124:E132)</f>
        <v>0</v>
      </c>
      <c r="F133" s="625">
        <f t="shared" si="106"/>
        <v>0</v>
      </c>
      <c r="G133" s="521">
        <f t="shared" si="97"/>
        <v>0</v>
      </c>
      <c r="H133" s="625">
        <f t="shared" ref="H133" si="107">SUM(H124:H132)</f>
        <v>0</v>
      </c>
      <c r="I133" s="625">
        <f t="shared" ref="I133" si="108">SUM(I124:I132)</f>
        <v>0</v>
      </c>
      <c r="J133" s="521">
        <f t="shared" si="98"/>
        <v>0</v>
      </c>
      <c r="K133" s="625">
        <f t="shared" ref="K133" si="109">SUM(K124:K132)</f>
        <v>0</v>
      </c>
      <c r="L133" s="625">
        <f t="shared" ref="L133" si="110">SUM(L124:L132)</f>
        <v>0</v>
      </c>
      <c r="M133" s="521">
        <f t="shared" si="99"/>
        <v>0</v>
      </c>
      <c r="N133" s="625">
        <f t="shared" ref="N133" si="111">SUM(N124:N132)</f>
        <v>0</v>
      </c>
      <c r="O133" s="625">
        <f t="shared" ref="O133" si="112">SUM(O124:O132)</f>
        <v>0</v>
      </c>
      <c r="P133" s="521">
        <f t="shared" si="100"/>
        <v>0</v>
      </c>
      <c r="Q133" s="625">
        <f t="shared" ref="Q133:R133" si="113">SUM(Q124:Q132)</f>
        <v>0</v>
      </c>
      <c r="R133" s="625">
        <f t="shared" si="113"/>
        <v>0</v>
      </c>
      <c r="S133" s="521">
        <f t="shared" si="101"/>
        <v>0</v>
      </c>
      <c r="T133" s="625">
        <f t="shared" ref="T133:U133" si="114">SUM(T124:T132)</f>
        <v>0</v>
      </c>
      <c r="U133" s="625">
        <f t="shared" si="114"/>
        <v>0</v>
      </c>
      <c r="V133" s="521">
        <f t="shared" si="102"/>
        <v>0</v>
      </c>
      <c r="W133" s="625">
        <f t="shared" ref="W133" si="115">SUM(W124:W132)</f>
        <v>0</v>
      </c>
      <c r="X133" s="625">
        <f t="shared" ref="X133" si="116">SUM(X124:X132)</f>
        <v>0</v>
      </c>
      <c r="Y133" s="521">
        <f t="shared" si="103"/>
        <v>0</v>
      </c>
      <c r="Z133" s="625">
        <f t="shared" ref="Z133" si="117">SUM(Z124:Z132)</f>
        <v>0</v>
      </c>
      <c r="AA133" s="625">
        <f t="shared" ref="AA133" si="118">SUM(AA124:AA132)</f>
        <v>0</v>
      </c>
      <c r="AB133" s="521">
        <f t="shared" si="104"/>
        <v>0</v>
      </c>
      <c r="AC133" s="625">
        <f t="shared" ref="AC133" si="119">SUM(AC124:AC132)</f>
        <v>0</v>
      </c>
      <c r="AD133" s="625">
        <f t="shared" ref="AD133" si="120">SUM(AD124:AD132)</f>
        <v>0</v>
      </c>
      <c r="AE133" s="521">
        <f t="shared" si="105"/>
        <v>0</v>
      </c>
    </row>
    <row r="134" spans="1:31" ht="19.5" hidden="1" customHeight="1" thickBot="1">
      <c r="A134" s="469"/>
      <c r="B134" s="470"/>
      <c r="C134" s="626"/>
      <c r="D134" s="519" t="s">
        <v>42</v>
      </c>
      <c r="E134" s="628">
        <f>E122+E56+E133</f>
        <v>4089.5250000000001</v>
      </c>
      <c r="F134" s="628">
        <f>F122+F56+F133</f>
        <v>4089.5250000000001</v>
      </c>
      <c r="G134" s="521">
        <f t="shared" si="97"/>
        <v>0</v>
      </c>
      <c r="H134" s="628">
        <f>H122+H56+H133</f>
        <v>1392.3890000000001</v>
      </c>
      <c r="I134" s="628">
        <f>I122+I56+I133</f>
        <v>1392.3890000000001</v>
      </c>
      <c r="J134" s="521">
        <f t="shared" si="98"/>
        <v>0</v>
      </c>
      <c r="K134" s="628">
        <f>K122+K56+K133</f>
        <v>1915.6860000000001</v>
      </c>
      <c r="L134" s="628">
        <f>L122+L56+L133</f>
        <v>1915.6860000000001</v>
      </c>
      <c r="M134" s="521">
        <f t="shared" si="99"/>
        <v>0</v>
      </c>
      <c r="N134" s="628">
        <f>N122+N56+N133</f>
        <v>1463.952</v>
      </c>
      <c r="O134" s="628">
        <f>O122+O56+O133</f>
        <v>1509.1550000000002</v>
      </c>
      <c r="P134" s="521">
        <f t="shared" si="100"/>
        <v>45.203000000000202</v>
      </c>
      <c r="Q134" s="628">
        <f>Q122+Q56+Q133</f>
        <v>1961.9570000000001</v>
      </c>
      <c r="R134" s="628">
        <f>R122+R56+R133</f>
        <v>1718.3570000000002</v>
      </c>
      <c r="S134" s="521">
        <f t="shared" si="101"/>
        <v>-243.59999999999991</v>
      </c>
      <c r="T134" s="628">
        <f>T122+T56+T133</f>
        <v>2269.9</v>
      </c>
      <c r="U134" s="628">
        <f>U122+U56+U133</f>
        <v>2276.6000000000004</v>
      </c>
      <c r="V134" s="521">
        <f t="shared" si="102"/>
        <v>6.7000000000002728</v>
      </c>
      <c r="W134" s="628">
        <f>W122+W56+W133</f>
        <v>2675.2</v>
      </c>
      <c r="X134" s="628">
        <f>X122+X56+X133</f>
        <v>2641.16</v>
      </c>
      <c r="Y134" s="521">
        <f t="shared" si="103"/>
        <v>-34.039999999999964</v>
      </c>
      <c r="Z134" s="628">
        <f>Z122+Z56+Z133</f>
        <v>2674.3</v>
      </c>
      <c r="AA134" s="628">
        <f>AA122+AA56+AA133</f>
        <v>2653.3</v>
      </c>
      <c r="AB134" s="521">
        <f t="shared" si="104"/>
        <v>-21</v>
      </c>
      <c r="AC134" s="628">
        <f>AC122+AC56+AC133</f>
        <v>2262.6999999999998</v>
      </c>
      <c r="AD134" s="628">
        <f>AD122+AD56+AD133</f>
        <v>2262.6999999999998</v>
      </c>
      <c r="AE134" s="521">
        <f t="shared" si="105"/>
        <v>0</v>
      </c>
    </row>
    <row r="135" spans="1:31" ht="34.5" hidden="1" customHeight="1">
      <c r="A135" s="456">
        <v>6</v>
      </c>
      <c r="B135" s="457"/>
      <c r="C135" s="629">
        <v>100057555</v>
      </c>
      <c r="D135" s="630" t="s">
        <v>117</v>
      </c>
      <c r="E135" s="533">
        <v>0</v>
      </c>
      <c r="F135" s="533">
        <v>0</v>
      </c>
      <c r="G135" s="479">
        <f t="shared" si="97"/>
        <v>0</v>
      </c>
      <c r="H135" s="533">
        <v>0</v>
      </c>
      <c r="I135" s="533">
        <v>0</v>
      </c>
      <c r="J135" s="479">
        <f t="shared" si="98"/>
        <v>0</v>
      </c>
      <c r="K135" s="533">
        <v>0</v>
      </c>
      <c r="L135" s="533">
        <v>0</v>
      </c>
      <c r="M135" s="479">
        <f t="shared" si="99"/>
        <v>0</v>
      </c>
      <c r="N135" s="533">
        <v>0</v>
      </c>
      <c r="O135" s="533">
        <v>0</v>
      </c>
      <c r="P135" s="479">
        <f t="shared" si="100"/>
        <v>0</v>
      </c>
      <c r="Q135" s="533">
        <v>0</v>
      </c>
      <c r="R135" s="533">
        <v>0</v>
      </c>
      <c r="S135" s="479">
        <f t="shared" si="101"/>
        <v>0</v>
      </c>
      <c r="T135" s="533">
        <v>0</v>
      </c>
      <c r="U135" s="533">
        <v>0</v>
      </c>
      <c r="V135" s="479">
        <f t="shared" si="102"/>
        <v>0</v>
      </c>
      <c r="W135" s="533">
        <v>0</v>
      </c>
      <c r="X135" s="533">
        <v>0</v>
      </c>
      <c r="Y135" s="479">
        <f t="shared" si="103"/>
        <v>0</v>
      </c>
      <c r="Z135" s="533">
        <v>0</v>
      </c>
      <c r="AA135" s="533">
        <v>0</v>
      </c>
      <c r="AB135" s="479">
        <f t="shared" si="104"/>
        <v>0</v>
      </c>
      <c r="AC135" s="533">
        <v>0</v>
      </c>
      <c r="AD135" s="533">
        <v>0</v>
      </c>
      <c r="AE135" s="479">
        <f t="shared" si="105"/>
        <v>0</v>
      </c>
    </row>
    <row r="136" spans="1:31" ht="28.5" hidden="1" customHeight="1">
      <c r="A136" s="456"/>
      <c r="B136" s="457"/>
      <c r="C136" s="458">
        <v>100127652</v>
      </c>
      <c r="D136" s="631" t="s">
        <v>118</v>
      </c>
      <c r="E136" s="533">
        <v>0</v>
      </c>
      <c r="F136" s="533">
        <v>0</v>
      </c>
      <c r="G136" s="479">
        <f t="shared" si="97"/>
        <v>0</v>
      </c>
      <c r="H136" s="533">
        <v>0</v>
      </c>
      <c r="I136" s="533">
        <v>0</v>
      </c>
      <c r="J136" s="479">
        <f t="shared" si="98"/>
        <v>0</v>
      </c>
      <c r="K136" s="533">
        <v>0</v>
      </c>
      <c r="L136" s="533">
        <v>0</v>
      </c>
      <c r="M136" s="479">
        <f t="shared" si="99"/>
        <v>0</v>
      </c>
      <c r="N136" s="533">
        <v>0</v>
      </c>
      <c r="O136" s="533">
        <v>0</v>
      </c>
      <c r="P136" s="479">
        <f t="shared" si="100"/>
        <v>0</v>
      </c>
      <c r="Q136" s="533">
        <v>0</v>
      </c>
      <c r="R136" s="533">
        <v>0</v>
      </c>
      <c r="S136" s="479">
        <f t="shared" si="101"/>
        <v>0</v>
      </c>
      <c r="T136" s="533">
        <v>0</v>
      </c>
      <c r="U136" s="533">
        <v>0</v>
      </c>
      <c r="V136" s="479">
        <f t="shared" si="102"/>
        <v>0</v>
      </c>
      <c r="W136" s="533">
        <v>0</v>
      </c>
      <c r="X136" s="533">
        <v>0</v>
      </c>
      <c r="Y136" s="479">
        <f t="shared" si="103"/>
        <v>0</v>
      </c>
      <c r="Z136" s="533">
        <v>0</v>
      </c>
      <c r="AA136" s="533">
        <v>0</v>
      </c>
      <c r="AB136" s="479">
        <f t="shared" si="104"/>
        <v>0</v>
      </c>
      <c r="AC136" s="533">
        <v>0</v>
      </c>
      <c r="AD136" s="533">
        <v>0</v>
      </c>
      <c r="AE136" s="479">
        <f t="shared" si="105"/>
        <v>0</v>
      </c>
    </row>
    <row r="137" spans="1:31" ht="36.75" hidden="1" customHeight="1">
      <c r="A137" s="456"/>
      <c r="B137" s="457"/>
      <c r="C137" s="458">
        <v>100127652</v>
      </c>
      <c r="D137" s="633" t="s">
        <v>119</v>
      </c>
      <c r="E137" s="533">
        <v>0</v>
      </c>
      <c r="F137" s="533">
        <v>0</v>
      </c>
      <c r="G137" s="479">
        <f t="shared" si="97"/>
        <v>0</v>
      </c>
      <c r="H137" s="533">
        <v>0</v>
      </c>
      <c r="I137" s="533">
        <v>0</v>
      </c>
      <c r="J137" s="479">
        <f t="shared" si="98"/>
        <v>0</v>
      </c>
      <c r="K137" s="533">
        <v>0</v>
      </c>
      <c r="L137" s="533">
        <v>0</v>
      </c>
      <c r="M137" s="479">
        <f t="shared" si="99"/>
        <v>0</v>
      </c>
      <c r="N137" s="533">
        <v>0</v>
      </c>
      <c r="O137" s="533">
        <v>0</v>
      </c>
      <c r="P137" s="479">
        <f t="shared" si="100"/>
        <v>0</v>
      </c>
      <c r="Q137" s="533">
        <v>0</v>
      </c>
      <c r="R137" s="533">
        <v>0</v>
      </c>
      <c r="S137" s="479">
        <f t="shared" si="101"/>
        <v>0</v>
      </c>
      <c r="T137" s="533">
        <v>0</v>
      </c>
      <c r="U137" s="533">
        <v>0</v>
      </c>
      <c r="V137" s="479">
        <f t="shared" si="102"/>
        <v>0</v>
      </c>
      <c r="W137" s="533">
        <v>0</v>
      </c>
      <c r="X137" s="533">
        <v>0</v>
      </c>
      <c r="Y137" s="479">
        <f t="shared" si="103"/>
        <v>0</v>
      </c>
      <c r="Z137" s="533">
        <v>0</v>
      </c>
      <c r="AA137" s="533">
        <v>0</v>
      </c>
      <c r="AB137" s="479">
        <f t="shared" si="104"/>
        <v>0</v>
      </c>
      <c r="AC137" s="533">
        <v>0</v>
      </c>
      <c r="AD137" s="533">
        <v>0</v>
      </c>
      <c r="AE137" s="479">
        <f t="shared" si="105"/>
        <v>0</v>
      </c>
    </row>
    <row r="138" spans="1:31" ht="27.75" hidden="1" customHeight="1">
      <c r="A138" s="456"/>
      <c r="B138" s="457"/>
      <c r="C138" s="458">
        <v>100127652</v>
      </c>
      <c r="D138" s="633" t="s">
        <v>120</v>
      </c>
      <c r="E138" s="559">
        <v>0</v>
      </c>
      <c r="F138" s="559">
        <v>0</v>
      </c>
      <c r="G138" s="479">
        <f t="shared" si="97"/>
        <v>0</v>
      </c>
      <c r="H138" s="559">
        <v>0</v>
      </c>
      <c r="I138" s="559">
        <v>0</v>
      </c>
      <c r="J138" s="479">
        <f t="shared" si="98"/>
        <v>0</v>
      </c>
      <c r="K138" s="559">
        <v>0</v>
      </c>
      <c r="L138" s="559">
        <v>0</v>
      </c>
      <c r="M138" s="479">
        <f t="shared" si="99"/>
        <v>0</v>
      </c>
      <c r="N138" s="559">
        <v>0</v>
      </c>
      <c r="O138" s="559">
        <v>0</v>
      </c>
      <c r="P138" s="479">
        <f t="shared" si="100"/>
        <v>0</v>
      </c>
      <c r="Q138" s="559">
        <v>0</v>
      </c>
      <c r="R138" s="559">
        <v>0</v>
      </c>
      <c r="S138" s="479">
        <f t="shared" si="101"/>
        <v>0</v>
      </c>
      <c r="T138" s="559">
        <v>0</v>
      </c>
      <c r="U138" s="559">
        <v>0</v>
      </c>
      <c r="V138" s="479">
        <f t="shared" si="102"/>
        <v>0</v>
      </c>
      <c r="W138" s="559">
        <v>0</v>
      </c>
      <c r="X138" s="559">
        <v>0</v>
      </c>
      <c r="Y138" s="479">
        <f t="shared" si="103"/>
        <v>0</v>
      </c>
      <c r="Z138" s="559">
        <v>0</v>
      </c>
      <c r="AA138" s="559">
        <v>0</v>
      </c>
      <c r="AB138" s="479">
        <f t="shared" si="104"/>
        <v>0</v>
      </c>
      <c r="AC138" s="559">
        <v>0</v>
      </c>
      <c r="AD138" s="559">
        <v>0</v>
      </c>
      <c r="AE138" s="479">
        <f t="shared" si="105"/>
        <v>0</v>
      </c>
    </row>
    <row r="139" spans="1:31" ht="28.5" hidden="1" customHeight="1">
      <c r="A139" s="456"/>
      <c r="B139" s="457" t="s">
        <v>68</v>
      </c>
      <c r="C139" s="458">
        <v>100127652</v>
      </c>
      <c r="D139" s="632" t="s">
        <v>143</v>
      </c>
      <c r="E139" s="670">
        <v>0</v>
      </c>
      <c r="F139" s="670">
        <v>0</v>
      </c>
      <c r="G139" s="567">
        <f t="shared" si="97"/>
        <v>0</v>
      </c>
      <c r="H139" s="670">
        <v>0</v>
      </c>
      <c r="I139" s="670">
        <v>0</v>
      </c>
      <c r="J139" s="567">
        <f t="shared" si="98"/>
        <v>0</v>
      </c>
      <c r="K139" s="670">
        <v>0</v>
      </c>
      <c r="L139" s="670">
        <v>0</v>
      </c>
      <c r="M139" s="567">
        <f t="shared" si="99"/>
        <v>0</v>
      </c>
      <c r="N139" s="670">
        <v>0</v>
      </c>
      <c r="O139" s="670">
        <v>0</v>
      </c>
      <c r="P139" s="567">
        <f t="shared" si="100"/>
        <v>0</v>
      </c>
      <c r="Q139" s="670">
        <v>0</v>
      </c>
      <c r="R139" s="670">
        <v>0</v>
      </c>
      <c r="S139" s="567">
        <f t="shared" si="101"/>
        <v>0</v>
      </c>
      <c r="T139" s="670">
        <v>0</v>
      </c>
      <c r="U139" s="670">
        <v>0</v>
      </c>
      <c r="V139" s="567">
        <f t="shared" si="102"/>
        <v>0</v>
      </c>
      <c r="W139" s="670">
        <v>0</v>
      </c>
      <c r="X139" s="670">
        <v>0</v>
      </c>
      <c r="Y139" s="567">
        <f t="shared" si="103"/>
        <v>0</v>
      </c>
      <c r="Z139" s="670">
        <v>0</v>
      </c>
      <c r="AA139" s="670">
        <v>0</v>
      </c>
      <c r="AB139" s="567">
        <f t="shared" si="104"/>
        <v>0</v>
      </c>
      <c r="AC139" s="670">
        <v>0</v>
      </c>
      <c r="AD139" s="670">
        <v>0</v>
      </c>
      <c r="AE139" s="567">
        <f t="shared" si="105"/>
        <v>0</v>
      </c>
    </row>
    <row r="140" spans="1:31" ht="22.5" hidden="1" customHeight="1">
      <c r="A140" s="456"/>
      <c r="B140" s="457" t="s">
        <v>68</v>
      </c>
      <c r="C140" s="458">
        <v>100127652</v>
      </c>
      <c r="D140" s="630" t="s">
        <v>111</v>
      </c>
      <c r="E140" s="670">
        <v>0</v>
      </c>
      <c r="F140" s="670">
        <v>0</v>
      </c>
      <c r="G140" s="567">
        <f t="shared" si="97"/>
        <v>0</v>
      </c>
      <c r="H140" s="670">
        <v>0</v>
      </c>
      <c r="I140" s="670">
        <v>0</v>
      </c>
      <c r="J140" s="567">
        <f t="shared" si="98"/>
        <v>0</v>
      </c>
      <c r="K140" s="670">
        <v>0</v>
      </c>
      <c r="L140" s="670">
        <v>0</v>
      </c>
      <c r="M140" s="567">
        <f t="shared" si="99"/>
        <v>0</v>
      </c>
      <c r="N140" s="670">
        <v>0</v>
      </c>
      <c r="O140" s="670">
        <v>0</v>
      </c>
      <c r="P140" s="567">
        <f t="shared" si="100"/>
        <v>0</v>
      </c>
      <c r="Q140" s="670">
        <v>0</v>
      </c>
      <c r="R140" s="670">
        <v>0</v>
      </c>
      <c r="S140" s="567">
        <f t="shared" si="101"/>
        <v>0</v>
      </c>
      <c r="T140" s="670">
        <v>0</v>
      </c>
      <c r="U140" s="670">
        <v>0</v>
      </c>
      <c r="V140" s="567">
        <f t="shared" si="102"/>
        <v>0</v>
      </c>
      <c r="W140" s="670">
        <v>0</v>
      </c>
      <c r="X140" s="670">
        <v>0</v>
      </c>
      <c r="Y140" s="567">
        <f t="shared" si="103"/>
        <v>0</v>
      </c>
      <c r="Z140" s="670">
        <v>0</v>
      </c>
      <c r="AA140" s="670">
        <v>0</v>
      </c>
      <c r="AB140" s="567">
        <f t="shared" si="104"/>
        <v>0</v>
      </c>
      <c r="AC140" s="670">
        <v>0</v>
      </c>
      <c r="AD140" s="670">
        <v>0</v>
      </c>
      <c r="AE140" s="567">
        <f t="shared" si="105"/>
        <v>0</v>
      </c>
    </row>
    <row r="141" spans="1:31" ht="23.1" hidden="1" customHeight="1">
      <c r="A141" s="456"/>
      <c r="B141" s="457"/>
      <c r="C141" s="458">
        <v>100127652</v>
      </c>
      <c r="D141" s="633" t="s">
        <v>145</v>
      </c>
      <c r="E141" s="670">
        <v>0</v>
      </c>
      <c r="F141" s="670">
        <v>0</v>
      </c>
      <c r="G141" s="479">
        <f t="shared" si="97"/>
        <v>0</v>
      </c>
      <c r="H141" s="670">
        <v>0</v>
      </c>
      <c r="I141" s="670">
        <v>0</v>
      </c>
      <c r="J141" s="479">
        <f t="shared" si="98"/>
        <v>0</v>
      </c>
      <c r="K141" s="670">
        <v>0</v>
      </c>
      <c r="L141" s="670">
        <v>0</v>
      </c>
      <c r="M141" s="479">
        <f t="shared" si="99"/>
        <v>0</v>
      </c>
      <c r="N141" s="670">
        <v>0</v>
      </c>
      <c r="O141" s="670">
        <v>0</v>
      </c>
      <c r="P141" s="479">
        <f t="shared" si="100"/>
        <v>0</v>
      </c>
      <c r="Q141" s="670">
        <v>0</v>
      </c>
      <c r="R141" s="670">
        <v>0</v>
      </c>
      <c r="S141" s="479">
        <f t="shared" si="101"/>
        <v>0</v>
      </c>
      <c r="T141" s="670">
        <v>0</v>
      </c>
      <c r="U141" s="670">
        <v>0</v>
      </c>
      <c r="V141" s="479">
        <f t="shared" si="102"/>
        <v>0</v>
      </c>
      <c r="W141" s="670">
        <v>0</v>
      </c>
      <c r="X141" s="670">
        <v>0</v>
      </c>
      <c r="Y141" s="479">
        <f t="shared" si="103"/>
        <v>0</v>
      </c>
      <c r="Z141" s="670">
        <v>0</v>
      </c>
      <c r="AA141" s="670">
        <v>0</v>
      </c>
      <c r="AB141" s="479">
        <f t="shared" si="104"/>
        <v>0</v>
      </c>
      <c r="AC141" s="670">
        <v>0</v>
      </c>
      <c r="AD141" s="670">
        <v>0</v>
      </c>
      <c r="AE141" s="479">
        <f t="shared" si="105"/>
        <v>0</v>
      </c>
    </row>
    <row r="142" spans="1:31" ht="22.5" hidden="1" customHeight="1">
      <c r="A142" s="456"/>
      <c r="B142" s="457"/>
      <c r="C142" s="458">
        <v>100127652</v>
      </c>
      <c r="D142" s="630" t="s">
        <v>112</v>
      </c>
      <c r="E142" s="670">
        <v>0</v>
      </c>
      <c r="F142" s="670">
        <v>0</v>
      </c>
      <c r="G142" s="567">
        <f t="shared" si="97"/>
        <v>0</v>
      </c>
      <c r="H142" s="670">
        <v>0</v>
      </c>
      <c r="I142" s="670">
        <v>0</v>
      </c>
      <c r="J142" s="567">
        <f t="shared" si="98"/>
        <v>0</v>
      </c>
      <c r="K142" s="670">
        <v>0</v>
      </c>
      <c r="L142" s="670">
        <v>0</v>
      </c>
      <c r="M142" s="567">
        <f t="shared" si="99"/>
        <v>0</v>
      </c>
      <c r="N142" s="670">
        <v>0</v>
      </c>
      <c r="O142" s="670">
        <v>0</v>
      </c>
      <c r="P142" s="567">
        <f t="shared" si="100"/>
        <v>0</v>
      </c>
      <c r="Q142" s="670">
        <v>0</v>
      </c>
      <c r="R142" s="670">
        <v>0</v>
      </c>
      <c r="S142" s="567">
        <f t="shared" si="101"/>
        <v>0</v>
      </c>
      <c r="T142" s="670">
        <v>0</v>
      </c>
      <c r="U142" s="670">
        <v>0</v>
      </c>
      <c r="V142" s="567">
        <f t="shared" si="102"/>
        <v>0</v>
      </c>
      <c r="W142" s="670">
        <v>0</v>
      </c>
      <c r="X142" s="670">
        <v>0</v>
      </c>
      <c r="Y142" s="567">
        <f t="shared" si="103"/>
        <v>0</v>
      </c>
      <c r="Z142" s="670">
        <v>0</v>
      </c>
      <c r="AA142" s="670">
        <v>0</v>
      </c>
      <c r="AB142" s="567">
        <f t="shared" si="104"/>
        <v>0</v>
      </c>
      <c r="AC142" s="670">
        <v>0</v>
      </c>
      <c r="AD142" s="670">
        <v>0</v>
      </c>
      <c r="AE142" s="567">
        <f t="shared" si="105"/>
        <v>0</v>
      </c>
    </row>
    <row r="143" spans="1:31" ht="23.1" hidden="1" customHeight="1">
      <c r="A143" s="456"/>
      <c r="B143" s="457"/>
      <c r="C143" s="458">
        <v>100127652</v>
      </c>
      <c r="D143" s="632" t="s">
        <v>150</v>
      </c>
      <c r="E143" s="670">
        <v>0</v>
      </c>
      <c r="F143" s="670">
        <v>0</v>
      </c>
      <c r="G143" s="567">
        <f t="shared" si="97"/>
        <v>0</v>
      </c>
      <c r="H143" s="670">
        <v>0</v>
      </c>
      <c r="I143" s="670">
        <v>0</v>
      </c>
      <c r="J143" s="567">
        <f t="shared" si="98"/>
        <v>0</v>
      </c>
      <c r="K143" s="670">
        <v>0</v>
      </c>
      <c r="L143" s="670">
        <v>0</v>
      </c>
      <c r="M143" s="567">
        <f t="shared" si="99"/>
        <v>0</v>
      </c>
      <c r="N143" s="670">
        <v>0</v>
      </c>
      <c r="O143" s="670">
        <v>0</v>
      </c>
      <c r="P143" s="567">
        <f t="shared" si="100"/>
        <v>0</v>
      </c>
      <c r="Q143" s="670">
        <v>0</v>
      </c>
      <c r="R143" s="670">
        <v>0</v>
      </c>
      <c r="S143" s="567">
        <f t="shared" si="101"/>
        <v>0</v>
      </c>
      <c r="T143" s="670">
        <v>0</v>
      </c>
      <c r="U143" s="670">
        <v>0</v>
      </c>
      <c r="V143" s="567">
        <f t="shared" si="102"/>
        <v>0</v>
      </c>
      <c r="W143" s="670">
        <v>0</v>
      </c>
      <c r="X143" s="670">
        <v>0</v>
      </c>
      <c r="Y143" s="567">
        <f t="shared" si="103"/>
        <v>0</v>
      </c>
      <c r="Z143" s="670">
        <v>0</v>
      </c>
      <c r="AA143" s="670">
        <v>0</v>
      </c>
      <c r="AB143" s="567">
        <f t="shared" si="104"/>
        <v>0</v>
      </c>
      <c r="AC143" s="670">
        <v>0</v>
      </c>
      <c r="AD143" s="670">
        <v>0</v>
      </c>
      <c r="AE143" s="567">
        <f t="shared" si="105"/>
        <v>0</v>
      </c>
    </row>
    <row r="144" spans="1:31" ht="23.1" customHeight="1">
      <c r="A144" s="456"/>
      <c r="B144" s="457" t="s">
        <v>68</v>
      </c>
      <c r="C144" s="458">
        <v>100127652</v>
      </c>
      <c r="D144" s="630" t="s">
        <v>113</v>
      </c>
      <c r="E144" s="670">
        <v>121.31</v>
      </c>
      <c r="F144" s="670">
        <v>121.31</v>
      </c>
      <c r="G144" s="567">
        <f t="shared" si="97"/>
        <v>0</v>
      </c>
      <c r="H144" s="670">
        <f>130+39+13</f>
        <v>182</v>
      </c>
      <c r="I144" s="670">
        <f>130+39+13</f>
        <v>182</v>
      </c>
      <c r="J144" s="567">
        <f t="shared" si="98"/>
        <v>0</v>
      </c>
      <c r="K144" s="670">
        <v>38</v>
      </c>
      <c r="L144" s="670">
        <v>38</v>
      </c>
      <c r="M144" s="567">
        <f t="shared" si="99"/>
        <v>0</v>
      </c>
      <c r="N144" s="670">
        <v>170</v>
      </c>
      <c r="O144" s="533">
        <v>162.4</v>
      </c>
      <c r="P144" s="479">
        <f t="shared" si="100"/>
        <v>-7.5999999999999943</v>
      </c>
      <c r="Q144" s="670">
        <v>170</v>
      </c>
      <c r="R144" s="670">
        <v>170</v>
      </c>
      <c r="S144" s="479">
        <f t="shared" si="101"/>
        <v>0</v>
      </c>
      <c r="T144" s="670">
        <v>85</v>
      </c>
      <c r="U144" s="670">
        <v>85</v>
      </c>
      <c r="V144" s="479">
        <f t="shared" si="102"/>
        <v>0</v>
      </c>
      <c r="W144" s="670">
        <v>60</v>
      </c>
      <c r="X144" s="670">
        <v>60</v>
      </c>
      <c r="Y144" s="567">
        <f t="shared" si="103"/>
        <v>0</v>
      </c>
      <c r="Z144" s="670">
        <v>113</v>
      </c>
      <c r="AA144" s="670">
        <v>113</v>
      </c>
      <c r="AB144" s="567">
        <f t="shared" si="104"/>
        <v>0</v>
      </c>
      <c r="AC144" s="670">
        <v>163</v>
      </c>
      <c r="AD144" s="670">
        <v>163</v>
      </c>
      <c r="AE144" s="567">
        <f t="shared" si="105"/>
        <v>0</v>
      </c>
    </row>
    <row r="145" spans="1:31" ht="23.1" customHeight="1" thickBot="1">
      <c r="A145" s="456"/>
      <c r="B145" s="457"/>
      <c r="C145" s="458">
        <v>100127652</v>
      </c>
      <c r="D145" s="693" t="s">
        <v>114</v>
      </c>
      <c r="E145" s="641">
        <v>113.4</v>
      </c>
      <c r="F145" s="641">
        <v>113.4</v>
      </c>
      <c r="G145" s="488">
        <f t="shared" si="97"/>
        <v>0</v>
      </c>
      <c r="H145" s="641">
        <f>88.2+3.15</f>
        <v>91.350000000000009</v>
      </c>
      <c r="I145" s="641">
        <f>88.2+3.15</f>
        <v>91.350000000000009</v>
      </c>
      <c r="J145" s="488">
        <f t="shared" si="98"/>
        <v>0</v>
      </c>
      <c r="K145" s="641">
        <v>222.8</v>
      </c>
      <c r="L145" s="641">
        <v>222.8</v>
      </c>
      <c r="M145" s="488">
        <f t="shared" si="99"/>
        <v>0</v>
      </c>
      <c r="N145" s="641">
        <v>74</v>
      </c>
      <c r="O145" s="533">
        <v>63</v>
      </c>
      <c r="P145" s="488">
        <f t="shared" si="100"/>
        <v>-11</v>
      </c>
      <c r="Q145" s="641">
        <v>120</v>
      </c>
      <c r="R145" s="641">
        <v>120</v>
      </c>
      <c r="S145" s="488">
        <f t="shared" si="101"/>
        <v>0</v>
      </c>
      <c r="T145" s="641">
        <v>120</v>
      </c>
      <c r="U145" s="641">
        <v>120</v>
      </c>
      <c r="V145" s="488">
        <f t="shared" si="102"/>
        <v>0</v>
      </c>
      <c r="W145" s="641">
        <v>60</v>
      </c>
      <c r="X145" s="641">
        <v>60</v>
      </c>
      <c r="Y145" s="488">
        <f t="shared" si="103"/>
        <v>0</v>
      </c>
      <c r="Z145" s="641">
        <v>150</v>
      </c>
      <c r="AA145" s="641">
        <v>150</v>
      </c>
      <c r="AB145" s="488">
        <f t="shared" si="104"/>
        <v>0</v>
      </c>
      <c r="AC145" s="641">
        <v>150</v>
      </c>
      <c r="AD145" s="641">
        <v>150</v>
      </c>
      <c r="AE145" s="488">
        <f t="shared" si="105"/>
        <v>0</v>
      </c>
    </row>
    <row r="146" spans="1:31" s="434" customFormat="1" ht="20.100000000000001" customHeight="1" thickBot="1">
      <c r="A146" s="466"/>
      <c r="B146" s="467"/>
      <c r="C146" s="468"/>
      <c r="D146" s="603" t="s">
        <v>69</v>
      </c>
      <c r="E146" s="591">
        <f t="shared" ref="E146" si="121">SUM(E135:E145)</f>
        <v>234.71</v>
      </c>
      <c r="F146" s="591">
        <f t="shared" ref="F146:W146" si="122">SUM(F135:F145)</f>
        <v>234.71</v>
      </c>
      <c r="G146" s="494">
        <f t="shared" si="122"/>
        <v>0</v>
      </c>
      <c r="H146" s="591">
        <f t="shared" ref="H146" si="123">SUM(H135:H145)</f>
        <v>273.35000000000002</v>
      </c>
      <c r="I146" s="591">
        <f t="shared" si="122"/>
        <v>273.35000000000002</v>
      </c>
      <c r="J146" s="494">
        <f t="shared" si="122"/>
        <v>0</v>
      </c>
      <c r="K146" s="591">
        <f t="shared" ref="K146" si="124">SUM(K135:K145)</f>
        <v>260.8</v>
      </c>
      <c r="L146" s="591">
        <f t="shared" si="122"/>
        <v>260.8</v>
      </c>
      <c r="M146" s="494">
        <f t="shared" si="122"/>
        <v>0</v>
      </c>
      <c r="N146" s="591">
        <f t="shared" ref="N146" si="125">SUM(N135:N145)</f>
        <v>244</v>
      </c>
      <c r="O146" s="591">
        <f t="shared" si="122"/>
        <v>225.4</v>
      </c>
      <c r="P146" s="494">
        <f t="shared" si="122"/>
        <v>-18.599999999999994</v>
      </c>
      <c r="Q146" s="591">
        <f t="shared" ref="Q146" si="126">SUM(Q135:Q145)</f>
        <v>290</v>
      </c>
      <c r="R146" s="591">
        <f t="shared" si="122"/>
        <v>290</v>
      </c>
      <c r="S146" s="494">
        <f t="shared" si="122"/>
        <v>0</v>
      </c>
      <c r="T146" s="591">
        <f t="shared" ref="T146" si="127">SUM(T135:T145)</f>
        <v>205</v>
      </c>
      <c r="U146" s="591">
        <f t="shared" si="122"/>
        <v>205</v>
      </c>
      <c r="V146" s="494">
        <f t="shared" si="122"/>
        <v>0</v>
      </c>
      <c r="W146" s="591">
        <f t="shared" si="122"/>
        <v>120</v>
      </c>
      <c r="X146" s="591">
        <f t="shared" ref="X146:Z146" si="128">SUM(X135:X145)</f>
        <v>120</v>
      </c>
      <c r="Y146" s="494">
        <f t="shared" si="128"/>
        <v>0</v>
      </c>
      <c r="Z146" s="591">
        <f t="shared" si="128"/>
        <v>263</v>
      </c>
      <c r="AA146" s="591">
        <f t="shared" ref="AA146:AC146" si="129">SUM(AA135:AA145)</f>
        <v>263</v>
      </c>
      <c r="AB146" s="494">
        <f t="shared" si="129"/>
        <v>0</v>
      </c>
      <c r="AC146" s="591">
        <f t="shared" si="129"/>
        <v>313</v>
      </c>
      <c r="AD146" s="591">
        <f t="shared" ref="AD146:AE146" si="130">SUM(AD135:AD145)</f>
        <v>313</v>
      </c>
      <c r="AE146" s="494">
        <f t="shared" si="130"/>
        <v>0</v>
      </c>
    </row>
    <row r="147" spans="1:31" s="434" customFormat="1" ht="20.100000000000001" hidden="1" customHeight="1">
      <c r="A147" s="459"/>
      <c r="B147" s="457" t="s">
        <v>264</v>
      </c>
      <c r="C147" s="636"/>
      <c r="D147" s="633" t="s">
        <v>262</v>
      </c>
      <c r="E147" s="638">
        <v>27.437000000000001</v>
      </c>
      <c r="F147" s="638">
        <v>27.437000000000001</v>
      </c>
      <c r="G147" s="580">
        <f t="shared" ref="G147:G148" si="131">F147-E147</f>
        <v>0</v>
      </c>
      <c r="H147" s="638">
        <v>11.018000000000001</v>
      </c>
      <c r="I147" s="638">
        <v>11.018000000000001</v>
      </c>
      <c r="J147" s="580">
        <f t="shared" ref="J147:J148" si="132">I147-H147</f>
        <v>0</v>
      </c>
      <c r="K147" s="638">
        <v>6.0999999999999999E-2</v>
      </c>
      <c r="L147" s="638">
        <v>6.0999999999999999E-2</v>
      </c>
      <c r="M147" s="580">
        <f t="shared" ref="M147:M148" si="133">L147-K147</f>
        <v>0</v>
      </c>
      <c r="N147" s="553">
        <v>0</v>
      </c>
      <c r="O147" s="553">
        <v>0</v>
      </c>
      <c r="P147" s="479">
        <f t="shared" ref="P147:P148" si="134">O147-N147</f>
        <v>0</v>
      </c>
      <c r="Q147" s="553">
        <v>0</v>
      </c>
      <c r="R147" s="553">
        <v>0</v>
      </c>
      <c r="S147" s="479">
        <f t="shared" ref="S147:S148" si="135">R147-Q147</f>
        <v>0</v>
      </c>
      <c r="T147" s="553">
        <v>0</v>
      </c>
      <c r="U147" s="553">
        <v>0</v>
      </c>
      <c r="V147" s="479">
        <f t="shared" ref="V147:V148" si="136">U147-T147</f>
        <v>0</v>
      </c>
      <c r="W147" s="553">
        <v>0</v>
      </c>
      <c r="X147" s="553">
        <v>0</v>
      </c>
      <c r="Y147" s="479">
        <f t="shared" ref="Y147:Y148" si="137">X147-W147</f>
        <v>0</v>
      </c>
      <c r="Z147" s="553">
        <v>0</v>
      </c>
      <c r="AA147" s="553">
        <v>0</v>
      </c>
      <c r="AB147" s="479">
        <f t="shared" ref="AB147:AB148" si="138">AA147-Z147</f>
        <v>0</v>
      </c>
      <c r="AC147" s="553">
        <v>0</v>
      </c>
      <c r="AD147" s="553">
        <v>0</v>
      </c>
      <c r="AE147" s="479">
        <f t="shared" ref="AE147:AE148" si="139">AD147-AC147</f>
        <v>0</v>
      </c>
    </row>
    <row r="148" spans="1:31" s="434" customFormat="1" ht="20.100000000000001" hidden="1" customHeight="1" thickBot="1">
      <c r="A148" s="459"/>
      <c r="B148" s="457"/>
      <c r="C148" s="636"/>
      <c r="D148" s="633" t="s">
        <v>263</v>
      </c>
      <c r="E148" s="640">
        <v>11.515000000000001</v>
      </c>
      <c r="F148" s="640">
        <v>11.515000000000001</v>
      </c>
      <c r="G148" s="580">
        <f t="shared" si="131"/>
        <v>0</v>
      </c>
      <c r="H148" s="640">
        <v>7.798</v>
      </c>
      <c r="I148" s="640">
        <v>7.798</v>
      </c>
      <c r="J148" s="580">
        <f t="shared" si="132"/>
        <v>0</v>
      </c>
      <c r="K148" s="640">
        <v>0</v>
      </c>
      <c r="L148" s="640">
        <v>0</v>
      </c>
      <c r="M148" s="580">
        <f t="shared" si="133"/>
        <v>0</v>
      </c>
      <c r="N148" s="641">
        <v>0</v>
      </c>
      <c r="O148" s="641">
        <v>0</v>
      </c>
      <c r="P148" s="479">
        <f t="shared" si="134"/>
        <v>0</v>
      </c>
      <c r="Q148" s="641">
        <v>0</v>
      </c>
      <c r="R148" s="641">
        <v>0</v>
      </c>
      <c r="S148" s="479">
        <f t="shared" si="135"/>
        <v>0</v>
      </c>
      <c r="T148" s="641">
        <v>0</v>
      </c>
      <c r="U148" s="641">
        <v>0</v>
      </c>
      <c r="V148" s="479">
        <f t="shared" si="136"/>
        <v>0</v>
      </c>
      <c r="W148" s="641">
        <v>0</v>
      </c>
      <c r="X148" s="641">
        <v>0</v>
      </c>
      <c r="Y148" s="479">
        <f t="shared" si="137"/>
        <v>0</v>
      </c>
      <c r="Z148" s="641">
        <v>0</v>
      </c>
      <c r="AA148" s="641">
        <v>0</v>
      </c>
      <c r="AB148" s="479">
        <f t="shared" si="138"/>
        <v>0</v>
      </c>
      <c r="AC148" s="641">
        <v>0</v>
      </c>
      <c r="AD148" s="641">
        <v>0</v>
      </c>
      <c r="AE148" s="479">
        <f t="shared" si="139"/>
        <v>0</v>
      </c>
    </row>
    <row r="149" spans="1:31" s="434" customFormat="1" ht="20.100000000000001" hidden="1" customHeight="1" thickBot="1">
      <c r="A149" s="459"/>
      <c r="B149" s="467"/>
      <c r="C149" s="636"/>
      <c r="D149" s="624" t="s">
        <v>228</v>
      </c>
      <c r="E149" s="634">
        <f t="shared" ref="E149" si="140">SUM(E147:E148)</f>
        <v>38.951999999999998</v>
      </c>
      <c r="F149" s="634">
        <f t="shared" ref="F149:N149" si="141">SUM(F147:F148)</f>
        <v>38.951999999999998</v>
      </c>
      <c r="G149" s="635">
        <f t="shared" si="141"/>
        <v>0</v>
      </c>
      <c r="H149" s="634">
        <f t="shared" ref="H149" si="142">SUM(H147:H148)</f>
        <v>18.816000000000003</v>
      </c>
      <c r="I149" s="634">
        <f t="shared" si="141"/>
        <v>18.816000000000003</v>
      </c>
      <c r="J149" s="635">
        <f t="shared" si="141"/>
        <v>0</v>
      </c>
      <c r="K149" s="634">
        <f t="shared" ref="K149" si="143">SUM(K147:K148)</f>
        <v>6.0999999999999999E-2</v>
      </c>
      <c r="L149" s="634">
        <f t="shared" si="141"/>
        <v>6.0999999999999999E-2</v>
      </c>
      <c r="M149" s="635">
        <f t="shared" si="141"/>
        <v>0</v>
      </c>
      <c r="N149" s="634">
        <f t="shared" si="141"/>
        <v>0</v>
      </c>
      <c r="O149" s="634">
        <f t="shared" ref="O149:Q149" si="144">SUM(O147:O148)</f>
        <v>0</v>
      </c>
      <c r="P149" s="635">
        <f t="shared" si="144"/>
        <v>0</v>
      </c>
      <c r="Q149" s="634">
        <f t="shared" si="144"/>
        <v>0</v>
      </c>
      <c r="R149" s="634">
        <f t="shared" ref="R149:T149" si="145">SUM(R147:R148)</f>
        <v>0</v>
      </c>
      <c r="S149" s="635">
        <f t="shared" si="145"/>
        <v>0</v>
      </c>
      <c r="T149" s="634">
        <f t="shared" si="145"/>
        <v>0</v>
      </c>
      <c r="U149" s="634">
        <f t="shared" ref="U149:W149" si="146">SUM(U147:U148)</f>
        <v>0</v>
      </c>
      <c r="V149" s="635">
        <f t="shared" si="146"/>
        <v>0</v>
      </c>
      <c r="W149" s="634">
        <f t="shared" si="146"/>
        <v>0</v>
      </c>
      <c r="X149" s="634">
        <f t="shared" ref="X149:Z149" si="147">SUM(X147:X148)</f>
        <v>0</v>
      </c>
      <c r="Y149" s="635">
        <f t="shared" si="147"/>
        <v>0</v>
      </c>
      <c r="Z149" s="634">
        <f t="shared" si="147"/>
        <v>0</v>
      </c>
      <c r="AA149" s="634">
        <f t="shared" ref="AA149:AC149" si="148">SUM(AA147:AA148)</f>
        <v>0</v>
      </c>
      <c r="AB149" s="635">
        <f t="shared" si="148"/>
        <v>0</v>
      </c>
      <c r="AC149" s="634">
        <f t="shared" si="148"/>
        <v>0</v>
      </c>
      <c r="AD149" s="634">
        <f t="shared" ref="AD149:AE149" si="149">SUM(AD147:AD148)</f>
        <v>0</v>
      </c>
      <c r="AE149" s="635">
        <f t="shared" si="149"/>
        <v>0</v>
      </c>
    </row>
    <row r="150" spans="1:31" ht="31.5" outlineLevel="3">
      <c r="A150" s="456">
        <v>7</v>
      </c>
      <c r="B150" s="457"/>
      <c r="C150" s="629">
        <v>100057555</v>
      </c>
      <c r="D150" s="694" t="s">
        <v>248</v>
      </c>
      <c r="E150" s="478">
        <v>57.024000000000001</v>
      </c>
      <c r="F150" s="478">
        <v>57.024000000000001</v>
      </c>
      <c r="G150" s="528">
        <f t="shared" ref="G150:G208" si="150">F150-E150</f>
        <v>0</v>
      </c>
      <c r="H150" s="478">
        <v>28.512</v>
      </c>
      <c r="I150" s="478">
        <v>28.512</v>
      </c>
      <c r="J150" s="528">
        <f t="shared" ref="J150:J208" si="151">I150-H150</f>
        <v>0</v>
      </c>
      <c r="K150" s="478">
        <v>98.603999999999999</v>
      </c>
      <c r="L150" s="478">
        <v>98.603999999999999</v>
      </c>
      <c r="M150" s="528">
        <f t="shared" ref="M150:M208" si="152">L150-K150</f>
        <v>0</v>
      </c>
      <c r="N150" s="478">
        <v>42.768000000000001</v>
      </c>
      <c r="O150" s="478">
        <v>42.768000000000001</v>
      </c>
      <c r="P150" s="528">
        <f t="shared" ref="P150:P208" si="153">O150-N150</f>
        <v>0</v>
      </c>
      <c r="Q150" s="478">
        <v>17.2</v>
      </c>
      <c r="R150" s="478">
        <v>17.2</v>
      </c>
      <c r="S150" s="528">
        <f t="shared" ref="S150:S208" si="154">R150-Q150</f>
        <v>0</v>
      </c>
      <c r="T150" s="478">
        <v>130</v>
      </c>
      <c r="U150" s="478">
        <v>130</v>
      </c>
      <c r="V150" s="528">
        <f t="shared" ref="V150:V208" si="155">U150-T150</f>
        <v>0</v>
      </c>
      <c r="W150" s="478">
        <v>50</v>
      </c>
      <c r="X150" s="478">
        <v>50</v>
      </c>
      <c r="Y150" s="528">
        <f t="shared" ref="Y150:Y208" si="156">X150-W150</f>
        <v>0</v>
      </c>
      <c r="Z150" s="478">
        <v>73</v>
      </c>
      <c r="AA150" s="478">
        <v>73</v>
      </c>
      <c r="AB150" s="528">
        <f t="shared" ref="AB150:AB208" si="157">AA150-Z150</f>
        <v>0</v>
      </c>
      <c r="AC150" s="478">
        <v>125.7</v>
      </c>
      <c r="AD150" s="478">
        <v>125.7</v>
      </c>
      <c r="AE150" s="528">
        <f t="shared" ref="AE150:AE208" si="158">AD150-AC150</f>
        <v>0</v>
      </c>
    </row>
    <row r="151" spans="1:31" ht="31.5" outlineLevel="3">
      <c r="A151" s="456">
        <v>7</v>
      </c>
      <c r="B151" s="457"/>
      <c r="C151" s="458">
        <v>100127652</v>
      </c>
      <c r="D151" s="695" t="s">
        <v>247</v>
      </c>
      <c r="E151" s="478">
        <v>0</v>
      </c>
      <c r="F151" s="478">
        <v>0</v>
      </c>
      <c r="G151" s="567">
        <f t="shared" si="150"/>
        <v>0</v>
      </c>
      <c r="H151" s="478">
        <v>0</v>
      </c>
      <c r="I151" s="478">
        <v>0</v>
      </c>
      <c r="J151" s="567">
        <f t="shared" si="151"/>
        <v>0</v>
      </c>
      <c r="K151" s="478">
        <v>62.207999999999998</v>
      </c>
      <c r="L151" s="478">
        <v>62.207999999999998</v>
      </c>
      <c r="M151" s="567">
        <f t="shared" si="152"/>
        <v>0</v>
      </c>
      <c r="N151" s="478">
        <v>0</v>
      </c>
      <c r="O151" s="478">
        <v>0</v>
      </c>
      <c r="P151" s="567">
        <f t="shared" si="153"/>
        <v>0</v>
      </c>
      <c r="Q151" s="478">
        <v>60</v>
      </c>
      <c r="R151" s="478">
        <v>60</v>
      </c>
      <c r="S151" s="567">
        <f t="shared" si="154"/>
        <v>0</v>
      </c>
      <c r="T151" s="478">
        <v>166</v>
      </c>
      <c r="U151" s="478">
        <v>140</v>
      </c>
      <c r="V151" s="567">
        <f t="shared" si="155"/>
        <v>-26</v>
      </c>
      <c r="W151" s="478">
        <v>50</v>
      </c>
      <c r="X151" s="478">
        <v>76.28</v>
      </c>
      <c r="Y151" s="567">
        <f t="shared" si="156"/>
        <v>26.28</v>
      </c>
      <c r="Z151" s="478">
        <v>50</v>
      </c>
      <c r="AA151" s="478">
        <v>50</v>
      </c>
      <c r="AB151" s="567">
        <f t="shared" si="157"/>
        <v>0</v>
      </c>
      <c r="AC151" s="478">
        <v>100</v>
      </c>
      <c r="AD151" s="478">
        <v>80</v>
      </c>
      <c r="AE151" s="567">
        <f t="shared" si="158"/>
        <v>-20</v>
      </c>
    </row>
    <row r="152" spans="1:31" ht="31.5" outlineLevel="3">
      <c r="A152" s="456"/>
      <c r="B152" s="457"/>
      <c r="C152" s="458">
        <v>100127652</v>
      </c>
      <c r="D152" s="695" t="s">
        <v>249</v>
      </c>
      <c r="E152" s="478">
        <v>0</v>
      </c>
      <c r="F152" s="478">
        <v>0</v>
      </c>
      <c r="G152" s="479">
        <f t="shared" si="150"/>
        <v>0</v>
      </c>
      <c r="H152" s="478">
        <v>42.003</v>
      </c>
      <c r="I152" s="478">
        <v>42.003</v>
      </c>
      <c r="J152" s="479">
        <f t="shared" si="151"/>
        <v>0</v>
      </c>
      <c r="K152" s="478">
        <v>0</v>
      </c>
      <c r="L152" s="478">
        <v>0</v>
      </c>
      <c r="M152" s="479">
        <f t="shared" si="152"/>
        <v>0</v>
      </c>
      <c r="N152" s="478">
        <v>0</v>
      </c>
      <c r="O152" s="478">
        <v>0</v>
      </c>
      <c r="P152" s="479">
        <f t="shared" si="153"/>
        <v>0</v>
      </c>
      <c r="Q152" s="478">
        <v>0</v>
      </c>
      <c r="R152" s="478">
        <v>0</v>
      </c>
      <c r="S152" s="479">
        <f t="shared" si="154"/>
        <v>0</v>
      </c>
      <c r="T152" s="478">
        <v>14.7</v>
      </c>
      <c r="U152" s="478">
        <v>0</v>
      </c>
      <c r="V152" s="479">
        <f t="shared" si="155"/>
        <v>-14.7</v>
      </c>
      <c r="W152" s="478">
        <v>0</v>
      </c>
      <c r="X152" s="478">
        <v>14.7</v>
      </c>
      <c r="Y152" s="479">
        <f t="shared" si="156"/>
        <v>14.7</v>
      </c>
      <c r="Z152" s="478">
        <v>0</v>
      </c>
      <c r="AA152" s="478">
        <v>0</v>
      </c>
      <c r="AB152" s="479">
        <f t="shared" si="157"/>
        <v>0</v>
      </c>
      <c r="AC152" s="478">
        <v>0</v>
      </c>
      <c r="AD152" s="478">
        <v>0</v>
      </c>
      <c r="AE152" s="479">
        <f t="shared" si="158"/>
        <v>0</v>
      </c>
    </row>
    <row r="153" spans="1:31" ht="31.5" outlineLevel="3">
      <c r="A153" s="456"/>
      <c r="B153" s="463" t="s">
        <v>411</v>
      </c>
      <c r="C153" s="458">
        <v>100127652</v>
      </c>
      <c r="D153" s="695" t="s">
        <v>250</v>
      </c>
      <c r="E153" s="478">
        <v>0</v>
      </c>
      <c r="F153" s="478">
        <v>0</v>
      </c>
      <c r="G153" s="479">
        <f t="shared" si="150"/>
        <v>0</v>
      </c>
      <c r="H153" s="478">
        <v>0</v>
      </c>
      <c r="I153" s="478">
        <v>0</v>
      </c>
      <c r="J153" s="479">
        <f t="shared" si="151"/>
        <v>0</v>
      </c>
      <c r="K153" s="478">
        <v>0</v>
      </c>
      <c r="L153" s="478">
        <v>0</v>
      </c>
      <c r="M153" s="479">
        <f t="shared" si="152"/>
        <v>0</v>
      </c>
      <c r="N153" s="478">
        <v>0</v>
      </c>
      <c r="O153" s="478">
        <v>0</v>
      </c>
      <c r="P153" s="479">
        <f t="shared" si="153"/>
        <v>0</v>
      </c>
      <c r="Q153" s="478">
        <v>0</v>
      </c>
      <c r="R153" s="478">
        <v>0</v>
      </c>
      <c r="S153" s="479">
        <f t="shared" si="154"/>
        <v>0</v>
      </c>
      <c r="T153" s="478">
        <v>0</v>
      </c>
      <c r="U153" s="478">
        <v>0</v>
      </c>
      <c r="V153" s="479">
        <f t="shared" si="155"/>
        <v>0</v>
      </c>
      <c r="W153" s="478">
        <v>0</v>
      </c>
      <c r="X153" s="478">
        <v>0</v>
      </c>
      <c r="Y153" s="479">
        <f t="shared" si="156"/>
        <v>0</v>
      </c>
      <c r="Z153" s="478">
        <v>0</v>
      </c>
      <c r="AA153" s="478">
        <v>0</v>
      </c>
      <c r="AB153" s="479">
        <f t="shared" si="157"/>
        <v>0</v>
      </c>
      <c r="AC153" s="478">
        <v>0</v>
      </c>
      <c r="AD153" s="478">
        <v>0</v>
      </c>
      <c r="AE153" s="479">
        <f t="shared" si="158"/>
        <v>0</v>
      </c>
    </row>
    <row r="154" spans="1:31" ht="31.5" outlineLevel="3">
      <c r="A154" s="456"/>
      <c r="B154" s="457"/>
      <c r="C154" s="458">
        <v>100127652</v>
      </c>
      <c r="D154" s="695" t="s">
        <v>251</v>
      </c>
      <c r="E154" s="478">
        <v>0</v>
      </c>
      <c r="F154" s="478">
        <v>0</v>
      </c>
      <c r="G154" s="479">
        <f t="shared" si="150"/>
        <v>0</v>
      </c>
      <c r="H154" s="478">
        <v>0</v>
      </c>
      <c r="I154" s="478">
        <v>0</v>
      </c>
      <c r="J154" s="479">
        <f t="shared" si="151"/>
        <v>0</v>
      </c>
      <c r="K154" s="478">
        <v>46.08</v>
      </c>
      <c r="L154" s="478">
        <v>46.08</v>
      </c>
      <c r="M154" s="479">
        <f t="shared" si="152"/>
        <v>0</v>
      </c>
      <c r="N154" s="478">
        <v>0</v>
      </c>
      <c r="O154" s="478">
        <v>0</v>
      </c>
      <c r="P154" s="479">
        <f t="shared" si="153"/>
        <v>0</v>
      </c>
      <c r="Q154" s="478">
        <v>0</v>
      </c>
      <c r="R154" s="478">
        <v>35</v>
      </c>
      <c r="S154" s="479">
        <f t="shared" si="154"/>
        <v>35</v>
      </c>
      <c r="T154" s="478">
        <v>70</v>
      </c>
      <c r="U154" s="478">
        <v>0</v>
      </c>
      <c r="V154" s="479">
        <f t="shared" si="155"/>
        <v>-70</v>
      </c>
      <c r="W154" s="478">
        <v>70</v>
      </c>
      <c r="X154" s="478">
        <v>50</v>
      </c>
      <c r="Y154" s="479">
        <f t="shared" si="156"/>
        <v>-20</v>
      </c>
      <c r="Z154" s="478">
        <v>80</v>
      </c>
      <c r="AA154" s="478">
        <v>50</v>
      </c>
      <c r="AB154" s="479">
        <f t="shared" si="157"/>
        <v>-30</v>
      </c>
      <c r="AC154" s="478">
        <v>80</v>
      </c>
      <c r="AD154" s="478">
        <v>50</v>
      </c>
      <c r="AE154" s="479">
        <f t="shared" si="158"/>
        <v>-30</v>
      </c>
    </row>
    <row r="155" spans="1:31" ht="31.5" outlineLevel="3">
      <c r="A155" s="456"/>
      <c r="B155" s="457"/>
      <c r="C155" s="458">
        <v>100127652</v>
      </c>
      <c r="D155" s="696" t="s">
        <v>252</v>
      </c>
      <c r="E155" s="579">
        <v>0</v>
      </c>
      <c r="F155" s="579">
        <v>0</v>
      </c>
      <c r="G155" s="580">
        <f t="shared" si="150"/>
        <v>0</v>
      </c>
      <c r="H155" s="579">
        <v>0</v>
      </c>
      <c r="I155" s="579">
        <v>0</v>
      </c>
      <c r="J155" s="580">
        <f t="shared" si="151"/>
        <v>0</v>
      </c>
      <c r="K155" s="579">
        <v>0.9</v>
      </c>
      <c r="L155" s="579">
        <v>0.9</v>
      </c>
      <c r="M155" s="580">
        <f t="shared" si="152"/>
        <v>0</v>
      </c>
      <c r="N155" s="478">
        <v>0</v>
      </c>
      <c r="O155" s="478">
        <v>0</v>
      </c>
      <c r="P155" s="479">
        <f t="shared" si="153"/>
        <v>0</v>
      </c>
      <c r="Q155" s="478">
        <v>0</v>
      </c>
      <c r="R155" s="478">
        <v>0</v>
      </c>
      <c r="S155" s="479">
        <f t="shared" si="154"/>
        <v>0</v>
      </c>
      <c r="T155" s="478">
        <v>92</v>
      </c>
      <c r="U155" s="478">
        <v>92</v>
      </c>
      <c r="V155" s="479">
        <f t="shared" si="155"/>
        <v>0</v>
      </c>
      <c r="W155" s="478">
        <v>0</v>
      </c>
      <c r="X155" s="478">
        <v>0</v>
      </c>
      <c r="Y155" s="479">
        <f t="shared" si="156"/>
        <v>0</v>
      </c>
      <c r="Z155" s="478">
        <v>0</v>
      </c>
      <c r="AA155" s="478">
        <v>0</v>
      </c>
      <c r="AB155" s="479">
        <f t="shared" si="157"/>
        <v>0</v>
      </c>
      <c r="AC155" s="478">
        <v>0</v>
      </c>
      <c r="AD155" s="478">
        <v>0</v>
      </c>
      <c r="AE155" s="479">
        <f t="shared" si="158"/>
        <v>0</v>
      </c>
    </row>
    <row r="156" spans="1:31" ht="47.25" outlineLevel="3">
      <c r="A156" s="456"/>
      <c r="B156" s="457"/>
      <c r="C156" s="458">
        <v>100127652</v>
      </c>
      <c r="D156" s="696" t="s">
        <v>271</v>
      </c>
      <c r="E156" s="579">
        <v>0</v>
      </c>
      <c r="F156" s="579">
        <v>0</v>
      </c>
      <c r="G156" s="580">
        <f t="shared" ref="G156" si="159">F156-E156</f>
        <v>0</v>
      </c>
      <c r="H156" s="579">
        <v>0</v>
      </c>
      <c r="I156" s="579">
        <v>0</v>
      </c>
      <c r="J156" s="580">
        <f t="shared" ref="J156" si="160">I156-H156</f>
        <v>0</v>
      </c>
      <c r="K156" s="579">
        <v>0</v>
      </c>
      <c r="L156" s="579">
        <v>0</v>
      </c>
      <c r="M156" s="580">
        <f t="shared" ref="M156" si="161">L156-K156</f>
        <v>0</v>
      </c>
      <c r="N156" s="478">
        <v>0</v>
      </c>
      <c r="O156" s="478">
        <v>0</v>
      </c>
      <c r="P156" s="479">
        <f t="shared" ref="P156" si="162">O156-N156</f>
        <v>0</v>
      </c>
      <c r="Q156" s="478">
        <v>0</v>
      </c>
      <c r="R156" s="478">
        <v>0</v>
      </c>
      <c r="S156" s="479">
        <f t="shared" ref="S156" si="163">R156-Q156</f>
        <v>0</v>
      </c>
      <c r="T156" s="478">
        <v>0</v>
      </c>
      <c r="U156" s="478">
        <v>0</v>
      </c>
      <c r="V156" s="479">
        <f t="shared" ref="V156" si="164">U156-T156</f>
        <v>0</v>
      </c>
      <c r="W156" s="478">
        <v>92.16</v>
      </c>
      <c r="X156" s="478">
        <v>92.16</v>
      </c>
      <c r="Y156" s="479">
        <f t="shared" ref="Y156" si="165">X156-W156</f>
        <v>0</v>
      </c>
      <c r="Z156" s="478">
        <v>92.16</v>
      </c>
      <c r="AA156" s="478">
        <v>92.16</v>
      </c>
      <c r="AB156" s="479">
        <f t="shared" ref="AB156" si="166">AA156-Z156</f>
        <v>0</v>
      </c>
      <c r="AC156" s="478">
        <v>92.16</v>
      </c>
      <c r="AD156" s="478">
        <v>92.16</v>
      </c>
      <c r="AE156" s="479">
        <f t="shared" ref="AE156" si="167">AD156-AC156</f>
        <v>0</v>
      </c>
    </row>
    <row r="157" spans="1:31" ht="31.5" outlineLevel="3">
      <c r="A157" s="456"/>
      <c r="B157" s="457"/>
      <c r="C157" s="458">
        <v>100127652</v>
      </c>
      <c r="D157" s="695" t="s">
        <v>253</v>
      </c>
      <c r="E157" s="478">
        <v>0</v>
      </c>
      <c r="F157" s="478">
        <v>0</v>
      </c>
      <c r="G157" s="479">
        <f t="shared" si="150"/>
        <v>0</v>
      </c>
      <c r="H157" s="478">
        <v>6.6000000000000003E-2</v>
      </c>
      <c r="I157" s="478">
        <v>6.6000000000000003E-2</v>
      </c>
      <c r="J157" s="479">
        <f t="shared" si="151"/>
        <v>0</v>
      </c>
      <c r="K157" s="478">
        <v>2.016</v>
      </c>
      <c r="L157" s="478">
        <v>2.016</v>
      </c>
      <c r="M157" s="479">
        <f t="shared" si="152"/>
        <v>0</v>
      </c>
      <c r="N157" s="478">
        <v>0.96</v>
      </c>
      <c r="O157" s="478">
        <v>9.6000000000000002E-2</v>
      </c>
      <c r="P157" s="479">
        <f t="shared" si="153"/>
        <v>-0.86399999999999999</v>
      </c>
      <c r="Q157" s="478">
        <v>0</v>
      </c>
      <c r="R157" s="478">
        <v>0</v>
      </c>
      <c r="S157" s="479">
        <f t="shared" si="154"/>
        <v>0</v>
      </c>
      <c r="T157" s="478">
        <v>0</v>
      </c>
      <c r="U157" s="478">
        <v>0</v>
      </c>
      <c r="V157" s="479">
        <f t="shared" si="155"/>
        <v>0</v>
      </c>
      <c r="W157" s="478">
        <v>30</v>
      </c>
      <c r="X157" s="478">
        <v>30</v>
      </c>
      <c r="Y157" s="479">
        <f t="shared" si="156"/>
        <v>0</v>
      </c>
      <c r="Z157" s="478">
        <v>50</v>
      </c>
      <c r="AA157" s="478">
        <v>50</v>
      </c>
      <c r="AB157" s="479">
        <f t="shared" si="157"/>
        <v>0</v>
      </c>
      <c r="AC157" s="478">
        <v>50</v>
      </c>
      <c r="AD157" s="478">
        <v>50</v>
      </c>
      <c r="AE157" s="479">
        <f t="shared" si="158"/>
        <v>0</v>
      </c>
    </row>
    <row r="158" spans="1:31" ht="31.5" outlineLevel="3">
      <c r="A158" s="456"/>
      <c r="B158" s="457"/>
      <c r="C158" s="458">
        <v>100127652</v>
      </c>
      <c r="D158" s="695" t="s">
        <v>254</v>
      </c>
      <c r="E158" s="478">
        <v>0</v>
      </c>
      <c r="F158" s="478">
        <v>0</v>
      </c>
      <c r="G158" s="479">
        <f t="shared" si="150"/>
        <v>0</v>
      </c>
      <c r="H158" s="478">
        <v>0</v>
      </c>
      <c r="I158" s="478">
        <v>0</v>
      </c>
      <c r="J158" s="479">
        <f t="shared" si="151"/>
        <v>0</v>
      </c>
      <c r="K158" s="478">
        <v>0</v>
      </c>
      <c r="L158" s="478">
        <v>0</v>
      </c>
      <c r="M158" s="479">
        <f t="shared" si="152"/>
        <v>0</v>
      </c>
      <c r="N158" s="478">
        <v>0</v>
      </c>
      <c r="O158" s="478">
        <v>0</v>
      </c>
      <c r="P158" s="479">
        <f t="shared" si="153"/>
        <v>0</v>
      </c>
      <c r="Q158" s="478">
        <v>0</v>
      </c>
      <c r="R158" s="478">
        <v>0</v>
      </c>
      <c r="S158" s="479">
        <f t="shared" si="154"/>
        <v>0</v>
      </c>
      <c r="T158" s="478">
        <v>0</v>
      </c>
      <c r="U158" s="478">
        <v>0</v>
      </c>
      <c r="V158" s="479">
        <f t="shared" si="155"/>
        <v>0</v>
      </c>
      <c r="W158" s="478">
        <v>0</v>
      </c>
      <c r="X158" s="478">
        <v>0</v>
      </c>
      <c r="Y158" s="479">
        <f t="shared" si="156"/>
        <v>0</v>
      </c>
      <c r="Z158" s="478">
        <v>0</v>
      </c>
      <c r="AA158" s="478">
        <v>0</v>
      </c>
      <c r="AB158" s="479">
        <f t="shared" si="157"/>
        <v>0</v>
      </c>
      <c r="AC158" s="478">
        <v>0</v>
      </c>
      <c r="AD158" s="478">
        <v>0</v>
      </c>
      <c r="AE158" s="479">
        <f t="shared" si="158"/>
        <v>0</v>
      </c>
    </row>
    <row r="159" spans="1:31" ht="31.5" outlineLevel="3">
      <c r="A159" s="456"/>
      <c r="B159" s="457"/>
      <c r="C159" s="458">
        <v>100127652</v>
      </c>
      <c r="D159" s="695" t="s">
        <v>255</v>
      </c>
      <c r="E159" s="478">
        <v>0</v>
      </c>
      <c r="F159" s="478">
        <v>0</v>
      </c>
      <c r="G159" s="479">
        <f t="shared" si="150"/>
        <v>0</v>
      </c>
      <c r="H159" s="478">
        <v>0</v>
      </c>
      <c r="I159" s="478">
        <v>0</v>
      </c>
      <c r="J159" s="479">
        <f t="shared" si="151"/>
        <v>0</v>
      </c>
      <c r="K159" s="478">
        <v>0</v>
      </c>
      <c r="L159" s="478">
        <v>0</v>
      </c>
      <c r="M159" s="479">
        <f t="shared" si="152"/>
        <v>0</v>
      </c>
      <c r="N159" s="478">
        <v>0</v>
      </c>
      <c r="O159" s="478">
        <v>0</v>
      </c>
      <c r="P159" s="479">
        <f t="shared" si="153"/>
        <v>0</v>
      </c>
      <c r="Q159" s="478">
        <v>0</v>
      </c>
      <c r="R159" s="478">
        <v>0</v>
      </c>
      <c r="S159" s="479">
        <f t="shared" si="154"/>
        <v>0</v>
      </c>
      <c r="T159" s="478">
        <v>5</v>
      </c>
      <c r="U159" s="478">
        <v>5</v>
      </c>
      <c r="V159" s="479">
        <f t="shared" si="155"/>
        <v>0</v>
      </c>
      <c r="W159" s="478">
        <v>30</v>
      </c>
      <c r="X159" s="478">
        <v>30</v>
      </c>
      <c r="Y159" s="479">
        <f t="shared" si="156"/>
        <v>0</v>
      </c>
      <c r="Z159" s="478">
        <v>25</v>
      </c>
      <c r="AA159" s="478">
        <v>25</v>
      </c>
      <c r="AB159" s="479">
        <f t="shared" si="157"/>
        <v>0</v>
      </c>
      <c r="AC159" s="478">
        <v>25</v>
      </c>
      <c r="AD159" s="478">
        <v>25</v>
      </c>
      <c r="AE159" s="479">
        <f t="shared" si="158"/>
        <v>0</v>
      </c>
    </row>
    <row r="160" spans="1:31" ht="22.5" customHeight="1" outlineLevel="3">
      <c r="A160" s="456"/>
      <c r="B160" s="457"/>
      <c r="C160" s="458">
        <v>100127652</v>
      </c>
      <c r="D160" s="631" t="s">
        <v>166</v>
      </c>
      <c r="E160" s="478">
        <v>38.4</v>
      </c>
      <c r="F160" s="478">
        <v>38.4</v>
      </c>
      <c r="G160" s="479">
        <f t="shared" si="150"/>
        <v>0</v>
      </c>
      <c r="H160" s="478">
        <v>19.2</v>
      </c>
      <c r="I160" s="478">
        <v>19.2</v>
      </c>
      <c r="J160" s="479">
        <f t="shared" si="151"/>
        <v>0</v>
      </c>
      <c r="K160" s="478">
        <v>0</v>
      </c>
      <c r="L160" s="478">
        <v>0</v>
      </c>
      <c r="M160" s="479">
        <f t="shared" si="152"/>
        <v>0</v>
      </c>
      <c r="N160" s="478">
        <v>19.2</v>
      </c>
      <c r="O160" s="478">
        <v>19.2</v>
      </c>
      <c r="P160" s="479">
        <f t="shared" si="153"/>
        <v>0</v>
      </c>
      <c r="Q160" s="478">
        <v>0</v>
      </c>
      <c r="R160" s="478">
        <v>0</v>
      </c>
      <c r="S160" s="479">
        <f t="shared" si="154"/>
        <v>0</v>
      </c>
      <c r="T160" s="478">
        <v>19.2</v>
      </c>
      <c r="U160" s="478">
        <v>19.2</v>
      </c>
      <c r="V160" s="479">
        <f t="shared" si="155"/>
        <v>0</v>
      </c>
      <c r="W160" s="478">
        <v>19.2</v>
      </c>
      <c r="X160" s="478">
        <v>19.2</v>
      </c>
      <c r="Y160" s="479">
        <f t="shared" si="156"/>
        <v>0</v>
      </c>
      <c r="Z160" s="478">
        <v>19.2</v>
      </c>
      <c r="AA160" s="478">
        <v>19.2</v>
      </c>
      <c r="AB160" s="479">
        <f t="shared" si="157"/>
        <v>0</v>
      </c>
      <c r="AC160" s="478">
        <v>19.2</v>
      </c>
      <c r="AD160" s="478">
        <v>19.2</v>
      </c>
      <c r="AE160" s="479">
        <f t="shared" si="158"/>
        <v>0</v>
      </c>
    </row>
    <row r="161" spans="1:31" ht="22.5" customHeight="1" outlineLevel="3">
      <c r="A161" s="456"/>
      <c r="B161" s="457"/>
      <c r="C161" s="458">
        <v>100127652</v>
      </c>
      <c r="D161" s="631" t="s">
        <v>167</v>
      </c>
      <c r="E161" s="478">
        <v>74.88</v>
      </c>
      <c r="F161" s="478">
        <v>74.88</v>
      </c>
      <c r="G161" s="479">
        <f t="shared" si="150"/>
        <v>0</v>
      </c>
      <c r="H161" s="478">
        <v>53.86</v>
      </c>
      <c r="I161" s="478">
        <v>53.86</v>
      </c>
      <c r="J161" s="479">
        <f t="shared" si="151"/>
        <v>0</v>
      </c>
      <c r="K161" s="478">
        <v>19.2</v>
      </c>
      <c r="L161" s="478">
        <v>19.2</v>
      </c>
      <c r="M161" s="479">
        <f t="shared" si="152"/>
        <v>0</v>
      </c>
      <c r="N161" s="478">
        <v>75.84</v>
      </c>
      <c r="O161" s="478">
        <v>75.84</v>
      </c>
      <c r="P161" s="479">
        <f t="shared" si="153"/>
        <v>0</v>
      </c>
      <c r="Q161" s="478">
        <v>57.6</v>
      </c>
      <c r="R161" s="478">
        <v>57.6</v>
      </c>
      <c r="S161" s="479">
        <f t="shared" si="154"/>
        <v>0</v>
      </c>
      <c r="T161" s="478">
        <v>76.8</v>
      </c>
      <c r="U161" s="478">
        <v>76.8</v>
      </c>
      <c r="V161" s="479">
        <f t="shared" si="155"/>
        <v>0</v>
      </c>
      <c r="W161" s="478">
        <v>76.8</v>
      </c>
      <c r="X161" s="478">
        <v>76.8</v>
      </c>
      <c r="Y161" s="479">
        <f t="shared" si="156"/>
        <v>0</v>
      </c>
      <c r="Z161" s="478">
        <v>61.4</v>
      </c>
      <c r="AA161" s="478">
        <v>61.4</v>
      </c>
      <c r="AB161" s="479">
        <f t="shared" si="157"/>
        <v>0</v>
      </c>
      <c r="AC161" s="478">
        <v>61.44</v>
      </c>
      <c r="AD161" s="478">
        <v>61.44</v>
      </c>
      <c r="AE161" s="479">
        <f t="shared" si="158"/>
        <v>0</v>
      </c>
    </row>
    <row r="162" spans="1:31" ht="22.5" customHeight="1" outlineLevel="3">
      <c r="A162" s="456"/>
      <c r="B162" s="457"/>
      <c r="C162" s="458">
        <v>100127652</v>
      </c>
      <c r="D162" s="631" t="s">
        <v>199</v>
      </c>
      <c r="E162" s="478">
        <v>0</v>
      </c>
      <c r="F162" s="478">
        <v>0</v>
      </c>
      <c r="G162" s="479">
        <f t="shared" si="150"/>
        <v>0</v>
      </c>
      <c r="H162" s="478">
        <v>0</v>
      </c>
      <c r="I162" s="478">
        <v>0</v>
      </c>
      <c r="J162" s="479">
        <f t="shared" si="151"/>
        <v>0</v>
      </c>
      <c r="K162" s="478">
        <v>0</v>
      </c>
      <c r="L162" s="478">
        <v>0</v>
      </c>
      <c r="M162" s="479">
        <f t="shared" si="152"/>
        <v>0</v>
      </c>
      <c r="N162" s="478">
        <v>0</v>
      </c>
      <c r="O162" s="478">
        <v>0</v>
      </c>
      <c r="P162" s="479">
        <f t="shared" si="153"/>
        <v>0</v>
      </c>
      <c r="Q162" s="478">
        <v>0</v>
      </c>
      <c r="R162" s="478">
        <v>0</v>
      </c>
      <c r="S162" s="479">
        <f t="shared" si="154"/>
        <v>0</v>
      </c>
      <c r="T162" s="478">
        <v>0</v>
      </c>
      <c r="U162" s="478">
        <v>0</v>
      </c>
      <c r="V162" s="479">
        <f t="shared" si="155"/>
        <v>0</v>
      </c>
      <c r="W162" s="478">
        <v>0</v>
      </c>
      <c r="X162" s="478">
        <v>0</v>
      </c>
      <c r="Y162" s="479">
        <f t="shared" si="156"/>
        <v>0</v>
      </c>
      <c r="Z162" s="478">
        <v>0</v>
      </c>
      <c r="AA162" s="478">
        <v>0</v>
      </c>
      <c r="AB162" s="479">
        <f t="shared" si="157"/>
        <v>0</v>
      </c>
      <c r="AC162" s="478">
        <v>0</v>
      </c>
      <c r="AD162" s="478">
        <v>0</v>
      </c>
      <c r="AE162" s="479">
        <f t="shared" si="158"/>
        <v>0</v>
      </c>
    </row>
    <row r="163" spans="1:31" s="434" customFormat="1" ht="23.1" customHeight="1" outlineLevel="3">
      <c r="A163" s="459"/>
      <c r="B163" s="457"/>
      <c r="C163" s="460">
        <v>100127652</v>
      </c>
      <c r="D163" s="631" t="s">
        <v>151</v>
      </c>
      <c r="E163" s="679">
        <v>0</v>
      </c>
      <c r="F163" s="679">
        <v>0</v>
      </c>
      <c r="G163" s="479">
        <f t="shared" si="150"/>
        <v>0</v>
      </c>
      <c r="H163" s="679">
        <v>0</v>
      </c>
      <c r="I163" s="679">
        <v>0</v>
      </c>
      <c r="J163" s="479">
        <f t="shared" si="151"/>
        <v>0</v>
      </c>
      <c r="K163" s="679">
        <v>0</v>
      </c>
      <c r="L163" s="679">
        <v>0</v>
      </c>
      <c r="M163" s="479">
        <f t="shared" si="152"/>
        <v>0</v>
      </c>
      <c r="N163" s="679">
        <v>0</v>
      </c>
      <c r="O163" s="679">
        <v>0</v>
      </c>
      <c r="P163" s="479">
        <f t="shared" si="153"/>
        <v>0</v>
      </c>
      <c r="Q163" s="679">
        <v>0</v>
      </c>
      <c r="R163" s="679">
        <v>0</v>
      </c>
      <c r="S163" s="479">
        <f t="shared" si="154"/>
        <v>0</v>
      </c>
      <c r="T163" s="679">
        <v>0</v>
      </c>
      <c r="U163" s="679">
        <v>0</v>
      </c>
      <c r="V163" s="479">
        <f t="shared" si="155"/>
        <v>0</v>
      </c>
      <c r="W163" s="679">
        <v>0</v>
      </c>
      <c r="X163" s="679">
        <v>0</v>
      </c>
      <c r="Y163" s="479">
        <f t="shared" si="156"/>
        <v>0</v>
      </c>
      <c r="Z163" s="679">
        <v>0</v>
      </c>
      <c r="AA163" s="679">
        <v>0</v>
      </c>
      <c r="AB163" s="479">
        <f t="shared" si="157"/>
        <v>0</v>
      </c>
      <c r="AC163" s="679">
        <v>0</v>
      </c>
      <c r="AD163" s="679">
        <v>0</v>
      </c>
      <c r="AE163" s="479">
        <f t="shared" si="158"/>
        <v>0</v>
      </c>
    </row>
    <row r="164" spans="1:31" ht="23.1" customHeight="1" outlineLevel="3">
      <c r="A164" s="456"/>
      <c r="B164" s="457"/>
      <c r="C164" s="458">
        <v>100127652</v>
      </c>
      <c r="D164" s="697" t="s">
        <v>233</v>
      </c>
      <c r="E164" s="670">
        <v>0</v>
      </c>
      <c r="F164" s="670">
        <v>0</v>
      </c>
      <c r="G164" s="567">
        <f t="shared" si="150"/>
        <v>0</v>
      </c>
      <c r="H164" s="670">
        <v>0</v>
      </c>
      <c r="I164" s="670">
        <v>0</v>
      </c>
      <c r="J164" s="567">
        <f t="shared" si="151"/>
        <v>0</v>
      </c>
      <c r="K164" s="670">
        <v>0</v>
      </c>
      <c r="L164" s="670">
        <v>0</v>
      </c>
      <c r="M164" s="567">
        <f t="shared" si="152"/>
        <v>0</v>
      </c>
      <c r="N164" s="670">
        <v>0</v>
      </c>
      <c r="O164" s="670">
        <v>0</v>
      </c>
      <c r="P164" s="567">
        <f t="shared" si="153"/>
        <v>0</v>
      </c>
      <c r="Q164" s="670">
        <v>0</v>
      </c>
      <c r="R164" s="670">
        <v>0</v>
      </c>
      <c r="S164" s="567">
        <f t="shared" si="154"/>
        <v>0</v>
      </c>
      <c r="T164" s="670">
        <v>0</v>
      </c>
      <c r="U164" s="670">
        <v>0</v>
      </c>
      <c r="V164" s="567">
        <f t="shared" si="155"/>
        <v>0</v>
      </c>
      <c r="W164" s="670">
        <v>0</v>
      </c>
      <c r="X164" s="670">
        <v>0</v>
      </c>
      <c r="Y164" s="567">
        <f t="shared" si="156"/>
        <v>0</v>
      </c>
      <c r="Z164" s="670">
        <v>0</v>
      </c>
      <c r="AA164" s="670">
        <v>0</v>
      </c>
      <c r="AB164" s="567">
        <f t="shared" si="157"/>
        <v>0</v>
      </c>
      <c r="AC164" s="670">
        <v>0</v>
      </c>
      <c r="AD164" s="670">
        <v>0</v>
      </c>
      <c r="AE164" s="567">
        <f t="shared" si="158"/>
        <v>0</v>
      </c>
    </row>
    <row r="165" spans="1:31" s="434" customFormat="1" ht="23.1" customHeight="1" outlineLevel="3" thickBot="1">
      <c r="A165" s="459"/>
      <c r="B165" s="457"/>
      <c r="C165" s="460">
        <v>100127652</v>
      </c>
      <c r="D165" s="698" t="s">
        <v>234</v>
      </c>
      <c r="E165" s="541">
        <v>0</v>
      </c>
      <c r="F165" s="541">
        <v>0</v>
      </c>
      <c r="G165" s="488">
        <f t="shared" si="150"/>
        <v>0</v>
      </c>
      <c r="H165" s="541">
        <v>0</v>
      </c>
      <c r="I165" s="541">
        <v>0</v>
      </c>
      <c r="J165" s="488">
        <f t="shared" si="151"/>
        <v>0</v>
      </c>
      <c r="K165" s="541">
        <v>0</v>
      </c>
      <c r="L165" s="541">
        <v>0</v>
      </c>
      <c r="M165" s="488">
        <f t="shared" si="152"/>
        <v>0</v>
      </c>
      <c r="N165" s="541">
        <v>0</v>
      </c>
      <c r="O165" s="541">
        <v>0</v>
      </c>
      <c r="P165" s="488">
        <f t="shared" si="153"/>
        <v>0</v>
      </c>
      <c r="Q165" s="541">
        <v>0</v>
      </c>
      <c r="R165" s="541">
        <v>0</v>
      </c>
      <c r="S165" s="488">
        <f t="shared" si="154"/>
        <v>0</v>
      </c>
      <c r="T165" s="541">
        <v>0</v>
      </c>
      <c r="U165" s="541">
        <v>0</v>
      </c>
      <c r="V165" s="488">
        <f t="shared" si="155"/>
        <v>0</v>
      </c>
      <c r="W165" s="541">
        <v>0</v>
      </c>
      <c r="X165" s="541">
        <v>0</v>
      </c>
      <c r="Y165" s="488">
        <f t="shared" si="156"/>
        <v>0</v>
      </c>
      <c r="Z165" s="541">
        <v>0</v>
      </c>
      <c r="AA165" s="541">
        <v>0</v>
      </c>
      <c r="AB165" s="488">
        <f t="shared" si="157"/>
        <v>0</v>
      </c>
      <c r="AC165" s="541">
        <v>0</v>
      </c>
      <c r="AD165" s="541">
        <v>0</v>
      </c>
      <c r="AE165" s="488">
        <f t="shared" si="158"/>
        <v>0</v>
      </c>
    </row>
    <row r="166" spans="1:31" ht="23.1" hidden="1" customHeight="1" outlineLevel="3">
      <c r="A166" s="456"/>
      <c r="B166" s="457"/>
      <c r="C166" s="458">
        <v>100127652</v>
      </c>
      <c r="D166" s="699" t="s">
        <v>162</v>
      </c>
      <c r="E166" s="700">
        <v>0</v>
      </c>
      <c r="F166" s="700">
        <v>0</v>
      </c>
      <c r="G166" s="651">
        <f t="shared" si="150"/>
        <v>0</v>
      </c>
      <c r="H166" s="700">
        <v>0</v>
      </c>
      <c r="I166" s="700">
        <v>0</v>
      </c>
      <c r="J166" s="651">
        <f t="shared" si="151"/>
        <v>0</v>
      </c>
      <c r="K166" s="700">
        <v>0</v>
      </c>
      <c r="L166" s="700">
        <v>0</v>
      </c>
      <c r="M166" s="651">
        <f t="shared" si="152"/>
        <v>0</v>
      </c>
      <c r="N166" s="700">
        <v>0</v>
      </c>
      <c r="O166" s="700">
        <v>0</v>
      </c>
      <c r="P166" s="651">
        <f t="shared" si="153"/>
        <v>0</v>
      </c>
      <c r="Q166" s="700">
        <v>0</v>
      </c>
      <c r="R166" s="700">
        <v>0</v>
      </c>
      <c r="S166" s="651">
        <f t="shared" si="154"/>
        <v>0</v>
      </c>
      <c r="T166" s="700">
        <v>0</v>
      </c>
      <c r="U166" s="700">
        <v>0</v>
      </c>
      <c r="V166" s="651">
        <f t="shared" si="155"/>
        <v>0</v>
      </c>
      <c r="W166" s="700">
        <v>0</v>
      </c>
      <c r="X166" s="700">
        <v>0</v>
      </c>
      <c r="Y166" s="651">
        <f t="shared" si="156"/>
        <v>0</v>
      </c>
      <c r="Z166" s="700">
        <v>0</v>
      </c>
      <c r="AA166" s="700">
        <v>0</v>
      </c>
      <c r="AB166" s="651">
        <f t="shared" si="157"/>
        <v>0</v>
      </c>
      <c r="AC166" s="700">
        <v>0</v>
      </c>
      <c r="AD166" s="700">
        <v>0</v>
      </c>
      <c r="AE166" s="651">
        <f t="shared" si="158"/>
        <v>0</v>
      </c>
    </row>
    <row r="167" spans="1:31" s="434" customFormat="1" ht="23.1" hidden="1" customHeight="1" outlineLevel="3">
      <c r="A167" s="459"/>
      <c r="B167" s="457"/>
      <c r="C167" s="460">
        <v>100127652</v>
      </c>
      <c r="D167" s="701" t="s">
        <v>163</v>
      </c>
      <c r="E167" s="533">
        <v>0</v>
      </c>
      <c r="F167" s="533">
        <v>0</v>
      </c>
      <c r="G167" s="479">
        <f t="shared" si="150"/>
        <v>0</v>
      </c>
      <c r="H167" s="533">
        <v>0</v>
      </c>
      <c r="I167" s="533">
        <v>0</v>
      </c>
      <c r="J167" s="479">
        <f t="shared" si="151"/>
        <v>0</v>
      </c>
      <c r="K167" s="533">
        <v>0</v>
      </c>
      <c r="L167" s="533">
        <v>0</v>
      </c>
      <c r="M167" s="479">
        <f t="shared" si="152"/>
        <v>0</v>
      </c>
      <c r="N167" s="533">
        <v>0</v>
      </c>
      <c r="O167" s="533">
        <v>0</v>
      </c>
      <c r="P167" s="479">
        <f t="shared" si="153"/>
        <v>0</v>
      </c>
      <c r="Q167" s="533">
        <v>0</v>
      </c>
      <c r="R167" s="533">
        <v>0</v>
      </c>
      <c r="S167" s="479">
        <f t="shared" si="154"/>
        <v>0</v>
      </c>
      <c r="T167" s="533">
        <v>0</v>
      </c>
      <c r="U167" s="533">
        <v>0</v>
      </c>
      <c r="V167" s="479">
        <f t="shared" si="155"/>
        <v>0</v>
      </c>
      <c r="W167" s="533">
        <v>0</v>
      </c>
      <c r="X167" s="533">
        <v>0</v>
      </c>
      <c r="Y167" s="479">
        <f t="shared" si="156"/>
        <v>0</v>
      </c>
      <c r="Z167" s="533">
        <v>0</v>
      </c>
      <c r="AA167" s="533">
        <v>0</v>
      </c>
      <c r="AB167" s="479">
        <f t="shared" si="157"/>
        <v>0</v>
      </c>
      <c r="AC167" s="533">
        <v>0</v>
      </c>
      <c r="AD167" s="533">
        <v>0</v>
      </c>
      <c r="AE167" s="479">
        <f t="shared" si="158"/>
        <v>0</v>
      </c>
    </row>
    <row r="168" spans="1:31" s="434" customFormat="1" ht="22.5" hidden="1" customHeight="1" outlineLevel="3">
      <c r="A168" s="459"/>
      <c r="B168" s="457"/>
      <c r="C168" s="460">
        <v>100127652</v>
      </c>
      <c r="D168" s="633" t="s">
        <v>164</v>
      </c>
      <c r="E168" s="533">
        <v>0</v>
      </c>
      <c r="F168" s="533">
        <v>0</v>
      </c>
      <c r="G168" s="479">
        <f t="shared" si="150"/>
        <v>0</v>
      </c>
      <c r="H168" s="533">
        <v>0</v>
      </c>
      <c r="I168" s="533">
        <v>0</v>
      </c>
      <c r="J168" s="479">
        <f t="shared" si="151"/>
        <v>0</v>
      </c>
      <c r="K168" s="533">
        <v>0</v>
      </c>
      <c r="L168" s="533">
        <v>0</v>
      </c>
      <c r="M168" s="479">
        <f t="shared" si="152"/>
        <v>0</v>
      </c>
      <c r="N168" s="533">
        <v>0</v>
      </c>
      <c r="O168" s="533">
        <v>0</v>
      </c>
      <c r="P168" s="479">
        <f t="shared" si="153"/>
        <v>0</v>
      </c>
      <c r="Q168" s="533">
        <v>0</v>
      </c>
      <c r="R168" s="533">
        <v>0</v>
      </c>
      <c r="S168" s="479">
        <f t="shared" si="154"/>
        <v>0</v>
      </c>
      <c r="T168" s="533">
        <v>0</v>
      </c>
      <c r="U168" s="533">
        <v>0</v>
      </c>
      <c r="V168" s="479">
        <f t="shared" si="155"/>
        <v>0</v>
      </c>
      <c r="W168" s="533">
        <v>0</v>
      </c>
      <c r="X168" s="533">
        <v>0</v>
      </c>
      <c r="Y168" s="479">
        <f t="shared" si="156"/>
        <v>0</v>
      </c>
      <c r="Z168" s="533">
        <v>0</v>
      </c>
      <c r="AA168" s="533">
        <v>0</v>
      </c>
      <c r="AB168" s="479">
        <f t="shared" si="157"/>
        <v>0</v>
      </c>
      <c r="AC168" s="533">
        <v>0</v>
      </c>
      <c r="AD168" s="533">
        <v>0</v>
      </c>
      <c r="AE168" s="479">
        <f t="shared" si="158"/>
        <v>0</v>
      </c>
    </row>
    <row r="169" spans="1:31" s="434" customFormat="1" ht="22.5" hidden="1" customHeight="1" outlineLevel="3">
      <c r="A169" s="459"/>
      <c r="B169" s="457"/>
      <c r="C169" s="460">
        <v>100127652</v>
      </c>
      <c r="D169" s="633" t="s">
        <v>165</v>
      </c>
      <c r="E169" s="533">
        <v>0</v>
      </c>
      <c r="F169" s="533">
        <v>0</v>
      </c>
      <c r="G169" s="479">
        <f t="shared" si="150"/>
        <v>0</v>
      </c>
      <c r="H169" s="533">
        <v>0</v>
      </c>
      <c r="I169" s="533">
        <v>0</v>
      </c>
      <c r="J169" s="479">
        <f t="shared" si="151"/>
        <v>0</v>
      </c>
      <c r="K169" s="533">
        <v>0</v>
      </c>
      <c r="L169" s="533">
        <v>0</v>
      </c>
      <c r="M169" s="479">
        <f t="shared" si="152"/>
        <v>0</v>
      </c>
      <c r="N169" s="533">
        <v>0</v>
      </c>
      <c r="O169" s="533">
        <v>0</v>
      </c>
      <c r="P169" s="479">
        <f t="shared" si="153"/>
        <v>0</v>
      </c>
      <c r="Q169" s="533">
        <v>0</v>
      </c>
      <c r="R169" s="533">
        <v>0</v>
      </c>
      <c r="S169" s="479">
        <f t="shared" si="154"/>
        <v>0</v>
      </c>
      <c r="T169" s="533">
        <v>0</v>
      </c>
      <c r="U169" s="533">
        <v>0</v>
      </c>
      <c r="V169" s="479">
        <f t="shared" si="155"/>
        <v>0</v>
      </c>
      <c r="W169" s="533">
        <v>0</v>
      </c>
      <c r="X169" s="533">
        <v>0</v>
      </c>
      <c r="Y169" s="479">
        <f t="shared" si="156"/>
        <v>0</v>
      </c>
      <c r="Z169" s="533">
        <v>0</v>
      </c>
      <c r="AA169" s="533">
        <v>0</v>
      </c>
      <c r="AB169" s="479">
        <f t="shared" si="157"/>
        <v>0</v>
      </c>
      <c r="AC169" s="533">
        <v>0</v>
      </c>
      <c r="AD169" s="533">
        <v>0</v>
      </c>
      <c r="AE169" s="479">
        <f t="shared" si="158"/>
        <v>0</v>
      </c>
    </row>
    <row r="170" spans="1:31" s="434" customFormat="1" ht="22.5" hidden="1" customHeight="1" outlineLevel="3">
      <c r="A170" s="459"/>
      <c r="B170" s="457"/>
      <c r="C170" s="460">
        <v>100127652</v>
      </c>
      <c r="D170" s="633" t="s">
        <v>160</v>
      </c>
      <c r="E170" s="533">
        <v>0</v>
      </c>
      <c r="F170" s="533">
        <v>0</v>
      </c>
      <c r="G170" s="479">
        <f t="shared" si="150"/>
        <v>0</v>
      </c>
      <c r="H170" s="533">
        <v>0</v>
      </c>
      <c r="I170" s="533">
        <v>0</v>
      </c>
      <c r="J170" s="479">
        <f t="shared" si="151"/>
        <v>0</v>
      </c>
      <c r="K170" s="533">
        <v>0</v>
      </c>
      <c r="L170" s="533">
        <v>0</v>
      </c>
      <c r="M170" s="479">
        <f t="shared" si="152"/>
        <v>0</v>
      </c>
      <c r="N170" s="533">
        <v>0</v>
      </c>
      <c r="O170" s="533">
        <v>0</v>
      </c>
      <c r="P170" s="479">
        <f t="shared" si="153"/>
        <v>0</v>
      </c>
      <c r="Q170" s="533">
        <v>0</v>
      </c>
      <c r="R170" s="533">
        <v>0</v>
      </c>
      <c r="S170" s="479">
        <f t="shared" si="154"/>
        <v>0</v>
      </c>
      <c r="T170" s="533">
        <v>0</v>
      </c>
      <c r="U170" s="533">
        <v>0</v>
      </c>
      <c r="V170" s="479">
        <f t="shared" si="155"/>
        <v>0</v>
      </c>
      <c r="W170" s="533">
        <v>0</v>
      </c>
      <c r="X170" s="533">
        <v>0</v>
      </c>
      <c r="Y170" s="479">
        <f t="shared" si="156"/>
        <v>0</v>
      </c>
      <c r="Z170" s="533">
        <v>0</v>
      </c>
      <c r="AA170" s="533">
        <v>0</v>
      </c>
      <c r="AB170" s="479">
        <f t="shared" si="157"/>
        <v>0</v>
      </c>
      <c r="AC170" s="533">
        <v>0</v>
      </c>
      <c r="AD170" s="533">
        <v>0</v>
      </c>
      <c r="AE170" s="479">
        <f t="shared" si="158"/>
        <v>0</v>
      </c>
    </row>
    <row r="171" spans="1:31" s="434" customFormat="1" ht="23.1" hidden="1" customHeight="1" outlineLevel="3">
      <c r="A171" s="459"/>
      <c r="B171" s="461"/>
      <c r="C171" s="460">
        <v>100127652</v>
      </c>
      <c r="D171" s="699" t="s">
        <v>161</v>
      </c>
      <c r="E171" s="533">
        <v>0</v>
      </c>
      <c r="F171" s="533">
        <v>0</v>
      </c>
      <c r="G171" s="479">
        <f t="shared" si="150"/>
        <v>0</v>
      </c>
      <c r="H171" s="533">
        <v>0</v>
      </c>
      <c r="I171" s="533">
        <v>0</v>
      </c>
      <c r="J171" s="479">
        <f t="shared" si="151"/>
        <v>0</v>
      </c>
      <c r="K171" s="533">
        <v>0</v>
      </c>
      <c r="L171" s="533">
        <v>0</v>
      </c>
      <c r="M171" s="479">
        <f t="shared" si="152"/>
        <v>0</v>
      </c>
      <c r="N171" s="533">
        <v>0</v>
      </c>
      <c r="O171" s="533">
        <v>0</v>
      </c>
      <c r="P171" s="479">
        <f t="shared" si="153"/>
        <v>0</v>
      </c>
      <c r="Q171" s="533">
        <v>0</v>
      </c>
      <c r="R171" s="533">
        <v>0</v>
      </c>
      <c r="S171" s="479">
        <f t="shared" si="154"/>
        <v>0</v>
      </c>
      <c r="T171" s="533">
        <v>0</v>
      </c>
      <c r="U171" s="533">
        <v>0</v>
      </c>
      <c r="V171" s="479">
        <f t="shared" si="155"/>
        <v>0</v>
      </c>
      <c r="W171" s="533">
        <v>0</v>
      </c>
      <c r="X171" s="533">
        <v>0</v>
      </c>
      <c r="Y171" s="479">
        <f t="shared" si="156"/>
        <v>0</v>
      </c>
      <c r="Z171" s="533">
        <v>0</v>
      </c>
      <c r="AA171" s="533">
        <v>0</v>
      </c>
      <c r="AB171" s="479">
        <f t="shared" si="157"/>
        <v>0</v>
      </c>
      <c r="AC171" s="533">
        <v>0</v>
      </c>
      <c r="AD171" s="533">
        <v>0</v>
      </c>
      <c r="AE171" s="479">
        <f t="shared" si="158"/>
        <v>0</v>
      </c>
    </row>
    <row r="172" spans="1:31" ht="23.1" hidden="1" customHeight="1" outlineLevel="3">
      <c r="A172" s="456"/>
      <c r="B172" s="462" t="s">
        <v>153</v>
      </c>
      <c r="C172" s="458">
        <v>100127652</v>
      </c>
      <c r="D172" s="633" t="s">
        <v>151</v>
      </c>
      <c r="E172" s="700">
        <v>0</v>
      </c>
      <c r="F172" s="700">
        <v>0</v>
      </c>
      <c r="G172" s="650">
        <f t="shared" si="150"/>
        <v>0</v>
      </c>
      <c r="H172" s="700">
        <v>0</v>
      </c>
      <c r="I172" s="700">
        <v>0</v>
      </c>
      <c r="J172" s="650">
        <f t="shared" si="151"/>
        <v>0</v>
      </c>
      <c r="K172" s="700">
        <v>0</v>
      </c>
      <c r="L172" s="700">
        <v>0</v>
      </c>
      <c r="M172" s="650">
        <f t="shared" si="152"/>
        <v>0</v>
      </c>
      <c r="N172" s="700">
        <v>0</v>
      </c>
      <c r="O172" s="700">
        <v>0</v>
      </c>
      <c r="P172" s="650">
        <f t="shared" si="153"/>
        <v>0</v>
      </c>
      <c r="Q172" s="700">
        <v>0</v>
      </c>
      <c r="R172" s="700">
        <v>0</v>
      </c>
      <c r="S172" s="650">
        <f t="shared" si="154"/>
        <v>0</v>
      </c>
      <c r="T172" s="700">
        <v>0</v>
      </c>
      <c r="U172" s="700">
        <v>0</v>
      </c>
      <c r="V172" s="650">
        <f t="shared" si="155"/>
        <v>0</v>
      </c>
      <c r="W172" s="700">
        <v>0</v>
      </c>
      <c r="X172" s="700">
        <v>0</v>
      </c>
      <c r="Y172" s="650">
        <f t="shared" si="156"/>
        <v>0</v>
      </c>
      <c r="Z172" s="700">
        <v>0</v>
      </c>
      <c r="AA172" s="700">
        <v>0</v>
      </c>
      <c r="AB172" s="650">
        <f t="shared" si="157"/>
        <v>0</v>
      </c>
      <c r="AC172" s="700">
        <v>0</v>
      </c>
      <c r="AD172" s="700">
        <v>0</v>
      </c>
      <c r="AE172" s="650">
        <f t="shared" si="158"/>
        <v>0</v>
      </c>
    </row>
    <row r="173" spans="1:31" ht="23.1" hidden="1" customHeight="1" outlineLevel="3">
      <c r="A173" s="456"/>
      <c r="B173" s="457" t="s">
        <v>154</v>
      </c>
      <c r="C173" s="458">
        <v>100127652</v>
      </c>
      <c r="D173" s="632" t="s">
        <v>158</v>
      </c>
      <c r="E173" s="533">
        <v>0</v>
      </c>
      <c r="F173" s="533">
        <v>0</v>
      </c>
      <c r="G173" s="479">
        <f t="shared" si="150"/>
        <v>0</v>
      </c>
      <c r="H173" s="533">
        <v>0</v>
      </c>
      <c r="I173" s="533">
        <v>0</v>
      </c>
      <c r="J173" s="479">
        <f t="shared" si="151"/>
        <v>0</v>
      </c>
      <c r="K173" s="533">
        <v>0</v>
      </c>
      <c r="L173" s="533">
        <v>0</v>
      </c>
      <c r="M173" s="479">
        <f t="shared" si="152"/>
        <v>0</v>
      </c>
      <c r="N173" s="533">
        <v>0</v>
      </c>
      <c r="O173" s="533">
        <v>0</v>
      </c>
      <c r="P173" s="479">
        <f t="shared" si="153"/>
        <v>0</v>
      </c>
      <c r="Q173" s="533">
        <v>0</v>
      </c>
      <c r="R173" s="533">
        <v>0</v>
      </c>
      <c r="S173" s="479">
        <f t="shared" si="154"/>
        <v>0</v>
      </c>
      <c r="T173" s="533">
        <v>0</v>
      </c>
      <c r="U173" s="533">
        <v>0</v>
      </c>
      <c r="V173" s="479">
        <f t="shared" si="155"/>
        <v>0</v>
      </c>
      <c r="W173" s="533">
        <v>0</v>
      </c>
      <c r="X173" s="533">
        <v>0</v>
      </c>
      <c r="Y173" s="479">
        <f t="shared" si="156"/>
        <v>0</v>
      </c>
      <c r="Z173" s="533">
        <v>0</v>
      </c>
      <c r="AA173" s="533">
        <v>0</v>
      </c>
      <c r="AB173" s="479">
        <f t="shared" si="157"/>
        <v>0</v>
      </c>
      <c r="AC173" s="533">
        <v>0</v>
      </c>
      <c r="AD173" s="533">
        <v>0</v>
      </c>
      <c r="AE173" s="479">
        <f t="shared" si="158"/>
        <v>0</v>
      </c>
    </row>
    <row r="174" spans="1:31" ht="23.1" hidden="1" customHeight="1" outlineLevel="3">
      <c r="A174" s="456"/>
      <c r="B174" s="461"/>
      <c r="C174" s="458">
        <v>100127652</v>
      </c>
      <c r="D174" s="633" t="s">
        <v>159</v>
      </c>
      <c r="E174" s="679">
        <v>0</v>
      </c>
      <c r="F174" s="679">
        <v>0</v>
      </c>
      <c r="G174" s="479">
        <f t="shared" si="150"/>
        <v>0</v>
      </c>
      <c r="H174" s="679">
        <v>0</v>
      </c>
      <c r="I174" s="679">
        <v>0</v>
      </c>
      <c r="J174" s="479">
        <f t="shared" si="151"/>
        <v>0</v>
      </c>
      <c r="K174" s="679">
        <v>0</v>
      </c>
      <c r="L174" s="679">
        <v>0</v>
      </c>
      <c r="M174" s="479">
        <f t="shared" si="152"/>
        <v>0</v>
      </c>
      <c r="N174" s="679">
        <v>0</v>
      </c>
      <c r="O174" s="679">
        <v>0</v>
      </c>
      <c r="P174" s="479">
        <f t="shared" si="153"/>
        <v>0</v>
      </c>
      <c r="Q174" s="679">
        <v>0</v>
      </c>
      <c r="R174" s="679">
        <v>0</v>
      </c>
      <c r="S174" s="479">
        <f t="shared" si="154"/>
        <v>0</v>
      </c>
      <c r="T174" s="679">
        <v>0</v>
      </c>
      <c r="U174" s="679">
        <v>0</v>
      </c>
      <c r="V174" s="479">
        <f t="shared" si="155"/>
        <v>0</v>
      </c>
      <c r="W174" s="679">
        <v>0</v>
      </c>
      <c r="X174" s="679">
        <v>0</v>
      </c>
      <c r="Y174" s="479">
        <f t="shared" si="156"/>
        <v>0</v>
      </c>
      <c r="Z174" s="679">
        <v>0</v>
      </c>
      <c r="AA174" s="679">
        <v>0</v>
      </c>
      <c r="AB174" s="479">
        <f t="shared" si="157"/>
        <v>0</v>
      </c>
      <c r="AC174" s="679">
        <v>0</v>
      </c>
      <c r="AD174" s="679">
        <v>0</v>
      </c>
      <c r="AE174" s="479">
        <f t="shared" si="158"/>
        <v>0</v>
      </c>
    </row>
    <row r="175" spans="1:31" ht="23.1" hidden="1" customHeight="1" outlineLevel="3">
      <c r="A175" s="456"/>
      <c r="B175" s="457" t="s">
        <v>157</v>
      </c>
      <c r="C175" s="458">
        <v>100127652</v>
      </c>
      <c r="D175" s="633" t="s">
        <v>166</v>
      </c>
      <c r="E175" s="702">
        <v>0</v>
      </c>
      <c r="F175" s="702">
        <v>0</v>
      </c>
      <c r="G175" s="479">
        <f t="shared" si="150"/>
        <v>0</v>
      </c>
      <c r="H175" s="702">
        <v>0</v>
      </c>
      <c r="I175" s="702">
        <v>0</v>
      </c>
      <c r="J175" s="479">
        <f t="shared" si="151"/>
        <v>0</v>
      </c>
      <c r="K175" s="702">
        <v>0</v>
      </c>
      <c r="L175" s="702">
        <v>0</v>
      </c>
      <c r="M175" s="479">
        <f t="shared" si="152"/>
        <v>0</v>
      </c>
      <c r="N175" s="702">
        <v>0</v>
      </c>
      <c r="O175" s="702">
        <v>0</v>
      </c>
      <c r="P175" s="479">
        <f t="shared" si="153"/>
        <v>0</v>
      </c>
      <c r="Q175" s="702">
        <v>0</v>
      </c>
      <c r="R175" s="702">
        <v>0</v>
      </c>
      <c r="S175" s="479">
        <f t="shared" si="154"/>
        <v>0</v>
      </c>
      <c r="T175" s="702">
        <v>0</v>
      </c>
      <c r="U175" s="702">
        <v>0</v>
      </c>
      <c r="V175" s="479">
        <f t="shared" si="155"/>
        <v>0</v>
      </c>
      <c r="W175" s="702">
        <v>0</v>
      </c>
      <c r="X175" s="702">
        <v>0</v>
      </c>
      <c r="Y175" s="479">
        <f t="shared" si="156"/>
        <v>0</v>
      </c>
      <c r="Z175" s="702">
        <v>0</v>
      </c>
      <c r="AA175" s="702">
        <v>0</v>
      </c>
      <c r="AB175" s="479">
        <f t="shared" si="157"/>
        <v>0</v>
      </c>
      <c r="AC175" s="702">
        <v>0</v>
      </c>
      <c r="AD175" s="702">
        <v>0</v>
      </c>
      <c r="AE175" s="479">
        <f t="shared" si="158"/>
        <v>0</v>
      </c>
    </row>
    <row r="176" spans="1:31" ht="23.1" hidden="1" customHeight="1" outlineLevel="3">
      <c r="A176" s="456"/>
      <c r="B176" s="457"/>
      <c r="C176" s="458">
        <v>100127652</v>
      </c>
      <c r="D176" s="633" t="s">
        <v>167</v>
      </c>
      <c r="E176" s="702">
        <v>0</v>
      </c>
      <c r="F176" s="702">
        <v>0</v>
      </c>
      <c r="G176" s="479">
        <f t="shared" si="150"/>
        <v>0</v>
      </c>
      <c r="H176" s="702">
        <v>0</v>
      </c>
      <c r="I176" s="702">
        <v>0</v>
      </c>
      <c r="J176" s="479">
        <f t="shared" si="151"/>
        <v>0</v>
      </c>
      <c r="K176" s="702">
        <v>0</v>
      </c>
      <c r="L176" s="702">
        <v>0</v>
      </c>
      <c r="M176" s="479">
        <f t="shared" si="152"/>
        <v>0</v>
      </c>
      <c r="N176" s="702">
        <v>0</v>
      </c>
      <c r="O176" s="702">
        <v>0</v>
      </c>
      <c r="P176" s="479">
        <f t="shared" si="153"/>
        <v>0</v>
      </c>
      <c r="Q176" s="702">
        <v>0</v>
      </c>
      <c r="R176" s="702">
        <v>0</v>
      </c>
      <c r="S176" s="479">
        <f t="shared" si="154"/>
        <v>0</v>
      </c>
      <c r="T176" s="702">
        <v>0</v>
      </c>
      <c r="U176" s="702">
        <v>0</v>
      </c>
      <c r="V176" s="479">
        <f t="shared" si="155"/>
        <v>0</v>
      </c>
      <c r="W176" s="702">
        <v>0</v>
      </c>
      <c r="X176" s="702">
        <v>0</v>
      </c>
      <c r="Y176" s="479">
        <f t="shared" si="156"/>
        <v>0</v>
      </c>
      <c r="Z176" s="702">
        <v>0</v>
      </c>
      <c r="AA176" s="702">
        <v>0</v>
      </c>
      <c r="AB176" s="479">
        <f t="shared" si="157"/>
        <v>0</v>
      </c>
      <c r="AC176" s="702">
        <v>0</v>
      </c>
      <c r="AD176" s="702">
        <v>0</v>
      </c>
      <c r="AE176" s="479">
        <f t="shared" si="158"/>
        <v>0</v>
      </c>
    </row>
    <row r="177" spans="1:31" ht="23.1" hidden="1" customHeight="1" outlineLevel="3">
      <c r="A177" s="456"/>
      <c r="B177" s="461"/>
      <c r="C177" s="458">
        <v>100127652</v>
      </c>
      <c r="D177" s="632" t="s">
        <v>156</v>
      </c>
      <c r="E177" s="681">
        <v>0</v>
      </c>
      <c r="F177" s="681">
        <v>0</v>
      </c>
      <c r="G177" s="651">
        <f t="shared" si="150"/>
        <v>0</v>
      </c>
      <c r="H177" s="681">
        <v>0</v>
      </c>
      <c r="I177" s="681">
        <v>0</v>
      </c>
      <c r="J177" s="651">
        <f t="shared" si="151"/>
        <v>0</v>
      </c>
      <c r="K177" s="681">
        <v>0</v>
      </c>
      <c r="L177" s="681">
        <v>0</v>
      </c>
      <c r="M177" s="651">
        <f t="shared" si="152"/>
        <v>0</v>
      </c>
      <c r="N177" s="681">
        <v>0</v>
      </c>
      <c r="O177" s="681">
        <v>0</v>
      </c>
      <c r="P177" s="651">
        <f t="shared" si="153"/>
        <v>0</v>
      </c>
      <c r="Q177" s="681">
        <v>0</v>
      </c>
      <c r="R177" s="681">
        <v>0</v>
      </c>
      <c r="S177" s="651">
        <f t="shared" si="154"/>
        <v>0</v>
      </c>
      <c r="T177" s="681">
        <v>0</v>
      </c>
      <c r="U177" s="681">
        <v>0</v>
      </c>
      <c r="V177" s="651">
        <f t="shared" si="155"/>
        <v>0</v>
      </c>
      <c r="W177" s="681">
        <v>0</v>
      </c>
      <c r="X177" s="681">
        <v>0</v>
      </c>
      <c r="Y177" s="651">
        <f t="shared" si="156"/>
        <v>0</v>
      </c>
      <c r="Z177" s="681">
        <v>0</v>
      </c>
      <c r="AA177" s="681">
        <v>0</v>
      </c>
      <c r="AB177" s="651">
        <f t="shared" si="157"/>
        <v>0</v>
      </c>
      <c r="AC177" s="681">
        <v>0</v>
      </c>
      <c r="AD177" s="681">
        <v>0</v>
      </c>
      <c r="AE177" s="651">
        <f t="shared" si="158"/>
        <v>0</v>
      </c>
    </row>
    <row r="178" spans="1:31" ht="23.1" hidden="1" customHeight="1" outlineLevel="3" thickBot="1">
      <c r="A178" s="456"/>
      <c r="B178" s="461" t="s">
        <v>171</v>
      </c>
      <c r="C178" s="458">
        <v>100127652</v>
      </c>
      <c r="D178" s="632" t="s">
        <v>189</v>
      </c>
      <c r="E178" s="649">
        <v>0</v>
      </c>
      <c r="F178" s="649">
        <v>0</v>
      </c>
      <c r="G178" s="580">
        <f t="shared" si="150"/>
        <v>0</v>
      </c>
      <c r="H178" s="649">
        <v>0</v>
      </c>
      <c r="I178" s="649">
        <v>0</v>
      </c>
      <c r="J178" s="580">
        <f t="shared" si="151"/>
        <v>0</v>
      </c>
      <c r="K178" s="649">
        <v>0</v>
      </c>
      <c r="L178" s="649">
        <v>0</v>
      </c>
      <c r="M178" s="580">
        <f t="shared" si="152"/>
        <v>0</v>
      </c>
      <c r="N178" s="649">
        <v>0</v>
      </c>
      <c r="O178" s="649">
        <v>0</v>
      </c>
      <c r="P178" s="580">
        <f t="shared" si="153"/>
        <v>0</v>
      </c>
      <c r="Q178" s="649">
        <v>0</v>
      </c>
      <c r="R178" s="649">
        <v>0</v>
      </c>
      <c r="S178" s="580">
        <f t="shared" si="154"/>
        <v>0</v>
      </c>
      <c r="T178" s="649">
        <v>0</v>
      </c>
      <c r="U178" s="649">
        <v>0</v>
      </c>
      <c r="V178" s="580">
        <f t="shared" si="155"/>
        <v>0</v>
      </c>
      <c r="W178" s="649">
        <v>0</v>
      </c>
      <c r="X178" s="649">
        <v>0</v>
      </c>
      <c r="Y178" s="580">
        <f t="shared" si="156"/>
        <v>0</v>
      </c>
      <c r="Z178" s="649">
        <v>0</v>
      </c>
      <c r="AA178" s="649">
        <v>0</v>
      </c>
      <c r="AB178" s="580">
        <f t="shared" si="157"/>
        <v>0</v>
      </c>
      <c r="AC178" s="649">
        <v>0</v>
      </c>
      <c r="AD178" s="649">
        <v>0</v>
      </c>
      <c r="AE178" s="580">
        <f t="shared" si="158"/>
        <v>0</v>
      </c>
    </row>
    <row r="179" spans="1:31" ht="23.1" hidden="1" customHeight="1" outlineLevel="3" thickBot="1">
      <c r="A179" s="456"/>
      <c r="B179" s="461" t="s">
        <v>172</v>
      </c>
      <c r="C179" s="458">
        <v>100127652</v>
      </c>
      <c r="D179" s="632" t="s">
        <v>190</v>
      </c>
      <c r="E179" s="610">
        <v>0</v>
      </c>
      <c r="F179" s="610">
        <v>0</v>
      </c>
      <c r="G179" s="650">
        <f t="shared" si="150"/>
        <v>0</v>
      </c>
      <c r="H179" s="610">
        <v>0</v>
      </c>
      <c r="I179" s="610">
        <v>0</v>
      </c>
      <c r="J179" s="650">
        <f t="shared" si="151"/>
        <v>0</v>
      </c>
      <c r="K179" s="610">
        <v>0</v>
      </c>
      <c r="L179" s="610">
        <v>0</v>
      </c>
      <c r="M179" s="650">
        <f t="shared" si="152"/>
        <v>0</v>
      </c>
      <c r="N179" s="610">
        <v>0</v>
      </c>
      <c r="O179" s="610">
        <v>0</v>
      </c>
      <c r="P179" s="650">
        <f t="shared" si="153"/>
        <v>0</v>
      </c>
      <c r="Q179" s="610">
        <v>0</v>
      </c>
      <c r="R179" s="610">
        <v>0</v>
      </c>
      <c r="S179" s="650">
        <f t="shared" si="154"/>
        <v>0</v>
      </c>
      <c r="T179" s="610">
        <v>0</v>
      </c>
      <c r="U179" s="610">
        <v>0</v>
      </c>
      <c r="V179" s="650">
        <f t="shared" si="155"/>
        <v>0</v>
      </c>
      <c r="W179" s="610">
        <v>0</v>
      </c>
      <c r="X179" s="610">
        <v>0</v>
      </c>
      <c r="Y179" s="650">
        <f t="shared" si="156"/>
        <v>0</v>
      </c>
      <c r="Z179" s="610">
        <v>0</v>
      </c>
      <c r="AA179" s="610">
        <v>0</v>
      </c>
      <c r="AB179" s="650">
        <f t="shared" si="157"/>
        <v>0</v>
      </c>
      <c r="AC179" s="610">
        <v>0</v>
      </c>
      <c r="AD179" s="610">
        <v>0</v>
      </c>
      <c r="AE179" s="650">
        <f t="shared" si="158"/>
        <v>0</v>
      </c>
    </row>
    <row r="180" spans="1:31" ht="23.1" hidden="1" customHeight="1" outlineLevel="3" thickBot="1">
      <c r="A180" s="456"/>
      <c r="B180" s="461" t="s">
        <v>173</v>
      </c>
      <c r="C180" s="458">
        <v>100127652</v>
      </c>
      <c r="D180" s="632" t="s">
        <v>191</v>
      </c>
      <c r="E180" s="649">
        <v>0</v>
      </c>
      <c r="F180" s="649">
        <v>0</v>
      </c>
      <c r="G180" s="580">
        <f t="shared" si="150"/>
        <v>0</v>
      </c>
      <c r="H180" s="649">
        <v>0</v>
      </c>
      <c r="I180" s="649">
        <v>0</v>
      </c>
      <c r="J180" s="580">
        <f t="shared" si="151"/>
        <v>0</v>
      </c>
      <c r="K180" s="649">
        <v>0</v>
      </c>
      <c r="L180" s="649">
        <v>0</v>
      </c>
      <c r="M180" s="580">
        <f t="shared" si="152"/>
        <v>0</v>
      </c>
      <c r="N180" s="649">
        <v>0</v>
      </c>
      <c r="O180" s="649">
        <v>0</v>
      </c>
      <c r="P180" s="580">
        <f t="shared" si="153"/>
        <v>0</v>
      </c>
      <c r="Q180" s="649">
        <v>0</v>
      </c>
      <c r="R180" s="649">
        <v>0</v>
      </c>
      <c r="S180" s="580">
        <f t="shared" si="154"/>
        <v>0</v>
      </c>
      <c r="T180" s="649">
        <v>0</v>
      </c>
      <c r="U180" s="649">
        <v>0</v>
      </c>
      <c r="V180" s="580">
        <f t="shared" si="155"/>
        <v>0</v>
      </c>
      <c r="W180" s="649">
        <v>0</v>
      </c>
      <c r="X180" s="649">
        <v>0</v>
      </c>
      <c r="Y180" s="580">
        <f t="shared" si="156"/>
        <v>0</v>
      </c>
      <c r="Z180" s="649">
        <v>0</v>
      </c>
      <c r="AA180" s="649">
        <v>0</v>
      </c>
      <c r="AB180" s="580">
        <f t="shared" si="157"/>
        <v>0</v>
      </c>
      <c r="AC180" s="649">
        <v>0</v>
      </c>
      <c r="AD180" s="649">
        <v>0</v>
      </c>
      <c r="AE180" s="580">
        <f t="shared" si="158"/>
        <v>0</v>
      </c>
    </row>
    <row r="181" spans="1:31" ht="23.1" hidden="1" customHeight="1" outlineLevel="3" thickBot="1">
      <c r="A181" s="456"/>
      <c r="B181" s="461" t="s">
        <v>174</v>
      </c>
      <c r="C181" s="458">
        <v>100127652</v>
      </c>
      <c r="D181" s="632" t="s">
        <v>192</v>
      </c>
      <c r="E181" s="610">
        <v>0</v>
      </c>
      <c r="F181" s="610">
        <v>0</v>
      </c>
      <c r="G181" s="650">
        <f t="shared" si="150"/>
        <v>0</v>
      </c>
      <c r="H181" s="610">
        <v>0</v>
      </c>
      <c r="I181" s="610">
        <v>0</v>
      </c>
      <c r="J181" s="650">
        <f t="shared" si="151"/>
        <v>0</v>
      </c>
      <c r="K181" s="610">
        <v>0</v>
      </c>
      <c r="L181" s="610">
        <v>0</v>
      </c>
      <c r="M181" s="650">
        <f t="shared" si="152"/>
        <v>0</v>
      </c>
      <c r="N181" s="610">
        <v>0</v>
      </c>
      <c r="O181" s="610">
        <v>0</v>
      </c>
      <c r="P181" s="650">
        <f t="shared" si="153"/>
        <v>0</v>
      </c>
      <c r="Q181" s="610">
        <v>0</v>
      </c>
      <c r="R181" s="610">
        <v>0</v>
      </c>
      <c r="S181" s="650">
        <f t="shared" si="154"/>
        <v>0</v>
      </c>
      <c r="T181" s="610">
        <v>0</v>
      </c>
      <c r="U181" s="610">
        <v>0</v>
      </c>
      <c r="V181" s="650">
        <f t="shared" si="155"/>
        <v>0</v>
      </c>
      <c r="W181" s="610">
        <v>0</v>
      </c>
      <c r="X181" s="610">
        <v>0</v>
      </c>
      <c r="Y181" s="650">
        <f t="shared" si="156"/>
        <v>0</v>
      </c>
      <c r="Z181" s="610">
        <v>0</v>
      </c>
      <c r="AA181" s="610">
        <v>0</v>
      </c>
      <c r="AB181" s="650">
        <f t="shared" si="157"/>
        <v>0</v>
      </c>
      <c r="AC181" s="610">
        <v>0</v>
      </c>
      <c r="AD181" s="610">
        <v>0</v>
      </c>
      <c r="AE181" s="650">
        <f t="shared" si="158"/>
        <v>0</v>
      </c>
    </row>
    <row r="182" spans="1:31" ht="23.1" hidden="1" customHeight="1" outlineLevel="3" thickBot="1">
      <c r="A182" s="456"/>
      <c r="B182" s="464" t="s">
        <v>175</v>
      </c>
      <c r="C182" s="458">
        <v>100127652</v>
      </c>
      <c r="D182" s="632" t="s">
        <v>193</v>
      </c>
      <c r="E182" s="649">
        <v>0</v>
      </c>
      <c r="F182" s="649">
        <v>0</v>
      </c>
      <c r="G182" s="580">
        <f t="shared" si="150"/>
        <v>0</v>
      </c>
      <c r="H182" s="649">
        <v>0</v>
      </c>
      <c r="I182" s="649">
        <v>0</v>
      </c>
      <c r="J182" s="580">
        <f t="shared" si="151"/>
        <v>0</v>
      </c>
      <c r="K182" s="649">
        <v>0</v>
      </c>
      <c r="L182" s="649">
        <v>0</v>
      </c>
      <c r="M182" s="580">
        <f t="shared" si="152"/>
        <v>0</v>
      </c>
      <c r="N182" s="649">
        <v>0</v>
      </c>
      <c r="O182" s="649">
        <v>0</v>
      </c>
      <c r="P182" s="580">
        <f t="shared" si="153"/>
        <v>0</v>
      </c>
      <c r="Q182" s="649">
        <v>0</v>
      </c>
      <c r="R182" s="649">
        <v>0</v>
      </c>
      <c r="S182" s="580">
        <f t="shared" si="154"/>
        <v>0</v>
      </c>
      <c r="T182" s="649">
        <v>0</v>
      </c>
      <c r="U182" s="649">
        <v>0</v>
      </c>
      <c r="V182" s="580">
        <f t="shared" si="155"/>
        <v>0</v>
      </c>
      <c r="W182" s="649">
        <v>0</v>
      </c>
      <c r="X182" s="649">
        <v>0</v>
      </c>
      <c r="Y182" s="580">
        <f t="shared" si="156"/>
        <v>0</v>
      </c>
      <c r="Z182" s="649">
        <v>0</v>
      </c>
      <c r="AA182" s="649">
        <v>0</v>
      </c>
      <c r="AB182" s="580">
        <f t="shared" si="157"/>
        <v>0</v>
      </c>
      <c r="AC182" s="649">
        <v>0</v>
      </c>
      <c r="AD182" s="649">
        <v>0</v>
      </c>
      <c r="AE182" s="580">
        <f t="shared" si="158"/>
        <v>0</v>
      </c>
    </row>
    <row r="183" spans="1:31" ht="23.1" hidden="1" customHeight="1" outlineLevel="3" thickBot="1">
      <c r="A183" s="456"/>
      <c r="B183" s="464" t="s">
        <v>176</v>
      </c>
      <c r="C183" s="458">
        <v>100127652</v>
      </c>
      <c r="D183" s="632" t="s">
        <v>194</v>
      </c>
      <c r="E183" s="649">
        <v>0</v>
      </c>
      <c r="F183" s="649">
        <v>0</v>
      </c>
      <c r="G183" s="580">
        <f t="shared" si="150"/>
        <v>0</v>
      </c>
      <c r="H183" s="649">
        <v>0</v>
      </c>
      <c r="I183" s="649">
        <v>0</v>
      </c>
      <c r="J183" s="580">
        <f t="shared" si="151"/>
        <v>0</v>
      </c>
      <c r="K183" s="649">
        <v>0</v>
      </c>
      <c r="L183" s="649">
        <v>0</v>
      </c>
      <c r="M183" s="580">
        <f t="shared" si="152"/>
        <v>0</v>
      </c>
      <c r="N183" s="649">
        <v>0</v>
      </c>
      <c r="O183" s="649">
        <v>0</v>
      </c>
      <c r="P183" s="580">
        <f t="shared" si="153"/>
        <v>0</v>
      </c>
      <c r="Q183" s="649">
        <v>0</v>
      </c>
      <c r="R183" s="649">
        <v>0</v>
      </c>
      <c r="S183" s="580">
        <f t="shared" si="154"/>
        <v>0</v>
      </c>
      <c r="T183" s="649">
        <v>0</v>
      </c>
      <c r="U183" s="649">
        <v>0</v>
      </c>
      <c r="V183" s="580">
        <f t="shared" si="155"/>
        <v>0</v>
      </c>
      <c r="W183" s="649">
        <v>0</v>
      </c>
      <c r="X183" s="649">
        <v>0</v>
      </c>
      <c r="Y183" s="580">
        <f t="shared" si="156"/>
        <v>0</v>
      </c>
      <c r="Z183" s="649">
        <v>0</v>
      </c>
      <c r="AA183" s="649">
        <v>0</v>
      </c>
      <c r="AB183" s="580">
        <f t="shared" si="157"/>
        <v>0</v>
      </c>
      <c r="AC183" s="649">
        <v>0</v>
      </c>
      <c r="AD183" s="649">
        <v>0</v>
      </c>
      <c r="AE183" s="580">
        <f t="shared" si="158"/>
        <v>0</v>
      </c>
    </row>
    <row r="184" spans="1:31" ht="23.1" hidden="1" customHeight="1" outlineLevel="3" thickBot="1">
      <c r="A184" s="456"/>
      <c r="B184" s="464" t="s">
        <v>177</v>
      </c>
      <c r="C184" s="458">
        <v>100127652</v>
      </c>
      <c r="D184" s="632" t="s">
        <v>195</v>
      </c>
      <c r="E184" s="610">
        <v>0</v>
      </c>
      <c r="F184" s="610">
        <v>0</v>
      </c>
      <c r="G184" s="650">
        <f t="shared" si="150"/>
        <v>0</v>
      </c>
      <c r="H184" s="610">
        <v>0</v>
      </c>
      <c r="I184" s="610">
        <v>0</v>
      </c>
      <c r="J184" s="650">
        <f t="shared" si="151"/>
        <v>0</v>
      </c>
      <c r="K184" s="610">
        <v>0</v>
      </c>
      <c r="L184" s="610">
        <v>0</v>
      </c>
      <c r="M184" s="650">
        <f t="shared" si="152"/>
        <v>0</v>
      </c>
      <c r="N184" s="610">
        <v>0</v>
      </c>
      <c r="O184" s="610">
        <v>0</v>
      </c>
      <c r="P184" s="650">
        <f t="shared" si="153"/>
        <v>0</v>
      </c>
      <c r="Q184" s="610">
        <v>0</v>
      </c>
      <c r="R184" s="610">
        <v>0</v>
      </c>
      <c r="S184" s="650">
        <f t="shared" si="154"/>
        <v>0</v>
      </c>
      <c r="T184" s="610">
        <v>0</v>
      </c>
      <c r="U184" s="610">
        <v>0</v>
      </c>
      <c r="V184" s="650">
        <f t="shared" si="155"/>
        <v>0</v>
      </c>
      <c r="W184" s="610">
        <v>0</v>
      </c>
      <c r="X184" s="610">
        <v>0</v>
      </c>
      <c r="Y184" s="650">
        <f t="shared" si="156"/>
        <v>0</v>
      </c>
      <c r="Z184" s="610">
        <v>0</v>
      </c>
      <c r="AA184" s="610">
        <v>0</v>
      </c>
      <c r="AB184" s="650">
        <f t="shared" si="157"/>
        <v>0</v>
      </c>
      <c r="AC184" s="610">
        <v>0</v>
      </c>
      <c r="AD184" s="610">
        <v>0</v>
      </c>
      <c r="AE184" s="650">
        <f t="shared" si="158"/>
        <v>0</v>
      </c>
    </row>
    <row r="185" spans="1:31" ht="23.1" hidden="1" customHeight="1" outlineLevel="3" thickBot="1">
      <c r="A185" s="456"/>
      <c r="B185" s="464" t="s">
        <v>178</v>
      </c>
      <c r="C185" s="458">
        <v>100127652</v>
      </c>
      <c r="D185" s="632" t="s">
        <v>196</v>
      </c>
      <c r="E185" s="649">
        <v>0</v>
      </c>
      <c r="F185" s="649">
        <v>0</v>
      </c>
      <c r="G185" s="580">
        <f t="shared" si="150"/>
        <v>0</v>
      </c>
      <c r="H185" s="649">
        <v>0</v>
      </c>
      <c r="I185" s="649">
        <v>0</v>
      </c>
      <c r="J185" s="580">
        <f t="shared" si="151"/>
        <v>0</v>
      </c>
      <c r="K185" s="649">
        <v>0</v>
      </c>
      <c r="L185" s="649">
        <v>0</v>
      </c>
      <c r="M185" s="580">
        <f t="shared" si="152"/>
        <v>0</v>
      </c>
      <c r="N185" s="649">
        <v>0</v>
      </c>
      <c r="O185" s="649">
        <v>0</v>
      </c>
      <c r="P185" s="580">
        <f t="shared" si="153"/>
        <v>0</v>
      </c>
      <c r="Q185" s="649">
        <v>0</v>
      </c>
      <c r="R185" s="649">
        <v>0</v>
      </c>
      <c r="S185" s="580">
        <f t="shared" si="154"/>
        <v>0</v>
      </c>
      <c r="T185" s="649">
        <v>0</v>
      </c>
      <c r="U185" s="649">
        <v>0</v>
      </c>
      <c r="V185" s="580">
        <f t="shared" si="155"/>
        <v>0</v>
      </c>
      <c r="W185" s="649">
        <v>0</v>
      </c>
      <c r="X185" s="649">
        <v>0</v>
      </c>
      <c r="Y185" s="580">
        <f t="shared" si="156"/>
        <v>0</v>
      </c>
      <c r="Z185" s="649">
        <v>0</v>
      </c>
      <c r="AA185" s="649">
        <v>0</v>
      </c>
      <c r="AB185" s="580">
        <f t="shared" si="157"/>
        <v>0</v>
      </c>
      <c r="AC185" s="649">
        <v>0</v>
      </c>
      <c r="AD185" s="649">
        <v>0</v>
      </c>
      <c r="AE185" s="580">
        <f t="shared" si="158"/>
        <v>0</v>
      </c>
    </row>
    <row r="186" spans="1:31" ht="23.1" hidden="1" customHeight="1" outlineLevel="3" thickBot="1">
      <c r="A186" s="456"/>
      <c r="B186" s="464" t="s">
        <v>179</v>
      </c>
      <c r="C186" s="458">
        <v>100127652</v>
      </c>
      <c r="D186" s="632" t="s">
        <v>197</v>
      </c>
      <c r="E186" s="610">
        <v>0</v>
      </c>
      <c r="F186" s="610">
        <v>0</v>
      </c>
      <c r="G186" s="650">
        <f t="shared" si="150"/>
        <v>0</v>
      </c>
      <c r="H186" s="610">
        <v>0</v>
      </c>
      <c r="I186" s="610">
        <v>0</v>
      </c>
      <c r="J186" s="650">
        <f t="shared" si="151"/>
        <v>0</v>
      </c>
      <c r="K186" s="610">
        <v>0</v>
      </c>
      <c r="L186" s="610">
        <v>0</v>
      </c>
      <c r="M186" s="650">
        <f t="shared" si="152"/>
        <v>0</v>
      </c>
      <c r="N186" s="610">
        <v>0</v>
      </c>
      <c r="O186" s="610">
        <v>0</v>
      </c>
      <c r="P186" s="650">
        <f t="shared" si="153"/>
        <v>0</v>
      </c>
      <c r="Q186" s="610">
        <v>0</v>
      </c>
      <c r="R186" s="610">
        <v>0</v>
      </c>
      <c r="S186" s="650">
        <f t="shared" si="154"/>
        <v>0</v>
      </c>
      <c r="T186" s="610">
        <v>0</v>
      </c>
      <c r="U186" s="610">
        <v>0</v>
      </c>
      <c r="V186" s="650">
        <f t="shared" si="155"/>
        <v>0</v>
      </c>
      <c r="W186" s="610">
        <v>0</v>
      </c>
      <c r="X186" s="610">
        <v>0</v>
      </c>
      <c r="Y186" s="650">
        <f t="shared" si="156"/>
        <v>0</v>
      </c>
      <c r="Z186" s="610">
        <v>0</v>
      </c>
      <c r="AA186" s="610">
        <v>0</v>
      </c>
      <c r="AB186" s="650">
        <f t="shared" si="157"/>
        <v>0</v>
      </c>
      <c r="AC186" s="610">
        <v>0</v>
      </c>
      <c r="AD186" s="610">
        <v>0</v>
      </c>
      <c r="AE186" s="650">
        <f t="shared" si="158"/>
        <v>0</v>
      </c>
    </row>
    <row r="187" spans="1:31" ht="23.1" hidden="1" customHeight="1" outlineLevel="3" thickBot="1">
      <c r="A187" s="456"/>
      <c r="B187" s="464" t="s">
        <v>180</v>
      </c>
      <c r="C187" s="458">
        <v>100127652</v>
      </c>
      <c r="D187" s="632" t="s">
        <v>198</v>
      </c>
      <c r="E187" s="649">
        <v>0</v>
      </c>
      <c r="F187" s="649">
        <v>0</v>
      </c>
      <c r="G187" s="580">
        <f t="shared" si="150"/>
        <v>0</v>
      </c>
      <c r="H187" s="649">
        <v>0</v>
      </c>
      <c r="I187" s="649">
        <v>0</v>
      </c>
      <c r="J187" s="580">
        <f t="shared" si="151"/>
        <v>0</v>
      </c>
      <c r="K187" s="649">
        <v>0</v>
      </c>
      <c r="L187" s="649">
        <v>0</v>
      </c>
      <c r="M187" s="580">
        <f t="shared" si="152"/>
        <v>0</v>
      </c>
      <c r="N187" s="649">
        <v>0</v>
      </c>
      <c r="O187" s="649">
        <v>0</v>
      </c>
      <c r="P187" s="580">
        <f t="shared" si="153"/>
        <v>0</v>
      </c>
      <c r="Q187" s="649">
        <v>0</v>
      </c>
      <c r="R187" s="649">
        <v>0</v>
      </c>
      <c r="S187" s="580">
        <f t="shared" si="154"/>
        <v>0</v>
      </c>
      <c r="T187" s="649">
        <v>0</v>
      </c>
      <c r="U187" s="649">
        <v>0</v>
      </c>
      <c r="V187" s="580">
        <f t="shared" si="155"/>
        <v>0</v>
      </c>
      <c r="W187" s="649">
        <v>0</v>
      </c>
      <c r="X187" s="649">
        <v>0</v>
      </c>
      <c r="Y187" s="580">
        <f t="shared" si="156"/>
        <v>0</v>
      </c>
      <c r="Z187" s="649">
        <v>0</v>
      </c>
      <c r="AA187" s="649">
        <v>0</v>
      </c>
      <c r="AB187" s="580">
        <f t="shared" si="157"/>
        <v>0</v>
      </c>
      <c r="AC187" s="649">
        <v>0</v>
      </c>
      <c r="AD187" s="649">
        <v>0</v>
      </c>
      <c r="AE187" s="580">
        <f t="shared" si="158"/>
        <v>0</v>
      </c>
    </row>
    <row r="188" spans="1:31" ht="23.1" hidden="1" customHeight="1" outlineLevel="3" thickBot="1">
      <c r="A188" s="456"/>
      <c r="B188" s="464" t="s">
        <v>181</v>
      </c>
      <c r="C188" s="458">
        <v>100127652</v>
      </c>
      <c r="D188" s="632" t="s">
        <v>199</v>
      </c>
      <c r="E188" s="610">
        <v>0</v>
      </c>
      <c r="F188" s="610">
        <v>0</v>
      </c>
      <c r="G188" s="650">
        <f t="shared" si="150"/>
        <v>0</v>
      </c>
      <c r="H188" s="610">
        <v>0</v>
      </c>
      <c r="I188" s="610">
        <v>0</v>
      </c>
      <c r="J188" s="650">
        <f t="shared" si="151"/>
        <v>0</v>
      </c>
      <c r="K188" s="610">
        <v>0</v>
      </c>
      <c r="L188" s="610">
        <v>0</v>
      </c>
      <c r="M188" s="650">
        <f t="shared" si="152"/>
        <v>0</v>
      </c>
      <c r="N188" s="610">
        <v>0</v>
      </c>
      <c r="O188" s="610">
        <v>0</v>
      </c>
      <c r="P188" s="650">
        <f t="shared" si="153"/>
        <v>0</v>
      </c>
      <c r="Q188" s="610">
        <v>0</v>
      </c>
      <c r="R188" s="610">
        <v>0</v>
      </c>
      <c r="S188" s="650">
        <f t="shared" si="154"/>
        <v>0</v>
      </c>
      <c r="T188" s="610">
        <v>0</v>
      </c>
      <c r="U188" s="610">
        <v>0</v>
      </c>
      <c r="V188" s="650">
        <f t="shared" si="155"/>
        <v>0</v>
      </c>
      <c r="W188" s="610">
        <v>0</v>
      </c>
      <c r="X188" s="610">
        <v>0</v>
      </c>
      <c r="Y188" s="650">
        <f t="shared" si="156"/>
        <v>0</v>
      </c>
      <c r="Z188" s="610">
        <v>0</v>
      </c>
      <c r="AA188" s="610">
        <v>0</v>
      </c>
      <c r="AB188" s="650">
        <f t="shared" si="157"/>
        <v>0</v>
      </c>
      <c r="AC188" s="610">
        <v>0</v>
      </c>
      <c r="AD188" s="610">
        <v>0</v>
      </c>
      <c r="AE188" s="650">
        <f t="shared" si="158"/>
        <v>0</v>
      </c>
    </row>
    <row r="189" spans="1:31" ht="23.1" hidden="1" customHeight="1" outlineLevel="3" thickBot="1">
      <c r="A189" s="456"/>
      <c r="B189" s="461" t="s">
        <v>182</v>
      </c>
      <c r="C189" s="458">
        <v>100127652</v>
      </c>
      <c r="D189" s="632" t="s">
        <v>200</v>
      </c>
      <c r="E189" s="649">
        <v>0</v>
      </c>
      <c r="F189" s="649">
        <v>0</v>
      </c>
      <c r="G189" s="580">
        <f t="shared" si="150"/>
        <v>0</v>
      </c>
      <c r="H189" s="649">
        <v>0</v>
      </c>
      <c r="I189" s="649">
        <v>0</v>
      </c>
      <c r="J189" s="580">
        <f t="shared" si="151"/>
        <v>0</v>
      </c>
      <c r="K189" s="649">
        <v>0</v>
      </c>
      <c r="L189" s="649">
        <v>0</v>
      </c>
      <c r="M189" s="580">
        <f t="shared" si="152"/>
        <v>0</v>
      </c>
      <c r="N189" s="649">
        <v>0</v>
      </c>
      <c r="O189" s="649">
        <v>0</v>
      </c>
      <c r="P189" s="580">
        <f t="shared" si="153"/>
        <v>0</v>
      </c>
      <c r="Q189" s="649">
        <v>0</v>
      </c>
      <c r="R189" s="649">
        <v>0</v>
      </c>
      <c r="S189" s="580">
        <f t="shared" si="154"/>
        <v>0</v>
      </c>
      <c r="T189" s="649">
        <v>0</v>
      </c>
      <c r="U189" s="649">
        <v>0</v>
      </c>
      <c r="V189" s="580">
        <f t="shared" si="155"/>
        <v>0</v>
      </c>
      <c r="W189" s="649">
        <v>0</v>
      </c>
      <c r="X189" s="649">
        <v>0</v>
      </c>
      <c r="Y189" s="580">
        <f t="shared" si="156"/>
        <v>0</v>
      </c>
      <c r="Z189" s="649">
        <v>0</v>
      </c>
      <c r="AA189" s="649">
        <v>0</v>
      </c>
      <c r="AB189" s="580">
        <f t="shared" si="157"/>
        <v>0</v>
      </c>
      <c r="AC189" s="649">
        <v>0</v>
      </c>
      <c r="AD189" s="649">
        <v>0</v>
      </c>
      <c r="AE189" s="580">
        <f t="shared" si="158"/>
        <v>0</v>
      </c>
    </row>
    <row r="190" spans="1:31" ht="23.1" hidden="1" customHeight="1" outlineLevel="3" thickBot="1">
      <c r="A190" s="456"/>
      <c r="B190" s="461" t="s">
        <v>182</v>
      </c>
      <c r="C190" s="458">
        <v>100127652</v>
      </c>
      <c r="D190" s="632" t="s">
        <v>201</v>
      </c>
      <c r="E190" s="649">
        <v>0</v>
      </c>
      <c r="F190" s="649">
        <v>0</v>
      </c>
      <c r="G190" s="580">
        <f t="shared" si="150"/>
        <v>0</v>
      </c>
      <c r="H190" s="649">
        <v>0</v>
      </c>
      <c r="I190" s="649">
        <v>0</v>
      </c>
      <c r="J190" s="580">
        <f t="shared" si="151"/>
        <v>0</v>
      </c>
      <c r="K190" s="649">
        <v>0</v>
      </c>
      <c r="L190" s="649">
        <v>0</v>
      </c>
      <c r="M190" s="580">
        <f t="shared" si="152"/>
        <v>0</v>
      </c>
      <c r="N190" s="649">
        <v>0</v>
      </c>
      <c r="O190" s="649">
        <v>0</v>
      </c>
      <c r="P190" s="580">
        <f t="shared" si="153"/>
        <v>0</v>
      </c>
      <c r="Q190" s="649">
        <v>0</v>
      </c>
      <c r="R190" s="649">
        <v>0</v>
      </c>
      <c r="S190" s="580">
        <f t="shared" si="154"/>
        <v>0</v>
      </c>
      <c r="T190" s="649">
        <v>0</v>
      </c>
      <c r="U190" s="649">
        <v>0</v>
      </c>
      <c r="V190" s="580">
        <f t="shared" si="155"/>
        <v>0</v>
      </c>
      <c r="W190" s="649">
        <v>0</v>
      </c>
      <c r="X190" s="649">
        <v>0</v>
      </c>
      <c r="Y190" s="580">
        <f t="shared" si="156"/>
        <v>0</v>
      </c>
      <c r="Z190" s="649">
        <v>0</v>
      </c>
      <c r="AA190" s="649">
        <v>0</v>
      </c>
      <c r="AB190" s="580">
        <f t="shared" si="157"/>
        <v>0</v>
      </c>
      <c r="AC190" s="649">
        <v>0</v>
      </c>
      <c r="AD190" s="649">
        <v>0</v>
      </c>
      <c r="AE190" s="580">
        <f t="shared" si="158"/>
        <v>0</v>
      </c>
    </row>
    <row r="191" spans="1:31" ht="23.1" hidden="1" customHeight="1" outlineLevel="3" thickBot="1">
      <c r="A191" s="456"/>
      <c r="B191" s="461" t="s">
        <v>182</v>
      </c>
      <c r="C191" s="458">
        <v>100127652</v>
      </c>
      <c r="D191" s="632" t="s">
        <v>202</v>
      </c>
      <c r="E191" s="610">
        <v>0</v>
      </c>
      <c r="F191" s="610">
        <v>0</v>
      </c>
      <c r="G191" s="650">
        <f t="shared" si="150"/>
        <v>0</v>
      </c>
      <c r="H191" s="610">
        <v>0</v>
      </c>
      <c r="I191" s="610">
        <v>0</v>
      </c>
      <c r="J191" s="650">
        <f t="shared" si="151"/>
        <v>0</v>
      </c>
      <c r="K191" s="610">
        <v>0</v>
      </c>
      <c r="L191" s="610">
        <v>0</v>
      </c>
      <c r="M191" s="650">
        <f t="shared" si="152"/>
        <v>0</v>
      </c>
      <c r="N191" s="610">
        <v>0</v>
      </c>
      <c r="O191" s="610">
        <v>0</v>
      </c>
      <c r="P191" s="650">
        <f t="shared" si="153"/>
        <v>0</v>
      </c>
      <c r="Q191" s="610">
        <v>0</v>
      </c>
      <c r="R191" s="610">
        <v>0</v>
      </c>
      <c r="S191" s="650">
        <f t="shared" si="154"/>
        <v>0</v>
      </c>
      <c r="T191" s="610">
        <v>0</v>
      </c>
      <c r="U191" s="610">
        <v>0</v>
      </c>
      <c r="V191" s="650">
        <f t="shared" si="155"/>
        <v>0</v>
      </c>
      <c r="W191" s="610">
        <v>0</v>
      </c>
      <c r="X191" s="610">
        <v>0</v>
      </c>
      <c r="Y191" s="650">
        <f t="shared" si="156"/>
        <v>0</v>
      </c>
      <c r="Z191" s="610">
        <v>0</v>
      </c>
      <c r="AA191" s="610">
        <v>0</v>
      </c>
      <c r="AB191" s="650">
        <f t="shared" si="157"/>
        <v>0</v>
      </c>
      <c r="AC191" s="610">
        <v>0</v>
      </c>
      <c r="AD191" s="610">
        <v>0</v>
      </c>
      <c r="AE191" s="650">
        <f t="shared" si="158"/>
        <v>0</v>
      </c>
    </row>
    <row r="192" spans="1:31" ht="23.1" hidden="1" customHeight="1" outlineLevel="3" thickBot="1">
      <c r="A192" s="456"/>
      <c r="B192" s="461" t="s">
        <v>183</v>
      </c>
      <c r="C192" s="458">
        <v>100127652</v>
      </c>
      <c r="D192" s="632" t="s">
        <v>203</v>
      </c>
      <c r="E192" s="649">
        <v>0</v>
      </c>
      <c r="F192" s="649">
        <v>0</v>
      </c>
      <c r="G192" s="580">
        <f t="shared" si="150"/>
        <v>0</v>
      </c>
      <c r="H192" s="649">
        <v>0</v>
      </c>
      <c r="I192" s="649">
        <v>0</v>
      </c>
      <c r="J192" s="580">
        <f t="shared" si="151"/>
        <v>0</v>
      </c>
      <c r="K192" s="649">
        <v>0</v>
      </c>
      <c r="L192" s="649">
        <v>0</v>
      </c>
      <c r="M192" s="580">
        <f t="shared" si="152"/>
        <v>0</v>
      </c>
      <c r="N192" s="649">
        <v>0</v>
      </c>
      <c r="O192" s="649">
        <v>0</v>
      </c>
      <c r="P192" s="580">
        <f t="shared" si="153"/>
        <v>0</v>
      </c>
      <c r="Q192" s="649">
        <v>0</v>
      </c>
      <c r="R192" s="649">
        <v>0</v>
      </c>
      <c r="S192" s="580">
        <f t="shared" si="154"/>
        <v>0</v>
      </c>
      <c r="T192" s="649">
        <v>0</v>
      </c>
      <c r="U192" s="649">
        <v>0</v>
      </c>
      <c r="V192" s="580">
        <f t="shared" si="155"/>
        <v>0</v>
      </c>
      <c r="W192" s="649">
        <v>0</v>
      </c>
      <c r="X192" s="649">
        <v>0</v>
      </c>
      <c r="Y192" s="580">
        <f t="shared" si="156"/>
        <v>0</v>
      </c>
      <c r="Z192" s="649">
        <v>0</v>
      </c>
      <c r="AA192" s="649">
        <v>0</v>
      </c>
      <c r="AB192" s="580">
        <f t="shared" si="157"/>
        <v>0</v>
      </c>
      <c r="AC192" s="649">
        <v>0</v>
      </c>
      <c r="AD192" s="649">
        <v>0</v>
      </c>
      <c r="AE192" s="580">
        <f t="shared" si="158"/>
        <v>0</v>
      </c>
    </row>
    <row r="193" spans="1:31" ht="23.1" hidden="1" customHeight="1" outlineLevel="3" thickBot="1">
      <c r="A193" s="456"/>
      <c r="B193" s="461" t="s">
        <v>184</v>
      </c>
      <c r="C193" s="458">
        <v>100127652</v>
      </c>
      <c r="D193" s="632" t="s">
        <v>204</v>
      </c>
      <c r="E193" s="610">
        <v>0</v>
      </c>
      <c r="F193" s="610">
        <v>0</v>
      </c>
      <c r="G193" s="650">
        <f t="shared" si="150"/>
        <v>0</v>
      </c>
      <c r="H193" s="610">
        <v>0</v>
      </c>
      <c r="I193" s="610">
        <v>0</v>
      </c>
      <c r="J193" s="650">
        <f t="shared" si="151"/>
        <v>0</v>
      </c>
      <c r="K193" s="610">
        <v>0</v>
      </c>
      <c r="L193" s="610">
        <v>0</v>
      </c>
      <c r="M193" s="650">
        <f t="shared" si="152"/>
        <v>0</v>
      </c>
      <c r="N193" s="610">
        <v>0</v>
      </c>
      <c r="O193" s="610">
        <v>0</v>
      </c>
      <c r="P193" s="650">
        <f t="shared" si="153"/>
        <v>0</v>
      </c>
      <c r="Q193" s="610">
        <v>0</v>
      </c>
      <c r="R193" s="610">
        <v>0</v>
      </c>
      <c r="S193" s="650">
        <f t="shared" si="154"/>
        <v>0</v>
      </c>
      <c r="T193" s="610">
        <v>0</v>
      </c>
      <c r="U193" s="610">
        <v>0</v>
      </c>
      <c r="V193" s="650">
        <f t="shared" si="155"/>
        <v>0</v>
      </c>
      <c r="W193" s="610">
        <v>0</v>
      </c>
      <c r="X193" s="610">
        <v>0</v>
      </c>
      <c r="Y193" s="650">
        <f t="shared" si="156"/>
        <v>0</v>
      </c>
      <c r="Z193" s="610">
        <v>0</v>
      </c>
      <c r="AA193" s="610">
        <v>0</v>
      </c>
      <c r="AB193" s="650">
        <f t="shared" si="157"/>
        <v>0</v>
      </c>
      <c r="AC193" s="610">
        <v>0</v>
      </c>
      <c r="AD193" s="610">
        <v>0</v>
      </c>
      <c r="AE193" s="650">
        <f t="shared" si="158"/>
        <v>0</v>
      </c>
    </row>
    <row r="194" spans="1:31" ht="23.1" hidden="1" customHeight="1" outlineLevel="3" thickBot="1">
      <c r="A194" s="456"/>
      <c r="B194" s="461" t="s">
        <v>184</v>
      </c>
      <c r="C194" s="458">
        <v>100127652</v>
      </c>
      <c r="D194" s="632" t="s">
        <v>205</v>
      </c>
      <c r="E194" s="649">
        <v>0</v>
      </c>
      <c r="F194" s="649">
        <v>0</v>
      </c>
      <c r="G194" s="580">
        <f t="shared" si="150"/>
        <v>0</v>
      </c>
      <c r="H194" s="649">
        <v>0</v>
      </c>
      <c r="I194" s="649">
        <v>0</v>
      </c>
      <c r="J194" s="580">
        <f t="shared" si="151"/>
        <v>0</v>
      </c>
      <c r="K194" s="649">
        <v>0</v>
      </c>
      <c r="L194" s="649">
        <v>0</v>
      </c>
      <c r="M194" s="580">
        <f t="shared" si="152"/>
        <v>0</v>
      </c>
      <c r="N194" s="649">
        <v>0</v>
      </c>
      <c r="O194" s="649">
        <v>0</v>
      </c>
      <c r="P194" s="580">
        <f t="shared" si="153"/>
        <v>0</v>
      </c>
      <c r="Q194" s="649">
        <v>0</v>
      </c>
      <c r="R194" s="649">
        <v>0</v>
      </c>
      <c r="S194" s="580">
        <f t="shared" si="154"/>
        <v>0</v>
      </c>
      <c r="T194" s="649">
        <v>0</v>
      </c>
      <c r="U194" s="649">
        <v>0</v>
      </c>
      <c r="V194" s="580">
        <f t="shared" si="155"/>
        <v>0</v>
      </c>
      <c r="W194" s="649">
        <v>0</v>
      </c>
      <c r="X194" s="649">
        <v>0</v>
      </c>
      <c r="Y194" s="580">
        <f t="shared" si="156"/>
        <v>0</v>
      </c>
      <c r="Z194" s="649">
        <v>0</v>
      </c>
      <c r="AA194" s="649">
        <v>0</v>
      </c>
      <c r="AB194" s="580">
        <f t="shared" si="157"/>
        <v>0</v>
      </c>
      <c r="AC194" s="649">
        <v>0</v>
      </c>
      <c r="AD194" s="649">
        <v>0</v>
      </c>
      <c r="AE194" s="580">
        <f t="shared" si="158"/>
        <v>0</v>
      </c>
    </row>
    <row r="195" spans="1:31" ht="23.1" hidden="1" customHeight="1" outlineLevel="3" thickBot="1">
      <c r="A195" s="456"/>
      <c r="B195" s="461" t="s">
        <v>184</v>
      </c>
      <c r="C195" s="458">
        <v>100127652</v>
      </c>
      <c r="D195" s="632" t="s">
        <v>206</v>
      </c>
      <c r="E195" s="610">
        <v>0</v>
      </c>
      <c r="F195" s="610">
        <v>0</v>
      </c>
      <c r="G195" s="650">
        <f t="shared" si="150"/>
        <v>0</v>
      </c>
      <c r="H195" s="610">
        <v>0</v>
      </c>
      <c r="I195" s="610">
        <v>0</v>
      </c>
      <c r="J195" s="650">
        <f t="shared" si="151"/>
        <v>0</v>
      </c>
      <c r="K195" s="610">
        <v>0</v>
      </c>
      <c r="L195" s="610">
        <v>0</v>
      </c>
      <c r="M195" s="650">
        <f t="shared" si="152"/>
        <v>0</v>
      </c>
      <c r="N195" s="610">
        <v>0</v>
      </c>
      <c r="O195" s="610">
        <v>0</v>
      </c>
      <c r="P195" s="650">
        <f t="shared" si="153"/>
        <v>0</v>
      </c>
      <c r="Q195" s="610">
        <v>0</v>
      </c>
      <c r="R195" s="610">
        <v>0</v>
      </c>
      <c r="S195" s="650">
        <f t="shared" si="154"/>
        <v>0</v>
      </c>
      <c r="T195" s="610">
        <v>0</v>
      </c>
      <c r="U195" s="610">
        <v>0</v>
      </c>
      <c r="V195" s="650">
        <f t="shared" si="155"/>
        <v>0</v>
      </c>
      <c r="W195" s="610">
        <v>0</v>
      </c>
      <c r="X195" s="610">
        <v>0</v>
      </c>
      <c r="Y195" s="650">
        <f t="shared" si="156"/>
        <v>0</v>
      </c>
      <c r="Z195" s="610">
        <v>0</v>
      </c>
      <c r="AA195" s="610">
        <v>0</v>
      </c>
      <c r="AB195" s="650">
        <f t="shared" si="157"/>
        <v>0</v>
      </c>
      <c r="AC195" s="610">
        <v>0</v>
      </c>
      <c r="AD195" s="610">
        <v>0</v>
      </c>
      <c r="AE195" s="650">
        <f t="shared" si="158"/>
        <v>0</v>
      </c>
    </row>
    <row r="196" spans="1:31" ht="23.1" hidden="1" customHeight="1" outlineLevel="3" thickBot="1">
      <c r="A196" s="456"/>
      <c r="B196" s="461" t="s">
        <v>171</v>
      </c>
      <c r="C196" s="458">
        <v>100127652</v>
      </c>
      <c r="D196" s="632" t="s">
        <v>207</v>
      </c>
      <c r="E196" s="649">
        <v>0</v>
      </c>
      <c r="F196" s="649">
        <v>0</v>
      </c>
      <c r="G196" s="580">
        <f t="shared" si="150"/>
        <v>0</v>
      </c>
      <c r="H196" s="649">
        <v>0</v>
      </c>
      <c r="I196" s="649">
        <v>0</v>
      </c>
      <c r="J196" s="580">
        <f t="shared" si="151"/>
        <v>0</v>
      </c>
      <c r="K196" s="649">
        <v>0</v>
      </c>
      <c r="L196" s="649">
        <v>0</v>
      </c>
      <c r="M196" s="580">
        <f t="shared" si="152"/>
        <v>0</v>
      </c>
      <c r="N196" s="649">
        <v>0</v>
      </c>
      <c r="O196" s="649">
        <v>0</v>
      </c>
      <c r="P196" s="580">
        <f t="shared" si="153"/>
        <v>0</v>
      </c>
      <c r="Q196" s="649">
        <v>0</v>
      </c>
      <c r="R196" s="649">
        <v>0</v>
      </c>
      <c r="S196" s="580">
        <f t="shared" si="154"/>
        <v>0</v>
      </c>
      <c r="T196" s="649">
        <v>0</v>
      </c>
      <c r="U196" s="649">
        <v>0</v>
      </c>
      <c r="V196" s="580">
        <f t="shared" si="155"/>
        <v>0</v>
      </c>
      <c r="W196" s="649">
        <v>0</v>
      </c>
      <c r="X196" s="649">
        <v>0</v>
      </c>
      <c r="Y196" s="580">
        <f t="shared" si="156"/>
        <v>0</v>
      </c>
      <c r="Z196" s="649">
        <v>0</v>
      </c>
      <c r="AA196" s="649">
        <v>0</v>
      </c>
      <c r="AB196" s="580">
        <f t="shared" si="157"/>
        <v>0</v>
      </c>
      <c r="AC196" s="649">
        <v>0</v>
      </c>
      <c r="AD196" s="649">
        <v>0</v>
      </c>
      <c r="AE196" s="580">
        <f t="shared" si="158"/>
        <v>0</v>
      </c>
    </row>
    <row r="197" spans="1:31" ht="23.1" hidden="1" customHeight="1" outlineLevel="3" thickBot="1">
      <c r="A197" s="456"/>
      <c r="B197" s="461" t="s">
        <v>171</v>
      </c>
      <c r="C197" s="458">
        <v>100127652</v>
      </c>
      <c r="D197" s="632" t="s">
        <v>208</v>
      </c>
      <c r="E197" s="610">
        <v>0</v>
      </c>
      <c r="F197" s="610">
        <v>0</v>
      </c>
      <c r="G197" s="651">
        <f t="shared" si="150"/>
        <v>0</v>
      </c>
      <c r="H197" s="610">
        <v>0</v>
      </c>
      <c r="I197" s="610">
        <v>0</v>
      </c>
      <c r="J197" s="651">
        <f t="shared" si="151"/>
        <v>0</v>
      </c>
      <c r="K197" s="610">
        <v>0</v>
      </c>
      <c r="L197" s="610">
        <v>0</v>
      </c>
      <c r="M197" s="651">
        <f t="shared" si="152"/>
        <v>0</v>
      </c>
      <c r="N197" s="610">
        <v>0</v>
      </c>
      <c r="O197" s="610">
        <v>0</v>
      </c>
      <c r="P197" s="651">
        <f t="shared" si="153"/>
        <v>0</v>
      </c>
      <c r="Q197" s="610">
        <v>0</v>
      </c>
      <c r="R197" s="610">
        <v>0</v>
      </c>
      <c r="S197" s="651">
        <f t="shared" si="154"/>
        <v>0</v>
      </c>
      <c r="T197" s="610">
        <v>0</v>
      </c>
      <c r="U197" s="610">
        <v>0</v>
      </c>
      <c r="V197" s="651">
        <f t="shared" si="155"/>
        <v>0</v>
      </c>
      <c r="W197" s="610">
        <v>0</v>
      </c>
      <c r="X197" s="610">
        <v>0</v>
      </c>
      <c r="Y197" s="651">
        <f t="shared" si="156"/>
        <v>0</v>
      </c>
      <c r="Z197" s="610">
        <v>0</v>
      </c>
      <c r="AA197" s="610">
        <v>0</v>
      </c>
      <c r="AB197" s="651">
        <f t="shared" si="157"/>
        <v>0</v>
      </c>
      <c r="AC197" s="610">
        <v>0</v>
      </c>
      <c r="AD197" s="610">
        <v>0</v>
      </c>
      <c r="AE197" s="651">
        <f t="shared" si="158"/>
        <v>0</v>
      </c>
    </row>
    <row r="198" spans="1:31" ht="23.1" hidden="1" customHeight="1" outlineLevel="3" thickBot="1">
      <c r="A198" s="456"/>
      <c r="B198" s="461" t="s">
        <v>183</v>
      </c>
      <c r="C198" s="458">
        <v>100127652</v>
      </c>
      <c r="D198" s="632" t="s">
        <v>209</v>
      </c>
      <c r="E198" s="649">
        <v>0</v>
      </c>
      <c r="F198" s="649">
        <v>0</v>
      </c>
      <c r="G198" s="580">
        <f t="shared" si="150"/>
        <v>0</v>
      </c>
      <c r="H198" s="649">
        <v>0</v>
      </c>
      <c r="I198" s="649">
        <v>0</v>
      </c>
      <c r="J198" s="580">
        <f t="shared" si="151"/>
        <v>0</v>
      </c>
      <c r="K198" s="649">
        <v>0</v>
      </c>
      <c r="L198" s="649">
        <v>0</v>
      </c>
      <c r="M198" s="580">
        <f t="shared" si="152"/>
        <v>0</v>
      </c>
      <c r="N198" s="649">
        <v>0</v>
      </c>
      <c r="O198" s="649">
        <v>0</v>
      </c>
      <c r="P198" s="580">
        <f t="shared" si="153"/>
        <v>0</v>
      </c>
      <c r="Q198" s="649">
        <v>0</v>
      </c>
      <c r="R198" s="649">
        <v>0</v>
      </c>
      <c r="S198" s="580">
        <f t="shared" si="154"/>
        <v>0</v>
      </c>
      <c r="T198" s="649">
        <v>0</v>
      </c>
      <c r="U198" s="649">
        <v>0</v>
      </c>
      <c r="V198" s="580">
        <f t="shared" si="155"/>
        <v>0</v>
      </c>
      <c r="W198" s="649">
        <v>0</v>
      </c>
      <c r="X198" s="649">
        <v>0</v>
      </c>
      <c r="Y198" s="580">
        <f t="shared" si="156"/>
        <v>0</v>
      </c>
      <c r="Z198" s="649">
        <v>0</v>
      </c>
      <c r="AA198" s="649">
        <v>0</v>
      </c>
      <c r="AB198" s="580">
        <f t="shared" si="157"/>
        <v>0</v>
      </c>
      <c r="AC198" s="649">
        <v>0</v>
      </c>
      <c r="AD198" s="649">
        <v>0</v>
      </c>
      <c r="AE198" s="580">
        <f t="shared" si="158"/>
        <v>0</v>
      </c>
    </row>
    <row r="199" spans="1:31" ht="23.1" hidden="1" customHeight="1" outlineLevel="3" thickBot="1">
      <c r="A199" s="456"/>
      <c r="B199" s="461" t="s">
        <v>185</v>
      </c>
      <c r="C199" s="458">
        <v>100127652</v>
      </c>
      <c r="D199" s="632" t="s">
        <v>210</v>
      </c>
      <c r="E199" s="610">
        <v>0</v>
      </c>
      <c r="F199" s="610">
        <v>0</v>
      </c>
      <c r="G199" s="652">
        <f t="shared" si="150"/>
        <v>0</v>
      </c>
      <c r="H199" s="610">
        <v>0</v>
      </c>
      <c r="I199" s="610">
        <v>0</v>
      </c>
      <c r="J199" s="652">
        <f t="shared" si="151"/>
        <v>0</v>
      </c>
      <c r="K199" s="610">
        <v>0</v>
      </c>
      <c r="L199" s="610">
        <v>0</v>
      </c>
      <c r="M199" s="652">
        <f t="shared" si="152"/>
        <v>0</v>
      </c>
      <c r="N199" s="610">
        <v>0</v>
      </c>
      <c r="O199" s="610">
        <v>0</v>
      </c>
      <c r="P199" s="652">
        <f t="shared" si="153"/>
        <v>0</v>
      </c>
      <c r="Q199" s="610">
        <v>0</v>
      </c>
      <c r="R199" s="610">
        <v>0</v>
      </c>
      <c r="S199" s="652">
        <f t="shared" si="154"/>
        <v>0</v>
      </c>
      <c r="T199" s="610">
        <v>0</v>
      </c>
      <c r="U199" s="610">
        <v>0</v>
      </c>
      <c r="V199" s="652">
        <f t="shared" si="155"/>
        <v>0</v>
      </c>
      <c r="W199" s="610">
        <v>0</v>
      </c>
      <c r="X199" s="610">
        <v>0</v>
      </c>
      <c r="Y199" s="652">
        <f t="shared" si="156"/>
        <v>0</v>
      </c>
      <c r="Z199" s="610">
        <v>0</v>
      </c>
      <c r="AA199" s="610">
        <v>0</v>
      </c>
      <c r="AB199" s="652">
        <f t="shared" si="157"/>
        <v>0</v>
      </c>
      <c r="AC199" s="610">
        <v>0</v>
      </c>
      <c r="AD199" s="610">
        <v>0</v>
      </c>
      <c r="AE199" s="652">
        <f t="shared" si="158"/>
        <v>0</v>
      </c>
    </row>
    <row r="200" spans="1:31" ht="23.1" hidden="1" customHeight="1" outlineLevel="3" thickBot="1">
      <c r="A200" s="456"/>
      <c r="B200" s="461" t="s">
        <v>186</v>
      </c>
      <c r="C200" s="458">
        <v>100127652</v>
      </c>
      <c r="D200" s="632" t="s">
        <v>211</v>
      </c>
      <c r="E200" s="649">
        <v>0</v>
      </c>
      <c r="F200" s="649">
        <v>0</v>
      </c>
      <c r="G200" s="580">
        <f t="shared" si="150"/>
        <v>0</v>
      </c>
      <c r="H200" s="649">
        <v>0</v>
      </c>
      <c r="I200" s="649">
        <v>0</v>
      </c>
      <c r="J200" s="580">
        <f t="shared" si="151"/>
        <v>0</v>
      </c>
      <c r="K200" s="649">
        <v>0</v>
      </c>
      <c r="L200" s="649">
        <v>0</v>
      </c>
      <c r="M200" s="580">
        <f t="shared" si="152"/>
        <v>0</v>
      </c>
      <c r="N200" s="649">
        <v>0</v>
      </c>
      <c r="O200" s="649">
        <v>0</v>
      </c>
      <c r="P200" s="580">
        <f t="shared" si="153"/>
        <v>0</v>
      </c>
      <c r="Q200" s="649">
        <v>0</v>
      </c>
      <c r="R200" s="649">
        <v>0</v>
      </c>
      <c r="S200" s="580">
        <f t="shared" si="154"/>
        <v>0</v>
      </c>
      <c r="T200" s="649">
        <v>0</v>
      </c>
      <c r="U200" s="649">
        <v>0</v>
      </c>
      <c r="V200" s="580">
        <f t="shared" si="155"/>
        <v>0</v>
      </c>
      <c r="W200" s="649">
        <v>0</v>
      </c>
      <c r="X200" s="649">
        <v>0</v>
      </c>
      <c r="Y200" s="580">
        <f t="shared" si="156"/>
        <v>0</v>
      </c>
      <c r="Z200" s="649">
        <v>0</v>
      </c>
      <c r="AA200" s="649">
        <v>0</v>
      </c>
      <c r="AB200" s="580">
        <f t="shared" si="157"/>
        <v>0</v>
      </c>
      <c r="AC200" s="649">
        <v>0</v>
      </c>
      <c r="AD200" s="649">
        <v>0</v>
      </c>
      <c r="AE200" s="580">
        <f t="shared" si="158"/>
        <v>0</v>
      </c>
    </row>
    <row r="201" spans="1:31" ht="23.1" hidden="1" customHeight="1" outlineLevel="3" thickBot="1">
      <c r="A201" s="456"/>
      <c r="B201" s="461" t="s">
        <v>186</v>
      </c>
      <c r="C201" s="458">
        <v>100127652</v>
      </c>
      <c r="D201" s="632" t="s">
        <v>212</v>
      </c>
      <c r="E201" s="610">
        <v>0</v>
      </c>
      <c r="F201" s="610">
        <v>0</v>
      </c>
      <c r="G201" s="651">
        <f t="shared" si="150"/>
        <v>0</v>
      </c>
      <c r="H201" s="610">
        <v>0</v>
      </c>
      <c r="I201" s="610">
        <v>0</v>
      </c>
      <c r="J201" s="651">
        <f t="shared" si="151"/>
        <v>0</v>
      </c>
      <c r="K201" s="610">
        <v>0</v>
      </c>
      <c r="L201" s="610">
        <v>0</v>
      </c>
      <c r="M201" s="651">
        <f t="shared" si="152"/>
        <v>0</v>
      </c>
      <c r="N201" s="610">
        <v>0</v>
      </c>
      <c r="O201" s="610">
        <v>0</v>
      </c>
      <c r="P201" s="651">
        <f t="shared" si="153"/>
        <v>0</v>
      </c>
      <c r="Q201" s="610">
        <v>0</v>
      </c>
      <c r="R201" s="610">
        <v>0</v>
      </c>
      <c r="S201" s="651">
        <f t="shared" si="154"/>
        <v>0</v>
      </c>
      <c r="T201" s="610">
        <v>0</v>
      </c>
      <c r="U201" s="610">
        <v>0</v>
      </c>
      <c r="V201" s="651">
        <f t="shared" si="155"/>
        <v>0</v>
      </c>
      <c r="W201" s="610">
        <v>0</v>
      </c>
      <c r="X201" s="610">
        <v>0</v>
      </c>
      <c r="Y201" s="651">
        <f t="shared" si="156"/>
        <v>0</v>
      </c>
      <c r="Z201" s="610">
        <v>0</v>
      </c>
      <c r="AA201" s="610">
        <v>0</v>
      </c>
      <c r="AB201" s="651">
        <f t="shared" si="157"/>
        <v>0</v>
      </c>
      <c r="AC201" s="610">
        <v>0</v>
      </c>
      <c r="AD201" s="610">
        <v>0</v>
      </c>
      <c r="AE201" s="651">
        <f t="shared" si="158"/>
        <v>0</v>
      </c>
    </row>
    <row r="202" spans="1:31" ht="23.1" hidden="1" customHeight="1" outlineLevel="3" thickBot="1">
      <c r="A202" s="456"/>
      <c r="B202" s="461" t="s">
        <v>186</v>
      </c>
      <c r="C202" s="458">
        <v>100127652</v>
      </c>
      <c r="D202" s="632" t="s">
        <v>213</v>
      </c>
      <c r="E202" s="649">
        <v>0</v>
      </c>
      <c r="F202" s="649">
        <v>0</v>
      </c>
      <c r="G202" s="580">
        <f t="shared" si="150"/>
        <v>0</v>
      </c>
      <c r="H202" s="649">
        <v>0</v>
      </c>
      <c r="I202" s="649">
        <v>0</v>
      </c>
      <c r="J202" s="580">
        <f t="shared" si="151"/>
        <v>0</v>
      </c>
      <c r="K202" s="649">
        <v>0</v>
      </c>
      <c r="L202" s="649">
        <v>0</v>
      </c>
      <c r="M202" s="580">
        <f t="shared" si="152"/>
        <v>0</v>
      </c>
      <c r="N202" s="649">
        <v>0</v>
      </c>
      <c r="O202" s="649">
        <v>0</v>
      </c>
      <c r="P202" s="580">
        <f t="shared" si="153"/>
        <v>0</v>
      </c>
      <c r="Q202" s="649">
        <v>0</v>
      </c>
      <c r="R202" s="649">
        <v>0</v>
      </c>
      <c r="S202" s="580">
        <f t="shared" si="154"/>
        <v>0</v>
      </c>
      <c r="T202" s="649">
        <v>0</v>
      </c>
      <c r="U202" s="649">
        <v>0</v>
      </c>
      <c r="V202" s="580">
        <f t="shared" si="155"/>
        <v>0</v>
      </c>
      <c r="W202" s="649">
        <v>0</v>
      </c>
      <c r="X202" s="649">
        <v>0</v>
      </c>
      <c r="Y202" s="580">
        <f t="shared" si="156"/>
        <v>0</v>
      </c>
      <c r="Z202" s="649">
        <v>0</v>
      </c>
      <c r="AA202" s="649">
        <v>0</v>
      </c>
      <c r="AB202" s="580">
        <f t="shared" si="157"/>
        <v>0</v>
      </c>
      <c r="AC202" s="649">
        <v>0</v>
      </c>
      <c r="AD202" s="649">
        <v>0</v>
      </c>
      <c r="AE202" s="580">
        <f t="shared" si="158"/>
        <v>0</v>
      </c>
    </row>
    <row r="203" spans="1:31" ht="23.1" hidden="1" customHeight="1" outlineLevel="3" thickBot="1">
      <c r="A203" s="456"/>
      <c r="B203" s="461" t="s">
        <v>186</v>
      </c>
      <c r="C203" s="458">
        <v>100127652</v>
      </c>
      <c r="D203" s="632" t="s">
        <v>214</v>
      </c>
      <c r="E203" s="610">
        <v>0</v>
      </c>
      <c r="F203" s="610">
        <v>0</v>
      </c>
      <c r="G203" s="652">
        <f t="shared" si="150"/>
        <v>0</v>
      </c>
      <c r="H203" s="610">
        <v>0</v>
      </c>
      <c r="I203" s="610">
        <v>0</v>
      </c>
      <c r="J203" s="652">
        <f t="shared" si="151"/>
        <v>0</v>
      </c>
      <c r="K203" s="610">
        <v>0</v>
      </c>
      <c r="L203" s="610">
        <v>0</v>
      </c>
      <c r="M203" s="652">
        <f t="shared" si="152"/>
        <v>0</v>
      </c>
      <c r="N203" s="610">
        <v>0</v>
      </c>
      <c r="O203" s="610">
        <v>0</v>
      </c>
      <c r="P203" s="652">
        <f t="shared" si="153"/>
        <v>0</v>
      </c>
      <c r="Q203" s="610">
        <v>0</v>
      </c>
      <c r="R203" s="610">
        <v>0</v>
      </c>
      <c r="S203" s="652">
        <f t="shared" si="154"/>
        <v>0</v>
      </c>
      <c r="T203" s="610">
        <v>0</v>
      </c>
      <c r="U203" s="610">
        <v>0</v>
      </c>
      <c r="V203" s="652">
        <f t="shared" si="155"/>
        <v>0</v>
      </c>
      <c r="W203" s="610">
        <v>0</v>
      </c>
      <c r="X203" s="610">
        <v>0</v>
      </c>
      <c r="Y203" s="652">
        <f t="shared" si="156"/>
        <v>0</v>
      </c>
      <c r="Z203" s="610">
        <v>0</v>
      </c>
      <c r="AA203" s="610">
        <v>0</v>
      </c>
      <c r="AB203" s="652">
        <f t="shared" si="157"/>
        <v>0</v>
      </c>
      <c r="AC203" s="610">
        <v>0</v>
      </c>
      <c r="AD203" s="610">
        <v>0</v>
      </c>
      <c r="AE203" s="652">
        <f t="shared" si="158"/>
        <v>0</v>
      </c>
    </row>
    <row r="204" spans="1:31" ht="23.1" hidden="1" customHeight="1" outlineLevel="3" thickBot="1">
      <c r="A204" s="456"/>
      <c r="B204" s="461" t="s">
        <v>186</v>
      </c>
      <c r="C204" s="458">
        <v>100127652</v>
      </c>
      <c r="D204" s="632" t="s">
        <v>215</v>
      </c>
      <c r="E204" s="649">
        <v>0</v>
      </c>
      <c r="F204" s="649">
        <v>0</v>
      </c>
      <c r="G204" s="580">
        <f t="shared" si="150"/>
        <v>0</v>
      </c>
      <c r="H204" s="649">
        <v>0</v>
      </c>
      <c r="I204" s="649">
        <v>0</v>
      </c>
      <c r="J204" s="580">
        <f t="shared" si="151"/>
        <v>0</v>
      </c>
      <c r="K204" s="649">
        <v>0</v>
      </c>
      <c r="L204" s="649">
        <v>0</v>
      </c>
      <c r="M204" s="580">
        <f t="shared" si="152"/>
        <v>0</v>
      </c>
      <c r="N204" s="649">
        <v>0</v>
      </c>
      <c r="O204" s="649">
        <v>0</v>
      </c>
      <c r="P204" s="580">
        <f t="shared" si="153"/>
        <v>0</v>
      </c>
      <c r="Q204" s="649">
        <v>0</v>
      </c>
      <c r="R204" s="649">
        <v>0</v>
      </c>
      <c r="S204" s="580">
        <f t="shared" si="154"/>
        <v>0</v>
      </c>
      <c r="T204" s="649">
        <v>0</v>
      </c>
      <c r="U204" s="649">
        <v>0</v>
      </c>
      <c r="V204" s="580">
        <f t="shared" si="155"/>
        <v>0</v>
      </c>
      <c r="W204" s="649">
        <v>0</v>
      </c>
      <c r="X204" s="649">
        <v>0</v>
      </c>
      <c r="Y204" s="580">
        <f t="shared" si="156"/>
        <v>0</v>
      </c>
      <c r="Z204" s="649">
        <v>0</v>
      </c>
      <c r="AA204" s="649">
        <v>0</v>
      </c>
      <c r="AB204" s="580">
        <f t="shared" si="157"/>
        <v>0</v>
      </c>
      <c r="AC204" s="649">
        <v>0</v>
      </c>
      <c r="AD204" s="649">
        <v>0</v>
      </c>
      <c r="AE204" s="580">
        <f t="shared" si="158"/>
        <v>0</v>
      </c>
    </row>
    <row r="205" spans="1:31" ht="23.1" hidden="1" customHeight="1" outlineLevel="3" thickBot="1">
      <c r="A205" s="456"/>
      <c r="B205" s="461" t="s">
        <v>186</v>
      </c>
      <c r="C205" s="458">
        <v>100127652</v>
      </c>
      <c r="D205" s="632" t="s">
        <v>216</v>
      </c>
      <c r="E205" s="610">
        <v>0</v>
      </c>
      <c r="F205" s="610">
        <v>0</v>
      </c>
      <c r="G205" s="650">
        <f t="shared" si="150"/>
        <v>0</v>
      </c>
      <c r="H205" s="610">
        <v>0</v>
      </c>
      <c r="I205" s="610">
        <v>0</v>
      </c>
      <c r="J205" s="650">
        <f t="shared" si="151"/>
        <v>0</v>
      </c>
      <c r="K205" s="610">
        <v>0</v>
      </c>
      <c r="L205" s="610">
        <v>0</v>
      </c>
      <c r="M205" s="650">
        <f t="shared" si="152"/>
        <v>0</v>
      </c>
      <c r="N205" s="610">
        <v>0</v>
      </c>
      <c r="O205" s="610">
        <v>0</v>
      </c>
      <c r="P205" s="650">
        <f t="shared" si="153"/>
        <v>0</v>
      </c>
      <c r="Q205" s="610">
        <v>0</v>
      </c>
      <c r="R205" s="610">
        <v>0</v>
      </c>
      <c r="S205" s="650">
        <f t="shared" si="154"/>
        <v>0</v>
      </c>
      <c r="T205" s="610">
        <v>0</v>
      </c>
      <c r="U205" s="610">
        <v>0</v>
      </c>
      <c r="V205" s="650">
        <f t="shared" si="155"/>
        <v>0</v>
      </c>
      <c r="W205" s="610">
        <v>0</v>
      </c>
      <c r="X205" s="610">
        <v>0</v>
      </c>
      <c r="Y205" s="650">
        <f t="shared" si="156"/>
        <v>0</v>
      </c>
      <c r="Z205" s="610">
        <v>0</v>
      </c>
      <c r="AA205" s="610">
        <v>0</v>
      </c>
      <c r="AB205" s="650">
        <f t="shared" si="157"/>
        <v>0</v>
      </c>
      <c r="AC205" s="610">
        <v>0</v>
      </c>
      <c r="AD205" s="610">
        <v>0</v>
      </c>
      <c r="AE205" s="650">
        <f t="shared" si="158"/>
        <v>0</v>
      </c>
    </row>
    <row r="206" spans="1:31" ht="23.1" hidden="1" customHeight="1" outlineLevel="3" thickBot="1">
      <c r="A206" s="456"/>
      <c r="B206" s="461" t="s">
        <v>187</v>
      </c>
      <c r="C206" s="458">
        <v>100127652</v>
      </c>
      <c r="D206" s="632" t="s">
        <v>217</v>
      </c>
      <c r="E206" s="649">
        <v>0</v>
      </c>
      <c r="F206" s="649">
        <v>0</v>
      </c>
      <c r="G206" s="580">
        <f t="shared" si="150"/>
        <v>0</v>
      </c>
      <c r="H206" s="649">
        <v>0</v>
      </c>
      <c r="I206" s="649">
        <v>0</v>
      </c>
      <c r="J206" s="580">
        <f t="shared" si="151"/>
        <v>0</v>
      </c>
      <c r="K206" s="649">
        <v>0</v>
      </c>
      <c r="L206" s="649">
        <v>0</v>
      </c>
      <c r="M206" s="580">
        <f t="shared" si="152"/>
        <v>0</v>
      </c>
      <c r="N206" s="649">
        <v>0</v>
      </c>
      <c r="O206" s="649">
        <v>0</v>
      </c>
      <c r="P206" s="580">
        <f t="shared" si="153"/>
        <v>0</v>
      </c>
      <c r="Q206" s="649">
        <v>0</v>
      </c>
      <c r="R206" s="649">
        <v>0</v>
      </c>
      <c r="S206" s="580">
        <f t="shared" si="154"/>
        <v>0</v>
      </c>
      <c r="T206" s="649">
        <v>0</v>
      </c>
      <c r="U206" s="649">
        <v>0</v>
      </c>
      <c r="V206" s="580">
        <f t="shared" si="155"/>
        <v>0</v>
      </c>
      <c r="W206" s="649">
        <v>0</v>
      </c>
      <c r="X206" s="649">
        <v>0</v>
      </c>
      <c r="Y206" s="580">
        <f t="shared" si="156"/>
        <v>0</v>
      </c>
      <c r="Z206" s="649">
        <v>0</v>
      </c>
      <c r="AA206" s="649">
        <v>0</v>
      </c>
      <c r="AB206" s="580">
        <f t="shared" si="157"/>
        <v>0</v>
      </c>
      <c r="AC206" s="649">
        <v>0</v>
      </c>
      <c r="AD206" s="649">
        <v>0</v>
      </c>
      <c r="AE206" s="580">
        <f t="shared" si="158"/>
        <v>0</v>
      </c>
    </row>
    <row r="207" spans="1:31" ht="23.1" hidden="1" customHeight="1" outlineLevel="3" thickBot="1">
      <c r="A207" s="456"/>
      <c r="B207" s="461" t="s">
        <v>188</v>
      </c>
      <c r="C207" s="458">
        <v>100127652</v>
      </c>
      <c r="D207" s="632" t="s">
        <v>218</v>
      </c>
      <c r="E207" s="579">
        <v>0</v>
      </c>
      <c r="F207" s="579">
        <v>0</v>
      </c>
      <c r="G207" s="651">
        <f t="shared" si="150"/>
        <v>0</v>
      </c>
      <c r="H207" s="579">
        <v>0</v>
      </c>
      <c r="I207" s="579">
        <v>0</v>
      </c>
      <c r="J207" s="651">
        <f t="shared" si="151"/>
        <v>0</v>
      </c>
      <c r="K207" s="579">
        <v>0</v>
      </c>
      <c r="L207" s="579">
        <v>0</v>
      </c>
      <c r="M207" s="651">
        <f t="shared" si="152"/>
        <v>0</v>
      </c>
      <c r="N207" s="579">
        <v>0</v>
      </c>
      <c r="O207" s="579">
        <v>0</v>
      </c>
      <c r="P207" s="651">
        <f t="shared" si="153"/>
        <v>0</v>
      </c>
      <c r="Q207" s="579">
        <v>0</v>
      </c>
      <c r="R207" s="579">
        <v>0</v>
      </c>
      <c r="S207" s="651">
        <f t="shared" si="154"/>
        <v>0</v>
      </c>
      <c r="T207" s="579">
        <v>0</v>
      </c>
      <c r="U207" s="579">
        <v>0</v>
      </c>
      <c r="V207" s="651">
        <f t="shared" si="155"/>
        <v>0</v>
      </c>
      <c r="W207" s="579">
        <v>0</v>
      </c>
      <c r="X207" s="579">
        <v>0</v>
      </c>
      <c r="Y207" s="651">
        <f t="shared" si="156"/>
        <v>0</v>
      </c>
      <c r="Z207" s="579">
        <v>0</v>
      </c>
      <c r="AA207" s="579">
        <v>0</v>
      </c>
      <c r="AB207" s="651">
        <f t="shared" si="157"/>
        <v>0</v>
      </c>
      <c r="AC207" s="579">
        <v>0</v>
      </c>
      <c r="AD207" s="579">
        <v>0</v>
      </c>
      <c r="AE207" s="651">
        <f t="shared" si="158"/>
        <v>0</v>
      </c>
    </row>
    <row r="208" spans="1:31" ht="23.1" hidden="1" customHeight="1" outlineLevel="3" thickBot="1">
      <c r="A208" s="456"/>
      <c r="B208" s="465" t="s">
        <v>188</v>
      </c>
      <c r="C208" s="703">
        <v>100127652</v>
      </c>
      <c r="D208" s="704" t="s">
        <v>219</v>
      </c>
      <c r="E208" s="653">
        <v>0</v>
      </c>
      <c r="F208" s="653">
        <v>0</v>
      </c>
      <c r="G208" s="599">
        <f t="shared" si="150"/>
        <v>0</v>
      </c>
      <c r="H208" s="653">
        <v>0</v>
      </c>
      <c r="I208" s="653">
        <v>0</v>
      </c>
      <c r="J208" s="599">
        <f t="shared" si="151"/>
        <v>0</v>
      </c>
      <c r="K208" s="653">
        <v>0</v>
      </c>
      <c r="L208" s="653">
        <v>0</v>
      </c>
      <c r="M208" s="599">
        <f t="shared" si="152"/>
        <v>0</v>
      </c>
      <c r="N208" s="653">
        <v>0</v>
      </c>
      <c r="O208" s="653">
        <v>0</v>
      </c>
      <c r="P208" s="599">
        <f t="shared" si="153"/>
        <v>0</v>
      </c>
      <c r="Q208" s="653">
        <v>0</v>
      </c>
      <c r="R208" s="653">
        <v>0</v>
      </c>
      <c r="S208" s="599">
        <f t="shared" si="154"/>
        <v>0</v>
      </c>
      <c r="T208" s="653">
        <v>0</v>
      </c>
      <c r="U208" s="653">
        <v>0</v>
      </c>
      <c r="V208" s="599">
        <f t="shared" si="155"/>
        <v>0</v>
      </c>
      <c r="W208" s="653">
        <v>0</v>
      </c>
      <c r="X208" s="653">
        <v>0</v>
      </c>
      <c r="Y208" s="599">
        <f t="shared" si="156"/>
        <v>0</v>
      </c>
      <c r="Z208" s="653">
        <v>0</v>
      </c>
      <c r="AA208" s="653">
        <v>0</v>
      </c>
      <c r="AB208" s="599">
        <f t="shared" si="157"/>
        <v>0</v>
      </c>
      <c r="AC208" s="653">
        <v>0</v>
      </c>
      <c r="AD208" s="653">
        <v>0</v>
      </c>
      <c r="AE208" s="599">
        <f t="shared" si="158"/>
        <v>0</v>
      </c>
    </row>
    <row r="209" spans="1:31" s="434" customFormat="1" ht="20.100000000000001" customHeight="1" outlineLevel="3" thickBot="1">
      <c r="A209" s="466"/>
      <c r="B209" s="467"/>
      <c r="C209" s="602"/>
      <c r="D209" s="705" t="s">
        <v>423</v>
      </c>
      <c r="E209" s="591">
        <f t="shared" ref="E209" si="168">SUM(E150:E208)</f>
        <v>170.304</v>
      </c>
      <c r="F209" s="591">
        <f t="shared" ref="F209:H209" si="169">SUM(F150:F208)</f>
        <v>170.304</v>
      </c>
      <c r="G209" s="494">
        <f t="shared" si="169"/>
        <v>0</v>
      </c>
      <c r="H209" s="591">
        <f t="shared" si="169"/>
        <v>143.64100000000002</v>
      </c>
      <c r="I209" s="591">
        <f t="shared" ref="I209:K209" si="170">SUM(I150:I208)</f>
        <v>143.64100000000002</v>
      </c>
      <c r="J209" s="494">
        <f t="shared" si="170"/>
        <v>0</v>
      </c>
      <c r="K209" s="591">
        <f t="shared" si="170"/>
        <v>229.00799999999998</v>
      </c>
      <c r="L209" s="591">
        <f t="shared" ref="L209:N209" si="171">SUM(L150:L208)</f>
        <v>229.00799999999998</v>
      </c>
      <c r="M209" s="494">
        <f t="shared" si="171"/>
        <v>0</v>
      </c>
      <c r="N209" s="591">
        <f t="shared" si="171"/>
        <v>138.768</v>
      </c>
      <c r="O209" s="591">
        <f t="shared" ref="O209:Q209" si="172">SUM(O150:O208)</f>
        <v>137.904</v>
      </c>
      <c r="P209" s="494">
        <f t="shared" si="172"/>
        <v>-0.86399999999999999</v>
      </c>
      <c r="Q209" s="591">
        <f t="shared" si="172"/>
        <v>134.80000000000001</v>
      </c>
      <c r="R209" s="591">
        <f t="shared" ref="R209:T209" si="173">SUM(R150:R208)</f>
        <v>169.8</v>
      </c>
      <c r="S209" s="494">
        <f t="shared" si="173"/>
        <v>35</v>
      </c>
      <c r="T209" s="591">
        <f t="shared" si="173"/>
        <v>573.69999999999993</v>
      </c>
      <c r="U209" s="591">
        <f t="shared" ref="U209:W209" si="174">SUM(U150:U208)</f>
        <v>463</v>
      </c>
      <c r="V209" s="494">
        <f t="shared" si="174"/>
        <v>-110.7</v>
      </c>
      <c r="W209" s="591">
        <f t="shared" si="174"/>
        <v>418.15999999999997</v>
      </c>
      <c r="X209" s="591">
        <f t="shared" ref="X209:Z209" si="175">SUM(X150:X208)</f>
        <v>439.14</v>
      </c>
      <c r="Y209" s="494">
        <f t="shared" si="175"/>
        <v>20.980000000000004</v>
      </c>
      <c r="Z209" s="591">
        <f t="shared" si="175"/>
        <v>450.75999999999993</v>
      </c>
      <c r="AA209" s="591">
        <f t="shared" ref="AA209:AC209" si="176">SUM(AA150:AA208)</f>
        <v>420.75999999999993</v>
      </c>
      <c r="AB209" s="494">
        <f t="shared" si="176"/>
        <v>-30</v>
      </c>
      <c r="AC209" s="591">
        <f t="shared" si="176"/>
        <v>553.5</v>
      </c>
      <c r="AD209" s="591">
        <f t="shared" ref="AD209:AE209" si="177">SUM(AD150:AD208)</f>
        <v>503.5</v>
      </c>
      <c r="AE209" s="494">
        <f t="shared" si="177"/>
        <v>-50</v>
      </c>
    </row>
    <row r="210" spans="1:31" ht="20.100000000000001" customHeight="1" outlineLevel="3" thickBot="1">
      <c r="A210" s="469"/>
      <c r="B210" s="470"/>
      <c r="C210" s="471"/>
      <c r="D210" s="519" t="s">
        <v>43</v>
      </c>
      <c r="E210" s="520">
        <f t="shared" ref="E210:V210" si="178">E47+E114+E134+E146+E209+E149</f>
        <v>6799.5960000000005</v>
      </c>
      <c r="F210" s="520">
        <f t="shared" si="178"/>
        <v>6799.5960000000005</v>
      </c>
      <c r="G210" s="706">
        <f t="shared" si="178"/>
        <v>0</v>
      </c>
      <c r="H210" s="520">
        <f t="shared" si="178"/>
        <v>4135.8729999999996</v>
      </c>
      <c r="I210" s="520">
        <f t="shared" si="178"/>
        <v>4135.8729999999996</v>
      </c>
      <c r="J210" s="706">
        <f t="shared" si="178"/>
        <v>0</v>
      </c>
      <c r="K210" s="520">
        <f t="shared" si="178"/>
        <v>5057.799</v>
      </c>
      <c r="L210" s="520">
        <f t="shared" si="178"/>
        <v>5057.799</v>
      </c>
      <c r="M210" s="706">
        <f t="shared" si="178"/>
        <v>0</v>
      </c>
      <c r="N210" s="520">
        <f t="shared" si="178"/>
        <v>4052.9329999999991</v>
      </c>
      <c r="O210" s="520">
        <f t="shared" si="178"/>
        <v>4258.3979999999992</v>
      </c>
      <c r="P210" s="706">
        <f t="shared" si="178"/>
        <v>205.46499999999997</v>
      </c>
      <c r="Q210" s="520">
        <f t="shared" si="178"/>
        <v>4967.987000000001</v>
      </c>
      <c r="R210" s="520">
        <f t="shared" si="178"/>
        <v>4477.8960000000006</v>
      </c>
      <c r="S210" s="706">
        <f t="shared" si="178"/>
        <v>-490.09100000000012</v>
      </c>
      <c r="T210" s="520">
        <f t="shared" si="178"/>
        <v>6903.4999999999991</v>
      </c>
      <c r="U210" s="520">
        <f t="shared" si="178"/>
        <v>5851.4</v>
      </c>
      <c r="V210" s="706">
        <f t="shared" si="178"/>
        <v>-1052.0999999999997</v>
      </c>
      <c r="W210" s="520">
        <f t="shared" ref="W210" si="179">W47+W114+W134+W146+W209+W149</f>
        <v>6570.7199999999993</v>
      </c>
      <c r="X210" s="520">
        <f t="shared" ref="X210" si="180">X47+X114+X134+X146+X209+X149</f>
        <v>5776.3059999999996</v>
      </c>
      <c r="Y210" s="706">
        <f t="shared" ref="Y210" si="181">Y47+Y114+Y134+Y146+Y209+Y149</f>
        <v>-794.41399999999999</v>
      </c>
      <c r="Z210" s="520">
        <f t="shared" ref="Z210" si="182">Z47+Z114+Z134+Z146+Z209+Z149</f>
        <v>6565.0660000000007</v>
      </c>
      <c r="AA210" s="520">
        <f t="shared" ref="AA210" si="183">AA47+AA114+AA134+AA146+AA209+AA149</f>
        <v>6211.52</v>
      </c>
      <c r="AB210" s="706">
        <f t="shared" ref="AB210" si="184">AB47+AB114+AB134+AB146+AB209+AB149</f>
        <v>-353.54599999999994</v>
      </c>
      <c r="AC210" s="520">
        <f t="shared" ref="AC210" si="185">AC47+AC114+AC134+AC146+AC209+AC149</f>
        <v>6134.5739999999996</v>
      </c>
      <c r="AD210" s="520">
        <f t="shared" ref="AD210" si="186">AD47+AD114+AD134+AD146+AD209+AD149</f>
        <v>5919.0739999999996</v>
      </c>
      <c r="AE210" s="706">
        <f t="shared" ref="AE210" si="187">AE47+AE114+AE134+AE146+AE209+AE149</f>
        <v>-215.5</v>
      </c>
    </row>
    <row r="211" spans="1:31" s="472" customFormat="1" ht="13.5" hidden="1" customHeight="1">
      <c r="B211" s="473"/>
      <c r="C211" s="473"/>
    </row>
    <row r="212" spans="1:31" s="472" customFormat="1" ht="15.75" hidden="1">
      <c r="B212" s="473"/>
      <c r="C212" s="473"/>
    </row>
    <row r="213" spans="1:31" ht="20.100000000000001" hidden="1" customHeight="1" thickBot="1">
      <c r="B213" s="434"/>
      <c r="C213" s="434"/>
      <c r="D213" s="654" t="s">
        <v>221</v>
      </c>
      <c r="E213" s="655">
        <f t="shared" ref="E213:V213" si="188">E146+E122+E114+E56+E47+E149</f>
        <v>6629.2920000000004</v>
      </c>
      <c r="F213" s="655">
        <f t="shared" si="188"/>
        <v>6629.2920000000004</v>
      </c>
      <c r="G213" s="655">
        <f t="shared" si="188"/>
        <v>0</v>
      </c>
      <c r="H213" s="655">
        <f t="shared" si="188"/>
        <v>3992.232</v>
      </c>
      <c r="I213" s="655">
        <f t="shared" si="188"/>
        <v>3992.232</v>
      </c>
      <c r="J213" s="655">
        <f t="shared" si="188"/>
        <v>0</v>
      </c>
      <c r="K213" s="655">
        <f t="shared" si="188"/>
        <v>4828.7910000000002</v>
      </c>
      <c r="L213" s="655">
        <f t="shared" si="188"/>
        <v>4828.7910000000002</v>
      </c>
      <c r="M213" s="655">
        <f t="shared" si="188"/>
        <v>0</v>
      </c>
      <c r="N213" s="655">
        <f t="shared" si="188"/>
        <v>3914.1649999999995</v>
      </c>
      <c r="O213" s="655">
        <f t="shared" si="188"/>
        <v>4120.4939999999997</v>
      </c>
      <c r="P213" s="655">
        <f t="shared" si="188"/>
        <v>206.32899999999987</v>
      </c>
      <c r="Q213" s="655">
        <f t="shared" si="188"/>
        <v>4833.1869999999999</v>
      </c>
      <c r="R213" s="655">
        <f t="shared" si="188"/>
        <v>4308.0960000000005</v>
      </c>
      <c r="S213" s="655">
        <f t="shared" si="188"/>
        <v>-525.09100000000012</v>
      </c>
      <c r="T213" s="655">
        <f t="shared" si="188"/>
        <v>6329.7999999999993</v>
      </c>
      <c r="U213" s="655">
        <f t="shared" si="188"/>
        <v>5388.4</v>
      </c>
      <c r="V213" s="655">
        <f t="shared" si="188"/>
        <v>-941.39999999999986</v>
      </c>
      <c r="W213" s="655">
        <f t="shared" ref="W213:Y213" si="189">W146+W122+W114+W56+W47+W149</f>
        <v>6152.5599999999995</v>
      </c>
      <c r="X213" s="655">
        <f t="shared" si="189"/>
        <v>5337.1660000000002</v>
      </c>
      <c r="Y213" s="655">
        <f t="shared" si="189"/>
        <v>-815.39400000000001</v>
      </c>
      <c r="Z213" s="655">
        <f t="shared" ref="Z213:AB213" si="190">Z146+Z122+Z114+Z56+Z47+Z149</f>
        <v>6114.3059999999996</v>
      </c>
      <c r="AA213" s="655">
        <f t="shared" si="190"/>
        <v>5790.76</v>
      </c>
      <c r="AB213" s="655">
        <f t="shared" si="190"/>
        <v>-323.54599999999994</v>
      </c>
      <c r="AC213" s="655">
        <f t="shared" ref="AC213:AE213" si="191">AC146+AC122+AC114+AC56+AC47+AC149</f>
        <v>5581.0739999999996</v>
      </c>
      <c r="AD213" s="655">
        <f t="shared" si="191"/>
        <v>5415.5739999999996</v>
      </c>
      <c r="AE213" s="655">
        <f t="shared" si="191"/>
        <v>-165.5</v>
      </c>
    </row>
    <row r="214" spans="1:31" ht="20.100000000000001" hidden="1" customHeight="1">
      <c r="B214" s="434"/>
      <c r="C214" s="434"/>
      <c r="D214" s="431" t="s">
        <v>71</v>
      </c>
      <c r="E214" s="656">
        <f>E47+E56</f>
        <v>1690.9210000000003</v>
      </c>
      <c r="F214" s="656">
        <f>F47+F56</f>
        <v>1690.9210000000003</v>
      </c>
      <c r="H214" s="656">
        <f>H47+H56</f>
        <v>2244.3040000000001</v>
      </c>
      <c r="I214" s="656">
        <f>I47+I56</f>
        <v>2244.3040000000001</v>
      </c>
      <c r="K214" s="656">
        <f>K47+K56</f>
        <v>1880.1930000000002</v>
      </c>
      <c r="L214" s="656">
        <f>L47+L56</f>
        <v>1880.1930000000002</v>
      </c>
      <c r="N214" s="656">
        <f>N47+N56</f>
        <v>1063.9000000000001</v>
      </c>
      <c r="O214" s="656">
        <f>O47+O56</f>
        <v>1132.229</v>
      </c>
      <c r="Q214" s="656">
        <f>Q47+Q56</f>
        <v>2219</v>
      </c>
      <c r="R214" s="656">
        <f>R47+R56</f>
        <v>1898.2</v>
      </c>
      <c r="T214" s="656">
        <f>T47+T56</f>
        <v>3675.1</v>
      </c>
      <c r="U214" s="656">
        <f>U47+U56</f>
        <v>2738.7</v>
      </c>
      <c r="W214" s="656">
        <f>W47+W56</f>
        <v>2693</v>
      </c>
      <c r="X214" s="656">
        <f>X47+X56</f>
        <v>2149.96</v>
      </c>
      <c r="Z214" s="656">
        <f>Z47+Z56</f>
        <v>2863</v>
      </c>
      <c r="AA214" s="656">
        <f>AA47+AA56</f>
        <v>3027</v>
      </c>
      <c r="AC214" s="656">
        <f>AC47+AC56</f>
        <v>2480</v>
      </c>
      <c r="AD214" s="656">
        <f>AD47+AD56</f>
        <v>2388</v>
      </c>
    </row>
    <row r="215" spans="1:31" ht="20.100000000000001" hidden="1" customHeight="1">
      <c r="B215" s="434"/>
      <c r="C215" s="434"/>
      <c r="D215" s="431" t="s">
        <v>110</v>
      </c>
      <c r="E215" s="656">
        <f>E47+E56+E114+E122+E146+E209</f>
        <v>6760.6440000000002</v>
      </c>
      <c r="F215" s="656">
        <f>F47+F56+F114+F122+F146+F209</f>
        <v>6760.6440000000002</v>
      </c>
      <c r="H215" s="656">
        <f>H47+H56+H114+H122+H146+H209</f>
        <v>4117.0569999999998</v>
      </c>
      <c r="I215" s="656">
        <f>I47+I56+I114+I122+I146+I209</f>
        <v>4117.0569999999998</v>
      </c>
      <c r="K215" s="656">
        <f>K47+K56+K114+K122+K146+K209</f>
        <v>5057.7380000000003</v>
      </c>
      <c r="L215" s="656">
        <f>L47+L56+L114+L122+L146+L209</f>
        <v>5057.7380000000003</v>
      </c>
      <c r="N215" s="656">
        <f>N47+N56+N114+N122+N146+N209</f>
        <v>4052.933</v>
      </c>
      <c r="O215" s="656">
        <f>O47+O56+O114+O122+O146+O209</f>
        <v>4258.3979999999992</v>
      </c>
      <c r="Q215" s="656">
        <f>Q47+Q56+Q114+Q122+Q146+Q209</f>
        <v>4967.987000000001</v>
      </c>
      <c r="R215" s="656">
        <f>R47+R56+R114+R122+R146+R209</f>
        <v>4477.8960000000006</v>
      </c>
      <c r="T215" s="656">
        <f>T47+T56+T114+T122+T146+T209</f>
        <v>6903.4999999999991</v>
      </c>
      <c r="U215" s="656">
        <f>U47+U56+U114+U122+U146+U209</f>
        <v>5851.4</v>
      </c>
      <c r="W215" s="656">
        <f>W47+W56+W114+W122+W146+W209</f>
        <v>6570.7199999999993</v>
      </c>
      <c r="X215" s="656">
        <f>X47+X56+X114+X122+X146+X209</f>
        <v>5776.3060000000005</v>
      </c>
      <c r="Z215" s="656">
        <f>Z47+Z56+Z114+Z122+Z146+Z209</f>
        <v>6565.0659999999998</v>
      </c>
      <c r="AA215" s="656">
        <f>AA47+AA56+AA114+AA122+AA146+AA209</f>
        <v>6211.52</v>
      </c>
      <c r="AC215" s="656">
        <f>AC47+AC56+AC114+AC122+AC146+AC209</f>
        <v>6134.5739999999996</v>
      </c>
      <c r="AD215" s="656">
        <f>AD47+AD56+AD114+AD122+AD146+AD209</f>
        <v>5919.0739999999996</v>
      </c>
    </row>
    <row r="216" spans="1:31" ht="20.100000000000001" customHeight="1">
      <c r="B216" s="434"/>
      <c r="C216" s="434"/>
    </row>
    <row r="217" spans="1:31" ht="20.100000000000001" customHeight="1">
      <c r="B217" s="434"/>
      <c r="C217" s="434"/>
    </row>
    <row r="218" spans="1:31" ht="20.100000000000001" hidden="1" customHeight="1">
      <c r="B218" s="434"/>
      <c r="C218" s="434"/>
      <c r="D218" s="431" t="s">
        <v>220</v>
      </c>
      <c r="E218" s="656">
        <f>E146+E122+E114+E56+E47</f>
        <v>6590.34</v>
      </c>
      <c r="F218" s="656">
        <f>F146+F122+F114+F56+F47</f>
        <v>6590.34</v>
      </c>
      <c r="G218" s="656"/>
      <c r="H218" s="656">
        <f>H146+H122+H114+H56+H47</f>
        <v>3973.4160000000002</v>
      </c>
      <c r="I218" s="656">
        <f>I146+I122+I114+I56+I47</f>
        <v>3973.4160000000002</v>
      </c>
      <c r="J218" s="656"/>
      <c r="K218" s="656">
        <f>K146+K122+K114+K56+K47</f>
        <v>4828.7300000000005</v>
      </c>
      <c r="L218" s="656">
        <f>L146+L122+L114+L56+L47</f>
        <v>4828.7300000000005</v>
      </c>
      <c r="M218" s="656"/>
      <c r="N218" s="656">
        <f>N146+N122+N114+N56+N47</f>
        <v>3914.1649999999995</v>
      </c>
      <c r="O218" s="656">
        <f>O146+O122+O114+O56+O47</f>
        <v>4120.4939999999997</v>
      </c>
      <c r="P218" s="656"/>
      <c r="Q218" s="656">
        <f>Q146+Q122+Q114+Q56+Q47</f>
        <v>4833.1869999999999</v>
      </c>
      <c r="R218" s="656">
        <f>R146+R122+R114+R56+R47</f>
        <v>4308.0960000000005</v>
      </c>
      <c r="S218" s="656"/>
      <c r="T218" s="656">
        <f>T146+T122+T114+T56+T47</f>
        <v>6329.7999999999993</v>
      </c>
      <c r="U218" s="656">
        <f>U146+U122+U114+U56+U47</f>
        <v>5388.4</v>
      </c>
      <c r="V218" s="656"/>
      <c r="W218" s="656">
        <f>W146+W122+W114+W56+W47</f>
        <v>6152.5599999999995</v>
      </c>
      <c r="X218" s="656">
        <f>X146+X122+X114+X56+X47</f>
        <v>5337.1660000000002</v>
      </c>
      <c r="Y218" s="656"/>
      <c r="Z218" s="656">
        <f>Z146+Z122+Z114+Z56+Z47</f>
        <v>6114.3059999999996</v>
      </c>
      <c r="AA218" s="656">
        <f>AA146+AA122+AA114+AA56+AA47</f>
        <v>5790.76</v>
      </c>
      <c r="AB218" s="656"/>
      <c r="AC218" s="656">
        <f>AC146+AC122+AC114+AC56+AC47</f>
        <v>5581.0739999999996</v>
      </c>
      <c r="AD218" s="656">
        <f>AD146+AD122+AD114+AD56+AD47</f>
        <v>5415.5739999999996</v>
      </c>
      <c r="AE218" s="656"/>
    </row>
    <row r="219" spans="1:31" ht="20.100000000000001" customHeight="1">
      <c r="B219" s="434"/>
      <c r="C219" s="434"/>
    </row>
    <row r="220" spans="1:31" ht="20.100000000000001" customHeight="1">
      <c r="B220" s="434"/>
      <c r="C220" s="434"/>
    </row>
    <row r="221" spans="1:31" ht="20.100000000000001" customHeight="1">
      <c r="B221" s="434"/>
      <c r="C221" s="434"/>
    </row>
    <row r="222" spans="1:31" ht="20.100000000000001" customHeight="1">
      <c r="B222" s="434"/>
      <c r="C222" s="434"/>
    </row>
    <row r="223" spans="1:31" ht="20.100000000000001" customHeight="1">
      <c r="B223" s="434"/>
      <c r="C223" s="434"/>
    </row>
    <row r="224" spans="1:31" ht="20.100000000000001" customHeight="1">
      <c r="B224" s="434"/>
      <c r="C224" s="434"/>
    </row>
    <row r="225" spans="2:3" ht="20.100000000000001" customHeight="1">
      <c r="B225" s="434"/>
      <c r="C225" s="434"/>
    </row>
    <row r="226" spans="2:3" ht="20.100000000000001" customHeight="1">
      <c r="B226" s="434"/>
      <c r="C226" s="434"/>
    </row>
    <row r="227" spans="2:3" ht="20.100000000000001" customHeight="1">
      <c r="B227" s="434"/>
      <c r="C227" s="434"/>
    </row>
    <row r="228" spans="2:3" ht="20.100000000000001" customHeight="1">
      <c r="B228" s="434"/>
      <c r="C228" s="434"/>
    </row>
    <row r="229" spans="2:3" ht="20.100000000000001" customHeight="1">
      <c r="B229" s="434"/>
      <c r="C229" s="434"/>
    </row>
    <row r="230" spans="2:3" ht="20.100000000000001" customHeight="1">
      <c r="B230" s="434"/>
      <c r="C230" s="434"/>
    </row>
    <row r="231" spans="2:3" ht="20.100000000000001" customHeight="1">
      <c r="B231" s="434"/>
      <c r="C231" s="434"/>
    </row>
    <row r="232" spans="2:3" ht="20.100000000000001" customHeight="1">
      <c r="B232" s="434"/>
      <c r="C232" s="434"/>
    </row>
    <row r="233" spans="2:3" ht="20.100000000000001" customHeight="1">
      <c r="B233" s="434"/>
      <c r="C233" s="434"/>
    </row>
    <row r="234" spans="2:3" ht="20.100000000000001" customHeight="1">
      <c r="B234" s="434"/>
      <c r="C234" s="434"/>
    </row>
    <row r="235" spans="2:3" ht="20.100000000000001" customHeight="1">
      <c r="B235" s="434"/>
      <c r="C235" s="434"/>
    </row>
    <row r="236" spans="2:3" ht="20.100000000000001" customHeight="1">
      <c r="B236" s="434"/>
      <c r="C236" s="434"/>
    </row>
    <row r="237" spans="2:3" ht="20.100000000000001" customHeight="1">
      <c r="B237" s="434"/>
      <c r="C237" s="434"/>
    </row>
    <row r="238" spans="2:3" ht="20.100000000000001" customHeight="1">
      <c r="B238" s="434"/>
      <c r="C238" s="434"/>
    </row>
    <row r="239" spans="2:3" ht="20.100000000000001" customHeight="1">
      <c r="B239" s="434"/>
      <c r="C239" s="434"/>
    </row>
    <row r="240" spans="2:3" ht="20.100000000000001" customHeight="1">
      <c r="B240" s="434"/>
      <c r="C240" s="434"/>
    </row>
    <row r="241" spans="2:3" ht="20.100000000000001" customHeight="1">
      <c r="B241" s="434"/>
      <c r="C241" s="434"/>
    </row>
    <row r="242" spans="2:3" ht="20.100000000000001" customHeight="1">
      <c r="B242" s="434"/>
      <c r="C242" s="434"/>
    </row>
    <row r="243" spans="2:3" ht="20.100000000000001" customHeight="1">
      <c r="B243" s="434"/>
      <c r="C243" s="434"/>
    </row>
    <row r="244" spans="2:3" ht="20.100000000000001" customHeight="1">
      <c r="B244" s="434"/>
      <c r="C244" s="434"/>
    </row>
    <row r="245" spans="2:3" ht="20.100000000000001" customHeight="1">
      <c r="B245" s="434"/>
      <c r="C245" s="434"/>
    </row>
    <row r="246" spans="2:3" ht="20.100000000000001" customHeight="1">
      <c r="B246" s="434"/>
      <c r="C246" s="434"/>
    </row>
    <row r="247" spans="2:3" ht="20.100000000000001" customHeight="1">
      <c r="B247" s="434"/>
      <c r="C247" s="434"/>
    </row>
    <row r="248" spans="2:3" ht="20.100000000000001" customHeight="1">
      <c r="B248" s="434"/>
      <c r="C248" s="434"/>
    </row>
    <row r="249" spans="2:3" ht="20.100000000000001" customHeight="1">
      <c r="B249" s="434"/>
      <c r="C249" s="434"/>
    </row>
    <row r="250" spans="2:3" ht="20.100000000000001" customHeight="1">
      <c r="B250" s="434"/>
      <c r="C250" s="434"/>
    </row>
    <row r="251" spans="2:3" ht="20.100000000000001" customHeight="1">
      <c r="B251" s="434"/>
      <c r="C251" s="434"/>
    </row>
    <row r="252" spans="2:3" ht="20.100000000000001" customHeight="1">
      <c r="B252" s="434"/>
      <c r="C252" s="434"/>
    </row>
    <row r="253" spans="2:3" ht="20.100000000000001" customHeight="1">
      <c r="B253" s="434"/>
      <c r="C253" s="434"/>
    </row>
    <row r="254" spans="2:3" ht="20.100000000000001" customHeight="1">
      <c r="B254" s="434"/>
      <c r="C254" s="434"/>
    </row>
    <row r="255" spans="2:3" ht="20.100000000000001" customHeight="1">
      <c r="B255" s="434"/>
      <c r="C255" s="434"/>
    </row>
    <row r="256" spans="2:3" ht="20.100000000000001" customHeight="1">
      <c r="B256" s="434"/>
      <c r="C256" s="434"/>
    </row>
    <row r="257" spans="2:3" ht="20.100000000000001" customHeight="1">
      <c r="B257" s="434"/>
      <c r="C257" s="434"/>
    </row>
    <row r="258" spans="2:3" ht="20.100000000000001" customHeight="1">
      <c r="B258" s="434"/>
      <c r="C258" s="434"/>
    </row>
    <row r="259" spans="2:3" ht="20.100000000000001" customHeight="1">
      <c r="B259" s="434"/>
      <c r="C259" s="434"/>
    </row>
    <row r="260" spans="2:3" ht="20.100000000000001" customHeight="1">
      <c r="B260" s="434"/>
      <c r="C260" s="434"/>
    </row>
    <row r="261" spans="2:3" ht="20.100000000000001" customHeight="1">
      <c r="B261" s="434"/>
      <c r="C261" s="434"/>
    </row>
    <row r="262" spans="2:3" ht="20.100000000000001" customHeight="1">
      <c r="B262" s="434"/>
      <c r="C262" s="434"/>
    </row>
    <row r="263" spans="2:3" ht="20.100000000000001" customHeight="1">
      <c r="B263" s="434"/>
      <c r="C263" s="434"/>
    </row>
    <row r="264" spans="2:3" ht="20.100000000000001" customHeight="1">
      <c r="B264" s="434"/>
      <c r="C264" s="434"/>
    </row>
    <row r="265" spans="2:3" ht="20.100000000000001" customHeight="1">
      <c r="B265" s="434"/>
      <c r="C265" s="434"/>
    </row>
    <row r="266" spans="2:3" ht="20.100000000000001" customHeight="1">
      <c r="B266" s="434"/>
      <c r="C266" s="434"/>
    </row>
    <row r="267" spans="2:3" ht="20.100000000000001" customHeight="1">
      <c r="B267" s="434"/>
      <c r="C267" s="434"/>
    </row>
    <row r="268" spans="2:3" ht="20.100000000000001" customHeight="1">
      <c r="B268" s="434"/>
      <c r="C268" s="434"/>
    </row>
    <row r="269" spans="2:3" ht="20.100000000000001" customHeight="1">
      <c r="B269" s="434"/>
      <c r="C269" s="434"/>
    </row>
    <row r="270" spans="2:3" ht="20.100000000000001" customHeight="1">
      <c r="B270" s="434"/>
      <c r="C270" s="434"/>
    </row>
    <row r="271" spans="2:3" ht="20.100000000000001" customHeight="1">
      <c r="B271" s="434"/>
      <c r="C271" s="434"/>
    </row>
    <row r="272" spans="2:3" ht="20.100000000000001" customHeight="1">
      <c r="B272" s="434"/>
      <c r="C272" s="434"/>
    </row>
    <row r="273" spans="2:3" ht="20.100000000000001" customHeight="1">
      <c r="B273" s="434"/>
      <c r="C273" s="434"/>
    </row>
    <row r="274" spans="2:3" ht="20.100000000000001" customHeight="1">
      <c r="B274" s="434"/>
      <c r="C274" s="434"/>
    </row>
    <row r="275" spans="2:3" ht="20.100000000000001" customHeight="1">
      <c r="B275" s="434"/>
      <c r="C275" s="434"/>
    </row>
    <row r="276" spans="2:3" ht="20.100000000000001" customHeight="1">
      <c r="B276" s="434"/>
      <c r="C276" s="434"/>
    </row>
    <row r="277" spans="2:3" ht="20.100000000000001" customHeight="1">
      <c r="B277" s="434"/>
      <c r="C277" s="434"/>
    </row>
    <row r="278" spans="2:3" ht="20.100000000000001" customHeight="1">
      <c r="B278" s="434"/>
      <c r="C278" s="434"/>
    </row>
    <row r="279" spans="2:3" ht="20.100000000000001" customHeight="1">
      <c r="B279" s="434"/>
      <c r="C279" s="434"/>
    </row>
    <row r="280" spans="2:3" ht="20.100000000000001" customHeight="1">
      <c r="B280" s="434"/>
      <c r="C280" s="434"/>
    </row>
    <row r="281" spans="2:3" ht="20.100000000000001" customHeight="1">
      <c r="B281" s="434"/>
      <c r="C281" s="434"/>
    </row>
    <row r="282" spans="2:3" ht="20.100000000000001" customHeight="1">
      <c r="B282" s="434"/>
      <c r="C282" s="434"/>
    </row>
    <row r="283" spans="2:3" ht="20.100000000000001" customHeight="1">
      <c r="B283" s="434"/>
      <c r="C283" s="434"/>
    </row>
    <row r="284" spans="2:3" ht="20.100000000000001" customHeight="1">
      <c r="B284" s="434"/>
      <c r="C284" s="434"/>
    </row>
    <row r="285" spans="2:3" ht="20.100000000000001" customHeight="1">
      <c r="B285" s="434"/>
      <c r="C285" s="434"/>
    </row>
    <row r="286" spans="2:3" ht="20.100000000000001" customHeight="1">
      <c r="B286" s="434"/>
      <c r="C286" s="434"/>
    </row>
    <row r="287" spans="2:3" ht="20.100000000000001" customHeight="1">
      <c r="B287" s="434"/>
      <c r="C287" s="434"/>
    </row>
    <row r="288" spans="2:3" ht="20.100000000000001" customHeight="1">
      <c r="B288" s="434"/>
      <c r="C288" s="434"/>
    </row>
    <row r="289" spans="2:3" ht="20.100000000000001" customHeight="1">
      <c r="B289" s="434"/>
      <c r="C289" s="434"/>
    </row>
    <row r="290" spans="2:3" ht="20.100000000000001" customHeight="1">
      <c r="B290" s="434"/>
      <c r="C290" s="434"/>
    </row>
    <row r="291" spans="2:3" ht="20.100000000000001" customHeight="1">
      <c r="B291" s="434"/>
      <c r="C291" s="434"/>
    </row>
    <row r="292" spans="2:3" ht="20.100000000000001" customHeight="1">
      <c r="B292" s="434"/>
      <c r="C292" s="434"/>
    </row>
    <row r="293" spans="2:3" ht="20.100000000000001" customHeight="1">
      <c r="B293" s="434"/>
      <c r="C293" s="434"/>
    </row>
    <row r="294" spans="2:3" ht="20.100000000000001" customHeight="1">
      <c r="B294" s="434"/>
      <c r="C294" s="434"/>
    </row>
    <row r="295" spans="2:3" ht="20.100000000000001" customHeight="1">
      <c r="B295" s="434"/>
      <c r="C295" s="434"/>
    </row>
    <row r="296" spans="2:3" ht="20.100000000000001" customHeight="1">
      <c r="B296" s="434"/>
      <c r="C296" s="434"/>
    </row>
    <row r="297" spans="2:3" ht="20.100000000000001" customHeight="1">
      <c r="B297" s="434"/>
      <c r="C297" s="434"/>
    </row>
    <row r="298" spans="2:3" ht="20.100000000000001" customHeight="1">
      <c r="B298" s="434"/>
      <c r="C298" s="434"/>
    </row>
    <row r="299" spans="2:3" ht="20.100000000000001" customHeight="1">
      <c r="B299" s="434"/>
      <c r="C299" s="434"/>
    </row>
    <row r="300" spans="2:3" ht="20.100000000000001" customHeight="1">
      <c r="B300" s="434"/>
      <c r="C300" s="434"/>
    </row>
    <row r="301" spans="2:3" ht="20.100000000000001" customHeight="1">
      <c r="B301" s="434"/>
      <c r="C301" s="434"/>
    </row>
    <row r="302" spans="2:3" ht="20.100000000000001" customHeight="1">
      <c r="B302" s="434"/>
      <c r="C302" s="434"/>
    </row>
    <row r="303" spans="2:3" ht="20.100000000000001" customHeight="1">
      <c r="B303" s="434"/>
      <c r="C303" s="434"/>
    </row>
    <row r="304" spans="2:3" ht="20.100000000000001" customHeight="1">
      <c r="B304" s="434"/>
      <c r="C304" s="434"/>
    </row>
    <row r="305" spans="2:3" ht="20.100000000000001" customHeight="1">
      <c r="B305" s="434"/>
      <c r="C305" s="434"/>
    </row>
    <row r="306" spans="2:3" ht="20.100000000000001" customHeight="1">
      <c r="B306" s="434"/>
      <c r="C306" s="434"/>
    </row>
    <row r="307" spans="2:3" ht="20.100000000000001" customHeight="1">
      <c r="B307" s="434"/>
      <c r="C307" s="434"/>
    </row>
    <row r="308" spans="2:3" ht="20.100000000000001" customHeight="1">
      <c r="B308" s="434"/>
      <c r="C308" s="434"/>
    </row>
    <row r="309" spans="2:3" ht="20.100000000000001" customHeight="1">
      <c r="B309" s="434"/>
      <c r="C309" s="434"/>
    </row>
    <row r="310" spans="2:3" ht="20.100000000000001" customHeight="1">
      <c r="B310" s="434"/>
      <c r="C310" s="434"/>
    </row>
    <row r="311" spans="2:3" ht="20.100000000000001" customHeight="1">
      <c r="B311" s="434"/>
      <c r="C311" s="434"/>
    </row>
    <row r="312" spans="2:3" ht="20.100000000000001" customHeight="1">
      <c r="B312" s="434"/>
      <c r="C312" s="434"/>
    </row>
    <row r="313" spans="2:3" ht="20.100000000000001" customHeight="1">
      <c r="B313" s="434"/>
      <c r="C313" s="434"/>
    </row>
    <row r="314" spans="2:3" ht="20.100000000000001" customHeight="1">
      <c r="B314" s="434"/>
      <c r="C314" s="434"/>
    </row>
    <row r="315" spans="2:3" ht="20.100000000000001" customHeight="1">
      <c r="B315" s="434"/>
      <c r="C315" s="434"/>
    </row>
    <row r="316" spans="2:3" ht="20.100000000000001" customHeight="1">
      <c r="B316" s="434"/>
      <c r="C316" s="434"/>
    </row>
    <row r="317" spans="2:3" ht="20.100000000000001" customHeight="1">
      <c r="B317" s="434"/>
      <c r="C317" s="434"/>
    </row>
    <row r="318" spans="2:3" ht="20.100000000000001" customHeight="1">
      <c r="B318" s="434"/>
      <c r="C318" s="434"/>
    </row>
    <row r="319" spans="2:3" ht="20.100000000000001" customHeight="1">
      <c r="B319" s="434"/>
      <c r="C319" s="434"/>
    </row>
    <row r="320" spans="2:3" ht="20.100000000000001" customHeight="1">
      <c r="B320" s="434"/>
      <c r="C320" s="434"/>
    </row>
    <row r="321" spans="2:3" ht="20.100000000000001" customHeight="1">
      <c r="B321" s="434"/>
      <c r="C321" s="434"/>
    </row>
    <row r="322" spans="2:3" ht="20.100000000000001" customHeight="1">
      <c r="B322" s="434"/>
      <c r="C322" s="434"/>
    </row>
    <row r="323" spans="2:3" ht="20.100000000000001" customHeight="1">
      <c r="B323" s="434"/>
      <c r="C323" s="434"/>
    </row>
    <row r="324" spans="2:3" ht="20.100000000000001" customHeight="1">
      <c r="B324" s="434"/>
      <c r="C324" s="434"/>
    </row>
    <row r="325" spans="2:3" ht="20.100000000000001" customHeight="1">
      <c r="B325" s="434"/>
      <c r="C325" s="434"/>
    </row>
    <row r="326" spans="2:3" ht="20.100000000000001" customHeight="1">
      <c r="B326" s="434"/>
      <c r="C326" s="434"/>
    </row>
    <row r="327" spans="2:3" ht="20.100000000000001" customHeight="1">
      <c r="B327" s="434"/>
      <c r="C327" s="434"/>
    </row>
    <row r="328" spans="2:3" ht="20.100000000000001" customHeight="1">
      <c r="B328" s="434"/>
      <c r="C328" s="434"/>
    </row>
    <row r="329" spans="2:3" ht="20.100000000000001" customHeight="1">
      <c r="B329" s="434"/>
      <c r="C329" s="434"/>
    </row>
    <row r="330" spans="2:3" ht="20.100000000000001" customHeight="1">
      <c r="B330" s="434"/>
      <c r="C330" s="434"/>
    </row>
    <row r="331" spans="2:3" ht="20.100000000000001" customHeight="1">
      <c r="B331" s="434"/>
      <c r="C331" s="434"/>
    </row>
    <row r="332" spans="2:3" ht="20.100000000000001" customHeight="1">
      <c r="B332" s="434"/>
      <c r="C332" s="434"/>
    </row>
    <row r="333" spans="2:3" ht="20.100000000000001" customHeight="1">
      <c r="B333" s="434"/>
      <c r="C333" s="434"/>
    </row>
    <row r="334" spans="2:3" ht="20.100000000000001" customHeight="1">
      <c r="B334" s="434"/>
      <c r="C334" s="434"/>
    </row>
    <row r="335" spans="2:3" ht="20.100000000000001" customHeight="1">
      <c r="B335" s="434"/>
      <c r="C335" s="434"/>
    </row>
    <row r="336" spans="2:3" ht="20.100000000000001" customHeight="1">
      <c r="B336" s="434"/>
      <c r="C336" s="434"/>
    </row>
    <row r="337" spans="2:3" ht="20.100000000000001" customHeight="1">
      <c r="B337" s="434"/>
      <c r="C337" s="434"/>
    </row>
    <row r="338" spans="2:3" ht="20.100000000000001" customHeight="1">
      <c r="B338" s="434"/>
      <c r="C338" s="434"/>
    </row>
    <row r="339" spans="2:3" ht="20.100000000000001" customHeight="1">
      <c r="B339" s="434"/>
      <c r="C339" s="434"/>
    </row>
    <row r="340" spans="2:3" ht="20.100000000000001" customHeight="1">
      <c r="B340" s="434"/>
      <c r="C340" s="434"/>
    </row>
    <row r="341" spans="2:3" ht="20.100000000000001" customHeight="1">
      <c r="B341" s="434"/>
      <c r="C341" s="434"/>
    </row>
    <row r="342" spans="2:3" ht="20.100000000000001" customHeight="1">
      <c r="B342" s="434"/>
      <c r="C342" s="434"/>
    </row>
    <row r="343" spans="2:3" ht="20.100000000000001" customHeight="1">
      <c r="B343" s="434"/>
      <c r="C343" s="434"/>
    </row>
    <row r="344" spans="2:3" ht="20.100000000000001" customHeight="1">
      <c r="B344" s="434"/>
      <c r="C344" s="434"/>
    </row>
    <row r="345" spans="2:3" ht="20.100000000000001" customHeight="1">
      <c r="B345" s="434"/>
      <c r="C345" s="434"/>
    </row>
    <row r="346" spans="2:3" ht="20.100000000000001" customHeight="1">
      <c r="B346" s="434"/>
      <c r="C346" s="434"/>
    </row>
    <row r="347" spans="2:3" ht="20.100000000000001" customHeight="1">
      <c r="B347" s="434"/>
      <c r="C347" s="434"/>
    </row>
    <row r="348" spans="2:3" ht="20.100000000000001" customHeight="1">
      <c r="B348" s="434"/>
      <c r="C348" s="434"/>
    </row>
    <row r="349" spans="2:3" ht="20.100000000000001" customHeight="1">
      <c r="B349" s="434"/>
      <c r="C349" s="434"/>
    </row>
    <row r="350" spans="2:3" ht="20.100000000000001" customHeight="1">
      <c r="B350" s="434"/>
      <c r="C350" s="434"/>
    </row>
    <row r="351" spans="2:3" ht="20.100000000000001" customHeight="1">
      <c r="B351" s="434"/>
      <c r="C351" s="434"/>
    </row>
    <row r="352" spans="2:3" ht="20.100000000000001" customHeight="1">
      <c r="B352" s="434"/>
      <c r="C352" s="434"/>
    </row>
    <row r="353" spans="2:3" ht="20.100000000000001" customHeight="1">
      <c r="B353" s="434"/>
      <c r="C353" s="434"/>
    </row>
    <row r="354" spans="2:3" ht="20.100000000000001" customHeight="1">
      <c r="B354" s="434"/>
      <c r="C354" s="434"/>
    </row>
    <row r="355" spans="2:3" ht="20.100000000000001" customHeight="1">
      <c r="B355" s="434"/>
      <c r="C355" s="434"/>
    </row>
    <row r="356" spans="2:3" ht="20.100000000000001" customHeight="1">
      <c r="B356" s="434"/>
      <c r="C356" s="434"/>
    </row>
    <row r="357" spans="2:3" ht="20.100000000000001" customHeight="1">
      <c r="B357" s="434"/>
      <c r="C357" s="434"/>
    </row>
    <row r="358" spans="2:3" ht="20.100000000000001" customHeight="1">
      <c r="B358" s="434"/>
      <c r="C358" s="434"/>
    </row>
    <row r="359" spans="2:3" ht="20.100000000000001" customHeight="1">
      <c r="B359" s="434"/>
      <c r="C359" s="434"/>
    </row>
    <row r="360" spans="2:3" ht="20.100000000000001" customHeight="1">
      <c r="B360" s="434"/>
      <c r="C360" s="434"/>
    </row>
    <row r="361" spans="2:3" ht="20.100000000000001" customHeight="1">
      <c r="B361" s="434"/>
      <c r="C361" s="434"/>
    </row>
    <row r="362" spans="2:3" ht="20.100000000000001" customHeight="1">
      <c r="B362" s="434"/>
      <c r="C362" s="434"/>
    </row>
    <row r="363" spans="2:3" ht="20.100000000000001" customHeight="1">
      <c r="B363" s="434"/>
      <c r="C363" s="434"/>
    </row>
    <row r="364" spans="2:3" ht="20.100000000000001" customHeight="1">
      <c r="B364" s="434"/>
      <c r="C364" s="434"/>
    </row>
    <row r="365" spans="2:3" ht="20.100000000000001" customHeight="1">
      <c r="B365" s="434"/>
      <c r="C365" s="434"/>
    </row>
    <row r="366" spans="2:3" ht="20.100000000000001" customHeight="1">
      <c r="B366" s="434"/>
      <c r="C366" s="434"/>
    </row>
    <row r="367" spans="2:3" ht="20.100000000000001" customHeight="1">
      <c r="B367" s="434"/>
      <c r="C367" s="434"/>
    </row>
    <row r="368" spans="2:3" ht="20.100000000000001" customHeight="1">
      <c r="B368" s="434"/>
      <c r="C368" s="434"/>
    </row>
    <row r="369" spans="2:3" ht="20.100000000000001" customHeight="1">
      <c r="B369" s="434"/>
      <c r="C369" s="434"/>
    </row>
    <row r="370" spans="2:3" ht="20.100000000000001" customHeight="1">
      <c r="B370" s="434"/>
      <c r="C370" s="434"/>
    </row>
    <row r="371" spans="2:3" ht="20.100000000000001" customHeight="1">
      <c r="B371" s="434"/>
      <c r="C371" s="434"/>
    </row>
    <row r="372" spans="2:3" ht="20.100000000000001" customHeight="1">
      <c r="B372" s="434"/>
      <c r="C372" s="434"/>
    </row>
    <row r="373" spans="2:3" ht="20.100000000000001" customHeight="1">
      <c r="B373" s="434"/>
      <c r="C373" s="434"/>
    </row>
    <row r="374" spans="2:3" ht="20.100000000000001" customHeight="1">
      <c r="B374" s="434"/>
      <c r="C374" s="434"/>
    </row>
    <row r="375" spans="2:3" ht="20.100000000000001" customHeight="1">
      <c r="B375" s="434"/>
      <c r="C375" s="434"/>
    </row>
    <row r="376" spans="2:3" ht="20.100000000000001" customHeight="1">
      <c r="B376" s="434"/>
      <c r="C376" s="434"/>
    </row>
    <row r="377" spans="2:3" ht="20.100000000000001" customHeight="1">
      <c r="B377" s="434"/>
      <c r="C377" s="434"/>
    </row>
    <row r="378" spans="2:3" ht="20.100000000000001" customHeight="1">
      <c r="B378" s="434"/>
      <c r="C378" s="434"/>
    </row>
    <row r="379" spans="2:3" ht="20.100000000000001" customHeight="1">
      <c r="B379" s="434"/>
      <c r="C379" s="434"/>
    </row>
    <row r="380" spans="2:3" ht="20.100000000000001" customHeight="1">
      <c r="B380" s="434"/>
      <c r="C380" s="434"/>
    </row>
    <row r="381" spans="2:3" ht="20.100000000000001" customHeight="1">
      <c r="B381" s="434"/>
      <c r="C381" s="434"/>
    </row>
    <row r="382" spans="2:3" ht="20.100000000000001" customHeight="1">
      <c r="B382" s="434"/>
      <c r="C382" s="434"/>
    </row>
    <row r="383" spans="2:3" ht="20.100000000000001" customHeight="1">
      <c r="B383" s="434"/>
      <c r="C383" s="434"/>
    </row>
    <row r="384" spans="2:3" ht="20.100000000000001" customHeight="1">
      <c r="B384" s="434"/>
      <c r="C384" s="434"/>
    </row>
    <row r="385" spans="2:3" ht="20.100000000000001" customHeight="1">
      <c r="B385" s="434"/>
      <c r="C385" s="434"/>
    </row>
    <row r="386" spans="2:3" ht="20.100000000000001" customHeight="1">
      <c r="B386" s="434"/>
      <c r="C386" s="434"/>
    </row>
    <row r="387" spans="2:3" ht="20.100000000000001" customHeight="1">
      <c r="B387" s="434"/>
      <c r="C387" s="434"/>
    </row>
    <row r="388" spans="2:3" ht="20.100000000000001" customHeight="1">
      <c r="B388" s="434"/>
      <c r="C388" s="434"/>
    </row>
    <row r="389" spans="2:3" ht="20.100000000000001" customHeight="1">
      <c r="B389" s="434"/>
      <c r="C389" s="434"/>
    </row>
    <row r="390" spans="2:3" ht="20.100000000000001" customHeight="1">
      <c r="B390" s="434"/>
      <c r="C390" s="434"/>
    </row>
    <row r="391" spans="2:3" ht="20.100000000000001" customHeight="1">
      <c r="B391" s="434"/>
      <c r="C391" s="434"/>
    </row>
    <row r="392" spans="2:3" ht="20.100000000000001" customHeight="1">
      <c r="B392" s="434"/>
      <c r="C392" s="434"/>
    </row>
    <row r="393" spans="2:3" ht="20.100000000000001" customHeight="1">
      <c r="B393" s="434"/>
      <c r="C393" s="434"/>
    </row>
    <row r="394" spans="2:3" ht="20.100000000000001" customHeight="1">
      <c r="B394" s="434"/>
      <c r="C394" s="434"/>
    </row>
    <row r="395" spans="2:3" ht="20.100000000000001" customHeight="1">
      <c r="B395" s="434"/>
      <c r="C395" s="434"/>
    </row>
    <row r="396" spans="2:3" ht="20.100000000000001" customHeight="1">
      <c r="B396" s="434"/>
      <c r="C396" s="434"/>
    </row>
    <row r="397" spans="2:3" ht="20.100000000000001" customHeight="1">
      <c r="B397" s="434"/>
      <c r="C397" s="434"/>
    </row>
    <row r="398" spans="2:3" ht="20.100000000000001" customHeight="1">
      <c r="B398" s="434"/>
      <c r="C398" s="434"/>
    </row>
    <row r="399" spans="2:3" ht="20.100000000000001" customHeight="1">
      <c r="B399" s="434"/>
      <c r="C399" s="434"/>
    </row>
    <row r="400" spans="2:3" ht="20.100000000000001" customHeight="1">
      <c r="B400" s="434"/>
      <c r="C400" s="434"/>
    </row>
    <row r="401" spans="2:3" ht="20.100000000000001" customHeight="1">
      <c r="B401" s="434"/>
      <c r="C401" s="434"/>
    </row>
    <row r="402" spans="2:3" ht="20.100000000000001" customHeight="1">
      <c r="B402" s="434"/>
      <c r="C402" s="434"/>
    </row>
    <row r="403" spans="2:3" ht="20.100000000000001" customHeight="1">
      <c r="B403" s="434"/>
      <c r="C403" s="434"/>
    </row>
    <row r="404" spans="2:3" ht="20.100000000000001" customHeight="1">
      <c r="B404" s="434"/>
      <c r="C404" s="434"/>
    </row>
    <row r="405" spans="2:3" ht="20.100000000000001" customHeight="1">
      <c r="B405" s="434"/>
      <c r="C405" s="434"/>
    </row>
    <row r="406" spans="2:3" ht="20.100000000000001" customHeight="1">
      <c r="B406" s="434"/>
      <c r="C406" s="434"/>
    </row>
    <row r="407" spans="2:3" ht="20.100000000000001" customHeight="1">
      <c r="B407" s="434"/>
      <c r="C407" s="434"/>
    </row>
    <row r="408" spans="2:3" ht="20.100000000000001" customHeight="1">
      <c r="B408" s="434"/>
      <c r="C408" s="434"/>
    </row>
    <row r="409" spans="2:3" ht="20.100000000000001" customHeight="1">
      <c r="B409" s="434"/>
      <c r="C409" s="434"/>
    </row>
    <row r="410" spans="2:3" ht="20.100000000000001" customHeight="1">
      <c r="B410" s="434"/>
      <c r="C410" s="434"/>
    </row>
    <row r="411" spans="2:3" ht="20.100000000000001" customHeight="1">
      <c r="B411" s="434"/>
      <c r="C411" s="434"/>
    </row>
    <row r="412" spans="2:3" ht="20.100000000000001" customHeight="1">
      <c r="B412" s="434"/>
      <c r="C412" s="434"/>
    </row>
    <row r="413" spans="2:3" ht="20.100000000000001" customHeight="1">
      <c r="B413" s="434"/>
      <c r="C413" s="434"/>
    </row>
    <row r="414" spans="2:3" ht="20.100000000000001" customHeight="1">
      <c r="B414" s="434"/>
      <c r="C414" s="434"/>
    </row>
    <row r="415" spans="2:3" ht="20.100000000000001" customHeight="1">
      <c r="B415" s="434"/>
      <c r="C415" s="434"/>
    </row>
    <row r="416" spans="2:3" ht="20.100000000000001" customHeight="1">
      <c r="B416" s="434"/>
      <c r="C416" s="434"/>
    </row>
    <row r="417" spans="2:3" ht="20.100000000000001" customHeight="1">
      <c r="B417" s="434"/>
      <c r="C417" s="434"/>
    </row>
    <row r="418" spans="2:3" ht="20.100000000000001" customHeight="1">
      <c r="B418" s="434"/>
      <c r="C418" s="434"/>
    </row>
    <row r="419" spans="2:3" ht="20.100000000000001" customHeight="1">
      <c r="B419" s="434"/>
      <c r="C419" s="434"/>
    </row>
    <row r="420" spans="2:3" ht="20.100000000000001" customHeight="1">
      <c r="B420" s="434"/>
      <c r="C420" s="434"/>
    </row>
    <row r="421" spans="2:3" ht="20.100000000000001" customHeight="1">
      <c r="B421" s="434"/>
      <c r="C421" s="434"/>
    </row>
    <row r="422" spans="2:3" ht="20.100000000000001" customHeight="1">
      <c r="B422" s="434"/>
      <c r="C422" s="434"/>
    </row>
    <row r="423" spans="2:3" ht="20.100000000000001" customHeight="1">
      <c r="B423" s="434"/>
      <c r="C423" s="434"/>
    </row>
    <row r="424" spans="2:3" ht="20.100000000000001" customHeight="1">
      <c r="B424" s="434"/>
      <c r="C424" s="434"/>
    </row>
    <row r="425" spans="2:3" ht="20.100000000000001" customHeight="1">
      <c r="B425" s="434"/>
      <c r="C425" s="434"/>
    </row>
    <row r="426" spans="2:3" ht="20.100000000000001" customHeight="1">
      <c r="B426" s="434"/>
      <c r="C426" s="434"/>
    </row>
    <row r="427" spans="2:3" ht="20.100000000000001" customHeight="1">
      <c r="B427" s="434"/>
      <c r="C427" s="434"/>
    </row>
    <row r="428" spans="2:3" ht="20.100000000000001" customHeight="1">
      <c r="B428" s="434"/>
      <c r="C428" s="434"/>
    </row>
    <row r="429" spans="2:3" ht="20.100000000000001" customHeight="1">
      <c r="B429" s="434"/>
      <c r="C429" s="434"/>
    </row>
    <row r="430" spans="2:3" ht="20.100000000000001" customHeight="1">
      <c r="B430" s="434"/>
      <c r="C430" s="434"/>
    </row>
    <row r="431" spans="2:3" ht="20.100000000000001" customHeight="1">
      <c r="B431" s="434"/>
      <c r="C431" s="434"/>
    </row>
    <row r="432" spans="2:3" ht="20.100000000000001" customHeight="1">
      <c r="B432" s="434"/>
      <c r="C432" s="434"/>
    </row>
    <row r="433" spans="2:3" ht="20.100000000000001" customHeight="1">
      <c r="B433" s="434"/>
      <c r="C433" s="434"/>
    </row>
    <row r="434" spans="2:3" ht="20.100000000000001" customHeight="1">
      <c r="B434" s="434"/>
      <c r="C434" s="434"/>
    </row>
    <row r="435" spans="2:3" ht="20.100000000000001" customHeight="1">
      <c r="B435" s="434"/>
      <c r="C435" s="434"/>
    </row>
    <row r="436" spans="2:3" ht="20.100000000000001" customHeight="1">
      <c r="B436" s="434"/>
      <c r="C436" s="434"/>
    </row>
    <row r="437" spans="2:3" ht="20.100000000000001" customHeight="1">
      <c r="B437" s="434"/>
      <c r="C437" s="434"/>
    </row>
    <row r="438" spans="2:3" ht="20.100000000000001" customHeight="1">
      <c r="B438" s="434"/>
      <c r="C438" s="434"/>
    </row>
    <row r="439" spans="2:3" ht="20.100000000000001" customHeight="1">
      <c r="B439" s="434"/>
      <c r="C439" s="434"/>
    </row>
    <row r="440" spans="2:3" ht="20.100000000000001" customHeight="1">
      <c r="B440" s="434"/>
      <c r="C440" s="434"/>
    </row>
    <row r="441" spans="2:3" ht="20.100000000000001" customHeight="1">
      <c r="B441" s="434"/>
      <c r="C441" s="434"/>
    </row>
    <row r="442" spans="2:3" ht="20.100000000000001" customHeight="1">
      <c r="B442" s="434"/>
      <c r="C442" s="434"/>
    </row>
    <row r="443" spans="2:3" ht="20.100000000000001" customHeight="1">
      <c r="B443" s="434"/>
      <c r="C443" s="434"/>
    </row>
    <row r="444" spans="2:3" ht="20.100000000000001" customHeight="1">
      <c r="B444" s="434"/>
      <c r="C444" s="434"/>
    </row>
    <row r="445" spans="2:3" ht="20.100000000000001" customHeight="1">
      <c r="B445" s="434"/>
      <c r="C445" s="434"/>
    </row>
    <row r="446" spans="2:3" ht="20.100000000000001" customHeight="1">
      <c r="B446" s="434"/>
      <c r="C446" s="434"/>
    </row>
    <row r="447" spans="2:3" ht="20.100000000000001" customHeight="1">
      <c r="B447" s="434"/>
      <c r="C447" s="434"/>
    </row>
    <row r="448" spans="2:3" ht="20.100000000000001" customHeight="1">
      <c r="B448" s="434"/>
      <c r="C448" s="434"/>
    </row>
    <row r="449" spans="2:3" ht="20.100000000000001" customHeight="1">
      <c r="B449" s="434"/>
      <c r="C449" s="434"/>
    </row>
    <row r="450" spans="2:3" ht="20.100000000000001" customHeight="1">
      <c r="B450" s="434"/>
      <c r="C450" s="434"/>
    </row>
    <row r="451" spans="2:3" ht="20.100000000000001" customHeight="1">
      <c r="B451" s="434"/>
      <c r="C451" s="434"/>
    </row>
    <row r="452" spans="2:3" ht="20.100000000000001" customHeight="1">
      <c r="B452" s="434"/>
      <c r="C452" s="434"/>
    </row>
    <row r="453" spans="2:3" ht="20.100000000000001" customHeight="1">
      <c r="B453" s="434"/>
      <c r="C453" s="434"/>
    </row>
    <row r="454" spans="2:3" ht="20.100000000000001" customHeight="1">
      <c r="B454" s="434"/>
      <c r="C454" s="434"/>
    </row>
    <row r="455" spans="2:3" ht="20.100000000000001" customHeight="1">
      <c r="B455" s="434"/>
      <c r="C455" s="434"/>
    </row>
    <row r="456" spans="2:3" ht="20.100000000000001" customHeight="1">
      <c r="B456" s="434"/>
      <c r="C456" s="434"/>
    </row>
    <row r="457" spans="2:3" ht="20.100000000000001" customHeight="1">
      <c r="B457" s="434"/>
      <c r="C457" s="434"/>
    </row>
    <row r="458" spans="2:3" ht="20.100000000000001" customHeight="1">
      <c r="B458" s="434"/>
      <c r="C458" s="434"/>
    </row>
    <row r="459" spans="2:3" ht="20.100000000000001" customHeight="1">
      <c r="B459" s="434"/>
      <c r="C459" s="434"/>
    </row>
    <row r="460" spans="2:3" ht="20.100000000000001" customHeight="1">
      <c r="B460" s="434"/>
      <c r="C460" s="434"/>
    </row>
    <row r="461" spans="2:3" ht="20.100000000000001" customHeight="1">
      <c r="B461" s="434"/>
      <c r="C461" s="434"/>
    </row>
    <row r="462" spans="2:3" ht="20.100000000000001" customHeight="1">
      <c r="B462" s="434"/>
      <c r="C462" s="434"/>
    </row>
    <row r="463" spans="2:3" ht="20.100000000000001" customHeight="1">
      <c r="B463" s="434"/>
      <c r="C463" s="434"/>
    </row>
    <row r="464" spans="2:3" ht="20.100000000000001" customHeight="1">
      <c r="B464" s="434"/>
      <c r="C464" s="434"/>
    </row>
  </sheetData>
  <phoneticPr fontId="2"/>
  <pageMargins left="0" right="0" top="0.27559055118110237" bottom="0" header="0" footer="0"/>
  <pageSetup paperSize="9" scale="32" orientation="landscape" r:id="rId1"/>
  <headerFooter>
    <oddFooter>&amp;R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2:AG27"/>
  <sheetViews>
    <sheetView showGridLines="0" zoomScale="86" zoomScaleNormal="86" workbookViewId="0">
      <selection activeCell="X12" sqref="X12"/>
    </sheetView>
  </sheetViews>
  <sheetFormatPr defaultRowHeight="13.5"/>
  <cols>
    <col min="1" max="1" width="1.83203125" customWidth="1"/>
    <col min="2" max="2" width="15.5" customWidth="1"/>
    <col min="3" max="4" width="10.6640625" hidden="1" customWidth="1"/>
    <col min="5" max="11" width="10.6640625" customWidth="1"/>
    <col min="13" max="14" width="11.1640625" hidden="1" customWidth="1"/>
    <col min="15" max="21" width="11.1640625" customWidth="1"/>
    <col min="22" max="22" width="8.33203125" customWidth="1"/>
    <col min="24" max="24" width="13" customWidth="1"/>
    <col min="25" max="26" width="9.33203125" hidden="1" customWidth="1"/>
    <col min="27" max="33" width="9.33203125" customWidth="1"/>
  </cols>
  <sheetData>
    <row r="2" spans="2:33">
      <c r="B2" t="s">
        <v>121</v>
      </c>
      <c r="X2" t="s">
        <v>121</v>
      </c>
    </row>
    <row r="3" spans="2:33">
      <c r="D3" t="str">
        <f>'Sales comparison '!Q7</f>
        <v>Rev. 7-4</v>
      </c>
      <c r="E3" t="str">
        <f>'Sales comparison '!T7</f>
        <v>Rev. 7-4</v>
      </c>
      <c r="N3" t="str">
        <f>'Sales comparison '!R7</f>
        <v>Rev. 8-1</v>
      </c>
      <c r="O3" t="str">
        <f>'Sales comparison '!R7</f>
        <v>Rev. 8-1</v>
      </c>
      <c r="Z3" t="s">
        <v>134</v>
      </c>
      <c r="AA3" t="str">
        <f>Z3</f>
        <v>GAP</v>
      </c>
    </row>
    <row r="4" spans="2:33">
      <c r="B4" t="s">
        <v>70</v>
      </c>
      <c r="C4" s="12">
        <v>44652</v>
      </c>
      <c r="D4" s="12">
        <v>44682</v>
      </c>
      <c r="E4" s="12">
        <v>44713</v>
      </c>
      <c r="F4" s="12">
        <v>44743</v>
      </c>
      <c r="G4" s="12">
        <v>44774</v>
      </c>
      <c r="H4" s="12">
        <v>44805</v>
      </c>
      <c r="I4" s="12">
        <v>44835</v>
      </c>
      <c r="J4" s="12">
        <v>44866</v>
      </c>
      <c r="K4" s="12">
        <v>44896</v>
      </c>
      <c r="L4" s="2"/>
      <c r="M4" s="12">
        <f t="shared" ref="M4:R4" si="0">C4</f>
        <v>44652</v>
      </c>
      <c r="N4" s="12">
        <f t="shared" si="0"/>
        <v>44682</v>
      </c>
      <c r="O4" s="12">
        <f t="shared" si="0"/>
        <v>44713</v>
      </c>
      <c r="P4" s="12">
        <f t="shared" si="0"/>
        <v>44743</v>
      </c>
      <c r="Q4" s="12">
        <f t="shared" si="0"/>
        <v>44774</v>
      </c>
      <c r="R4" s="12">
        <f t="shared" si="0"/>
        <v>44805</v>
      </c>
      <c r="S4" s="12">
        <f t="shared" ref="S4:U4" si="1">I4</f>
        <v>44835</v>
      </c>
      <c r="T4" s="12">
        <f t="shared" si="1"/>
        <v>44866</v>
      </c>
      <c r="U4" s="12">
        <f t="shared" si="1"/>
        <v>44896</v>
      </c>
      <c r="V4" s="8"/>
      <c r="X4" t="s">
        <v>70</v>
      </c>
      <c r="Y4" s="12">
        <v>44652</v>
      </c>
      <c r="Z4" s="12">
        <v>44682</v>
      </c>
      <c r="AA4" s="12">
        <v>44713</v>
      </c>
      <c r="AB4" s="12">
        <v>44743</v>
      </c>
      <c r="AC4" s="12">
        <v>44774</v>
      </c>
      <c r="AD4" s="12">
        <v>44805</v>
      </c>
      <c r="AE4" s="12">
        <v>44835</v>
      </c>
      <c r="AF4" s="12">
        <v>44866</v>
      </c>
      <c r="AG4" s="12">
        <v>44896</v>
      </c>
    </row>
    <row r="5" spans="2:33" ht="15">
      <c r="B5" s="15" t="s">
        <v>71</v>
      </c>
      <c r="C5" s="3">
        <f>'Prodn comparison '!E42</f>
        <v>1735.1419999999998</v>
      </c>
      <c r="D5" s="3">
        <f>'Prodn comparison '!H42</f>
        <v>1440.1290000000001</v>
      </c>
      <c r="E5" s="3">
        <f>'Prodn comparison '!K42</f>
        <v>1486.0220000000002</v>
      </c>
      <c r="F5" s="3">
        <f>'Prodn comparison '!N42</f>
        <v>1181</v>
      </c>
      <c r="G5" s="3">
        <f>'Prodn comparison '!Q42</f>
        <v>1360.5</v>
      </c>
      <c r="H5" s="3">
        <f>'Prodn comparison '!T42</f>
        <v>1340</v>
      </c>
      <c r="I5" s="3">
        <f>'Prodn comparison '!W42</f>
        <v>1395</v>
      </c>
      <c r="J5" s="3">
        <f>'Prodn comparison '!Z42</f>
        <v>1547</v>
      </c>
      <c r="K5" s="3">
        <f>'Prodn comparison '!AC42</f>
        <v>1318</v>
      </c>
      <c r="L5" s="4"/>
      <c r="M5" s="3">
        <f>'Prodn comparison '!F42</f>
        <v>1735.1419999999998</v>
      </c>
      <c r="N5" s="3">
        <f>'Prodn comparison '!I42</f>
        <v>1440.1290000000001</v>
      </c>
      <c r="O5" s="3">
        <f>'Prodn comparison '!L42</f>
        <v>1486.0220000000002</v>
      </c>
      <c r="P5" s="3">
        <f>'Prodn comparison '!O42</f>
        <v>1201.511</v>
      </c>
      <c r="Q5" s="3">
        <f>'Prodn comparison '!R42</f>
        <v>965.5</v>
      </c>
      <c r="R5" s="3">
        <f>'Prodn comparison '!U42</f>
        <v>850</v>
      </c>
      <c r="S5" s="3">
        <f>'Prodn comparison '!X42</f>
        <v>1215</v>
      </c>
      <c r="T5" s="3">
        <f>'Prodn comparison '!AA42</f>
        <v>1505</v>
      </c>
      <c r="U5" s="3">
        <f>'Prodn comparison '!AD42</f>
        <v>1273</v>
      </c>
      <c r="V5" s="9"/>
      <c r="X5" s="15" t="s">
        <v>71</v>
      </c>
      <c r="Y5" s="11">
        <f t="shared" ref="Y5:AG11" si="2">M5-C5</f>
        <v>0</v>
      </c>
      <c r="Z5" s="11">
        <f t="shared" si="2"/>
        <v>0</v>
      </c>
      <c r="AA5" s="11">
        <f t="shared" si="2"/>
        <v>0</v>
      </c>
      <c r="AB5" s="11">
        <f t="shared" si="2"/>
        <v>20.510999999999967</v>
      </c>
      <c r="AC5" s="11">
        <f t="shared" si="2"/>
        <v>-395</v>
      </c>
      <c r="AD5" s="11">
        <f t="shared" si="2"/>
        <v>-490</v>
      </c>
      <c r="AE5" s="11">
        <f t="shared" si="2"/>
        <v>-180</v>
      </c>
      <c r="AF5" s="11">
        <f t="shared" si="2"/>
        <v>-42</v>
      </c>
      <c r="AG5" s="11">
        <f t="shared" si="2"/>
        <v>-45</v>
      </c>
    </row>
    <row r="6" spans="2:33" ht="15">
      <c r="B6" s="15" t="s">
        <v>124</v>
      </c>
      <c r="C6" s="3">
        <f>'Prodn comparison '!E51</f>
        <v>838.28800000000001</v>
      </c>
      <c r="D6" s="3">
        <f>'Prodn comparison '!H51</f>
        <v>959.49399999999991</v>
      </c>
      <c r="E6" s="3">
        <f>'Prodn comparison '!K51</f>
        <v>945.01600000000008</v>
      </c>
      <c r="F6" s="3">
        <f>'Prodn comparison '!N51</f>
        <v>510</v>
      </c>
      <c r="G6" s="3">
        <f>'Prodn comparison '!Q51</f>
        <v>420</v>
      </c>
      <c r="H6" s="3">
        <f>'Prodn comparison '!T51</f>
        <v>420</v>
      </c>
      <c r="I6" s="3">
        <f>'Prodn comparison '!W51</f>
        <v>800</v>
      </c>
      <c r="J6" s="3">
        <f>'Prodn comparison '!Z51</f>
        <v>817</v>
      </c>
      <c r="K6" s="3">
        <f>'Prodn comparison '!AC51</f>
        <v>798</v>
      </c>
      <c r="L6" s="4"/>
      <c r="M6" s="3">
        <f>'Prodn comparison '!F51</f>
        <v>838.28800000000001</v>
      </c>
      <c r="N6" s="3">
        <f>'Prodn comparison '!I51</f>
        <v>959.49399999999991</v>
      </c>
      <c r="O6" s="3">
        <f>'Prodn comparison '!L51</f>
        <v>945.01600000000008</v>
      </c>
      <c r="P6" s="3">
        <f>'Prodn comparison '!O51</f>
        <v>516.06200000000001</v>
      </c>
      <c r="Q6" s="3">
        <f>'Prodn comparison '!R51</f>
        <v>350</v>
      </c>
      <c r="R6" s="3">
        <f>'Prodn comparison '!U51</f>
        <v>350</v>
      </c>
      <c r="S6" s="3">
        <f>'Prodn comparison '!X51</f>
        <v>700</v>
      </c>
      <c r="T6" s="3">
        <f>'Prodn comparison '!AA51</f>
        <v>817</v>
      </c>
      <c r="U6" s="3">
        <f>'Prodn comparison '!AD51</f>
        <v>798</v>
      </c>
      <c r="V6" s="9"/>
      <c r="X6" s="15" t="s">
        <v>124</v>
      </c>
      <c r="Y6" s="11">
        <f t="shared" si="2"/>
        <v>0</v>
      </c>
      <c r="Z6" s="11">
        <f t="shared" si="2"/>
        <v>0</v>
      </c>
      <c r="AA6" s="11">
        <f t="shared" si="2"/>
        <v>0</v>
      </c>
      <c r="AB6" s="11">
        <f t="shared" si="2"/>
        <v>6.0620000000000118</v>
      </c>
      <c r="AC6" s="11">
        <f t="shared" si="2"/>
        <v>-70</v>
      </c>
      <c r="AD6" s="11">
        <f t="shared" si="2"/>
        <v>-70</v>
      </c>
      <c r="AE6" s="11">
        <f t="shared" si="2"/>
        <v>-100</v>
      </c>
      <c r="AF6" s="11">
        <f t="shared" si="2"/>
        <v>0</v>
      </c>
      <c r="AG6" s="11">
        <f t="shared" si="2"/>
        <v>0</v>
      </c>
    </row>
    <row r="7" spans="2:33" ht="15">
      <c r="B7" s="15" t="s">
        <v>72</v>
      </c>
      <c r="C7" s="3">
        <f>'Prodn comparison '!E109</f>
        <v>1504.2540000000001</v>
      </c>
      <c r="D7" s="3">
        <f>'Prodn comparison '!H109</f>
        <v>926.73200000000008</v>
      </c>
      <c r="E7" s="3">
        <f>'Prodn comparison '!K109</f>
        <v>1391.4390000000003</v>
      </c>
      <c r="F7" s="3">
        <f>'Prodn comparison '!N109</f>
        <v>1283.5550000000003</v>
      </c>
      <c r="G7" s="3">
        <f>'Prodn comparison '!Q109</f>
        <v>1168.0500000000004</v>
      </c>
      <c r="H7" s="3">
        <f>'Prodn comparison '!T109</f>
        <v>1287.9140000000002</v>
      </c>
      <c r="I7" s="3">
        <f>'Prodn comparison '!W109</f>
        <v>1509.9399999999998</v>
      </c>
      <c r="J7" s="3">
        <f>'Prodn comparison '!Z109</f>
        <v>1380.6419999999998</v>
      </c>
      <c r="K7" s="3">
        <f>'Prodn comparison '!AC109</f>
        <v>1155.82</v>
      </c>
      <c r="L7" s="4"/>
      <c r="M7" s="3">
        <f>'Prodn comparison '!F109</f>
        <v>1504.2540000000001</v>
      </c>
      <c r="N7" s="3">
        <f>'Prodn comparison '!I109</f>
        <v>926.73200000000008</v>
      </c>
      <c r="O7" s="3">
        <f>'Prodn comparison '!L109</f>
        <v>1391.4390000000003</v>
      </c>
      <c r="P7" s="3">
        <f>'Prodn comparison '!O109</f>
        <v>1289.9859999999996</v>
      </c>
      <c r="Q7" s="3">
        <f>'Prodn comparison '!R109</f>
        <v>1124.5600000000002</v>
      </c>
      <c r="R7" s="3">
        <f>'Prodn comparison '!U109</f>
        <v>1204.434</v>
      </c>
      <c r="S7" s="3">
        <f>'Prodn comparison '!X109</f>
        <v>1512.7859999999998</v>
      </c>
      <c r="T7" s="3">
        <f>'Prodn comparison '!AA109</f>
        <v>1411.7959999999998</v>
      </c>
      <c r="U7" s="3">
        <f>'Prodn comparison '!AD109</f>
        <v>1191.32</v>
      </c>
      <c r="V7" s="9"/>
      <c r="X7" s="15" t="s">
        <v>72</v>
      </c>
      <c r="Y7" s="11">
        <f t="shared" si="2"/>
        <v>0</v>
      </c>
      <c r="Z7" s="11">
        <f t="shared" si="2"/>
        <v>0</v>
      </c>
      <c r="AA7" s="11">
        <f t="shared" si="2"/>
        <v>0</v>
      </c>
      <c r="AB7" s="11">
        <f t="shared" si="2"/>
        <v>6.4309999999993579</v>
      </c>
      <c r="AC7" s="11">
        <f t="shared" si="2"/>
        <v>-43.490000000000236</v>
      </c>
      <c r="AD7" s="11">
        <f t="shared" si="2"/>
        <v>-83.480000000000246</v>
      </c>
      <c r="AE7" s="11">
        <f t="shared" si="2"/>
        <v>2.8460000000000036</v>
      </c>
      <c r="AF7" s="11">
        <f t="shared" si="2"/>
        <v>31.153999999999996</v>
      </c>
      <c r="AG7" s="11">
        <f t="shared" si="2"/>
        <v>35.5</v>
      </c>
    </row>
    <row r="8" spans="2:33" ht="15">
      <c r="B8" s="15" t="s">
        <v>73</v>
      </c>
      <c r="C8" s="3">
        <f>'Prodn comparison '!E117</f>
        <v>2044.4850000000001</v>
      </c>
      <c r="D8" s="3">
        <f>'Prodn comparison '!H117</f>
        <v>1624.9580000000001</v>
      </c>
      <c r="E8" s="3">
        <f>'Prodn comparison '!K117</f>
        <v>1250.578</v>
      </c>
      <c r="F8" s="3">
        <f>'Prodn comparison '!N117</f>
        <v>915.37499999999989</v>
      </c>
      <c r="G8" s="3">
        <f>'Prodn comparison '!Q117</f>
        <v>1090.6550000000002</v>
      </c>
      <c r="H8" s="3">
        <f>'Prodn comparison '!T117</f>
        <v>1133.1500000000001</v>
      </c>
      <c r="I8" s="3">
        <f>'Prodn comparison '!W117</f>
        <v>1345.8</v>
      </c>
      <c r="J8" s="3">
        <f>'Prodn comparison '!Z117</f>
        <v>1244</v>
      </c>
      <c r="K8" s="3">
        <f>'Prodn comparison '!AC117</f>
        <v>1183.5999999999999</v>
      </c>
      <c r="L8" s="4"/>
      <c r="M8" s="3">
        <f>'Prodn comparison '!F117</f>
        <v>2044.4850000000001</v>
      </c>
      <c r="N8" s="3">
        <f>'Prodn comparison '!I117</f>
        <v>1624.9580000000001</v>
      </c>
      <c r="O8" s="3">
        <f>'Prodn comparison '!L117</f>
        <v>1250.578</v>
      </c>
      <c r="P8" s="3">
        <f>'Prodn comparison '!O117</f>
        <v>919.69600000000003</v>
      </c>
      <c r="Q8" s="3">
        <f>'Prodn comparison '!R117</f>
        <v>1040.3050000000001</v>
      </c>
      <c r="R8" s="3">
        <f>'Prodn comparison '!U117</f>
        <v>1083.1500000000001</v>
      </c>
      <c r="S8" s="3">
        <f>'Prodn comparison '!X117</f>
        <v>1345.8</v>
      </c>
      <c r="T8" s="3">
        <f>'Prodn comparison '!AA117</f>
        <v>1244</v>
      </c>
      <c r="U8" s="3">
        <f>'Prodn comparison '!AD117</f>
        <v>1183.5999999999999</v>
      </c>
      <c r="V8" s="9"/>
      <c r="X8" s="15" t="s">
        <v>73</v>
      </c>
      <c r="Y8" s="11">
        <f t="shared" si="2"/>
        <v>0</v>
      </c>
      <c r="Z8" s="11">
        <f t="shared" si="2"/>
        <v>0</v>
      </c>
      <c r="AA8" s="11">
        <f t="shared" si="2"/>
        <v>0</v>
      </c>
      <c r="AB8" s="11">
        <f t="shared" si="2"/>
        <v>4.3210000000001401</v>
      </c>
      <c r="AC8" s="11">
        <f t="shared" si="2"/>
        <v>-50.350000000000136</v>
      </c>
      <c r="AD8" s="11">
        <f t="shared" si="2"/>
        <v>-50</v>
      </c>
      <c r="AE8" s="11">
        <f t="shared" si="2"/>
        <v>0</v>
      </c>
      <c r="AF8" s="11">
        <f t="shared" si="2"/>
        <v>0</v>
      </c>
      <c r="AG8" s="11">
        <f t="shared" si="2"/>
        <v>0</v>
      </c>
    </row>
    <row r="9" spans="2:33" ht="15">
      <c r="B9" s="15" t="s">
        <v>123</v>
      </c>
      <c r="C9" s="3">
        <f>'Prodn comparison '!E141</f>
        <v>267.39999999999998</v>
      </c>
      <c r="D9" s="3">
        <f>'Prodn comparison '!H141</f>
        <v>263.2</v>
      </c>
      <c r="E9" s="3">
        <f>'Prodn comparison '!K141</f>
        <v>295.05</v>
      </c>
      <c r="F9" s="3">
        <f>'Prodn comparison '!N141</f>
        <v>278</v>
      </c>
      <c r="G9" s="3">
        <f>'Prodn comparison '!Q141</f>
        <v>270</v>
      </c>
      <c r="H9" s="3">
        <f>'Prodn comparison '!T141</f>
        <v>270</v>
      </c>
      <c r="I9" s="3">
        <f>'Prodn comparison '!W141</f>
        <v>233</v>
      </c>
      <c r="J9" s="3">
        <f>'Prodn comparison '!Z141</f>
        <v>200</v>
      </c>
      <c r="K9" s="3">
        <f>'Prodn comparison '!AC141</f>
        <v>200</v>
      </c>
      <c r="L9" s="4"/>
      <c r="M9" s="7">
        <f>'Prodn comparison '!F141</f>
        <v>267.39999999999998</v>
      </c>
      <c r="N9" s="7">
        <f>'Prodn comparison '!I141</f>
        <v>263.2</v>
      </c>
      <c r="O9" s="7">
        <f>'Prodn comparison '!L141</f>
        <v>295.05</v>
      </c>
      <c r="P9" s="7">
        <f>'Prodn comparison '!O141</f>
        <v>278.95</v>
      </c>
      <c r="Q9" s="7">
        <f>'Prodn comparison '!R141</f>
        <v>248</v>
      </c>
      <c r="R9" s="7">
        <f>'Prodn comparison '!U141</f>
        <v>252</v>
      </c>
      <c r="S9" s="7">
        <f>'Prodn comparison '!X141</f>
        <v>233</v>
      </c>
      <c r="T9" s="7">
        <f>'Prodn comparison '!AA141</f>
        <v>200</v>
      </c>
      <c r="U9" s="7">
        <f>'Prodn comparison '!AD141</f>
        <v>200</v>
      </c>
      <c r="V9" s="9"/>
      <c r="X9" s="15" t="s">
        <v>123</v>
      </c>
      <c r="Y9" s="11">
        <f t="shared" si="2"/>
        <v>0</v>
      </c>
      <c r="Z9" s="11">
        <f t="shared" si="2"/>
        <v>0</v>
      </c>
      <c r="AA9" s="11">
        <f t="shared" si="2"/>
        <v>0</v>
      </c>
      <c r="AB9" s="11">
        <f t="shared" si="2"/>
        <v>0.94999999999998863</v>
      </c>
      <c r="AC9" s="11">
        <f t="shared" si="2"/>
        <v>-22</v>
      </c>
      <c r="AD9" s="11">
        <f t="shared" si="2"/>
        <v>-18</v>
      </c>
      <c r="AE9" s="11">
        <f t="shared" si="2"/>
        <v>0</v>
      </c>
      <c r="AF9" s="11">
        <f t="shared" si="2"/>
        <v>0</v>
      </c>
      <c r="AG9" s="11">
        <f t="shared" si="2"/>
        <v>0</v>
      </c>
    </row>
    <row r="10" spans="2:33" ht="15">
      <c r="B10" s="15" t="s">
        <v>264</v>
      </c>
      <c r="C10" s="3">
        <f>'Prodn comparison '!E144</f>
        <v>35.197000000000003</v>
      </c>
      <c r="D10" s="3">
        <f>'Prodn comparison '!H144</f>
        <v>8.0670000000000002</v>
      </c>
      <c r="E10" s="3">
        <f>'Prodn comparison '!K144</f>
        <v>0</v>
      </c>
      <c r="F10" s="3">
        <f>'Prodn comparison '!N144</f>
        <v>0</v>
      </c>
      <c r="G10" s="3">
        <f>'Prodn comparison '!Q144</f>
        <v>0</v>
      </c>
      <c r="H10" s="3">
        <f>'Prodn comparison '!T144</f>
        <v>0</v>
      </c>
      <c r="I10" s="3">
        <f>'Prodn comparison '!W144</f>
        <v>0</v>
      </c>
      <c r="J10" s="3">
        <f>'Prodn comparison '!Z144</f>
        <v>0</v>
      </c>
      <c r="K10" s="3">
        <f>'Prodn comparison '!AC144</f>
        <v>0</v>
      </c>
      <c r="L10" s="4"/>
      <c r="M10" s="7">
        <f>'Prodn comparison '!F144</f>
        <v>35.197000000000003</v>
      </c>
      <c r="N10" s="7">
        <f>'Prodn comparison '!I144</f>
        <v>8.0670000000000002</v>
      </c>
      <c r="O10" s="7">
        <f>'Prodn comparison '!L144</f>
        <v>0</v>
      </c>
      <c r="P10" s="7">
        <f>'Prodn comparison '!O144</f>
        <v>0</v>
      </c>
      <c r="Q10" s="7">
        <f>'Prodn comparison '!R144</f>
        <v>0</v>
      </c>
      <c r="R10" s="7">
        <f>'Prodn comparison '!U144</f>
        <v>0</v>
      </c>
      <c r="S10" s="7">
        <f>'Prodn comparison '!Z144</f>
        <v>0</v>
      </c>
      <c r="T10" s="7">
        <f>'Prodn comparison '!AA144</f>
        <v>0</v>
      </c>
      <c r="U10" s="7">
        <f>'Prodn comparison '!AD144</f>
        <v>0</v>
      </c>
      <c r="V10" s="9"/>
      <c r="X10" s="15" t="str">
        <f>B10</f>
        <v>X2079 BRG</v>
      </c>
      <c r="Y10" s="11">
        <f t="shared" si="2"/>
        <v>0</v>
      </c>
      <c r="Z10" s="11">
        <f t="shared" si="2"/>
        <v>0</v>
      </c>
      <c r="AA10" s="11">
        <f t="shared" si="2"/>
        <v>0</v>
      </c>
      <c r="AB10" s="11">
        <f t="shared" si="2"/>
        <v>0</v>
      </c>
      <c r="AC10" s="11">
        <f t="shared" si="2"/>
        <v>0</v>
      </c>
      <c r="AD10" s="11">
        <f t="shared" si="2"/>
        <v>0</v>
      </c>
      <c r="AE10" s="11">
        <f t="shared" si="2"/>
        <v>0</v>
      </c>
      <c r="AF10" s="11">
        <f t="shared" si="2"/>
        <v>0</v>
      </c>
      <c r="AG10" s="11">
        <f t="shared" si="2"/>
        <v>0</v>
      </c>
    </row>
    <row r="11" spans="2:33" ht="15">
      <c r="B11" s="17" t="s">
        <v>425</v>
      </c>
      <c r="C11" s="3">
        <f>'Prodn comparison '!E204</f>
        <v>200.89500000000004</v>
      </c>
      <c r="D11" s="3">
        <f>'Prodn comparison '!H204</f>
        <v>210.37899999999999</v>
      </c>
      <c r="E11" s="3">
        <f>'Prodn comparison '!K204</f>
        <v>275.08</v>
      </c>
      <c r="F11" s="3">
        <f>'Prodn comparison '!N204</f>
        <v>321.79899999999998</v>
      </c>
      <c r="G11" s="3">
        <f>'Prodn comparison '!Q204</f>
        <v>300</v>
      </c>
      <c r="H11" s="3">
        <f>'Prodn comparison '!T204</f>
        <v>405</v>
      </c>
      <c r="I11" s="3">
        <f>'Prodn comparison '!W204</f>
        <v>530</v>
      </c>
      <c r="J11" s="3">
        <f>'Prodn comparison '!Z204</f>
        <v>475</v>
      </c>
      <c r="K11" s="3">
        <f>'Prodn comparison '!AC204</f>
        <v>480</v>
      </c>
      <c r="L11" s="4"/>
      <c r="M11" s="7">
        <f>'Prodn comparison '!F204</f>
        <v>200.89500000000004</v>
      </c>
      <c r="N11" s="7">
        <f>'Prodn comparison '!I204</f>
        <v>210.37899999999999</v>
      </c>
      <c r="O11" s="7">
        <f>'Prodn comparison '!L204</f>
        <v>275.08</v>
      </c>
      <c r="P11" s="7">
        <f>'Prodn comparison '!O204</f>
        <v>328.03299999999996</v>
      </c>
      <c r="Q11" s="7">
        <f>'Prodn comparison '!R204</f>
        <v>300</v>
      </c>
      <c r="R11" s="7">
        <f>'Prodn comparison '!U204</f>
        <v>405</v>
      </c>
      <c r="S11" s="7">
        <f>'Prodn comparison '!X204</f>
        <v>530</v>
      </c>
      <c r="T11" s="7">
        <f>'Prodn comparison '!AA204</f>
        <v>475</v>
      </c>
      <c r="U11" s="7">
        <f>'Prodn comparison '!AD204</f>
        <v>480</v>
      </c>
      <c r="V11" s="9"/>
      <c r="X11" s="17" t="s">
        <v>427</v>
      </c>
      <c r="Y11" s="11">
        <f t="shared" si="2"/>
        <v>0</v>
      </c>
      <c r="Z11" s="11">
        <f t="shared" si="2"/>
        <v>0</v>
      </c>
      <c r="AA11" s="11">
        <f t="shared" si="2"/>
        <v>0</v>
      </c>
      <c r="AB11" s="11">
        <f t="shared" si="2"/>
        <v>6.2339999999999804</v>
      </c>
      <c r="AC11" s="11">
        <f t="shared" si="2"/>
        <v>0</v>
      </c>
      <c r="AD11" s="11">
        <f t="shared" si="2"/>
        <v>0</v>
      </c>
      <c r="AE11" s="11">
        <f t="shared" si="2"/>
        <v>0</v>
      </c>
      <c r="AF11" s="11">
        <f t="shared" si="2"/>
        <v>0</v>
      </c>
      <c r="AG11" s="11">
        <f t="shared" si="2"/>
        <v>0</v>
      </c>
    </row>
    <row r="12" spans="2:33" s="5" customFormat="1" ht="14.25" thickBot="1">
      <c r="B12" s="6" t="s">
        <v>110</v>
      </c>
      <c r="C12" s="13">
        <f t="shared" ref="C12:H12" si="3">SUM(C5:C11)</f>
        <v>6625.6610000000001</v>
      </c>
      <c r="D12" s="13">
        <f t="shared" si="3"/>
        <v>5432.9589999999998</v>
      </c>
      <c r="E12" s="13">
        <f t="shared" si="3"/>
        <v>5643.1850000000004</v>
      </c>
      <c r="F12" s="13">
        <f t="shared" si="3"/>
        <v>4489.7290000000003</v>
      </c>
      <c r="G12" s="13">
        <f t="shared" si="3"/>
        <v>4609.2049999999999</v>
      </c>
      <c r="H12" s="13">
        <f t="shared" si="3"/>
        <v>4856.0640000000003</v>
      </c>
      <c r="I12" s="13">
        <f t="shared" ref="I12:J12" si="4">SUM(I5:I11)</f>
        <v>5813.74</v>
      </c>
      <c r="J12" s="13">
        <f t="shared" si="4"/>
        <v>5663.6419999999998</v>
      </c>
      <c r="K12" s="13">
        <f t="shared" ref="K12" si="5">SUM(K5:K11)</f>
        <v>5135.42</v>
      </c>
      <c r="L12" s="6"/>
      <c r="M12" s="14">
        <f t="shared" ref="M12" si="6">SUM(M5:M11)</f>
        <v>6625.6610000000001</v>
      </c>
      <c r="N12" s="14">
        <f t="shared" ref="N12" si="7">SUM(N5:N11)</f>
        <v>5432.9589999999998</v>
      </c>
      <c r="O12" s="14">
        <f t="shared" ref="O12" si="8">SUM(O5:O11)</f>
        <v>5643.1850000000004</v>
      </c>
      <c r="P12" s="14">
        <f t="shared" ref="P12" si="9">SUM(P5:P11)</f>
        <v>4534.2379999999994</v>
      </c>
      <c r="Q12" s="14">
        <f t="shared" ref="Q12" si="10">SUM(Q5:Q11)</f>
        <v>4028.3650000000007</v>
      </c>
      <c r="R12" s="14">
        <f t="shared" ref="R12:U12" si="11">SUM(R5:R11)</f>
        <v>4144.5840000000007</v>
      </c>
      <c r="S12" s="14">
        <f t="shared" ref="S12:T12" si="12">SUM(S5:S11)</f>
        <v>5536.5860000000002</v>
      </c>
      <c r="T12" s="14">
        <f t="shared" si="12"/>
        <v>5652.7960000000003</v>
      </c>
      <c r="U12" s="14">
        <f t="shared" si="11"/>
        <v>5125.92</v>
      </c>
      <c r="V12" s="10"/>
      <c r="W12" s="6"/>
      <c r="X12" s="6" t="s">
        <v>110</v>
      </c>
      <c r="Y12" s="16">
        <f t="shared" ref="Y12:AA12" si="13">SUM(Y5:Y11)</f>
        <v>0</v>
      </c>
      <c r="Z12" s="16">
        <f t="shared" si="13"/>
        <v>0</v>
      </c>
      <c r="AA12" s="16">
        <f t="shared" si="13"/>
        <v>0</v>
      </c>
      <c r="AB12" s="16">
        <f t="shared" ref="AB12:AD12" si="14">SUM(AB5:AB11)</f>
        <v>44.508999999999446</v>
      </c>
      <c r="AC12" s="16">
        <f t="shared" ref="AC12" si="15">SUM(AC5:AC11)</f>
        <v>-580.84000000000037</v>
      </c>
      <c r="AD12" s="16">
        <f t="shared" si="14"/>
        <v>-711.48000000000025</v>
      </c>
      <c r="AE12" s="16">
        <f t="shared" ref="AE12:AF12" si="16">SUM(AE5:AE11)</f>
        <v>-277.154</v>
      </c>
      <c r="AF12" s="16">
        <f t="shared" si="16"/>
        <v>-10.846000000000004</v>
      </c>
      <c r="AG12" s="16">
        <f t="shared" ref="AG12" si="17">SUM(AG5:AG11)</f>
        <v>-9.5</v>
      </c>
    </row>
    <row r="13" spans="2:33" ht="14.25" thickTop="1"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Y13" s="1"/>
      <c r="Z13" s="1"/>
      <c r="AA13" s="1"/>
      <c r="AB13" s="1"/>
      <c r="AC13" s="1"/>
      <c r="AD13" s="1"/>
      <c r="AE13" s="1"/>
      <c r="AF13" s="1"/>
      <c r="AG13" s="1"/>
    </row>
    <row r="14" spans="2:33"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Y14" s="1"/>
      <c r="Z14" s="1"/>
      <c r="AA14" s="1"/>
      <c r="AB14" s="1"/>
      <c r="AC14" s="1"/>
      <c r="AD14" s="1"/>
      <c r="AE14" s="1"/>
      <c r="AF14" s="1"/>
      <c r="AG14" s="1"/>
    </row>
    <row r="15" spans="2:33">
      <c r="B15" t="s">
        <v>67</v>
      </c>
      <c r="X15" t="s">
        <v>67</v>
      </c>
    </row>
    <row r="16" spans="2:33">
      <c r="C16" t="e">
        <f>#REF!</f>
        <v>#REF!</v>
      </c>
      <c r="D16" t="str">
        <f>D3</f>
        <v>Rev. 7-4</v>
      </c>
      <c r="E16" t="str">
        <f>E3</f>
        <v>Rev. 7-4</v>
      </c>
      <c r="N16" t="str">
        <f>N3</f>
        <v>Rev. 8-1</v>
      </c>
      <c r="O16" t="str">
        <f>O3</f>
        <v>Rev. 8-1</v>
      </c>
      <c r="Z16" t="str">
        <f>Z3</f>
        <v>GAP</v>
      </c>
      <c r="AA16" t="str">
        <f>AA3</f>
        <v>GAP</v>
      </c>
    </row>
    <row r="17" spans="2:33">
      <c r="B17" t="s">
        <v>70</v>
      </c>
      <c r="C17" s="12">
        <f t="shared" ref="C17:H17" si="18">C4</f>
        <v>44652</v>
      </c>
      <c r="D17" s="12">
        <f t="shared" si="18"/>
        <v>44682</v>
      </c>
      <c r="E17" s="12">
        <f t="shared" si="18"/>
        <v>44713</v>
      </c>
      <c r="F17" s="12">
        <f t="shared" si="18"/>
        <v>44743</v>
      </c>
      <c r="G17" s="12">
        <f t="shared" si="18"/>
        <v>44774</v>
      </c>
      <c r="H17" s="12">
        <f t="shared" si="18"/>
        <v>44805</v>
      </c>
      <c r="I17" s="12">
        <f t="shared" ref="I17:J17" si="19">I4</f>
        <v>44835</v>
      </c>
      <c r="J17" s="12">
        <f t="shared" si="19"/>
        <v>44866</v>
      </c>
      <c r="K17" s="12">
        <f t="shared" ref="K17" si="20">K4</f>
        <v>44896</v>
      </c>
      <c r="L17" s="2"/>
      <c r="M17" s="12">
        <f t="shared" ref="M17:S17" si="21">M4</f>
        <v>44652</v>
      </c>
      <c r="N17" s="12">
        <f t="shared" si="21"/>
        <v>44682</v>
      </c>
      <c r="O17" s="12">
        <f t="shared" si="21"/>
        <v>44713</v>
      </c>
      <c r="P17" s="12">
        <f t="shared" si="21"/>
        <v>44743</v>
      </c>
      <c r="Q17" s="12">
        <f t="shared" si="21"/>
        <v>44774</v>
      </c>
      <c r="R17" s="12">
        <f t="shared" si="21"/>
        <v>44805</v>
      </c>
      <c r="S17" s="12">
        <f t="shared" si="21"/>
        <v>44835</v>
      </c>
      <c r="T17" s="12">
        <f t="shared" ref="T17:U17" si="22">T4</f>
        <v>44866</v>
      </c>
      <c r="U17" s="12">
        <f t="shared" si="22"/>
        <v>44896</v>
      </c>
      <c r="V17" s="8"/>
      <c r="X17" t="s">
        <v>70</v>
      </c>
      <c r="Y17" s="12">
        <f t="shared" ref="Y17:AD17" si="23">Y4</f>
        <v>44652</v>
      </c>
      <c r="Z17" s="12">
        <f t="shared" si="23"/>
        <v>44682</v>
      </c>
      <c r="AA17" s="12">
        <f t="shared" si="23"/>
        <v>44713</v>
      </c>
      <c r="AB17" s="12">
        <f t="shared" si="23"/>
        <v>44743</v>
      </c>
      <c r="AC17" s="12">
        <f t="shared" si="23"/>
        <v>44774</v>
      </c>
      <c r="AD17" s="12">
        <f t="shared" si="23"/>
        <v>44805</v>
      </c>
      <c r="AE17" s="12">
        <f t="shared" ref="AE17:AF17" si="24">AE4</f>
        <v>44835</v>
      </c>
      <c r="AF17" s="12">
        <f t="shared" si="24"/>
        <v>44866</v>
      </c>
      <c r="AG17" s="12">
        <f t="shared" ref="AG17" si="25">AG4</f>
        <v>44896</v>
      </c>
    </row>
    <row r="18" spans="2:33" ht="15">
      <c r="B18" s="15" t="s">
        <v>71</v>
      </c>
      <c r="C18" s="3">
        <f>'Sales comparison '!E47</f>
        <v>880.42900000000009</v>
      </c>
      <c r="D18" s="3">
        <f>'Sales comparison '!H47</f>
        <v>1347.2270000000001</v>
      </c>
      <c r="E18" s="3">
        <f>'Sales comparison '!K47</f>
        <v>1426.8530000000001</v>
      </c>
      <c r="F18" s="3">
        <f>'Sales comparison '!N47</f>
        <v>514.9</v>
      </c>
      <c r="G18" s="3">
        <f>'Sales comparison '!Q47</f>
        <v>1456</v>
      </c>
      <c r="H18" s="3">
        <f>'Sales comparison '!T47</f>
        <v>2781.1</v>
      </c>
      <c r="I18" s="3">
        <f>'Sales comparison '!W47</f>
        <v>1663</v>
      </c>
      <c r="J18" s="3">
        <f>'Sales comparison '!Z47</f>
        <v>1775</v>
      </c>
      <c r="K18" s="3">
        <f>'Sales comparison '!AC47</f>
        <v>1595</v>
      </c>
      <c r="L18" s="4"/>
      <c r="M18" s="3">
        <f>'Sales comparison '!F47</f>
        <v>880.42900000000009</v>
      </c>
      <c r="N18" s="3">
        <f>'Sales comparison '!I47</f>
        <v>1347.2270000000001</v>
      </c>
      <c r="O18" s="3">
        <f>'Sales comparison '!L47</f>
        <v>1426.8530000000001</v>
      </c>
      <c r="P18" s="3">
        <f>'Sales comparison '!O47</f>
        <v>538.08899999999994</v>
      </c>
      <c r="Q18" s="3">
        <f>'Sales comparison '!R47</f>
        <v>1260</v>
      </c>
      <c r="R18" s="3">
        <f>'Sales comparison '!U47</f>
        <v>1838</v>
      </c>
      <c r="S18" s="3">
        <f>'Sales comparison '!X47</f>
        <v>1154</v>
      </c>
      <c r="T18" s="3">
        <f>'Sales comparison '!AA47</f>
        <v>1960</v>
      </c>
      <c r="U18" s="3">
        <f>'Sales comparison '!AD47</f>
        <v>1503</v>
      </c>
      <c r="V18" s="9"/>
      <c r="X18" s="15" t="s">
        <v>71</v>
      </c>
      <c r="Y18" s="11">
        <f t="shared" ref="Y18:AG24" si="26">M18-C18</f>
        <v>0</v>
      </c>
      <c r="Z18" s="11">
        <f t="shared" si="26"/>
        <v>0</v>
      </c>
      <c r="AA18" s="11">
        <f t="shared" si="26"/>
        <v>0</v>
      </c>
      <c r="AB18" s="11">
        <f t="shared" si="26"/>
        <v>23.188999999999965</v>
      </c>
      <c r="AC18" s="11">
        <f t="shared" si="26"/>
        <v>-196</v>
      </c>
      <c r="AD18" s="11">
        <f t="shared" si="26"/>
        <v>-943.09999999999991</v>
      </c>
      <c r="AE18" s="11">
        <f t="shared" si="26"/>
        <v>-509</v>
      </c>
      <c r="AF18" s="11">
        <f t="shared" si="26"/>
        <v>185</v>
      </c>
      <c r="AG18" s="11">
        <f t="shared" si="26"/>
        <v>-92</v>
      </c>
    </row>
    <row r="19" spans="2:33" ht="15">
      <c r="B19" s="15" t="s">
        <v>124</v>
      </c>
      <c r="C19" s="3">
        <f>'Sales comparison '!E56</f>
        <v>810.49200000000008</v>
      </c>
      <c r="D19" s="3">
        <f>'Sales comparison '!H56</f>
        <v>897.077</v>
      </c>
      <c r="E19" s="3">
        <f>'Sales comparison '!K56</f>
        <v>453.34000000000003</v>
      </c>
      <c r="F19" s="3">
        <f>'Sales comparison '!N56</f>
        <v>549</v>
      </c>
      <c r="G19" s="3">
        <f>'Sales comparison '!Q56</f>
        <v>763</v>
      </c>
      <c r="H19" s="3">
        <f>'Sales comparison '!T56</f>
        <v>894</v>
      </c>
      <c r="I19" s="3">
        <f>'Sales comparison '!W56</f>
        <v>1030</v>
      </c>
      <c r="J19" s="3">
        <f>'Sales comparison '!Z56</f>
        <v>1088</v>
      </c>
      <c r="K19" s="3">
        <f>'Sales comparison '!AC56</f>
        <v>885</v>
      </c>
      <c r="L19" s="4"/>
      <c r="M19" s="3">
        <f>'Sales comparison '!F56</f>
        <v>810.49200000000008</v>
      </c>
      <c r="N19" s="3">
        <f>'Sales comparison '!I56</f>
        <v>897.077</v>
      </c>
      <c r="O19" s="3">
        <f>'Sales comparison '!L56</f>
        <v>453.34000000000003</v>
      </c>
      <c r="P19" s="3">
        <f>'Sales comparison '!O56</f>
        <v>594.1400000000001</v>
      </c>
      <c r="Q19" s="3">
        <f>'Sales comparison '!R56</f>
        <v>638.20000000000005</v>
      </c>
      <c r="R19" s="3">
        <f>'Sales comparison '!U56</f>
        <v>900.7</v>
      </c>
      <c r="S19" s="3">
        <f>'Sales comparison '!X56</f>
        <v>995.96</v>
      </c>
      <c r="T19" s="3">
        <f>'Sales comparison '!AA56</f>
        <v>1067</v>
      </c>
      <c r="U19" s="3">
        <f>'Sales comparison '!AD56</f>
        <v>885</v>
      </c>
      <c r="V19" s="9"/>
      <c r="X19" s="15" t="s">
        <v>124</v>
      </c>
      <c r="Y19" s="11">
        <f t="shared" si="26"/>
        <v>0</v>
      </c>
      <c r="Z19" s="11">
        <f t="shared" si="26"/>
        <v>0</v>
      </c>
      <c r="AA19" s="11">
        <f t="shared" si="26"/>
        <v>0</v>
      </c>
      <c r="AB19" s="11">
        <f t="shared" si="26"/>
        <v>45.1400000000001</v>
      </c>
      <c r="AC19" s="11">
        <f t="shared" si="26"/>
        <v>-124.79999999999995</v>
      </c>
      <c r="AD19" s="11">
        <f t="shared" si="26"/>
        <v>6.7000000000000455</v>
      </c>
      <c r="AE19" s="11">
        <f t="shared" si="26"/>
        <v>-34.039999999999964</v>
      </c>
      <c r="AF19" s="11">
        <f t="shared" si="26"/>
        <v>-21</v>
      </c>
      <c r="AG19" s="11">
        <f t="shared" si="26"/>
        <v>0</v>
      </c>
    </row>
    <row r="20" spans="2:33" ht="15">
      <c r="B20" s="15" t="s">
        <v>72</v>
      </c>
      <c r="C20" s="3">
        <f>'Sales comparison '!E114</f>
        <v>1385.6759999999999</v>
      </c>
      <c r="D20" s="3">
        <f>'Sales comparison '!H114</f>
        <v>960.44999999999982</v>
      </c>
      <c r="E20" s="3">
        <f>'Sales comparison '!K114</f>
        <v>1225.3910000000003</v>
      </c>
      <c r="F20" s="3">
        <f>'Sales comparison '!N114</f>
        <v>1691.3129999999994</v>
      </c>
      <c r="G20" s="3">
        <f>'Sales comparison '!Q114</f>
        <v>1125.2300000000002</v>
      </c>
      <c r="H20" s="3">
        <f>'Sales comparison '!T114</f>
        <v>1073.7999999999997</v>
      </c>
      <c r="I20" s="3">
        <f>'Sales comparison '!W114</f>
        <v>1694.36</v>
      </c>
      <c r="J20" s="3">
        <f>'Sales comparison '!Z114</f>
        <v>1402.0059999999999</v>
      </c>
      <c r="K20" s="3">
        <f>'Sales comparison '!AC114</f>
        <v>1410.3739999999998</v>
      </c>
      <c r="L20" s="4"/>
      <c r="M20" s="3">
        <f>'Sales comparison '!F114</f>
        <v>1385.6759999999999</v>
      </c>
      <c r="N20" s="3">
        <f>'Sales comparison '!I114</f>
        <v>960.44999999999982</v>
      </c>
      <c r="O20" s="3">
        <f>'Sales comparison '!L114</f>
        <v>1225.3910000000003</v>
      </c>
      <c r="P20" s="3">
        <f>'Sales comparison '!O114</f>
        <v>1847.8499999999992</v>
      </c>
      <c r="Q20" s="3">
        <f>'Sales comparison '!R114</f>
        <v>1039.739</v>
      </c>
      <c r="R20" s="3">
        <f>'Sales comparison '!U114</f>
        <v>1068.7999999999997</v>
      </c>
      <c r="S20" s="3">
        <f>'Sales comparison '!X114</f>
        <v>1422.0059999999999</v>
      </c>
      <c r="T20" s="3">
        <f>'Sales comparison '!AA114</f>
        <v>914.45999999999992</v>
      </c>
      <c r="U20" s="3">
        <f>'Sales comparison '!AD114</f>
        <v>1336.8739999999998</v>
      </c>
      <c r="V20" s="9"/>
      <c r="X20" s="15" t="s">
        <v>72</v>
      </c>
      <c r="Y20" s="11">
        <f t="shared" si="26"/>
        <v>0</v>
      </c>
      <c r="Z20" s="11">
        <f t="shared" si="26"/>
        <v>0</v>
      </c>
      <c r="AA20" s="11">
        <f t="shared" si="26"/>
        <v>0</v>
      </c>
      <c r="AB20" s="11">
        <f t="shared" si="26"/>
        <v>156.53699999999981</v>
      </c>
      <c r="AC20" s="11">
        <f t="shared" si="26"/>
        <v>-85.491000000000213</v>
      </c>
      <c r="AD20" s="11">
        <f t="shared" si="26"/>
        <v>-5</v>
      </c>
      <c r="AE20" s="11">
        <f t="shared" si="26"/>
        <v>-272.35400000000004</v>
      </c>
      <c r="AF20" s="11">
        <f t="shared" si="26"/>
        <v>-487.54599999999994</v>
      </c>
      <c r="AG20" s="11">
        <f t="shared" si="26"/>
        <v>-73.5</v>
      </c>
    </row>
    <row r="21" spans="2:33" ht="15">
      <c r="B21" s="15" t="s">
        <v>73</v>
      </c>
      <c r="C21" s="3">
        <f>'Sales comparison '!E122</f>
        <v>3279.0329999999999</v>
      </c>
      <c r="D21" s="3">
        <f>'Sales comparison '!H122</f>
        <v>495.31200000000001</v>
      </c>
      <c r="E21" s="3">
        <f>'Sales comparison '!K122</f>
        <v>1462.346</v>
      </c>
      <c r="F21" s="3">
        <f>'Sales comparison '!N122</f>
        <v>914.952</v>
      </c>
      <c r="G21" s="3">
        <f>'Sales comparison '!Q122</f>
        <v>1198.9570000000001</v>
      </c>
      <c r="H21" s="3">
        <f>'Sales comparison '!T122</f>
        <v>1375.9</v>
      </c>
      <c r="I21" s="3">
        <f>'Sales comparison '!W122</f>
        <v>1645.2</v>
      </c>
      <c r="J21" s="3">
        <f>'Sales comparison '!Z122</f>
        <v>1586.3</v>
      </c>
      <c r="K21" s="3">
        <f>'Sales comparison '!AC122</f>
        <v>1377.7</v>
      </c>
      <c r="L21" s="4"/>
      <c r="M21" s="3">
        <f>'Sales comparison '!F122</f>
        <v>3279.0329999999999</v>
      </c>
      <c r="N21" s="3">
        <f>'Sales comparison '!I122</f>
        <v>495.31200000000001</v>
      </c>
      <c r="O21" s="3">
        <f>'Sales comparison '!L122</f>
        <v>1462.346</v>
      </c>
      <c r="P21" s="3">
        <f>'Sales comparison '!O122</f>
        <v>915.01499999999999</v>
      </c>
      <c r="Q21" s="3">
        <f>'Sales comparison '!R122</f>
        <v>1080.1570000000002</v>
      </c>
      <c r="R21" s="3">
        <f>'Sales comparison '!U122</f>
        <v>1375.9</v>
      </c>
      <c r="S21" s="3">
        <f>'Sales comparison '!X122</f>
        <v>1645.2</v>
      </c>
      <c r="T21" s="3">
        <f>'Sales comparison '!AA122</f>
        <v>1586.3</v>
      </c>
      <c r="U21" s="3">
        <f>'Sales comparison '!AD122</f>
        <v>1377.7</v>
      </c>
      <c r="V21" s="9"/>
      <c r="X21" s="15" t="s">
        <v>73</v>
      </c>
      <c r="Y21" s="11">
        <f t="shared" si="26"/>
        <v>0</v>
      </c>
      <c r="Z21" s="11">
        <f t="shared" si="26"/>
        <v>0</v>
      </c>
      <c r="AA21" s="11">
        <f t="shared" si="26"/>
        <v>0</v>
      </c>
      <c r="AB21" s="11">
        <f t="shared" si="26"/>
        <v>6.2999999999988177E-2</v>
      </c>
      <c r="AC21" s="11">
        <f t="shared" si="26"/>
        <v>-118.79999999999995</v>
      </c>
      <c r="AD21" s="11">
        <f t="shared" si="26"/>
        <v>0</v>
      </c>
      <c r="AE21" s="11">
        <f t="shared" si="26"/>
        <v>0</v>
      </c>
      <c r="AF21" s="11">
        <f t="shared" si="26"/>
        <v>0</v>
      </c>
      <c r="AG21" s="11">
        <f t="shared" si="26"/>
        <v>0</v>
      </c>
    </row>
    <row r="22" spans="2:33" ht="15">
      <c r="B22" s="15" t="s">
        <v>123</v>
      </c>
      <c r="C22" s="3">
        <f>'Sales comparison '!E146</f>
        <v>234.71</v>
      </c>
      <c r="D22" s="3">
        <f>'Sales comparison '!H146</f>
        <v>273.35000000000002</v>
      </c>
      <c r="E22" s="3">
        <f>'Sales comparison '!K146</f>
        <v>260.8</v>
      </c>
      <c r="F22" s="3">
        <f>'Sales comparison '!N146</f>
        <v>244</v>
      </c>
      <c r="G22" s="3">
        <f>'Sales comparison '!Q146</f>
        <v>290</v>
      </c>
      <c r="H22" s="3">
        <f>'Sales comparison '!T146</f>
        <v>205</v>
      </c>
      <c r="I22" s="3">
        <f>'Sales comparison '!W146</f>
        <v>120</v>
      </c>
      <c r="J22" s="3">
        <f>'Sales comparison '!Z146</f>
        <v>263</v>
      </c>
      <c r="K22" s="3">
        <f>'Sales comparison '!AC146</f>
        <v>313</v>
      </c>
      <c r="L22" s="4"/>
      <c r="M22" s="7">
        <f>'Sales comparison '!F146</f>
        <v>234.71</v>
      </c>
      <c r="N22" s="7">
        <f>'Sales comparison '!I146</f>
        <v>273.35000000000002</v>
      </c>
      <c r="O22" s="7">
        <f>'Sales comparison '!L146</f>
        <v>260.8</v>
      </c>
      <c r="P22" s="7">
        <f>'Sales comparison '!O146</f>
        <v>225.4</v>
      </c>
      <c r="Q22" s="7">
        <f>'Sales comparison '!R146</f>
        <v>290</v>
      </c>
      <c r="R22" s="7">
        <f>'Sales comparison '!U146</f>
        <v>205</v>
      </c>
      <c r="S22" s="7">
        <f>'Sales comparison '!X146</f>
        <v>120</v>
      </c>
      <c r="T22" s="7">
        <f>'Sales comparison '!AA146</f>
        <v>263</v>
      </c>
      <c r="U22" s="7">
        <f>'Sales comparison '!AD146</f>
        <v>313</v>
      </c>
      <c r="V22" s="9"/>
      <c r="X22" s="15" t="s">
        <v>123</v>
      </c>
      <c r="Y22" s="11">
        <f t="shared" si="26"/>
        <v>0</v>
      </c>
      <c r="Z22" s="11">
        <f t="shared" si="26"/>
        <v>0</v>
      </c>
      <c r="AA22" s="11">
        <f t="shared" si="26"/>
        <v>0</v>
      </c>
      <c r="AB22" s="11">
        <f t="shared" si="26"/>
        <v>-18.599999999999994</v>
      </c>
      <c r="AC22" s="11">
        <f t="shared" si="26"/>
        <v>0</v>
      </c>
      <c r="AD22" s="11">
        <f t="shared" si="26"/>
        <v>0</v>
      </c>
      <c r="AE22" s="11">
        <f t="shared" si="26"/>
        <v>0</v>
      </c>
      <c r="AF22" s="11">
        <f t="shared" si="26"/>
        <v>0</v>
      </c>
      <c r="AG22" s="11">
        <f t="shared" si="26"/>
        <v>0</v>
      </c>
    </row>
    <row r="23" spans="2:33" ht="15">
      <c r="B23" s="15" t="str">
        <f>B10</f>
        <v>X2079 BRG</v>
      </c>
      <c r="C23" s="3">
        <f>'Sales comparison '!E149</f>
        <v>38.951999999999998</v>
      </c>
      <c r="D23" s="3">
        <f>'Sales comparison '!H149</f>
        <v>18.816000000000003</v>
      </c>
      <c r="E23" s="3">
        <f>'Sales comparison '!K149</f>
        <v>6.0999999999999999E-2</v>
      </c>
      <c r="F23" s="3">
        <f>'Sales comparison '!N149</f>
        <v>0</v>
      </c>
      <c r="G23" s="3">
        <f>'Sales comparison '!Q149</f>
        <v>0</v>
      </c>
      <c r="H23" s="3">
        <f>'Sales comparison '!T149</f>
        <v>0</v>
      </c>
      <c r="I23" s="3">
        <f>'Sales comparison '!W149</f>
        <v>0</v>
      </c>
      <c r="J23" s="3">
        <f>'Sales comparison '!Z149</f>
        <v>0</v>
      </c>
      <c r="K23" s="3">
        <f>'Sales comparison '!AC149</f>
        <v>0</v>
      </c>
      <c r="L23" s="4"/>
      <c r="M23" s="7">
        <f>'Sales comparison '!F149</f>
        <v>38.951999999999998</v>
      </c>
      <c r="N23" s="7">
        <f>'Sales comparison '!I149</f>
        <v>18.816000000000003</v>
      </c>
      <c r="O23" s="7">
        <f>'Sales comparison '!L149</f>
        <v>6.0999999999999999E-2</v>
      </c>
      <c r="P23" s="7">
        <f>'Sales comparison '!O149</f>
        <v>0</v>
      </c>
      <c r="Q23" s="7">
        <f>'Sales comparison '!R149</f>
        <v>0</v>
      </c>
      <c r="R23" s="7">
        <f>'Sales comparison '!U149</f>
        <v>0</v>
      </c>
      <c r="S23" s="7">
        <f>'Sales comparison '!X149</f>
        <v>0</v>
      </c>
      <c r="T23" s="7">
        <f>'Sales comparison '!AA149</f>
        <v>0</v>
      </c>
      <c r="U23" s="7">
        <f>'Sales comparison '!AD149</f>
        <v>0</v>
      </c>
      <c r="V23" s="9"/>
      <c r="X23" s="15" t="str">
        <f>B23</f>
        <v>X2079 BRG</v>
      </c>
      <c r="Y23" s="11">
        <f t="shared" si="26"/>
        <v>0</v>
      </c>
      <c r="Z23" s="11">
        <f t="shared" si="26"/>
        <v>0</v>
      </c>
      <c r="AA23" s="11">
        <f t="shared" si="26"/>
        <v>0</v>
      </c>
      <c r="AB23" s="11">
        <f t="shared" si="26"/>
        <v>0</v>
      </c>
      <c r="AC23" s="11">
        <f t="shared" si="26"/>
        <v>0</v>
      </c>
      <c r="AD23" s="11">
        <f t="shared" si="26"/>
        <v>0</v>
      </c>
      <c r="AE23" s="11">
        <f t="shared" si="26"/>
        <v>0</v>
      </c>
      <c r="AF23" s="11">
        <f t="shared" si="26"/>
        <v>0</v>
      </c>
      <c r="AG23" s="11">
        <f t="shared" si="26"/>
        <v>0</v>
      </c>
    </row>
    <row r="24" spans="2:33" ht="15">
      <c r="B24" s="17" t="s">
        <v>425</v>
      </c>
      <c r="C24" s="3">
        <f>'Sales comparison '!E209</f>
        <v>170.304</v>
      </c>
      <c r="D24" s="3">
        <f>'Sales comparison '!H209</f>
        <v>143.64100000000002</v>
      </c>
      <c r="E24" s="3">
        <f>'Sales comparison '!K209</f>
        <v>229.00799999999998</v>
      </c>
      <c r="F24" s="3">
        <f>'Sales comparison '!N209</f>
        <v>138.768</v>
      </c>
      <c r="G24" s="3">
        <f>'Sales comparison '!Q209</f>
        <v>134.80000000000001</v>
      </c>
      <c r="H24" s="3">
        <f>'Sales comparison '!T209</f>
        <v>573.69999999999993</v>
      </c>
      <c r="I24" s="3">
        <f>'Sales comparison '!W209</f>
        <v>418.15999999999997</v>
      </c>
      <c r="J24" s="3">
        <f>'Sales comparison '!Z209</f>
        <v>450.75999999999993</v>
      </c>
      <c r="K24" s="3">
        <f>'Sales comparison '!AC209</f>
        <v>553.5</v>
      </c>
      <c r="L24" s="4"/>
      <c r="M24" s="7">
        <f>'Sales comparison '!F209</f>
        <v>170.304</v>
      </c>
      <c r="N24" s="7">
        <f>'Sales comparison '!I209</f>
        <v>143.64100000000002</v>
      </c>
      <c r="O24" s="7">
        <f>'Sales comparison '!L209</f>
        <v>229.00799999999998</v>
      </c>
      <c r="P24" s="7">
        <f>'Sales comparison '!O209</f>
        <v>137.904</v>
      </c>
      <c r="Q24" s="7">
        <f>'Sales comparison '!R209</f>
        <v>169.8</v>
      </c>
      <c r="R24" s="7">
        <f>'Sales comparison '!U209</f>
        <v>463</v>
      </c>
      <c r="S24" s="7">
        <f>'Sales comparison '!X209</f>
        <v>439.14</v>
      </c>
      <c r="T24" s="7">
        <f>'Sales comparison '!AA209</f>
        <v>420.75999999999993</v>
      </c>
      <c r="U24" s="7">
        <f>'Sales comparison '!AD209</f>
        <v>503.5</v>
      </c>
      <c r="V24" s="9"/>
      <c r="X24" s="17" t="s">
        <v>426</v>
      </c>
      <c r="Y24" s="11">
        <f t="shared" si="26"/>
        <v>0</v>
      </c>
      <c r="Z24" s="11">
        <f t="shared" si="26"/>
        <v>0</v>
      </c>
      <c r="AA24" s="11">
        <f t="shared" si="26"/>
        <v>0</v>
      </c>
      <c r="AB24" s="11">
        <f t="shared" si="26"/>
        <v>-0.86400000000000432</v>
      </c>
      <c r="AC24" s="11">
        <f t="shared" si="26"/>
        <v>35</v>
      </c>
      <c r="AD24" s="11">
        <f t="shared" si="26"/>
        <v>-110.69999999999993</v>
      </c>
      <c r="AE24" s="11">
        <f t="shared" si="26"/>
        <v>20.980000000000018</v>
      </c>
      <c r="AF24" s="11">
        <f t="shared" si="26"/>
        <v>-30</v>
      </c>
      <c r="AG24" s="11">
        <f t="shared" si="26"/>
        <v>-50</v>
      </c>
    </row>
    <row r="25" spans="2:33" ht="14.25" thickBot="1">
      <c r="B25" s="6" t="s">
        <v>110</v>
      </c>
      <c r="C25" s="13">
        <f t="shared" ref="C25:H25" si="27">SUM(C18:C24)</f>
        <v>6799.5960000000005</v>
      </c>
      <c r="D25" s="13">
        <f t="shared" si="27"/>
        <v>4135.8729999999996</v>
      </c>
      <c r="E25" s="13">
        <f t="shared" si="27"/>
        <v>5057.799</v>
      </c>
      <c r="F25" s="13">
        <f t="shared" si="27"/>
        <v>4052.933</v>
      </c>
      <c r="G25" s="13">
        <f t="shared" si="27"/>
        <v>4967.987000000001</v>
      </c>
      <c r="H25" s="13">
        <f t="shared" si="27"/>
        <v>6903.4999999999991</v>
      </c>
      <c r="I25" s="13">
        <f t="shared" ref="I25:J25" si="28">SUM(I18:I24)</f>
        <v>6570.7199999999993</v>
      </c>
      <c r="J25" s="13">
        <f t="shared" si="28"/>
        <v>6565.0659999999998</v>
      </c>
      <c r="K25" s="13">
        <f t="shared" ref="K25" si="29">SUM(K18:K24)</f>
        <v>6134.5739999999996</v>
      </c>
      <c r="L25" s="6"/>
      <c r="M25" s="14">
        <f t="shared" ref="M25" si="30">SUM(M18:M24)</f>
        <v>6799.5960000000005</v>
      </c>
      <c r="N25" s="14">
        <f t="shared" ref="N25" si="31">SUM(N18:N24)</f>
        <v>4135.8729999999996</v>
      </c>
      <c r="O25" s="14">
        <f t="shared" ref="O25" si="32">SUM(O18:O24)</f>
        <v>5057.799</v>
      </c>
      <c r="P25" s="14">
        <f t="shared" ref="P25" si="33">SUM(P18:P24)</f>
        <v>4258.3979999999992</v>
      </c>
      <c r="Q25" s="14">
        <f t="shared" ref="Q25" si="34">SUM(Q18:Q24)</f>
        <v>4477.8960000000006</v>
      </c>
      <c r="R25" s="14">
        <f t="shared" ref="R25:U25" si="35">SUM(R18:R24)</f>
        <v>5851.4</v>
      </c>
      <c r="S25" s="14">
        <f t="shared" ref="S25:T25" si="36">SUM(S18:S24)</f>
        <v>5776.3060000000005</v>
      </c>
      <c r="T25" s="14">
        <f t="shared" si="36"/>
        <v>6211.52</v>
      </c>
      <c r="U25" s="14">
        <f t="shared" si="35"/>
        <v>5919.0739999999996</v>
      </c>
      <c r="V25" s="10"/>
      <c r="W25" s="6"/>
      <c r="X25" s="6" t="s">
        <v>110</v>
      </c>
      <c r="Y25" s="16">
        <f t="shared" ref="Y25:Z25" si="37">SUM(Y18:Y24)</f>
        <v>0</v>
      </c>
      <c r="Z25" s="16">
        <f t="shared" si="37"/>
        <v>0</v>
      </c>
      <c r="AA25" s="16">
        <f t="shared" ref="AA25:AB25" si="38">SUM(AA18:AA24)</f>
        <v>0</v>
      </c>
      <c r="AB25" s="16">
        <f t="shared" si="38"/>
        <v>205.46499999999986</v>
      </c>
      <c r="AC25" s="16">
        <f t="shared" ref="AC25:AD25" si="39">SUM(AC18:AC24)</f>
        <v>-490.09100000000012</v>
      </c>
      <c r="AD25" s="16">
        <f t="shared" si="39"/>
        <v>-1052.0999999999999</v>
      </c>
      <c r="AE25" s="16">
        <f t="shared" ref="AE25:AF25" si="40">SUM(AE18:AE24)</f>
        <v>-794.41399999999999</v>
      </c>
      <c r="AF25" s="16">
        <f t="shared" si="40"/>
        <v>-353.54599999999994</v>
      </c>
      <c r="AG25" s="16">
        <f t="shared" ref="AG25" si="41">SUM(AG18:AG24)</f>
        <v>-215.5</v>
      </c>
    </row>
    <row r="26" spans="2:33" ht="14.25" thickTop="1"/>
    <row r="27" spans="2:33">
      <c r="C27" s="18"/>
      <c r="D27" s="18"/>
      <c r="E27" s="18"/>
      <c r="F27" s="18"/>
      <c r="G27" s="18"/>
      <c r="H27" s="18"/>
      <c r="I27" s="18"/>
      <c r="J27" s="18"/>
      <c r="K27" s="18"/>
    </row>
  </sheetData>
  <phoneticPr fontId="2"/>
  <pageMargins left="0.7" right="0.7" top="0.75" bottom="0.75" header="0.3" footer="0.3"/>
  <pageSetup paperSize="9" scale="78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Z406"/>
  <sheetViews>
    <sheetView showGridLines="0" tabSelected="1" topLeftCell="A7" zoomScale="55" zoomScaleNormal="55" workbookViewId="0">
      <pane xSplit="127" ySplit="6" topLeftCell="DX13" activePane="bottomRight" state="frozen"/>
      <selection activeCell="A7" sqref="A7"/>
      <selection pane="topRight" activeCell="DX7" sqref="DX7"/>
      <selection pane="bottomLeft" activeCell="A13" sqref="A13"/>
      <selection pane="bottomRight" activeCell="C49" sqref="C49"/>
    </sheetView>
  </sheetViews>
  <sheetFormatPr defaultColWidth="8.1640625" defaultRowHeight="16.5"/>
  <cols>
    <col min="1" max="1" width="8.6640625" style="19" hidden="1" customWidth="1"/>
    <col min="2" max="2" width="22.83203125" style="19" hidden="1" customWidth="1"/>
    <col min="3" max="3" width="22.83203125" style="19" customWidth="1"/>
    <col min="4" max="4" width="61.1640625" style="19" customWidth="1"/>
    <col min="5" max="5" width="18.33203125" style="19" hidden="1" customWidth="1"/>
    <col min="6" max="38" width="18.33203125" style="19" hidden="1" customWidth="1" collapsed="1"/>
    <col min="39" max="39" width="15.6640625" style="19" hidden="1" customWidth="1" collapsed="1"/>
    <col min="40" max="40" width="16.5" style="19" hidden="1" customWidth="1" collapsed="1"/>
    <col min="41" max="56" width="18.33203125" style="19" hidden="1" customWidth="1" collapsed="1"/>
    <col min="57" max="58" width="16.5" style="19" hidden="1" customWidth="1" collapsed="1"/>
    <col min="59" max="59" width="18.33203125" style="19" hidden="1" customWidth="1" collapsed="1"/>
    <col min="60" max="61" width="16.5" style="19" hidden="1" customWidth="1" collapsed="1"/>
    <col min="62" max="62" width="18.33203125" style="19" hidden="1" customWidth="1" collapsed="1"/>
    <col min="63" max="64" width="16.5" style="19" hidden="1" customWidth="1" collapsed="1"/>
    <col min="65" max="65" width="18.33203125" style="19" hidden="1" customWidth="1" collapsed="1"/>
    <col min="66" max="67" width="16.5" style="19" hidden="1" customWidth="1" collapsed="1"/>
    <col min="68" max="68" width="18.33203125" style="19" hidden="1" customWidth="1" collapsed="1"/>
    <col min="69" max="70" width="16.5" style="19" hidden="1" customWidth="1" collapsed="1"/>
    <col min="71" max="71" width="18.33203125" style="19" hidden="1" customWidth="1" collapsed="1"/>
    <col min="72" max="73" width="16.5" style="19" hidden="1" customWidth="1" collapsed="1"/>
    <col min="74" max="74" width="18.33203125" style="19" hidden="1" customWidth="1" collapsed="1"/>
    <col min="75" max="76" width="16.5" style="19" hidden="1" customWidth="1" collapsed="1"/>
    <col min="77" max="77" width="18.33203125" style="19" hidden="1" customWidth="1" collapsed="1"/>
    <col min="78" max="79" width="16.5" style="19" hidden="1" customWidth="1" collapsed="1"/>
    <col min="80" max="80" width="18.33203125" style="19" hidden="1" customWidth="1" collapsed="1"/>
    <col min="81" max="82" width="16.5" style="19" hidden="1" customWidth="1" collapsed="1"/>
    <col min="83" max="83" width="18.33203125" style="19" hidden="1" customWidth="1" collapsed="1"/>
    <col min="84" max="84" width="16.5" style="19" hidden="1" customWidth="1" collapsed="1"/>
    <col min="85" max="85" width="16.5" style="20" hidden="1" customWidth="1" collapsed="1"/>
    <col min="86" max="86" width="18.33203125" style="19" hidden="1" customWidth="1" collapsed="1"/>
    <col min="87" max="87" width="16.5" style="19" hidden="1" customWidth="1" collapsed="1"/>
    <col min="88" max="88" width="16.5" style="20" hidden="1" customWidth="1" collapsed="1"/>
    <col min="89" max="90" width="18.33203125" style="19" hidden="1" customWidth="1" collapsed="1"/>
    <col min="91" max="91" width="18.33203125" style="20" hidden="1" customWidth="1" collapsed="1"/>
    <col min="92" max="92" width="19" style="19" hidden="1" customWidth="1" collapsed="1"/>
    <col min="93" max="118" width="16.5" style="19" hidden="1" customWidth="1" collapsed="1"/>
    <col min="119" max="119" width="16.5" style="20" hidden="1" customWidth="1" collapsed="1"/>
    <col min="120" max="127" width="16.5" style="19" hidden="1" customWidth="1" collapsed="1"/>
    <col min="128" max="128" width="16.5" style="740" bestFit="1" customWidth="1" collapsed="1"/>
    <col min="129" max="132" width="16.5" style="19" hidden="1" customWidth="1"/>
    <col min="133" max="133" width="14.1640625" style="19" hidden="1" customWidth="1"/>
    <col min="134" max="136" width="16.5" style="19" customWidth="1"/>
    <col min="137" max="137" width="16.5" style="740" customWidth="1"/>
    <col min="138" max="145" width="16.5" style="19" customWidth="1"/>
    <col min="146" max="146" width="16.5" style="740" customWidth="1"/>
    <col min="147" max="148" width="16.5" style="19" customWidth="1"/>
    <col min="149" max="149" width="16.5" style="740" customWidth="1"/>
    <col min="150" max="151" width="16.5" style="19" customWidth="1"/>
    <col min="152" max="152" width="16.5" style="740" customWidth="1"/>
    <col min="153" max="154" width="16.5" style="19" customWidth="1"/>
    <col min="155" max="155" width="16.5" style="740" customWidth="1"/>
    <col min="156" max="156" width="9.1640625" style="19" customWidth="1"/>
    <col min="157" max="16384" width="8.1640625" style="19"/>
  </cols>
  <sheetData>
    <row r="1" spans="1:155">
      <c r="DX1" s="20"/>
      <c r="EG1" s="20"/>
      <c r="EP1" s="20"/>
      <c r="ES1" s="20"/>
      <c r="EV1" s="20"/>
      <c r="EY1" s="20"/>
    </row>
    <row r="2" spans="1:155">
      <c r="DX2" s="20"/>
      <c r="EG2" s="20"/>
      <c r="EP2" s="20"/>
      <c r="ES2" s="20"/>
      <c r="EV2" s="20"/>
      <c r="EY2" s="20"/>
    </row>
    <row r="3" spans="1:155">
      <c r="DX3" s="20"/>
      <c r="EG3" s="20"/>
      <c r="EP3" s="20"/>
      <c r="ES3" s="20"/>
      <c r="EV3" s="20"/>
      <c r="EY3" s="20"/>
    </row>
    <row r="4" spans="1:155">
      <c r="DX4" s="20"/>
      <c r="EG4" s="20"/>
      <c r="EP4" s="20"/>
      <c r="ES4" s="20"/>
      <c r="EV4" s="20"/>
      <c r="EY4" s="20"/>
    </row>
    <row r="5" spans="1:155">
      <c r="DX5" s="20"/>
      <c r="EG5" s="20"/>
      <c r="EP5" s="20"/>
      <c r="ES5" s="20"/>
      <c r="EV5" s="20"/>
      <c r="EY5" s="20"/>
    </row>
    <row r="6" spans="1:155">
      <c r="DX6" s="20"/>
      <c r="EG6" s="20"/>
      <c r="EP6" s="20"/>
      <c r="ES6" s="20"/>
      <c r="EV6" s="20"/>
      <c r="EY6" s="20"/>
    </row>
    <row r="7" spans="1:155">
      <c r="DQ7" s="21"/>
      <c r="DX7" s="20"/>
      <c r="EA7" s="796"/>
      <c r="EC7" s="796"/>
      <c r="EE7" s="796"/>
      <c r="EF7" s="796"/>
      <c r="EG7" s="796"/>
      <c r="EP7" s="20"/>
      <c r="ES7" s="20"/>
      <c r="EV7" s="20"/>
      <c r="EY7" s="20"/>
    </row>
    <row r="8" spans="1:155">
      <c r="DS8" s="21"/>
      <c r="DT8" s="723"/>
      <c r="DU8" s="22"/>
      <c r="DW8" s="21"/>
      <c r="DX8" s="20"/>
      <c r="EA8" s="796"/>
      <c r="EG8" s="20"/>
      <c r="EP8" s="20"/>
      <c r="ES8" s="20"/>
      <c r="EV8" s="20"/>
      <c r="EY8" s="20"/>
    </row>
    <row r="9" spans="1:155" ht="17.25" thickBot="1">
      <c r="B9" s="20"/>
      <c r="C9" s="20"/>
      <c r="CW9" s="22"/>
      <c r="CX9" s="22"/>
      <c r="CZ9" s="20"/>
      <c r="DA9" s="23"/>
      <c r="DB9" s="22"/>
      <c r="DD9" s="23"/>
      <c r="DE9" s="22"/>
      <c r="DG9" s="23"/>
      <c r="DH9" s="22"/>
      <c r="DJ9" s="22"/>
      <c r="DL9" s="23"/>
      <c r="DN9" s="22"/>
      <c r="DO9" s="24"/>
      <c r="DP9" s="24"/>
      <c r="DQ9" s="22"/>
      <c r="DR9" s="22"/>
      <c r="DS9" s="22"/>
      <c r="DT9" s="22"/>
      <c r="DU9" s="25"/>
      <c r="DV9" s="23"/>
      <c r="DX9" s="24"/>
      <c r="DY9" s="22"/>
      <c r="DZ9" s="22"/>
      <c r="EA9" s="796"/>
      <c r="EB9" s="22"/>
      <c r="EC9" s="23"/>
      <c r="ED9" s="23"/>
      <c r="EE9" s="22"/>
      <c r="EF9" s="22" t="s">
        <v>278</v>
      </c>
      <c r="EG9" s="25"/>
      <c r="EH9" s="23" t="s">
        <v>0</v>
      </c>
      <c r="EJ9" s="24"/>
      <c r="EK9" s="24" t="s">
        <v>455</v>
      </c>
      <c r="EP9" s="20"/>
      <c r="ES9" s="20"/>
      <c r="EV9" s="20"/>
      <c r="EY9" s="20"/>
    </row>
    <row r="10" spans="1:155" s="34" customFormat="1" ht="19.5">
      <c r="A10" s="26"/>
      <c r="B10" s="26"/>
      <c r="C10" s="26"/>
      <c r="D10" s="27" t="s">
        <v>1</v>
      </c>
      <c r="E10" s="737"/>
      <c r="F10" s="738" t="s">
        <v>279</v>
      </c>
      <c r="G10" s="736"/>
      <c r="H10" s="737"/>
      <c r="I10" s="738" t="s">
        <v>280</v>
      </c>
      <c r="J10" s="736"/>
      <c r="K10" s="737"/>
      <c r="L10" s="738" t="s">
        <v>279</v>
      </c>
      <c r="M10" s="736"/>
      <c r="N10" s="737"/>
      <c r="O10" s="738" t="s">
        <v>279</v>
      </c>
      <c r="P10" s="736"/>
      <c r="Q10" s="737"/>
      <c r="R10" s="738" t="s">
        <v>281</v>
      </c>
      <c r="S10" s="736"/>
      <c r="T10" s="737"/>
      <c r="U10" s="738" t="s">
        <v>282</v>
      </c>
      <c r="V10" s="736"/>
      <c r="W10" s="737"/>
      <c r="X10" s="738" t="s">
        <v>283</v>
      </c>
      <c r="Y10" s="736"/>
      <c r="Z10" s="737"/>
      <c r="AA10" s="738" t="s">
        <v>280</v>
      </c>
      <c r="AB10" s="736"/>
      <c r="AC10" s="737"/>
      <c r="AD10" s="738" t="s">
        <v>281</v>
      </c>
      <c r="AE10" s="736"/>
      <c r="AF10" s="737"/>
      <c r="AG10" s="738" t="s">
        <v>279</v>
      </c>
      <c r="AH10" s="736"/>
      <c r="AI10" s="737"/>
      <c r="AJ10" s="738" t="s">
        <v>284</v>
      </c>
      <c r="AK10" s="736"/>
      <c r="AL10" s="737"/>
      <c r="AM10" s="738" t="s">
        <v>280</v>
      </c>
      <c r="AN10" s="736"/>
      <c r="AO10" s="737"/>
      <c r="AP10" s="738" t="s">
        <v>280</v>
      </c>
      <c r="AQ10" s="736"/>
      <c r="AR10" s="737"/>
      <c r="AS10" s="738" t="s">
        <v>280</v>
      </c>
      <c r="AT10" s="736"/>
      <c r="AU10" s="737"/>
      <c r="AV10" s="738" t="s">
        <v>279</v>
      </c>
      <c r="AW10" s="736"/>
      <c r="AX10" s="737"/>
      <c r="AY10" s="738" t="s">
        <v>285</v>
      </c>
      <c r="AZ10" s="736"/>
      <c r="BA10" s="737"/>
      <c r="BB10" s="738" t="s">
        <v>279</v>
      </c>
      <c r="BC10" s="736"/>
      <c r="BD10" s="737"/>
      <c r="BE10" s="738" t="s">
        <v>279</v>
      </c>
      <c r="BF10" s="736"/>
      <c r="BG10" s="737"/>
      <c r="BH10" s="738" t="s">
        <v>283</v>
      </c>
      <c r="BI10" s="736"/>
      <c r="BJ10" s="737"/>
      <c r="BK10" s="738" t="s">
        <v>279</v>
      </c>
      <c r="BL10" s="736"/>
      <c r="BM10" s="737"/>
      <c r="BN10" s="738" t="s">
        <v>286</v>
      </c>
      <c r="BO10" s="736"/>
      <c r="BP10" s="737"/>
      <c r="BQ10" s="738" t="s">
        <v>2</v>
      </c>
      <c r="BR10" s="736"/>
      <c r="BS10" s="737"/>
      <c r="BT10" s="738" t="s">
        <v>284</v>
      </c>
      <c r="BU10" s="736"/>
      <c r="BV10" s="737"/>
      <c r="BW10" s="738" t="s">
        <v>279</v>
      </c>
      <c r="BX10" s="736"/>
      <c r="BY10" s="737"/>
      <c r="BZ10" s="28" t="s">
        <v>286</v>
      </c>
      <c r="CA10" s="736"/>
      <c r="CB10" s="737"/>
      <c r="CC10" s="28" t="s">
        <v>281</v>
      </c>
      <c r="CD10" s="736"/>
      <c r="CE10" s="737"/>
      <c r="CF10" s="28" t="s">
        <v>284</v>
      </c>
      <c r="CG10" s="736"/>
      <c r="CH10" s="737"/>
      <c r="CI10" s="28" t="s">
        <v>283</v>
      </c>
      <c r="CJ10" s="736"/>
      <c r="CK10" s="736"/>
      <c r="CL10" s="29"/>
      <c r="CM10" s="30" t="s">
        <v>281</v>
      </c>
      <c r="CN10" s="31" t="s">
        <v>287</v>
      </c>
      <c r="CO10" s="32"/>
      <c r="CP10" s="736" t="s">
        <v>281</v>
      </c>
      <c r="CQ10" s="737"/>
      <c r="CR10" s="28"/>
      <c r="CS10" s="736" t="s">
        <v>283</v>
      </c>
      <c r="CT10" s="736"/>
      <c r="CU10" s="28"/>
      <c r="CV10" s="736" t="s">
        <v>2</v>
      </c>
      <c r="CW10" s="33">
        <v>44916</v>
      </c>
      <c r="CX10" s="32"/>
      <c r="CY10" s="736" t="s">
        <v>286</v>
      </c>
      <c r="CZ10" s="737" t="s">
        <v>286</v>
      </c>
      <c r="DA10" s="28"/>
      <c r="DB10" s="736" t="s">
        <v>280</v>
      </c>
      <c r="DC10" s="737"/>
      <c r="DD10" s="28"/>
      <c r="DE10" s="736" t="s">
        <v>281</v>
      </c>
      <c r="DF10" s="737"/>
      <c r="DG10" s="28"/>
      <c r="DH10" s="736" t="s">
        <v>279</v>
      </c>
      <c r="DI10" s="737"/>
      <c r="DJ10" s="28"/>
      <c r="DK10" s="736" t="s">
        <v>286</v>
      </c>
      <c r="DL10" s="737"/>
      <c r="DM10" s="28"/>
      <c r="DN10" s="736" t="s">
        <v>286</v>
      </c>
      <c r="DO10" s="31"/>
      <c r="DP10" s="28"/>
      <c r="DQ10" s="736" t="s">
        <v>286</v>
      </c>
      <c r="DR10" s="737"/>
      <c r="DS10" s="28"/>
      <c r="DT10" s="736" t="s">
        <v>281</v>
      </c>
      <c r="DU10" s="737"/>
      <c r="DV10" s="28"/>
      <c r="DW10" s="736" t="s">
        <v>281</v>
      </c>
      <c r="DX10" s="741" t="s">
        <v>434</v>
      </c>
      <c r="DY10" s="28"/>
      <c r="DZ10" s="736" t="s">
        <v>279</v>
      </c>
      <c r="EA10" s="737"/>
      <c r="EB10" s="28"/>
      <c r="EC10" s="736" t="s">
        <v>2</v>
      </c>
      <c r="ED10" s="737"/>
      <c r="EE10" s="28"/>
      <c r="EF10" s="736" t="s">
        <v>280</v>
      </c>
      <c r="EG10" s="741" t="s">
        <v>435</v>
      </c>
      <c r="EH10" s="28"/>
      <c r="EI10" s="736" t="s">
        <v>286</v>
      </c>
      <c r="EJ10" s="737"/>
      <c r="EK10" s="28"/>
      <c r="EL10" s="736" t="s">
        <v>2</v>
      </c>
      <c r="EM10" s="737"/>
      <c r="EN10" s="28"/>
      <c r="EO10" s="736" t="s">
        <v>281</v>
      </c>
      <c r="EP10" s="741" t="s">
        <v>436</v>
      </c>
      <c r="EQ10" s="28"/>
      <c r="ER10" s="736" t="s">
        <v>2</v>
      </c>
      <c r="ES10" s="741"/>
      <c r="ET10" s="28"/>
      <c r="EU10" s="736" t="s">
        <v>281</v>
      </c>
      <c r="EV10" s="741"/>
      <c r="EW10" s="28"/>
      <c r="EX10" s="736" t="s">
        <v>283</v>
      </c>
      <c r="EY10" s="741"/>
    </row>
    <row r="11" spans="1:155" s="34" customFormat="1" ht="19.5">
      <c r="A11" s="35" t="s">
        <v>3</v>
      </c>
      <c r="B11" s="36" t="s">
        <v>4</v>
      </c>
      <c r="C11" s="36" t="s">
        <v>5</v>
      </c>
      <c r="D11" s="37" t="s">
        <v>6</v>
      </c>
      <c r="E11" s="38"/>
      <c r="F11" s="811" t="s">
        <v>288</v>
      </c>
      <c r="G11" s="39"/>
      <c r="H11" s="38"/>
      <c r="I11" s="811" t="s">
        <v>289</v>
      </c>
      <c r="J11" s="39"/>
      <c r="K11" s="38"/>
      <c r="L11" s="811" t="s">
        <v>290</v>
      </c>
      <c r="M11" s="39"/>
      <c r="N11" s="38"/>
      <c r="O11" s="811" t="s">
        <v>291</v>
      </c>
      <c r="P11" s="39"/>
      <c r="Q11" s="38"/>
      <c r="R11" s="811" t="s">
        <v>292</v>
      </c>
      <c r="S11" s="39"/>
      <c r="T11" s="38"/>
      <c r="U11" s="811" t="s">
        <v>293</v>
      </c>
      <c r="V11" s="39"/>
      <c r="W11" s="38"/>
      <c r="X11" s="811" t="s">
        <v>294</v>
      </c>
      <c r="Y11" s="39"/>
      <c r="Z11" s="38"/>
      <c r="AA11" s="811" t="s">
        <v>295</v>
      </c>
      <c r="AB11" s="39"/>
      <c r="AC11" s="38"/>
      <c r="AD11" s="811" t="s">
        <v>296</v>
      </c>
      <c r="AE11" s="39"/>
      <c r="AF11" s="38"/>
      <c r="AG11" s="811" t="s">
        <v>297</v>
      </c>
      <c r="AH11" s="39"/>
      <c r="AI11" s="38"/>
      <c r="AJ11" s="811" t="s">
        <v>298</v>
      </c>
      <c r="AK11" s="39"/>
      <c r="AL11" s="38"/>
      <c r="AM11" s="811" t="s">
        <v>299</v>
      </c>
      <c r="AN11" s="39"/>
      <c r="AO11" s="38"/>
      <c r="AP11" s="811" t="s">
        <v>300</v>
      </c>
      <c r="AQ11" s="39"/>
      <c r="AR11" s="38"/>
      <c r="AS11" s="811" t="s">
        <v>301</v>
      </c>
      <c r="AT11" s="39"/>
      <c r="AU11" s="38"/>
      <c r="AV11" s="811" t="s">
        <v>302</v>
      </c>
      <c r="AW11" s="39"/>
      <c r="AX11" s="38"/>
      <c r="AY11" s="811" t="s">
        <v>303</v>
      </c>
      <c r="AZ11" s="39"/>
      <c r="BA11" s="38"/>
      <c r="BB11" s="811" t="s">
        <v>304</v>
      </c>
      <c r="BC11" s="39"/>
      <c r="BD11" s="38"/>
      <c r="BE11" s="811" t="s">
        <v>305</v>
      </c>
      <c r="BF11" s="39"/>
      <c r="BG11" s="38"/>
      <c r="BH11" s="811" t="s">
        <v>306</v>
      </c>
      <c r="BI11" s="39"/>
      <c r="BJ11" s="38"/>
      <c r="BK11" s="811" t="s">
        <v>307</v>
      </c>
      <c r="BL11" s="39"/>
      <c r="BM11" s="38"/>
      <c r="BN11" s="811" t="s">
        <v>308</v>
      </c>
      <c r="BO11" s="39"/>
      <c r="BP11" s="38"/>
      <c r="BQ11" s="811" t="s">
        <v>309</v>
      </c>
      <c r="BR11" s="39"/>
      <c r="BS11" s="38"/>
      <c r="BT11" s="811" t="s">
        <v>310</v>
      </c>
      <c r="BU11" s="39"/>
      <c r="BV11" s="38"/>
      <c r="BW11" s="811" t="s">
        <v>311</v>
      </c>
      <c r="BX11" s="39"/>
      <c r="BY11" s="38"/>
      <c r="BZ11" s="811" t="s">
        <v>312</v>
      </c>
      <c r="CA11" s="39"/>
      <c r="CB11" s="38"/>
      <c r="CC11" s="811" t="s">
        <v>313</v>
      </c>
      <c r="CD11" s="39"/>
      <c r="CE11" s="38"/>
      <c r="CF11" s="811" t="s">
        <v>314</v>
      </c>
      <c r="CG11" s="40"/>
      <c r="CH11" s="38"/>
      <c r="CI11" s="836" t="s">
        <v>315</v>
      </c>
      <c r="CJ11" s="837"/>
      <c r="CK11" s="837"/>
      <c r="CL11" s="41" t="s">
        <v>316</v>
      </c>
      <c r="CM11" s="42"/>
      <c r="CN11" s="43" t="s">
        <v>317</v>
      </c>
      <c r="CO11" s="44" t="s">
        <v>318</v>
      </c>
      <c r="CP11" s="39" t="s">
        <v>319</v>
      </c>
      <c r="CQ11" s="38"/>
      <c r="CR11" s="44" t="s">
        <v>320</v>
      </c>
      <c r="CS11" s="39" t="s">
        <v>321</v>
      </c>
      <c r="CT11" s="38"/>
      <c r="CU11" s="44" t="s">
        <v>320</v>
      </c>
      <c r="CV11" s="39" t="s">
        <v>320</v>
      </c>
      <c r="CW11" s="45" t="s">
        <v>322</v>
      </c>
      <c r="CX11" s="812"/>
      <c r="CY11" s="39" t="s">
        <v>323</v>
      </c>
      <c r="CZ11" s="38" t="s">
        <v>323</v>
      </c>
      <c r="DA11" s="812"/>
      <c r="DB11" s="39"/>
      <c r="DC11" s="38" t="s">
        <v>324</v>
      </c>
      <c r="DD11" s="812"/>
      <c r="DE11" s="39" t="s">
        <v>325</v>
      </c>
      <c r="DF11" s="39" t="s">
        <v>325</v>
      </c>
      <c r="DG11" s="811"/>
      <c r="DH11" s="39" t="s">
        <v>326</v>
      </c>
      <c r="DI11" s="39" t="s">
        <v>326</v>
      </c>
      <c r="DJ11" s="811"/>
      <c r="DK11" s="39"/>
      <c r="DL11" s="39" t="s">
        <v>327</v>
      </c>
      <c r="DM11" s="811"/>
      <c r="DN11" s="39" t="s">
        <v>328</v>
      </c>
      <c r="DO11" s="46"/>
      <c r="DP11" s="811"/>
      <c r="DQ11" s="39"/>
      <c r="DR11" s="39" t="s">
        <v>329</v>
      </c>
      <c r="DS11" s="811"/>
      <c r="DT11" s="39"/>
      <c r="DU11" s="39" t="s">
        <v>330</v>
      </c>
      <c r="DV11" s="811"/>
      <c r="DW11" s="39" t="s">
        <v>331</v>
      </c>
      <c r="DX11" s="742"/>
      <c r="DY11" s="811"/>
      <c r="DZ11" s="39" t="s">
        <v>332</v>
      </c>
      <c r="EA11" s="39" t="s">
        <v>332</v>
      </c>
      <c r="EB11" s="811"/>
      <c r="EC11" s="39" t="s">
        <v>333</v>
      </c>
      <c r="ED11" s="39" t="s">
        <v>333</v>
      </c>
      <c r="EE11" s="811"/>
      <c r="EF11" s="39" t="s">
        <v>334</v>
      </c>
      <c r="EG11" s="742"/>
      <c r="EH11" s="811"/>
      <c r="EI11" s="39" t="s">
        <v>428</v>
      </c>
      <c r="EJ11" s="38"/>
      <c r="EK11" s="811"/>
      <c r="EL11" s="39" t="s">
        <v>429</v>
      </c>
      <c r="EM11" s="38"/>
      <c r="EN11" s="811"/>
      <c r="EO11" s="39" t="s">
        <v>430</v>
      </c>
      <c r="EP11" s="742"/>
      <c r="EQ11" s="811"/>
      <c r="ER11" s="39" t="s">
        <v>447</v>
      </c>
      <c r="ES11" s="742"/>
      <c r="ET11" s="811"/>
      <c r="EU11" s="39" t="s">
        <v>448</v>
      </c>
      <c r="EV11" s="742"/>
      <c r="EW11" s="811"/>
      <c r="EX11" s="39" t="s">
        <v>449</v>
      </c>
      <c r="EY11" s="742"/>
    </row>
    <row r="12" spans="1:155" s="34" customFormat="1" ht="20.25" thickBot="1">
      <c r="A12" s="47"/>
      <c r="B12" s="48"/>
      <c r="C12" s="48" t="s">
        <v>7</v>
      </c>
      <c r="D12" s="49"/>
      <c r="E12" s="50" t="s">
        <v>335</v>
      </c>
      <c r="F12" s="51" t="s">
        <v>336</v>
      </c>
      <c r="G12" s="52" t="s">
        <v>67</v>
      </c>
      <c r="H12" s="50" t="s">
        <v>335</v>
      </c>
      <c r="I12" s="51" t="s">
        <v>336</v>
      </c>
      <c r="J12" s="52" t="s">
        <v>67</v>
      </c>
      <c r="K12" s="50" t="s">
        <v>335</v>
      </c>
      <c r="L12" s="51" t="s">
        <v>336</v>
      </c>
      <c r="M12" s="52" t="s">
        <v>67</v>
      </c>
      <c r="N12" s="50" t="s">
        <v>335</v>
      </c>
      <c r="O12" s="51" t="s">
        <v>336</v>
      </c>
      <c r="P12" s="52" t="s">
        <v>67</v>
      </c>
      <c r="Q12" s="50" t="s">
        <v>335</v>
      </c>
      <c r="R12" s="51" t="s">
        <v>336</v>
      </c>
      <c r="S12" s="52" t="s">
        <v>67</v>
      </c>
      <c r="T12" s="50" t="s">
        <v>335</v>
      </c>
      <c r="U12" s="51" t="s">
        <v>336</v>
      </c>
      <c r="V12" s="52" t="s">
        <v>67</v>
      </c>
      <c r="W12" s="50" t="s">
        <v>335</v>
      </c>
      <c r="X12" s="51" t="s">
        <v>336</v>
      </c>
      <c r="Y12" s="52" t="s">
        <v>67</v>
      </c>
      <c r="Z12" s="50" t="s">
        <v>335</v>
      </c>
      <c r="AA12" s="51" t="s">
        <v>336</v>
      </c>
      <c r="AB12" s="52" t="s">
        <v>67</v>
      </c>
      <c r="AC12" s="50" t="s">
        <v>335</v>
      </c>
      <c r="AD12" s="51" t="s">
        <v>336</v>
      </c>
      <c r="AE12" s="52" t="s">
        <v>67</v>
      </c>
      <c r="AF12" s="50" t="s">
        <v>335</v>
      </c>
      <c r="AG12" s="51" t="s">
        <v>336</v>
      </c>
      <c r="AH12" s="52" t="s">
        <v>67</v>
      </c>
      <c r="AI12" s="50" t="s">
        <v>335</v>
      </c>
      <c r="AJ12" s="51" t="s">
        <v>336</v>
      </c>
      <c r="AK12" s="52" t="s">
        <v>67</v>
      </c>
      <c r="AL12" s="50" t="s">
        <v>335</v>
      </c>
      <c r="AM12" s="51" t="s">
        <v>336</v>
      </c>
      <c r="AN12" s="52" t="s">
        <v>67</v>
      </c>
      <c r="AO12" s="50" t="s">
        <v>335</v>
      </c>
      <c r="AP12" s="51" t="s">
        <v>336</v>
      </c>
      <c r="AQ12" s="52" t="s">
        <v>67</v>
      </c>
      <c r="AR12" s="50" t="s">
        <v>335</v>
      </c>
      <c r="AS12" s="51" t="s">
        <v>336</v>
      </c>
      <c r="AT12" s="52" t="s">
        <v>67</v>
      </c>
      <c r="AU12" s="50" t="s">
        <v>335</v>
      </c>
      <c r="AV12" s="51" t="s">
        <v>336</v>
      </c>
      <c r="AW12" s="52" t="s">
        <v>67</v>
      </c>
      <c r="AX12" s="50" t="s">
        <v>335</v>
      </c>
      <c r="AY12" s="51" t="s">
        <v>336</v>
      </c>
      <c r="AZ12" s="52" t="s">
        <v>67</v>
      </c>
      <c r="BA12" s="50" t="s">
        <v>335</v>
      </c>
      <c r="BB12" s="51" t="s">
        <v>336</v>
      </c>
      <c r="BC12" s="52" t="s">
        <v>67</v>
      </c>
      <c r="BD12" s="50" t="s">
        <v>335</v>
      </c>
      <c r="BE12" s="51" t="s">
        <v>336</v>
      </c>
      <c r="BF12" s="52" t="s">
        <v>67</v>
      </c>
      <c r="BG12" s="50" t="s">
        <v>335</v>
      </c>
      <c r="BH12" s="51" t="s">
        <v>336</v>
      </c>
      <c r="BI12" s="52" t="s">
        <v>67</v>
      </c>
      <c r="BJ12" s="50" t="s">
        <v>335</v>
      </c>
      <c r="BK12" s="51" t="s">
        <v>336</v>
      </c>
      <c r="BL12" s="52" t="s">
        <v>67</v>
      </c>
      <c r="BM12" s="50" t="s">
        <v>335</v>
      </c>
      <c r="BN12" s="51" t="s">
        <v>336</v>
      </c>
      <c r="BO12" s="52" t="s">
        <v>67</v>
      </c>
      <c r="BP12" s="50" t="s">
        <v>335</v>
      </c>
      <c r="BQ12" s="51" t="s">
        <v>336</v>
      </c>
      <c r="BR12" s="52" t="s">
        <v>67</v>
      </c>
      <c r="BS12" s="50" t="s">
        <v>335</v>
      </c>
      <c r="BT12" s="51" t="s">
        <v>336</v>
      </c>
      <c r="BU12" s="52" t="s">
        <v>67</v>
      </c>
      <c r="BV12" s="50" t="s">
        <v>335</v>
      </c>
      <c r="BW12" s="51" t="s">
        <v>336</v>
      </c>
      <c r="BX12" s="52" t="s">
        <v>67</v>
      </c>
      <c r="BY12" s="50" t="s">
        <v>335</v>
      </c>
      <c r="BZ12" s="51" t="s">
        <v>336</v>
      </c>
      <c r="CA12" s="52" t="s">
        <v>67</v>
      </c>
      <c r="CB12" s="50" t="s">
        <v>335</v>
      </c>
      <c r="CC12" s="51" t="s">
        <v>336</v>
      </c>
      <c r="CD12" s="52" t="s">
        <v>67</v>
      </c>
      <c r="CE12" s="50" t="s">
        <v>335</v>
      </c>
      <c r="CF12" s="51" t="s">
        <v>336</v>
      </c>
      <c r="CG12" s="53" t="s">
        <v>67</v>
      </c>
      <c r="CH12" s="50" t="s">
        <v>335</v>
      </c>
      <c r="CI12" s="54" t="s">
        <v>336</v>
      </c>
      <c r="CJ12" s="53" t="s">
        <v>67</v>
      </c>
      <c r="CK12" s="55" t="s">
        <v>335</v>
      </c>
      <c r="CL12" s="56" t="s">
        <v>336</v>
      </c>
      <c r="CM12" s="57" t="s">
        <v>67</v>
      </c>
      <c r="CN12" s="50" t="s">
        <v>335</v>
      </c>
      <c r="CO12" s="51" t="s">
        <v>336</v>
      </c>
      <c r="CP12" s="52" t="s">
        <v>67</v>
      </c>
      <c r="CQ12" s="50" t="s">
        <v>335</v>
      </c>
      <c r="CR12" s="51" t="s">
        <v>336</v>
      </c>
      <c r="CS12" s="52" t="s">
        <v>67</v>
      </c>
      <c r="CT12" s="55" t="s">
        <v>335</v>
      </c>
      <c r="CU12" s="54" t="s">
        <v>336</v>
      </c>
      <c r="CV12" s="52" t="s">
        <v>67</v>
      </c>
      <c r="CW12" s="50" t="s">
        <v>335</v>
      </c>
      <c r="CX12" s="51" t="s">
        <v>336</v>
      </c>
      <c r="CY12" s="52" t="s">
        <v>67</v>
      </c>
      <c r="CZ12" s="50" t="s">
        <v>335</v>
      </c>
      <c r="DA12" s="51" t="s">
        <v>336</v>
      </c>
      <c r="DB12" s="52" t="s">
        <v>67</v>
      </c>
      <c r="DC12" s="50" t="s">
        <v>335</v>
      </c>
      <c r="DD12" s="51" t="s">
        <v>336</v>
      </c>
      <c r="DE12" s="52" t="s">
        <v>67</v>
      </c>
      <c r="DF12" s="50" t="s">
        <v>335</v>
      </c>
      <c r="DG12" s="51" t="s">
        <v>336</v>
      </c>
      <c r="DH12" s="52" t="s">
        <v>67</v>
      </c>
      <c r="DI12" s="50" t="s">
        <v>335</v>
      </c>
      <c r="DJ12" s="51" t="s">
        <v>336</v>
      </c>
      <c r="DK12" s="52" t="s">
        <v>67</v>
      </c>
      <c r="DL12" s="50" t="s">
        <v>335</v>
      </c>
      <c r="DM12" s="51" t="s">
        <v>336</v>
      </c>
      <c r="DN12" s="52" t="s">
        <v>67</v>
      </c>
      <c r="DO12" s="58" t="s">
        <v>335</v>
      </c>
      <c r="DP12" s="51" t="s">
        <v>336</v>
      </c>
      <c r="DQ12" s="52" t="s">
        <v>67</v>
      </c>
      <c r="DR12" s="50" t="s">
        <v>335</v>
      </c>
      <c r="DS12" s="51" t="s">
        <v>336</v>
      </c>
      <c r="DT12" s="52" t="s">
        <v>67</v>
      </c>
      <c r="DU12" s="50" t="s">
        <v>335</v>
      </c>
      <c r="DV12" s="51" t="s">
        <v>336</v>
      </c>
      <c r="DW12" s="52" t="s">
        <v>67</v>
      </c>
      <c r="DX12" s="743" t="s">
        <v>335</v>
      </c>
      <c r="DY12" s="51" t="s">
        <v>336</v>
      </c>
      <c r="DZ12" s="52" t="s">
        <v>67</v>
      </c>
      <c r="EA12" s="50" t="s">
        <v>335</v>
      </c>
      <c r="EB12" s="51" t="s">
        <v>336</v>
      </c>
      <c r="EC12" s="52" t="s">
        <v>67</v>
      </c>
      <c r="ED12" s="50" t="s">
        <v>335</v>
      </c>
      <c r="EE12" s="51" t="s">
        <v>336</v>
      </c>
      <c r="EF12" s="52" t="s">
        <v>67</v>
      </c>
      <c r="EG12" s="743" t="s">
        <v>335</v>
      </c>
      <c r="EH12" s="51" t="s">
        <v>336</v>
      </c>
      <c r="EI12" s="52" t="s">
        <v>67</v>
      </c>
      <c r="EJ12" s="50" t="s">
        <v>335</v>
      </c>
      <c r="EK12" s="51" t="s">
        <v>336</v>
      </c>
      <c r="EL12" s="52" t="s">
        <v>67</v>
      </c>
      <c r="EM12" s="50" t="s">
        <v>335</v>
      </c>
      <c r="EN12" s="51" t="s">
        <v>336</v>
      </c>
      <c r="EO12" s="52" t="s">
        <v>67</v>
      </c>
      <c r="EP12" s="743" t="s">
        <v>335</v>
      </c>
      <c r="EQ12" s="51" t="s">
        <v>336</v>
      </c>
      <c r="ER12" s="52" t="s">
        <v>67</v>
      </c>
      <c r="ES12" s="743" t="s">
        <v>335</v>
      </c>
      <c r="ET12" s="51" t="s">
        <v>336</v>
      </c>
      <c r="EU12" s="52" t="s">
        <v>67</v>
      </c>
      <c r="EV12" s="743" t="s">
        <v>335</v>
      </c>
      <c r="EW12" s="51" t="s">
        <v>336</v>
      </c>
      <c r="EX12" s="52" t="s">
        <v>67</v>
      </c>
      <c r="EY12" s="743" t="s">
        <v>335</v>
      </c>
    </row>
    <row r="13" spans="1:155" ht="20.25" thickTop="1">
      <c r="A13" s="59">
        <v>1</v>
      </c>
      <c r="B13" s="60" t="s">
        <v>14</v>
      </c>
      <c r="C13" s="61">
        <v>6003485600</v>
      </c>
      <c r="D13" s="62" t="s">
        <v>15</v>
      </c>
      <c r="E13" s="63">
        <v>863.17000000000201</v>
      </c>
      <c r="F13" s="64">
        <v>953.40099999999995</v>
      </c>
      <c r="G13" s="65">
        <v>1103.22</v>
      </c>
      <c r="H13" s="66">
        <f t="shared" ref="H13:H22" si="0">(E13+F13)-(G13)</f>
        <v>713.35100000000193</v>
      </c>
      <c r="I13" s="67">
        <v>1025.654</v>
      </c>
      <c r="J13" s="68">
        <v>943.86</v>
      </c>
      <c r="K13" s="66">
        <f t="shared" ref="K13:K23" si="1">(H13+I13)-(J13)</f>
        <v>795.14500000000191</v>
      </c>
      <c r="L13" s="64">
        <v>1011.3339999999999</v>
      </c>
      <c r="M13" s="65">
        <v>1018.647</v>
      </c>
      <c r="N13" s="63">
        <f t="shared" ref="N13:N23" si="2">(K13+L13)-(M13)</f>
        <v>787.83200000000181</v>
      </c>
      <c r="O13" s="64">
        <v>813.303</v>
      </c>
      <c r="P13" s="65">
        <v>865.36500000000001</v>
      </c>
      <c r="Q13" s="63">
        <f t="shared" ref="Q13:Q23" si="3">(N13+O13)-(P13)</f>
        <v>735.7700000000018</v>
      </c>
      <c r="R13" s="64">
        <v>905.553</v>
      </c>
      <c r="S13" s="65">
        <v>796.31600000000003</v>
      </c>
      <c r="T13" s="63">
        <f t="shared" ref="T13:T23" si="4">(Q13+R13)-(S13)</f>
        <v>845.00700000000165</v>
      </c>
      <c r="U13" s="67">
        <v>804.47400000000005</v>
      </c>
      <c r="V13" s="68">
        <v>562.30399999999997</v>
      </c>
      <c r="W13" s="66">
        <f t="shared" ref="W13:W23" si="5">(T13+U13)-(V13)</f>
        <v>1087.1770000000015</v>
      </c>
      <c r="X13" s="67">
        <v>514.74199999999996</v>
      </c>
      <c r="Y13" s="68">
        <v>652.05999999999995</v>
      </c>
      <c r="Z13" s="66">
        <f t="shared" ref="Z13:Z23" si="6">(W13+X13)-(Y13)</f>
        <v>949.85900000000152</v>
      </c>
      <c r="AA13" s="67">
        <v>480.67399999999998</v>
      </c>
      <c r="AB13" s="68">
        <v>391.06200000000001</v>
      </c>
      <c r="AC13" s="66">
        <f t="shared" ref="AC13:AC23" si="7">(Z13+AA13)-(AB13)</f>
        <v>1039.4710000000014</v>
      </c>
      <c r="AD13" s="67">
        <v>324.74</v>
      </c>
      <c r="AE13" s="68">
        <v>448.66</v>
      </c>
      <c r="AF13" s="66">
        <f>(AC13+AD13)-(AE13)</f>
        <v>915.5510000000013</v>
      </c>
      <c r="AG13" s="67">
        <v>436.19</v>
      </c>
      <c r="AH13" s="68">
        <v>478.62</v>
      </c>
      <c r="AI13" s="66">
        <f t="shared" ref="AI13:AI23" si="8">(AF13+AG13)-(AH13)</f>
        <v>873.12100000000135</v>
      </c>
      <c r="AJ13" s="67">
        <v>233.47399999999999</v>
      </c>
      <c r="AK13" s="68">
        <v>308.90199999999999</v>
      </c>
      <c r="AL13" s="66">
        <f t="shared" ref="AL13:AL23" si="9">(AI13+AJ13)-(AK13)</f>
        <v>797.69300000000135</v>
      </c>
      <c r="AM13" s="67">
        <v>29.042999999999999</v>
      </c>
      <c r="AN13" s="68">
        <v>37.152000000000001</v>
      </c>
      <c r="AO13" s="66">
        <f t="shared" ref="AO13:AO23" si="10">(AL13+AM13)-(AN13)</f>
        <v>789.58400000000131</v>
      </c>
      <c r="AP13" s="67">
        <v>381.29</v>
      </c>
      <c r="AQ13" s="68">
        <v>232.09299999999999</v>
      </c>
      <c r="AR13" s="66" t="e">
        <f>(AO13+AP13)-(AQ13)-#REF!</f>
        <v>#REF!</v>
      </c>
      <c r="AS13" s="67">
        <v>468.45600000000002</v>
      </c>
      <c r="AT13" s="68">
        <v>501.98399999999998</v>
      </c>
      <c r="AU13" s="63" t="e">
        <f t="shared" ref="AU13:AU23" si="11">(AR13+AS13)-(AT13)</f>
        <v>#REF!</v>
      </c>
      <c r="AV13" s="67">
        <v>387.77600000000001</v>
      </c>
      <c r="AW13" s="68" t="e">
        <f>759.962-#REF!</f>
        <v>#REF!</v>
      </c>
      <c r="AX13" s="66" t="e">
        <f t="shared" ref="AX13:AX23" si="12">(AU13+AV13)-(AW13)</f>
        <v>#REF!</v>
      </c>
      <c r="AY13" s="67">
        <v>376.35199999999998</v>
      </c>
      <c r="AZ13" s="68">
        <v>367.97</v>
      </c>
      <c r="BA13" s="66" t="e">
        <f t="shared" ref="BA13:BA20" si="13">(AX13+AY13)-(AZ13)</f>
        <v>#REF!</v>
      </c>
      <c r="BB13" s="67">
        <v>958.10799999999995</v>
      </c>
      <c r="BC13" s="68">
        <v>765.98299999999995</v>
      </c>
      <c r="BD13" s="66">
        <v>320.5</v>
      </c>
      <c r="BE13" s="67">
        <v>672.58399999999995</v>
      </c>
      <c r="BF13" s="68">
        <v>557.601</v>
      </c>
      <c r="BG13" s="66">
        <f t="shared" ref="BG13:BG18" si="14">(BD13+BE13)-(BF13)</f>
        <v>435.48299999999995</v>
      </c>
      <c r="BH13" s="67">
        <v>632.70799999999997</v>
      </c>
      <c r="BI13" s="68">
        <v>663.71199999999999</v>
      </c>
      <c r="BJ13" s="66">
        <f t="shared" ref="BJ13:BJ23" si="15">(BG13+BH13)-(BI13)</f>
        <v>404.47899999999981</v>
      </c>
      <c r="BK13" s="67">
        <v>564.79200000000003</v>
      </c>
      <c r="BL13" s="68">
        <v>433.86</v>
      </c>
      <c r="BM13" s="66">
        <f t="shared" ref="BM13:BM23" si="16">(BJ13+BK13)-(BL13)</f>
        <v>535.41099999999983</v>
      </c>
      <c r="BN13" s="67">
        <v>590.22199999999998</v>
      </c>
      <c r="BO13" s="68">
        <v>605.59400000000005</v>
      </c>
      <c r="BP13" s="66">
        <f t="shared" ref="BP13:BP23" si="17">(BM13+BN13)-(BO13)</f>
        <v>520.03899999999976</v>
      </c>
      <c r="BQ13" s="67">
        <v>408.423</v>
      </c>
      <c r="BR13" s="68">
        <v>406.57499999999999</v>
      </c>
      <c r="BS13" s="66">
        <f t="shared" ref="BS13:BS23" si="18">(BP13+BQ13)-(BR13)</f>
        <v>521.88699999999972</v>
      </c>
      <c r="BT13" s="67">
        <v>376.68299999999999</v>
      </c>
      <c r="BU13" s="65">
        <v>666.65899999999999</v>
      </c>
      <c r="BV13" s="63">
        <f t="shared" ref="BV13:BV21" si="19">(BS13+BT13)-(BU13)</f>
        <v>231.91099999999972</v>
      </c>
      <c r="BW13" s="64">
        <v>337.10399999999998</v>
      </c>
      <c r="BX13" s="65">
        <v>138.16399999999999</v>
      </c>
      <c r="BY13" s="63">
        <f t="shared" ref="BY13:BY23" si="20">(BV13+BW13)-(BX13)</f>
        <v>430.85099999999966</v>
      </c>
      <c r="BZ13" s="64">
        <v>466.10300000000001</v>
      </c>
      <c r="CA13" s="65">
        <v>437.983</v>
      </c>
      <c r="CB13" s="63">
        <f t="shared" ref="CB13:CB23" si="21">(BY13+BZ13)-(CA13)</f>
        <v>458.97099999999972</v>
      </c>
      <c r="CC13" s="64">
        <v>466.22399999999999</v>
      </c>
      <c r="CD13" s="68">
        <v>450.14</v>
      </c>
      <c r="CE13" s="66">
        <f t="shared" ref="CE13:CE22" si="22">(CB13+CC13)-(CD13)</f>
        <v>475.05499999999972</v>
      </c>
      <c r="CF13" s="67">
        <v>491.08699999999999</v>
      </c>
      <c r="CG13" s="65">
        <v>462.94</v>
      </c>
      <c r="CH13" s="63">
        <f t="shared" ref="CH13:CH23" si="23">(CE13+CF13)-(CG13)</f>
        <v>503.20199999999971</v>
      </c>
      <c r="CI13" s="64">
        <v>510.76</v>
      </c>
      <c r="CJ13" s="65">
        <v>641.5</v>
      </c>
      <c r="CK13" s="69">
        <f t="shared" ref="CK13:CK23" si="24">(CH13+CI13)-(CJ13)</f>
        <v>372.46199999999976</v>
      </c>
      <c r="CL13" s="70">
        <v>596.11199999999997</v>
      </c>
      <c r="CM13" s="71">
        <v>343.13600000000002</v>
      </c>
      <c r="CN13" s="66">
        <f t="shared" ref="CN13:CN18" si="25">(CK13+CL13)-(CM13)</f>
        <v>625.43799999999965</v>
      </c>
      <c r="CO13" s="67">
        <v>641.95600000000002</v>
      </c>
      <c r="CP13" s="68">
        <v>689.01499999999999</v>
      </c>
      <c r="CQ13" s="66">
        <f t="shared" ref="CQ13:CQ23" si="26">(CN13+CO13)-(CP13)</f>
        <v>578.37899999999979</v>
      </c>
      <c r="CR13" s="67">
        <v>550.76</v>
      </c>
      <c r="CS13" s="68">
        <v>643.80399999999997</v>
      </c>
      <c r="CT13" s="72">
        <f t="shared" ref="CT13:CT23" si="27">(CQ13+CR13)-(CS13)</f>
        <v>485.3349999999997</v>
      </c>
      <c r="CU13" s="73">
        <v>529.17200000000003</v>
      </c>
      <c r="CV13" s="68">
        <v>336.14400000000001</v>
      </c>
      <c r="CW13" s="66">
        <f t="shared" ref="CW13:CW23" si="28">(CT13+CU13)-(CV13)</f>
        <v>678.36299999999972</v>
      </c>
      <c r="CX13" s="67">
        <v>405.99</v>
      </c>
      <c r="CY13" s="68">
        <v>234.024</v>
      </c>
      <c r="CZ13" s="66">
        <f t="shared" ref="CZ13:CZ23" si="29">(CW13+CX13)-(CY13)</f>
        <v>850.32899999999961</v>
      </c>
      <c r="DA13" s="67">
        <v>204.608</v>
      </c>
      <c r="DB13" s="68">
        <v>479.1</v>
      </c>
      <c r="DC13" s="66">
        <f t="shared" ref="DC13:DC23" si="30">(CZ13+DA13)-(DB13)</f>
        <v>575.83699999999965</v>
      </c>
      <c r="DD13" s="67">
        <v>208.19200000000001</v>
      </c>
      <c r="DE13" s="65">
        <v>587.96600000000001</v>
      </c>
      <c r="DF13" s="63">
        <f t="shared" ref="DF13:DF21" si="31">(DC13+DD13)-(DE13)</f>
        <v>196.06299999999965</v>
      </c>
      <c r="DG13" s="64">
        <v>410.86</v>
      </c>
      <c r="DH13" s="65">
        <v>202.52799999999999</v>
      </c>
      <c r="DI13" s="66">
        <f t="shared" ref="DI13:DI23" si="32">(DF13+DG13)-(DH13)</f>
        <v>404.39499999999964</v>
      </c>
      <c r="DJ13" s="67">
        <v>309.12</v>
      </c>
      <c r="DK13" s="68">
        <v>371.05200000000002</v>
      </c>
      <c r="DL13" s="66">
        <f t="shared" ref="DL13:DL23" si="33">(DI13+DJ13)-(DK13)</f>
        <v>342.46299999999962</v>
      </c>
      <c r="DM13" s="67">
        <v>338.40800000000002</v>
      </c>
      <c r="DN13" s="68">
        <v>292.89600000000002</v>
      </c>
      <c r="DO13" s="63">
        <f t="shared" ref="DO13:DO23" si="34">(DL13+DM13)-(DN13)</f>
        <v>387.97499999999962</v>
      </c>
      <c r="DP13" s="67">
        <v>329.85599999999999</v>
      </c>
      <c r="DQ13" s="68">
        <v>229.416</v>
      </c>
      <c r="DR13" s="66">
        <f t="shared" ref="DR13:DR23" si="35">(DO13+DP13)-(DQ13)</f>
        <v>488.41499999999968</v>
      </c>
      <c r="DS13" s="67">
        <v>432.70400000000001</v>
      </c>
      <c r="DT13" s="68">
        <v>397.92</v>
      </c>
      <c r="DU13" s="66">
        <f t="shared" ref="DU13:DU23" si="36">(DR13+DS13)-(DT13)</f>
        <v>523.19899999999961</v>
      </c>
      <c r="DV13" s="67">
        <v>434.56</v>
      </c>
      <c r="DW13" s="65">
        <v>486.4</v>
      </c>
      <c r="DX13" s="744">
        <f t="shared" ref="DX13:DX23" si="37">(DU13+DV13)-(DW13)</f>
        <v>471.35899999999958</v>
      </c>
      <c r="DY13" s="67">
        <v>426.548</v>
      </c>
      <c r="DZ13" s="65">
        <v>592.05200000000002</v>
      </c>
      <c r="EA13" s="66">
        <f t="shared" ref="EA13:EA23" si="38">(DX13+DY13)-(DZ13)</f>
        <v>305.85499999999956</v>
      </c>
      <c r="EB13" s="67">
        <v>487.87200000000001</v>
      </c>
      <c r="EC13" s="68">
        <v>523.04</v>
      </c>
      <c r="ED13" s="66">
        <f t="shared" ref="ED13:ED23" si="39">(EA13+EB13)-(EC13)</f>
        <v>270.68699999999967</v>
      </c>
      <c r="EE13" s="67">
        <v>360</v>
      </c>
      <c r="EF13" s="817">
        <v>404.96</v>
      </c>
      <c r="EG13" s="744">
        <f t="shared" ref="EG13:EG23" si="40">(ED13+EE13)-(EF13)</f>
        <v>225.72699999999969</v>
      </c>
      <c r="EH13" s="67">
        <v>450</v>
      </c>
      <c r="EI13" s="817">
        <v>400</v>
      </c>
      <c r="EJ13" s="66">
        <f t="shared" ref="EJ13:EJ23" si="41">(EG13+EH13)-(EI13)</f>
        <v>275.72699999999963</v>
      </c>
      <c r="EK13" s="67">
        <v>300</v>
      </c>
      <c r="EL13" s="817">
        <v>330</v>
      </c>
      <c r="EM13" s="66">
        <f t="shared" ref="EM13:EM23" si="42">(EJ13+EK13)-(EL13)</f>
        <v>245.72699999999963</v>
      </c>
      <c r="EN13" s="67">
        <v>330</v>
      </c>
      <c r="EO13" s="68">
        <v>278</v>
      </c>
      <c r="EP13" s="744">
        <f t="shared" ref="EP13:EP23" si="43">(EM13+EN13)-(EO13)</f>
        <v>297.72699999999963</v>
      </c>
      <c r="EQ13" s="67">
        <v>273</v>
      </c>
      <c r="ER13" s="68">
        <v>300</v>
      </c>
      <c r="ES13" s="744">
        <f t="shared" ref="ES13:ES23" si="44">(EP13+EQ13)-(ER13)</f>
        <v>270.72699999999963</v>
      </c>
      <c r="ET13" s="67">
        <v>250</v>
      </c>
      <c r="EU13" s="68">
        <v>280</v>
      </c>
      <c r="EV13" s="744">
        <f t="shared" ref="EV13:EV23" si="45">(ES13+ET13)-(EU13)</f>
        <v>240.72699999999963</v>
      </c>
      <c r="EW13" s="67">
        <v>250</v>
      </c>
      <c r="EX13" s="68">
        <v>280</v>
      </c>
      <c r="EY13" s="744">
        <f t="shared" ref="EY13:EY23" si="46">(EV13+EW13)-(EX13)</f>
        <v>210.72699999999963</v>
      </c>
    </row>
    <row r="14" spans="1:155" ht="19.5">
      <c r="A14" s="59"/>
      <c r="B14" s="60"/>
      <c r="C14" s="74">
        <v>100178374</v>
      </c>
      <c r="D14" s="62" t="s">
        <v>17</v>
      </c>
      <c r="E14" s="63">
        <v>40.741999999999898</v>
      </c>
      <c r="F14" s="64">
        <v>81.55</v>
      </c>
      <c r="G14" s="65">
        <v>80</v>
      </c>
      <c r="H14" s="66">
        <f t="shared" si="0"/>
        <v>42.291999999999888</v>
      </c>
      <c r="I14" s="64">
        <v>85.15</v>
      </c>
      <c r="J14" s="65">
        <v>67.45</v>
      </c>
      <c r="K14" s="66">
        <f t="shared" si="1"/>
        <v>59.991999999999891</v>
      </c>
      <c r="L14" s="64">
        <v>84.4</v>
      </c>
      <c r="M14" s="65">
        <v>83.45</v>
      </c>
      <c r="N14" s="66">
        <f t="shared" si="2"/>
        <v>60.941999999999879</v>
      </c>
      <c r="O14" s="64">
        <v>100.801</v>
      </c>
      <c r="P14" s="65">
        <v>73.7</v>
      </c>
      <c r="Q14" s="66">
        <f t="shared" si="3"/>
        <v>88.042999999999878</v>
      </c>
      <c r="R14" s="64">
        <v>60.1</v>
      </c>
      <c r="S14" s="65">
        <v>83.45</v>
      </c>
      <c r="T14" s="66">
        <f t="shared" si="4"/>
        <v>64.692999999999884</v>
      </c>
      <c r="U14" s="64">
        <v>75.998999999999995</v>
      </c>
      <c r="V14" s="65">
        <v>91.65</v>
      </c>
      <c r="W14" s="66">
        <f t="shared" si="5"/>
        <v>49.041999999999888</v>
      </c>
      <c r="X14" s="64">
        <v>80.349999999999994</v>
      </c>
      <c r="Y14" s="65">
        <v>80.25</v>
      </c>
      <c r="Z14" s="66">
        <f t="shared" si="6"/>
        <v>49.141999999999882</v>
      </c>
      <c r="AA14" s="64">
        <v>52.05</v>
      </c>
      <c r="AB14" s="65">
        <v>31.15</v>
      </c>
      <c r="AC14" s="66">
        <f t="shared" si="7"/>
        <v>70.041999999999888</v>
      </c>
      <c r="AD14" s="64">
        <v>60.15</v>
      </c>
      <c r="AE14" s="65">
        <v>50.38</v>
      </c>
      <c r="AF14" s="66">
        <f>(AC14+AD14)-(AE14)</f>
        <v>79.811999999999898</v>
      </c>
      <c r="AG14" s="64">
        <v>68.349999999999994</v>
      </c>
      <c r="AH14" s="65">
        <v>80.349999999999994</v>
      </c>
      <c r="AI14" s="66">
        <f t="shared" si="8"/>
        <v>67.811999999999898</v>
      </c>
      <c r="AJ14" s="64">
        <v>14.051</v>
      </c>
      <c r="AK14" s="65">
        <v>5.1760000000000002</v>
      </c>
      <c r="AL14" s="66">
        <f t="shared" si="9"/>
        <v>76.686999999999898</v>
      </c>
      <c r="AM14" s="64">
        <v>-0.05</v>
      </c>
      <c r="AN14" s="65">
        <v>0.05</v>
      </c>
      <c r="AO14" s="66">
        <f t="shared" si="10"/>
        <v>76.586999999999904</v>
      </c>
      <c r="AP14" s="64">
        <v>0</v>
      </c>
      <c r="AQ14" s="65">
        <v>3.2250000000000001</v>
      </c>
      <c r="AR14" s="66">
        <f>(AO14+AP14)-(AQ14)</f>
        <v>73.36199999999991</v>
      </c>
      <c r="AS14" s="64">
        <v>34.375</v>
      </c>
      <c r="AT14" s="65">
        <v>71</v>
      </c>
      <c r="AU14" s="66">
        <f t="shared" si="11"/>
        <v>36.73699999999991</v>
      </c>
      <c r="AV14" s="64">
        <v>41.174999999999997</v>
      </c>
      <c r="AW14" s="65">
        <v>72.224999999999994</v>
      </c>
      <c r="AX14" s="66">
        <f t="shared" si="12"/>
        <v>5.6869999999999123</v>
      </c>
      <c r="AY14" s="64">
        <v>89.75</v>
      </c>
      <c r="AZ14" s="65">
        <v>79.224999999999994</v>
      </c>
      <c r="BA14" s="66">
        <f t="shared" si="13"/>
        <v>16.211999999999918</v>
      </c>
      <c r="BB14" s="64">
        <v>147.55000000000001</v>
      </c>
      <c r="BC14" s="65">
        <v>140.97399999999999</v>
      </c>
      <c r="BD14" s="66">
        <f>(BA14+BB14)-(BC14)</f>
        <v>22.787999999999954</v>
      </c>
      <c r="BE14" s="64">
        <v>196.32499999999999</v>
      </c>
      <c r="BF14" s="68">
        <v>120.801</v>
      </c>
      <c r="BG14" s="66">
        <f t="shared" si="14"/>
        <v>98.311999999999941</v>
      </c>
      <c r="BH14" s="67">
        <v>213.05</v>
      </c>
      <c r="BI14" s="68">
        <v>155.32499999999999</v>
      </c>
      <c r="BJ14" s="66">
        <f t="shared" si="15"/>
        <v>156.03699999999998</v>
      </c>
      <c r="BK14" s="67">
        <v>211.05</v>
      </c>
      <c r="BL14" s="68">
        <v>84.3</v>
      </c>
      <c r="BM14" s="66">
        <f t="shared" si="16"/>
        <v>282.78699999999998</v>
      </c>
      <c r="BN14" s="64">
        <v>214.3</v>
      </c>
      <c r="BO14" s="68">
        <v>88.424999999999997</v>
      </c>
      <c r="BP14" s="66">
        <f t="shared" si="17"/>
        <v>408.66199999999998</v>
      </c>
      <c r="BQ14" s="64">
        <v>56.848999999999997</v>
      </c>
      <c r="BR14" s="68">
        <v>46.024999999999999</v>
      </c>
      <c r="BS14" s="66">
        <f t="shared" si="18"/>
        <v>419.48599999999999</v>
      </c>
      <c r="BT14" s="64">
        <v>-5.1999999999999998E-2</v>
      </c>
      <c r="BU14" s="65">
        <v>255.149</v>
      </c>
      <c r="BV14" s="63">
        <f t="shared" si="19"/>
        <v>164.28499999999997</v>
      </c>
      <c r="BW14" s="64">
        <v>0.496</v>
      </c>
      <c r="BX14" s="65">
        <v>0.501</v>
      </c>
      <c r="BY14" s="63">
        <f t="shared" si="20"/>
        <v>164.27999999999997</v>
      </c>
      <c r="BZ14" s="64">
        <v>76.706999999999994</v>
      </c>
      <c r="CA14" s="65">
        <v>65.2</v>
      </c>
      <c r="CB14" s="63">
        <f t="shared" si="21"/>
        <v>175.78699999999998</v>
      </c>
      <c r="CC14" s="64">
        <v>140.35</v>
      </c>
      <c r="CD14" s="68">
        <v>143.25</v>
      </c>
      <c r="CE14" s="66">
        <f t="shared" si="22"/>
        <v>172.88699999999994</v>
      </c>
      <c r="CF14" s="67">
        <v>156.1</v>
      </c>
      <c r="CG14" s="65">
        <v>240.95</v>
      </c>
      <c r="CH14" s="63">
        <f t="shared" si="23"/>
        <v>88.036999999999978</v>
      </c>
      <c r="CI14" s="64">
        <v>133.85</v>
      </c>
      <c r="CJ14" s="65">
        <v>177.95</v>
      </c>
      <c r="CK14" s="69">
        <f t="shared" si="24"/>
        <v>43.936999999999983</v>
      </c>
      <c r="CL14" s="70">
        <v>169.95</v>
      </c>
      <c r="CM14" s="71">
        <v>52.924999999999997</v>
      </c>
      <c r="CN14" s="66">
        <f t="shared" si="25"/>
        <v>160.96199999999999</v>
      </c>
      <c r="CO14" s="67">
        <v>182.85</v>
      </c>
      <c r="CP14" s="68">
        <v>76.849999999999994</v>
      </c>
      <c r="CQ14" s="66">
        <f t="shared" si="26"/>
        <v>266.96199999999999</v>
      </c>
      <c r="CR14" s="67">
        <v>161.05000000000001</v>
      </c>
      <c r="CS14" s="68">
        <v>192.55</v>
      </c>
      <c r="CT14" s="72">
        <f t="shared" si="27"/>
        <v>235.46199999999999</v>
      </c>
      <c r="CU14" s="73">
        <v>101.1</v>
      </c>
      <c r="CV14" s="68">
        <v>76.825000000000003</v>
      </c>
      <c r="CW14" s="66">
        <f t="shared" si="28"/>
        <v>259.73700000000002</v>
      </c>
      <c r="CX14" s="67">
        <v>81.325000000000003</v>
      </c>
      <c r="CY14" s="68">
        <v>72.5</v>
      </c>
      <c r="CZ14" s="66">
        <f t="shared" si="29"/>
        <v>268.56200000000001</v>
      </c>
      <c r="DA14" s="67">
        <v>40.524999999999999</v>
      </c>
      <c r="DB14" s="68">
        <v>97.95</v>
      </c>
      <c r="DC14" s="66">
        <f t="shared" si="30"/>
        <v>211.137</v>
      </c>
      <c r="DD14" s="67">
        <v>29.895</v>
      </c>
      <c r="DE14" s="65">
        <v>117.575</v>
      </c>
      <c r="DF14" s="63">
        <f t="shared" si="31"/>
        <v>123.45700000000001</v>
      </c>
      <c r="DG14" s="64">
        <v>100.9</v>
      </c>
      <c r="DH14" s="65">
        <v>74.444999999999993</v>
      </c>
      <c r="DI14" s="66">
        <f t="shared" si="32"/>
        <v>149.91200000000003</v>
      </c>
      <c r="DJ14" s="67">
        <v>131.75</v>
      </c>
      <c r="DK14" s="68">
        <v>72.05</v>
      </c>
      <c r="DL14" s="66">
        <f t="shared" si="33"/>
        <v>209.61200000000002</v>
      </c>
      <c r="DM14" s="67">
        <v>104.7</v>
      </c>
      <c r="DN14" s="68">
        <v>94.174999999999997</v>
      </c>
      <c r="DO14" s="63">
        <f t="shared" si="34"/>
        <v>220.137</v>
      </c>
      <c r="DP14" s="67">
        <v>58.05</v>
      </c>
      <c r="DQ14" s="68">
        <v>0.05</v>
      </c>
      <c r="DR14" s="66">
        <f t="shared" si="35"/>
        <v>278.137</v>
      </c>
      <c r="DS14" s="67">
        <v>4.3499999999999996</v>
      </c>
      <c r="DT14" s="68">
        <v>70.224999999999994</v>
      </c>
      <c r="DU14" s="66">
        <f t="shared" si="36"/>
        <v>212.26200000000003</v>
      </c>
      <c r="DV14" s="67">
        <v>19.95</v>
      </c>
      <c r="DW14" s="65">
        <v>116.625</v>
      </c>
      <c r="DX14" s="744">
        <f t="shared" si="37"/>
        <v>115.58700000000002</v>
      </c>
      <c r="DY14" s="67">
        <v>91.35</v>
      </c>
      <c r="DZ14" s="65">
        <v>93.6</v>
      </c>
      <c r="EA14" s="66">
        <f t="shared" si="38"/>
        <v>113.33700000000002</v>
      </c>
      <c r="EB14" s="67">
        <v>83.95</v>
      </c>
      <c r="EC14" s="68">
        <v>71.974999999999994</v>
      </c>
      <c r="ED14" s="66">
        <f t="shared" si="39"/>
        <v>125.31200000000004</v>
      </c>
      <c r="EE14" s="67">
        <v>50</v>
      </c>
      <c r="EF14" s="817">
        <v>51.45</v>
      </c>
      <c r="EG14" s="744">
        <f t="shared" si="40"/>
        <v>123.86200000000004</v>
      </c>
      <c r="EH14" s="67">
        <v>50</v>
      </c>
      <c r="EI14" s="68">
        <v>57</v>
      </c>
      <c r="EJ14" s="66">
        <f t="shared" si="41"/>
        <v>116.86200000000002</v>
      </c>
      <c r="EK14" s="67">
        <v>80</v>
      </c>
      <c r="EL14" s="68">
        <v>80</v>
      </c>
      <c r="EM14" s="66">
        <f t="shared" si="42"/>
        <v>116.86200000000002</v>
      </c>
      <c r="EN14" s="67">
        <v>60</v>
      </c>
      <c r="EO14" s="68">
        <v>89</v>
      </c>
      <c r="EP14" s="744">
        <f t="shared" si="43"/>
        <v>87.862000000000023</v>
      </c>
      <c r="EQ14" s="67">
        <v>80</v>
      </c>
      <c r="ER14" s="68">
        <v>103</v>
      </c>
      <c r="ES14" s="744">
        <f t="shared" si="44"/>
        <v>64.862000000000023</v>
      </c>
      <c r="ET14" s="67">
        <v>60</v>
      </c>
      <c r="EU14" s="68">
        <v>90</v>
      </c>
      <c r="EV14" s="744">
        <f t="shared" si="45"/>
        <v>34.862000000000023</v>
      </c>
      <c r="EW14" s="67">
        <v>80</v>
      </c>
      <c r="EX14" s="68">
        <v>90</v>
      </c>
      <c r="EY14" s="744">
        <f t="shared" si="46"/>
        <v>24.862000000000023</v>
      </c>
    </row>
    <row r="15" spans="1:155" ht="19.5">
      <c r="A15" s="59"/>
      <c r="B15" s="60"/>
      <c r="C15" s="61">
        <v>6003419700</v>
      </c>
      <c r="D15" s="62" t="s">
        <v>18</v>
      </c>
      <c r="E15" s="63">
        <v>1645.434</v>
      </c>
      <c r="F15" s="64">
        <v>2116.7170000000001</v>
      </c>
      <c r="G15" s="65">
        <v>2234.6109999999999</v>
      </c>
      <c r="H15" s="63">
        <f t="shared" si="0"/>
        <v>1527.54</v>
      </c>
      <c r="I15" s="64">
        <v>2272.5259999999998</v>
      </c>
      <c r="J15" s="65">
        <v>2302.8200000000002</v>
      </c>
      <c r="K15" s="63">
        <f t="shared" si="1"/>
        <v>1497.2459999999996</v>
      </c>
      <c r="L15" s="64">
        <v>2202.8049999999998</v>
      </c>
      <c r="M15" s="65">
        <v>2029.7560000000001</v>
      </c>
      <c r="N15" s="63">
        <f t="shared" si="2"/>
        <v>1670.2949999999994</v>
      </c>
      <c r="O15" s="64">
        <v>1723.7829999999999</v>
      </c>
      <c r="P15" s="65">
        <v>2327.9079999999999</v>
      </c>
      <c r="Q15" s="63">
        <f t="shared" si="3"/>
        <v>1066.1699999999996</v>
      </c>
      <c r="R15" s="64">
        <v>1594.395</v>
      </c>
      <c r="S15" s="65">
        <v>1397.162</v>
      </c>
      <c r="T15" s="63">
        <f t="shared" si="4"/>
        <v>1263.4029999999996</v>
      </c>
      <c r="U15" s="64">
        <v>1715.019</v>
      </c>
      <c r="V15" s="65">
        <v>1772.202</v>
      </c>
      <c r="W15" s="63">
        <f t="shared" si="5"/>
        <v>1206.2199999999996</v>
      </c>
      <c r="X15" s="64">
        <v>1114.3050000000001</v>
      </c>
      <c r="Y15" s="65">
        <v>1151.3720000000001</v>
      </c>
      <c r="Z15" s="63">
        <f t="shared" si="6"/>
        <v>1169.1529999999996</v>
      </c>
      <c r="AA15" s="64">
        <v>750.52200000000005</v>
      </c>
      <c r="AB15" s="65">
        <v>1050.1020000000001</v>
      </c>
      <c r="AC15" s="63">
        <f t="shared" si="7"/>
        <v>869.57299999999964</v>
      </c>
      <c r="AD15" s="64">
        <v>796.76</v>
      </c>
      <c r="AE15" s="65">
        <v>713.87</v>
      </c>
      <c r="AF15" s="63">
        <f>(AC15+AD15)-(AE15)</f>
        <v>952.46299999999962</v>
      </c>
      <c r="AG15" s="64">
        <v>967.34</v>
      </c>
      <c r="AH15" s="65">
        <v>1000.88</v>
      </c>
      <c r="AI15" s="63">
        <f t="shared" si="8"/>
        <v>918.92299999999966</v>
      </c>
      <c r="AJ15" s="64">
        <v>499.62</v>
      </c>
      <c r="AK15" s="65">
        <v>558.65599999999995</v>
      </c>
      <c r="AL15" s="63">
        <f t="shared" si="9"/>
        <v>859.88699999999972</v>
      </c>
      <c r="AM15" s="64">
        <v>0</v>
      </c>
      <c r="AN15" s="65">
        <v>297.92</v>
      </c>
      <c r="AO15" s="63">
        <f t="shared" si="10"/>
        <v>561.96699999999964</v>
      </c>
      <c r="AP15" s="64">
        <v>401.21600000000001</v>
      </c>
      <c r="AQ15" s="65">
        <v>636.74099999999999</v>
      </c>
      <c r="AR15" s="63">
        <f>(AO15+AP15)-(AQ15)</f>
        <v>326.44199999999967</v>
      </c>
      <c r="AS15" s="64">
        <v>1250.3579999999999</v>
      </c>
      <c r="AT15" s="65">
        <v>988.81</v>
      </c>
      <c r="AU15" s="63">
        <f t="shared" si="11"/>
        <v>587.98999999999978</v>
      </c>
      <c r="AV15" s="64">
        <v>632.01</v>
      </c>
      <c r="AW15" s="65">
        <v>1187.2570000000001</v>
      </c>
      <c r="AX15" s="63">
        <f t="shared" si="12"/>
        <v>32.742999999999711</v>
      </c>
      <c r="AY15" s="64">
        <v>1122.864</v>
      </c>
      <c r="AZ15" s="65">
        <v>1066.5429999999999</v>
      </c>
      <c r="BA15" s="63">
        <f t="shared" si="13"/>
        <v>89.063999999999851</v>
      </c>
      <c r="BB15" s="64">
        <v>1714.748</v>
      </c>
      <c r="BC15" s="65">
        <v>1530.114</v>
      </c>
      <c r="BD15" s="63">
        <f>(BA15+BB15)-(BC15)</f>
        <v>273.69799999999987</v>
      </c>
      <c r="BE15" s="64">
        <v>1518.5909999999999</v>
      </c>
      <c r="BF15" s="68">
        <v>1429.75</v>
      </c>
      <c r="BG15" s="63">
        <f t="shared" si="14"/>
        <v>362.53899999999976</v>
      </c>
      <c r="BH15" s="67">
        <v>1423.1980000000001</v>
      </c>
      <c r="BI15" s="68">
        <v>1355.02</v>
      </c>
      <c r="BJ15" s="63">
        <f t="shared" si="15"/>
        <v>430.71699999999987</v>
      </c>
      <c r="BK15" s="64">
        <v>1255.8</v>
      </c>
      <c r="BL15" s="68">
        <v>685.327</v>
      </c>
      <c r="BM15" s="63">
        <f t="shared" si="16"/>
        <v>1001.1899999999998</v>
      </c>
      <c r="BN15" s="64">
        <v>1091.1030000000001</v>
      </c>
      <c r="BO15" s="68">
        <v>1365.9960000000001</v>
      </c>
      <c r="BP15" s="63">
        <f t="shared" si="17"/>
        <v>726.29699999999957</v>
      </c>
      <c r="BQ15" s="64">
        <v>914.46799999999996</v>
      </c>
      <c r="BR15" s="68">
        <v>1082.598</v>
      </c>
      <c r="BS15" s="63">
        <f t="shared" si="18"/>
        <v>558.16699999999946</v>
      </c>
      <c r="BT15" s="64">
        <v>1291.144</v>
      </c>
      <c r="BU15" s="65">
        <v>1187.462</v>
      </c>
      <c r="BV15" s="63">
        <f t="shared" si="19"/>
        <v>661.84899999999948</v>
      </c>
      <c r="BW15" s="64">
        <v>808.56600000000003</v>
      </c>
      <c r="BX15" s="65">
        <v>646.37</v>
      </c>
      <c r="BY15" s="63">
        <f t="shared" si="20"/>
        <v>824.0449999999995</v>
      </c>
      <c r="BZ15" s="64">
        <v>951.24400000000003</v>
      </c>
      <c r="CA15" s="65">
        <v>1015.423</v>
      </c>
      <c r="CB15" s="63">
        <f t="shared" si="21"/>
        <v>759.86599999999953</v>
      </c>
      <c r="CC15" s="64">
        <v>944.46699999999998</v>
      </c>
      <c r="CD15" s="68">
        <v>863.89200000000005</v>
      </c>
      <c r="CE15" s="63">
        <f t="shared" si="22"/>
        <v>840.44099999999958</v>
      </c>
      <c r="CF15" s="67">
        <v>1299.6120000000001</v>
      </c>
      <c r="CG15" s="65">
        <v>1293.6859999999999</v>
      </c>
      <c r="CH15" s="63">
        <f t="shared" si="23"/>
        <v>846.36699999999996</v>
      </c>
      <c r="CI15" s="64">
        <v>1350.4839999999999</v>
      </c>
      <c r="CJ15" s="65">
        <v>1512.144</v>
      </c>
      <c r="CK15" s="69">
        <f t="shared" si="24"/>
        <v>684.70699999999965</v>
      </c>
      <c r="CL15" s="70">
        <v>1293.8599999999999</v>
      </c>
      <c r="CM15" s="71">
        <v>826.096</v>
      </c>
      <c r="CN15" s="63">
        <f t="shared" si="25"/>
        <v>1152.4709999999995</v>
      </c>
      <c r="CO15" s="67">
        <v>1240.768</v>
      </c>
      <c r="CP15" s="65">
        <v>1304.76</v>
      </c>
      <c r="CQ15" s="63">
        <f t="shared" si="26"/>
        <v>1088.4789999999996</v>
      </c>
      <c r="CR15" s="67">
        <v>1049.0519999999999</v>
      </c>
      <c r="CS15" s="68">
        <v>1451.75</v>
      </c>
      <c r="CT15" s="69">
        <f t="shared" si="27"/>
        <v>685.78099999999949</v>
      </c>
      <c r="CU15" s="73">
        <v>992.01400000000001</v>
      </c>
      <c r="CV15" s="68">
        <v>509.69799999999998</v>
      </c>
      <c r="CW15" s="63">
        <f t="shared" si="28"/>
        <v>1168.0969999999998</v>
      </c>
      <c r="CX15" s="67">
        <v>773.00900000000001</v>
      </c>
      <c r="CY15" s="68">
        <v>545.11</v>
      </c>
      <c r="CZ15" s="63">
        <f t="shared" si="29"/>
        <v>1395.9959999999996</v>
      </c>
      <c r="DA15" s="67">
        <v>503.04199999999997</v>
      </c>
      <c r="DB15" s="68">
        <v>814.70100000000002</v>
      </c>
      <c r="DC15" s="63">
        <f t="shared" si="30"/>
        <v>1084.3369999999995</v>
      </c>
      <c r="DD15" s="67">
        <v>505.75599999999997</v>
      </c>
      <c r="DE15" s="65">
        <v>1045.348</v>
      </c>
      <c r="DF15" s="63">
        <f t="shared" si="31"/>
        <v>544.74499999999944</v>
      </c>
      <c r="DG15" s="64">
        <v>864.30399999999997</v>
      </c>
      <c r="DH15" s="65">
        <v>456.95</v>
      </c>
      <c r="DI15" s="63">
        <f t="shared" si="32"/>
        <v>952.09899999999948</v>
      </c>
      <c r="DJ15" s="67">
        <v>724.20399999999995</v>
      </c>
      <c r="DK15" s="68">
        <v>593.40800000000002</v>
      </c>
      <c r="DL15" s="63">
        <f t="shared" si="33"/>
        <v>1082.8949999999995</v>
      </c>
      <c r="DM15" s="67">
        <v>734.07</v>
      </c>
      <c r="DN15" s="68">
        <v>692.46</v>
      </c>
      <c r="DO15" s="63">
        <f t="shared" si="34"/>
        <v>1124.5049999999997</v>
      </c>
      <c r="DP15" s="67">
        <v>511.55599999999998</v>
      </c>
      <c r="DQ15" s="68">
        <v>165.148</v>
      </c>
      <c r="DR15" s="63">
        <f t="shared" si="35"/>
        <v>1470.9129999999998</v>
      </c>
      <c r="DS15" s="67">
        <v>291.89100000000002</v>
      </c>
      <c r="DT15" s="68">
        <v>670.49</v>
      </c>
      <c r="DU15" s="63">
        <f t="shared" si="36"/>
        <v>1092.3139999999999</v>
      </c>
      <c r="DV15" s="67">
        <v>208.73400000000001</v>
      </c>
      <c r="DW15" s="65">
        <v>559.74</v>
      </c>
      <c r="DX15" s="744">
        <f t="shared" si="37"/>
        <v>741.30799999999977</v>
      </c>
      <c r="DY15" s="67">
        <v>597.64400000000001</v>
      </c>
      <c r="DZ15" s="65">
        <v>723.26099999999997</v>
      </c>
      <c r="EA15" s="63">
        <f t="shared" si="38"/>
        <v>615.6909999999998</v>
      </c>
      <c r="EB15" s="67">
        <v>500</v>
      </c>
      <c r="EC15" s="68">
        <v>758.29</v>
      </c>
      <c r="ED15" s="63">
        <f t="shared" si="39"/>
        <v>357.40099999999984</v>
      </c>
      <c r="EE15" s="67">
        <v>500</v>
      </c>
      <c r="EF15" s="817">
        <v>606.25199999999995</v>
      </c>
      <c r="EG15" s="744">
        <f t="shared" si="40"/>
        <v>251.14899999999989</v>
      </c>
      <c r="EH15" s="67">
        <v>600</v>
      </c>
      <c r="EI15" s="68">
        <v>560</v>
      </c>
      <c r="EJ15" s="63">
        <f t="shared" si="41"/>
        <v>291.14899999999989</v>
      </c>
      <c r="EK15" s="67">
        <v>500</v>
      </c>
      <c r="EL15" s="817">
        <v>550</v>
      </c>
      <c r="EM15" s="63">
        <f t="shared" si="42"/>
        <v>241.14899999999989</v>
      </c>
      <c r="EN15" s="67">
        <v>550</v>
      </c>
      <c r="EO15" s="68">
        <v>484</v>
      </c>
      <c r="EP15" s="744">
        <f t="shared" si="43"/>
        <v>307.14899999999989</v>
      </c>
      <c r="EQ15" s="67">
        <v>400</v>
      </c>
      <c r="ER15" s="68">
        <v>477</v>
      </c>
      <c r="ES15" s="744">
        <f t="shared" si="44"/>
        <v>230.14899999999989</v>
      </c>
      <c r="ET15" s="67">
        <v>400</v>
      </c>
      <c r="EU15" s="68">
        <v>380</v>
      </c>
      <c r="EV15" s="744">
        <f t="shared" si="45"/>
        <v>250.14899999999989</v>
      </c>
      <c r="EW15" s="67">
        <v>370</v>
      </c>
      <c r="EX15" s="68">
        <v>380</v>
      </c>
      <c r="EY15" s="744">
        <f t="shared" si="46"/>
        <v>240.14899999999989</v>
      </c>
    </row>
    <row r="16" spans="1:155" ht="19.5">
      <c r="A16" s="59"/>
      <c r="B16" s="60"/>
      <c r="C16" s="61">
        <v>100420930</v>
      </c>
      <c r="D16" s="62" t="s">
        <v>19</v>
      </c>
      <c r="E16" s="63">
        <v>50.690000000000097</v>
      </c>
      <c r="F16" s="65">
        <v>0</v>
      </c>
      <c r="G16" s="65">
        <v>0</v>
      </c>
      <c r="H16" s="63">
        <f t="shared" si="0"/>
        <v>50.690000000000097</v>
      </c>
      <c r="I16" s="65">
        <v>0</v>
      </c>
      <c r="J16" s="65">
        <v>0</v>
      </c>
      <c r="K16" s="63">
        <f t="shared" si="1"/>
        <v>50.690000000000097</v>
      </c>
      <c r="L16" s="65">
        <v>-2.5000000000000001E-2</v>
      </c>
      <c r="M16" s="65">
        <v>13.907999999999999</v>
      </c>
      <c r="N16" s="63">
        <f t="shared" si="2"/>
        <v>36.757000000000097</v>
      </c>
      <c r="O16" s="65">
        <v>0</v>
      </c>
      <c r="P16" s="65">
        <v>36.759</v>
      </c>
      <c r="Q16" s="63">
        <f t="shared" si="3"/>
        <v>-1.9999999999029683E-3</v>
      </c>
      <c r="R16" s="65">
        <v>57.304000000000002</v>
      </c>
      <c r="S16" s="65">
        <v>0</v>
      </c>
      <c r="T16" s="63">
        <f t="shared" si="4"/>
        <v>57.302000000000099</v>
      </c>
      <c r="U16" s="65">
        <v>152.30000000000001</v>
      </c>
      <c r="V16" s="65">
        <v>0</v>
      </c>
      <c r="W16" s="63">
        <f t="shared" si="5"/>
        <v>209.60200000000012</v>
      </c>
      <c r="X16" s="65">
        <v>80.712000000000003</v>
      </c>
      <c r="Y16" s="65">
        <v>149.834</v>
      </c>
      <c r="Z16" s="63">
        <f t="shared" si="6"/>
        <v>140.48000000000013</v>
      </c>
      <c r="AA16" s="65">
        <v>57.802</v>
      </c>
      <c r="AB16" s="65">
        <v>53.845999999999997</v>
      </c>
      <c r="AC16" s="63">
        <f t="shared" si="7"/>
        <v>144.43600000000012</v>
      </c>
      <c r="AD16" s="65">
        <v>76.3</v>
      </c>
      <c r="AE16" s="65">
        <v>66.39</v>
      </c>
      <c r="AF16" s="63">
        <f>(AC16+AD16)-(AE16)</f>
        <v>154.34600000000012</v>
      </c>
      <c r="AG16" s="65">
        <v>62.55</v>
      </c>
      <c r="AH16" s="65">
        <v>136.11000000000001</v>
      </c>
      <c r="AI16" s="63">
        <f t="shared" si="8"/>
        <v>80.786000000000115</v>
      </c>
      <c r="AJ16" s="65">
        <v>53.2</v>
      </c>
      <c r="AK16" s="65">
        <v>10.981</v>
      </c>
      <c r="AL16" s="63">
        <f t="shared" si="9"/>
        <v>123.00500000000011</v>
      </c>
      <c r="AM16" s="65">
        <v>0</v>
      </c>
      <c r="AN16" s="65">
        <v>41.268000000000001</v>
      </c>
      <c r="AO16" s="63">
        <f t="shared" si="10"/>
        <v>81.737000000000108</v>
      </c>
      <c r="AP16" s="65">
        <v>80.56</v>
      </c>
      <c r="AQ16" s="65">
        <v>102.411</v>
      </c>
      <c r="AR16" s="63">
        <f>(AO16+AP16)-(AQ16)</f>
        <v>59.886000000000109</v>
      </c>
      <c r="AS16" s="65">
        <v>72.58</v>
      </c>
      <c r="AT16" s="65">
        <v>77.215999999999994</v>
      </c>
      <c r="AU16" s="63">
        <f t="shared" si="11"/>
        <v>55.250000000000128</v>
      </c>
      <c r="AV16" s="65">
        <v>55.631999999999998</v>
      </c>
      <c r="AW16" s="65">
        <v>52.173999999999999</v>
      </c>
      <c r="AX16" s="63">
        <f t="shared" si="12"/>
        <v>58.708000000000119</v>
      </c>
      <c r="AY16" s="65">
        <v>17.632000000000001</v>
      </c>
      <c r="AZ16" s="65">
        <v>52.667999999999999</v>
      </c>
      <c r="BA16" s="63">
        <f t="shared" si="13"/>
        <v>23.672000000000118</v>
      </c>
      <c r="BB16" s="65">
        <v>64.524000000000001</v>
      </c>
      <c r="BC16" s="65">
        <v>39.026000000000003</v>
      </c>
      <c r="BD16" s="63">
        <f>(BA16+BB16)-(BC16)</f>
        <v>49.170000000000108</v>
      </c>
      <c r="BE16" s="64">
        <v>71.668000000000006</v>
      </c>
      <c r="BF16" s="68">
        <v>72.352000000000004</v>
      </c>
      <c r="BG16" s="63">
        <f t="shared" si="14"/>
        <v>48.486000000000104</v>
      </c>
      <c r="BH16" s="67">
        <v>28.879000000000001</v>
      </c>
      <c r="BI16" s="68">
        <v>53.313000000000002</v>
      </c>
      <c r="BJ16" s="63">
        <f t="shared" si="15"/>
        <v>24.052000000000106</v>
      </c>
      <c r="BK16" s="67">
        <v>87.388000000000005</v>
      </c>
      <c r="BL16" s="68">
        <v>20.901</v>
      </c>
      <c r="BM16" s="63">
        <f t="shared" si="16"/>
        <v>90.539000000000115</v>
      </c>
      <c r="BN16" s="64">
        <v>69.311999999999998</v>
      </c>
      <c r="BO16" s="68">
        <v>59.28</v>
      </c>
      <c r="BP16" s="63">
        <f t="shared" si="17"/>
        <v>100.57100000000011</v>
      </c>
      <c r="BQ16" s="64">
        <v>128.38999999999999</v>
      </c>
      <c r="BR16" s="68">
        <v>76.747</v>
      </c>
      <c r="BS16" s="63">
        <f t="shared" si="18"/>
        <v>152.21400000000011</v>
      </c>
      <c r="BT16" s="67">
        <v>-0.11600000000000001</v>
      </c>
      <c r="BU16" s="65">
        <v>57.037999999999997</v>
      </c>
      <c r="BV16" s="63">
        <f t="shared" si="19"/>
        <v>95.060000000000102</v>
      </c>
      <c r="BW16" s="64">
        <v>-3.7999999999999999E-2</v>
      </c>
      <c r="BX16" s="65">
        <v>32.566000000000003</v>
      </c>
      <c r="BY16" s="63">
        <f t="shared" si="20"/>
        <v>62.456000000000103</v>
      </c>
      <c r="BZ16" s="64">
        <v>0.5</v>
      </c>
      <c r="CA16" s="65">
        <v>52.006</v>
      </c>
      <c r="CB16" s="63">
        <f t="shared" si="21"/>
        <v>10.950000000000102</v>
      </c>
      <c r="CC16" s="64">
        <v>111.264</v>
      </c>
      <c r="CD16" s="68">
        <v>34.945999999999998</v>
      </c>
      <c r="CE16" s="63">
        <f t="shared" si="22"/>
        <v>87.2680000000001</v>
      </c>
      <c r="CF16" s="67">
        <v>40.365000000000002</v>
      </c>
      <c r="CG16" s="65">
        <v>44.27</v>
      </c>
      <c r="CH16" s="63">
        <f t="shared" si="23"/>
        <v>83.363000000000085</v>
      </c>
      <c r="CI16" s="64">
        <v>32.223999999999997</v>
      </c>
      <c r="CJ16" s="65">
        <v>62.975000000000001</v>
      </c>
      <c r="CK16" s="69">
        <f t="shared" si="24"/>
        <v>52.612000000000073</v>
      </c>
      <c r="CL16" s="70">
        <v>-0.38500000000000001</v>
      </c>
      <c r="CM16" s="71">
        <v>15.811999999999999</v>
      </c>
      <c r="CN16" s="63">
        <f t="shared" si="25"/>
        <v>36.415000000000077</v>
      </c>
      <c r="CO16" s="67">
        <v>41.037999999999997</v>
      </c>
      <c r="CP16" s="65">
        <v>22.795999999999999</v>
      </c>
      <c r="CQ16" s="63">
        <f t="shared" si="26"/>
        <v>54.657000000000075</v>
      </c>
      <c r="CR16" s="67">
        <v>30.28</v>
      </c>
      <c r="CS16" s="68">
        <v>23.446000000000002</v>
      </c>
      <c r="CT16" s="69">
        <f t="shared" si="27"/>
        <v>61.491000000000071</v>
      </c>
      <c r="CU16" s="73">
        <v>-3.7999999999999999E-2</v>
      </c>
      <c r="CV16" s="68">
        <v>8.2080000000000002</v>
      </c>
      <c r="CW16" s="63">
        <f t="shared" si="28"/>
        <v>53.245000000000076</v>
      </c>
      <c r="CX16" s="67">
        <v>31.995999999999999</v>
      </c>
      <c r="CY16" s="68">
        <v>22.876000000000001</v>
      </c>
      <c r="CZ16" s="63">
        <f t="shared" si="29"/>
        <v>62.365000000000066</v>
      </c>
      <c r="DA16" s="67">
        <v>0</v>
      </c>
      <c r="DB16" s="68">
        <v>9.1959999999999997</v>
      </c>
      <c r="DC16" s="63">
        <f t="shared" si="30"/>
        <v>53.169000000000068</v>
      </c>
      <c r="DD16" s="67">
        <v>0</v>
      </c>
      <c r="DE16" s="65">
        <v>0</v>
      </c>
      <c r="DF16" s="63">
        <f t="shared" si="31"/>
        <v>53.169000000000068</v>
      </c>
      <c r="DG16" s="64">
        <v>0</v>
      </c>
      <c r="DH16" s="65">
        <v>2.698</v>
      </c>
      <c r="DI16" s="63">
        <f t="shared" si="32"/>
        <v>50.471000000000068</v>
      </c>
      <c r="DJ16" s="67">
        <v>0</v>
      </c>
      <c r="DK16" s="68">
        <v>6.46</v>
      </c>
      <c r="DL16" s="63">
        <f t="shared" si="33"/>
        <v>44.011000000000067</v>
      </c>
      <c r="DM16" s="67">
        <v>0</v>
      </c>
      <c r="DN16" s="68">
        <v>10.944000000000001</v>
      </c>
      <c r="DO16" s="63">
        <f t="shared" si="34"/>
        <v>33.067000000000064</v>
      </c>
      <c r="DP16" s="67">
        <v>0</v>
      </c>
      <c r="DQ16" s="68">
        <v>10.554</v>
      </c>
      <c r="DR16" s="63">
        <f t="shared" si="35"/>
        <v>22.513000000000062</v>
      </c>
      <c r="DS16" s="67">
        <v>0</v>
      </c>
      <c r="DT16" s="68">
        <v>6.46</v>
      </c>
      <c r="DU16" s="63">
        <f t="shared" si="36"/>
        <v>16.053000000000061</v>
      </c>
      <c r="DV16" s="67">
        <v>31.92</v>
      </c>
      <c r="DW16" s="65">
        <v>13.3</v>
      </c>
      <c r="DX16" s="744">
        <f t="shared" si="37"/>
        <v>34.673000000000059</v>
      </c>
      <c r="DY16" s="67">
        <v>0</v>
      </c>
      <c r="DZ16" s="65">
        <v>7.4859999999999998</v>
      </c>
      <c r="EA16" s="63">
        <f t="shared" si="38"/>
        <v>27.187000000000058</v>
      </c>
      <c r="EB16" s="67">
        <v>0</v>
      </c>
      <c r="EC16" s="68">
        <v>4.7880000000000003</v>
      </c>
      <c r="ED16" s="63">
        <f t="shared" si="39"/>
        <v>22.399000000000058</v>
      </c>
      <c r="EE16" s="67">
        <v>0</v>
      </c>
      <c r="EF16" s="817">
        <v>9.1199999999999992</v>
      </c>
      <c r="EG16" s="744">
        <f t="shared" si="40"/>
        <v>13.279000000000059</v>
      </c>
      <c r="EH16" s="67">
        <v>10</v>
      </c>
      <c r="EI16" s="68">
        <v>7</v>
      </c>
      <c r="EJ16" s="63">
        <f t="shared" si="41"/>
        <v>16.27900000000006</v>
      </c>
      <c r="EK16" s="67">
        <v>0</v>
      </c>
      <c r="EL16" s="817">
        <v>5</v>
      </c>
      <c r="EM16" s="63">
        <f t="shared" si="42"/>
        <v>11.27900000000006</v>
      </c>
      <c r="EN16" s="67">
        <v>0</v>
      </c>
      <c r="EO16" s="68">
        <v>2.8</v>
      </c>
      <c r="EP16" s="744">
        <f t="shared" si="43"/>
        <v>8.4790000000000596</v>
      </c>
      <c r="EQ16" s="67">
        <v>5</v>
      </c>
      <c r="ER16" s="68">
        <v>0</v>
      </c>
      <c r="ES16" s="744">
        <f t="shared" si="44"/>
        <v>13.47900000000006</v>
      </c>
      <c r="ET16" s="67">
        <v>0</v>
      </c>
      <c r="EU16" s="68">
        <v>0</v>
      </c>
      <c r="EV16" s="744">
        <f t="shared" si="45"/>
        <v>13.47900000000006</v>
      </c>
      <c r="EW16" s="67">
        <v>0</v>
      </c>
      <c r="EX16" s="68">
        <v>0</v>
      </c>
      <c r="EY16" s="744">
        <f t="shared" si="46"/>
        <v>13.47900000000006</v>
      </c>
    </row>
    <row r="17" spans="1:155" ht="19.5">
      <c r="A17" s="59"/>
      <c r="B17" s="60"/>
      <c r="C17" s="74">
        <v>100100435</v>
      </c>
      <c r="D17" s="62" t="s">
        <v>227</v>
      </c>
      <c r="E17" s="63">
        <v>389.78300000000002</v>
      </c>
      <c r="F17" s="64">
        <v>270.464</v>
      </c>
      <c r="G17" s="65">
        <v>296.14400000000001</v>
      </c>
      <c r="H17" s="63">
        <f t="shared" si="0"/>
        <v>364.10300000000007</v>
      </c>
      <c r="I17" s="64">
        <v>245.096</v>
      </c>
      <c r="J17" s="65">
        <v>274.30399999999997</v>
      </c>
      <c r="K17" s="63">
        <f t="shared" si="1"/>
        <v>334.8950000000001</v>
      </c>
      <c r="L17" s="64">
        <v>266.60000000000002</v>
      </c>
      <c r="M17" s="65">
        <v>346.64</v>
      </c>
      <c r="N17" s="63">
        <f t="shared" si="2"/>
        <v>254.85500000000013</v>
      </c>
      <c r="O17" s="64">
        <v>286.46800000000002</v>
      </c>
      <c r="P17" s="65">
        <v>338.49200000000002</v>
      </c>
      <c r="Q17" s="63">
        <f t="shared" si="3"/>
        <v>202.83100000000007</v>
      </c>
      <c r="R17" s="64">
        <v>304.89499999999998</v>
      </c>
      <c r="S17" s="65">
        <v>285.892</v>
      </c>
      <c r="T17" s="63">
        <f t="shared" si="4"/>
        <v>221.83400000000006</v>
      </c>
      <c r="U17" s="64">
        <v>325.14499999999998</v>
      </c>
      <c r="V17" s="65">
        <v>295.42399999999998</v>
      </c>
      <c r="W17" s="63">
        <f t="shared" si="5"/>
        <v>251.55500000000006</v>
      </c>
      <c r="X17" s="64">
        <v>239.36</v>
      </c>
      <c r="Y17" s="65">
        <v>326.75</v>
      </c>
      <c r="Z17" s="63">
        <f t="shared" si="6"/>
        <v>164.16500000000008</v>
      </c>
      <c r="AA17" s="64">
        <v>222.24100000000001</v>
      </c>
      <c r="AB17" s="65">
        <v>271.80099999999999</v>
      </c>
      <c r="AC17" s="63">
        <f t="shared" si="7"/>
        <v>114.60500000000008</v>
      </c>
      <c r="AD17" s="64">
        <v>272.35000000000002</v>
      </c>
      <c r="AE17" s="65">
        <v>331.27</v>
      </c>
      <c r="AF17" s="63">
        <v>56.078000000000003</v>
      </c>
      <c r="AG17" s="64">
        <v>288.79000000000002</v>
      </c>
      <c r="AH17" s="65">
        <v>288.2</v>
      </c>
      <c r="AI17" s="63">
        <f t="shared" si="8"/>
        <v>56.668000000000063</v>
      </c>
      <c r="AJ17" s="64">
        <v>151.93199999999999</v>
      </c>
      <c r="AK17" s="65">
        <v>130.68700000000001</v>
      </c>
      <c r="AL17" s="63">
        <f t="shared" si="9"/>
        <v>77.913000000000039</v>
      </c>
      <c r="AM17" s="64">
        <v>69.695999999999998</v>
      </c>
      <c r="AN17" s="65">
        <v>20.096</v>
      </c>
      <c r="AO17" s="63">
        <f t="shared" si="10"/>
        <v>127.51300000000003</v>
      </c>
      <c r="AP17" s="64">
        <v>284.416</v>
      </c>
      <c r="AQ17" s="65">
        <v>113.122</v>
      </c>
      <c r="AR17" s="63" t="e">
        <f>(AO17+AP17)-(AQ17)-#REF!</f>
        <v>#REF!</v>
      </c>
      <c r="AS17" s="64">
        <v>74.805000000000007</v>
      </c>
      <c r="AT17" s="65">
        <v>177.16</v>
      </c>
      <c r="AU17" s="63" t="e">
        <f t="shared" si="11"/>
        <v>#REF!</v>
      </c>
      <c r="AV17" s="64">
        <v>72.125</v>
      </c>
      <c r="AW17" s="65" t="e">
        <f>175.763-#REF!</f>
        <v>#REF!</v>
      </c>
      <c r="AX17" s="63" t="e">
        <f t="shared" si="12"/>
        <v>#REF!</v>
      </c>
      <c r="AY17" s="64">
        <v>302.33600000000001</v>
      </c>
      <c r="AZ17" s="65">
        <v>291.40499999999997</v>
      </c>
      <c r="BA17" s="63" t="e">
        <f t="shared" si="13"/>
        <v>#REF!</v>
      </c>
      <c r="BB17" s="64">
        <f>225.056</f>
        <v>225.05600000000001</v>
      </c>
      <c r="BC17" s="65">
        <v>191.15799999999999</v>
      </c>
      <c r="BD17" s="63">
        <v>87.7</v>
      </c>
      <c r="BE17" s="64">
        <v>247.42400000000001</v>
      </c>
      <c r="BF17" s="68">
        <v>229.29</v>
      </c>
      <c r="BG17" s="63">
        <f t="shared" si="14"/>
        <v>105.83400000000003</v>
      </c>
      <c r="BH17" s="67">
        <v>253.44</v>
      </c>
      <c r="BI17" s="68">
        <v>176.83199999999999</v>
      </c>
      <c r="BJ17" s="63">
        <f t="shared" si="15"/>
        <v>182.44200000000001</v>
      </c>
      <c r="BK17" s="67">
        <v>156.916</v>
      </c>
      <c r="BL17" s="68">
        <v>175.38</v>
      </c>
      <c r="BM17" s="63">
        <f t="shared" si="16"/>
        <v>163.97800000000001</v>
      </c>
      <c r="BN17" s="67">
        <v>196.99199999999999</v>
      </c>
      <c r="BO17" s="68">
        <v>239.00800000000001</v>
      </c>
      <c r="BP17" s="63">
        <f t="shared" si="17"/>
        <v>121.96200000000002</v>
      </c>
      <c r="BQ17" s="67">
        <v>234.19200000000001</v>
      </c>
      <c r="BR17" s="68">
        <v>106.792</v>
      </c>
      <c r="BS17" s="63">
        <f t="shared" si="18"/>
        <v>249.36199999999999</v>
      </c>
      <c r="BT17" s="64">
        <v>261.416</v>
      </c>
      <c r="BU17" s="65">
        <v>317.18</v>
      </c>
      <c r="BV17" s="63">
        <f t="shared" si="19"/>
        <v>193.59800000000001</v>
      </c>
      <c r="BW17" s="64">
        <v>1</v>
      </c>
      <c r="BX17" s="65">
        <v>31.411999999999999</v>
      </c>
      <c r="BY17" s="63">
        <f t="shared" si="20"/>
        <v>163.18600000000001</v>
      </c>
      <c r="BZ17" s="64">
        <v>112.461</v>
      </c>
      <c r="CA17" s="65">
        <v>104.008</v>
      </c>
      <c r="CB17" s="63">
        <f t="shared" si="21"/>
        <v>171.63900000000001</v>
      </c>
      <c r="CC17" s="64">
        <v>154.524</v>
      </c>
      <c r="CD17" s="65">
        <v>269.84500000000003</v>
      </c>
      <c r="CE17" s="63">
        <f t="shared" si="22"/>
        <v>56.317999999999984</v>
      </c>
      <c r="CF17" s="64">
        <v>135.32400000000001</v>
      </c>
      <c r="CG17" s="65">
        <v>66.835999999999999</v>
      </c>
      <c r="CH17" s="63">
        <f t="shared" si="23"/>
        <v>124.806</v>
      </c>
      <c r="CI17" s="64">
        <v>153.88900000000001</v>
      </c>
      <c r="CJ17" s="65">
        <v>173.55600000000001</v>
      </c>
      <c r="CK17" s="69">
        <f t="shared" si="24"/>
        <v>105.13899999999998</v>
      </c>
      <c r="CL17" s="70">
        <v>148.55799999999999</v>
      </c>
      <c r="CM17" s="71">
        <v>153.94800000000001</v>
      </c>
      <c r="CN17" s="63">
        <f t="shared" si="25"/>
        <v>99.748999999999967</v>
      </c>
      <c r="CO17" s="67">
        <v>81.203999999999994</v>
      </c>
      <c r="CP17" s="65">
        <v>61.183999999999997</v>
      </c>
      <c r="CQ17" s="63">
        <f t="shared" si="26"/>
        <v>119.76899999999998</v>
      </c>
      <c r="CR17" s="67">
        <v>128.18</v>
      </c>
      <c r="CS17" s="68">
        <v>129.78800000000001</v>
      </c>
      <c r="CT17" s="69">
        <f t="shared" si="27"/>
        <v>118.16099999999997</v>
      </c>
      <c r="CU17" s="73">
        <v>90.781999999999996</v>
      </c>
      <c r="CV17" s="68">
        <v>86.932000000000002</v>
      </c>
      <c r="CW17" s="63">
        <f t="shared" si="28"/>
        <v>122.01099999999998</v>
      </c>
      <c r="CX17" s="67">
        <v>94.088999999999999</v>
      </c>
      <c r="CY17" s="68">
        <v>0.35</v>
      </c>
      <c r="CZ17" s="63">
        <f t="shared" si="29"/>
        <v>215.74999999999997</v>
      </c>
      <c r="DA17" s="67">
        <v>50.56</v>
      </c>
      <c r="DB17" s="68">
        <v>2.3039999999999998</v>
      </c>
      <c r="DC17" s="63">
        <f t="shared" si="30"/>
        <v>264.00599999999997</v>
      </c>
      <c r="DD17" s="67">
        <v>52.8</v>
      </c>
      <c r="DE17" s="65">
        <v>33.787999999999997</v>
      </c>
      <c r="DF17" s="63">
        <f t="shared" si="31"/>
        <v>283.01799999999997</v>
      </c>
      <c r="DG17" s="64">
        <v>43.904000000000003</v>
      </c>
      <c r="DH17" s="65">
        <v>0</v>
      </c>
      <c r="DI17" s="63">
        <f t="shared" si="32"/>
        <v>326.92199999999997</v>
      </c>
      <c r="DJ17" s="67">
        <v>0</v>
      </c>
      <c r="DK17" s="68">
        <v>24.608000000000001</v>
      </c>
      <c r="DL17" s="63">
        <f t="shared" si="33"/>
        <v>302.31399999999996</v>
      </c>
      <c r="DM17" s="67">
        <v>0</v>
      </c>
      <c r="DN17" s="68">
        <v>29.088000000000001</v>
      </c>
      <c r="DO17" s="63">
        <f t="shared" si="34"/>
        <v>273.22599999999994</v>
      </c>
      <c r="DP17" s="67">
        <v>0</v>
      </c>
      <c r="DQ17" s="68">
        <v>0</v>
      </c>
      <c r="DR17" s="63">
        <f t="shared" si="35"/>
        <v>273.22599999999994</v>
      </c>
      <c r="DS17" s="67">
        <v>0</v>
      </c>
      <c r="DT17" s="68">
        <v>0</v>
      </c>
      <c r="DU17" s="63">
        <f t="shared" si="36"/>
        <v>273.22599999999994</v>
      </c>
      <c r="DV17" s="67">
        <v>-8.9999999999999993E-3</v>
      </c>
      <c r="DW17" s="65">
        <v>0.41599999999999998</v>
      </c>
      <c r="DX17" s="744">
        <f t="shared" si="37"/>
        <v>272.80099999999993</v>
      </c>
      <c r="DY17" s="67">
        <v>-1.4999999999999999E-2</v>
      </c>
      <c r="DZ17" s="65">
        <v>12.064</v>
      </c>
      <c r="EA17" s="63">
        <f t="shared" si="38"/>
        <v>260.72199999999992</v>
      </c>
      <c r="EB17" s="67">
        <v>0</v>
      </c>
      <c r="EC17" s="68">
        <v>57.14</v>
      </c>
      <c r="ED17" s="63">
        <f t="shared" si="39"/>
        <v>203.58199999999994</v>
      </c>
      <c r="EE17" s="67">
        <v>0</v>
      </c>
      <c r="EF17" s="817">
        <v>37.6</v>
      </c>
      <c r="EG17" s="744">
        <f t="shared" si="40"/>
        <v>165.98199999999994</v>
      </c>
      <c r="EH17" s="67">
        <v>0</v>
      </c>
      <c r="EI17" s="68">
        <v>8</v>
      </c>
      <c r="EJ17" s="63">
        <f t="shared" si="41"/>
        <v>157.98199999999994</v>
      </c>
      <c r="EK17" s="67">
        <v>0</v>
      </c>
      <c r="EL17" s="817">
        <v>4</v>
      </c>
      <c r="EM17" s="63">
        <f t="shared" si="42"/>
        <v>153.98199999999994</v>
      </c>
      <c r="EN17" s="67">
        <v>0</v>
      </c>
      <c r="EO17" s="68">
        <v>9</v>
      </c>
      <c r="EP17" s="744">
        <f t="shared" si="43"/>
        <v>144.98199999999994</v>
      </c>
      <c r="EQ17" s="67">
        <v>0</v>
      </c>
      <c r="ER17" s="68">
        <v>8</v>
      </c>
      <c r="ES17" s="744">
        <f t="shared" si="44"/>
        <v>136.98199999999994</v>
      </c>
      <c r="ET17" s="67">
        <v>0</v>
      </c>
      <c r="EU17" s="68">
        <v>5</v>
      </c>
      <c r="EV17" s="744">
        <f t="shared" si="45"/>
        <v>131.98199999999994</v>
      </c>
      <c r="EW17" s="67">
        <v>0</v>
      </c>
      <c r="EX17" s="68">
        <v>5</v>
      </c>
      <c r="EY17" s="744">
        <f t="shared" si="46"/>
        <v>126.98199999999994</v>
      </c>
    </row>
    <row r="18" spans="1:155" ht="19.5">
      <c r="A18" s="59"/>
      <c r="B18" s="60"/>
      <c r="C18" s="61">
        <v>100269829</v>
      </c>
      <c r="D18" s="75" t="s">
        <v>74</v>
      </c>
      <c r="E18" s="63">
        <v>0</v>
      </c>
      <c r="F18" s="64">
        <v>0</v>
      </c>
      <c r="G18" s="65">
        <v>0</v>
      </c>
      <c r="H18" s="63">
        <f t="shared" si="0"/>
        <v>0</v>
      </c>
      <c r="I18" s="64">
        <v>0</v>
      </c>
      <c r="J18" s="65">
        <v>0</v>
      </c>
      <c r="K18" s="63">
        <f t="shared" si="1"/>
        <v>0</v>
      </c>
      <c r="L18" s="64">
        <v>0</v>
      </c>
      <c r="M18" s="65">
        <v>0</v>
      </c>
      <c r="N18" s="63">
        <f t="shared" si="2"/>
        <v>0</v>
      </c>
      <c r="O18" s="64">
        <v>0</v>
      </c>
      <c r="P18" s="65">
        <v>0</v>
      </c>
      <c r="Q18" s="63">
        <f t="shared" si="3"/>
        <v>0</v>
      </c>
      <c r="R18" s="64">
        <v>0</v>
      </c>
      <c r="S18" s="65">
        <v>0</v>
      </c>
      <c r="T18" s="63">
        <f t="shared" si="4"/>
        <v>0</v>
      </c>
      <c r="U18" s="64">
        <v>0</v>
      </c>
      <c r="V18" s="65">
        <v>0</v>
      </c>
      <c r="W18" s="63">
        <f t="shared" si="5"/>
        <v>0</v>
      </c>
      <c r="X18" s="64">
        <v>0</v>
      </c>
      <c r="Y18" s="65">
        <v>0</v>
      </c>
      <c r="Z18" s="63">
        <f t="shared" si="6"/>
        <v>0</v>
      </c>
      <c r="AA18" s="64">
        <v>1.3</v>
      </c>
      <c r="AB18" s="65">
        <v>0</v>
      </c>
      <c r="AC18" s="63">
        <f t="shared" si="7"/>
        <v>1.3</v>
      </c>
      <c r="AD18" s="64">
        <v>28.95</v>
      </c>
      <c r="AE18" s="65">
        <v>1.2</v>
      </c>
      <c r="AF18" s="63">
        <f>(AC18+AD18)-(AE18)</f>
        <v>29.05</v>
      </c>
      <c r="AG18" s="64">
        <v>21.65</v>
      </c>
      <c r="AH18" s="65">
        <v>21.05</v>
      </c>
      <c r="AI18" s="63">
        <f t="shared" si="8"/>
        <v>29.650000000000002</v>
      </c>
      <c r="AJ18" s="64">
        <v>2.7130000000000001</v>
      </c>
      <c r="AK18" s="65">
        <v>4.4000000000000004</v>
      </c>
      <c r="AL18" s="63">
        <f t="shared" si="9"/>
        <v>27.963000000000001</v>
      </c>
      <c r="AM18" s="64">
        <v>0.52700000000000002</v>
      </c>
      <c r="AN18" s="65">
        <v>5.9749999999999996</v>
      </c>
      <c r="AO18" s="63">
        <f t="shared" si="10"/>
        <v>22.515000000000001</v>
      </c>
      <c r="AP18" s="64">
        <v>7.0270000000000001</v>
      </c>
      <c r="AQ18" s="65">
        <v>7.234</v>
      </c>
      <c r="AR18" s="63">
        <f t="shared" ref="AR18:AR23" si="47">(AO18+AP18)-(AQ18)</f>
        <v>22.308</v>
      </c>
      <c r="AS18" s="64">
        <v>61.744999999999997</v>
      </c>
      <c r="AT18" s="65">
        <v>42.755000000000003</v>
      </c>
      <c r="AU18" s="63">
        <f t="shared" si="11"/>
        <v>41.297999999999995</v>
      </c>
      <c r="AV18" s="64">
        <v>-8.9999999999999993E-3</v>
      </c>
      <c r="AW18" s="65">
        <v>1.325</v>
      </c>
      <c r="AX18" s="63">
        <f t="shared" si="12"/>
        <v>39.963999999999992</v>
      </c>
      <c r="AY18" s="64">
        <v>-1E-3</v>
      </c>
      <c r="AZ18" s="65">
        <v>13.725</v>
      </c>
      <c r="BA18" s="63">
        <f t="shared" si="13"/>
        <v>26.237999999999992</v>
      </c>
      <c r="BB18" s="64">
        <v>8.34</v>
      </c>
      <c r="BC18" s="65">
        <v>17.666</v>
      </c>
      <c r="BD18" s="63">
        <f t="shared" ref="BD18:BD23" si="48">(BA18+BB18)-(BC18)</f>
        <v>16.911999999999988</v>
      </c>
      <c r="BE18" s="64">
        <v>23.74</v>
      </c>
      <c r="BF18" s="68">
        <v>15.836</v>
      </c>
      <c r="BG18" s="63">
        <f t="shared" si="14"/>
        <v>24.815999999999988</v>
      </c>
      <c r="BH18" s="67">
        <v>20.291</v>
      </c>
      <c r="BI18" s="68">
        <v>13.792</v>
      </c>
      <c r="BJ18" s="63">
        <f t="shared" si="15"/>
        <v>31.314999999999984</v>
      </c>
      <c r="BK18" s="67">
        <v>6.5279999999999996</v>
      </c>
      <c r="BL18" s="68">
        <v>18.132999999999999</v>
      </c>
      <c r="BM18" s="63">
        <f t="shared" si="16"/>
        <v>19.709999999999983</v>
      </c>
      <c r="BN18" s="67">
        <v>10.391</v>
      </c>
      <c r="BO18" s="68">
        <v>14.035</v>
      </c>
      <c r="BP18" s="63">
        <f t="shared" si="17"/>
        <v>16.065999999999985</v>
      </c>
      <c r="BQ18" s="67">
        <v>6.9109999999999996</v>
      </c>
      <c r="BR18" s="68">
        <v>14.898999999999999</v>
      </c>
      <c r="BS18" s="63">
        <f t="shared" si="18"/>
        <v>8.0779999999999834</v>
      </c>
      <c r="BT18" s="67">
        <v>14.971</v>
      </c>
      <c r="BU18" s="65">
        <v>4.7290000000000001</v>
      </c>
      <c r="BV18" s="63">
        <f t="shared" si="19"/>
        <v>18.319999999999986</v>
      </c>
      <c r="BW18" s="64">
        <v>13.146000000000001</v>
      </c>
      <c r="BX18" s="65">
        <v>17.491</v>
      </c>
      <c r="BY18" s="63">
        <f t="shared" si="20"/>
        <v>13.974999999999987</v>
      </c>
      <c r="BZ18" s="64">
        <v>22.795999999999999</v>
      </c>
      <c r="CA18" s="65">
        <v>18</v>
      </c>
      <c r="CB18" s="63">
        <f t="shared" si="21"/>
        <v>18.770999999999987</v>
      </c>
      <c r="CC18" s="64">
        <v>17.553999999999998</v>
      </c>
      <c r="CD18" s="65">
        <v>12.824999999999999</v>
      </c>
      <c r="CE18" s="63">
        <f t="shared" si="22"/>
        <v>23.499999999999989</v>
      </c>
      <c r="CF18" s="64">
        <v>14.974</v>
      </c>
      <c r="CG18" s="65">
        <v>2.3319999999999999</v>
      </c>
      <c r="CH18" s="63">
        <f t="shared" si="23"/>
        <v>36.141999999999989</v>
      </c>
      <c r="CI18" s="64">
        <v>17.100000000000001</v>
      </c>
      <c r="CJ18" s="65">
        <v>11.95</v>
      </c>
      <c r="CK18" s="69">
        <f t="shared" si="24"/>
        <v>41.291999999999987</v>
      </c>
      <c r="CL18" s="70">
        <v>35.85</v>
      </c>
      <c r="CM18" s="71">
        <v>9.9710000000000001</v>
      </c>
      <c r="CN18" s="63">
        <f t="shared" si="25"/>
        <v>67.170999999999992</v>
      </c>
      <c r="CO18" s="67">
        <v>18</v>
      </c>
      <c r="CP18" s="65">
        <v>33.246000000000002</v>
      </c>
      <c r="CQ18" s="63">
        <f t="shared" si="26"/>
        <v>51.92499999999999</v>
      </c>
      <c r="CR18" s="67">
        <v>0</v>
      </c>
      <c r="CS18" s="68">
        <v>21.774999999999999</v>
      </c>
      <c r="CT18" s="69">
        <f t="shared" si="27"/>
        <v>30.149999999999991</v>
      </c>
      <c r="CU18" s="73">
        <v>12.5</v>
      </c>
      <c r="CV18" s="68">
        <v>14.75</v>
      </c>
      <c r="CW18" s="63">
        <f t="shared" si="28"/>
        <v>27.899999999999991</v>
      </c>
      <c r="CX18" s="67">
        <v>0</v>
      </c>
      <c r="CY18" s="68">
        <v>14.05</v>
      </c>
      <c r="CZ18" s="63">
        <f t="shared" si="29"/>
        <v>13.849999999999991</v>
      </c>
      <c r="DA18" s="67">
        <v>20.55</v>
      </c>
      <c r="DB18" s="68">
        <v>7.6749999999999998</v>
      </c>
      <c r="DC18" s="63">
        <f t="shared" si="30"/>
        <v>26.724999999999991</v>
      </c>
      <c r="DD18" s="67">
        <v>19.925000000000001</v>
      </c>
      <c r="DE18" s="65">
        <v>16.350000000000001</v>
      </c>
      <c r="DF18" s="63">
        <f t="shared" si="31"/>
        <v>30.29999999999999</v>
      </c>
      <c r="DG18" s="64">
        <v>10.65</v>
      </c>
      <c r="DH18" s="65">
        <v>3.7250000000000001</v>
      </c>
      <c r="DI18" s="63">
        <f t="shared" si="32"/>
        <v>37.224999999999987</v>
      </c>
      <c r="DJ18" s="67">
        <v>10.3</v>
      </c>
      <c r="DK18" s="68">
        <v>8.4499999999999993</v>
      </c>
      <c r="DL18" s="63">
        <f t="shared" si="33"/>
        <v>39.074999999999989</v>
      </c>
      <c r="DM18" s="67">
        <v>11.95</v>
      </c>
      <c r="DN18" s="68">
        <v>9.15</v>
      </c>
      <c r="DO18" s="63">
        <f t="shared" si="34"/>
        <v>41.874999999999993</v>
      </c>
      <c r="DP18" s="67">
        <v>14.907999999999999</v>
      </c>
      <c r="DQ18" s="68">
        <v>34.982999999999997</v>
      </c>
      <c r="DR18" s="63">
        <f t="shared" si="35"/>
        <v>21.799999999999997</v>
      </c>
      <c r="DS18" s="67">
        <v>20.399999999999999</v>
      </c>
      <c r="DT18" s="68">
        <v>6.0250000000000004</v>
      </c>
      <c r="DU18" s="63">
        <f t="shared" si="36"/>
        <v>36.174999999999997</v>
      </c>
      <c r="DV18" s="67">
        <v>0</v>
      </c>
      <c r="DW18" s="65">
        <v>8.5749999999999993</v>
      </c>
      <c r="DX18" s="744">
        <f t="shared" si="37"/>
        <v>27.599999999999998</v>
      </c>
      <c r="DY18" s="67">
        <v>20.6</v>
      </c>
      <c r="DZ18" s="65">
        <v>14.45</v>
      </c>
      <c r="EA18" s="63">
        <f t="shared" si="38"/>
        <v>33.75</v>
      </c>
      <c r="EB18" s="67">
        <v>28.1</v>
      </c>
      <c r="EC18" s="68">
        <v>29.25</v>
      </c>
      <c r="ED18" s="63">
        <f t="shared" si="39"/>
        <v>32.6</v>
      </c>
      <c r="EE18" s="67">
        <v>11.8</v>
      </c>
      <c r="EF18" s="68">
        <v>9.125</v>
      </c>
      <c r="EG18" s="744">
        <f t="shared" si="40"/>
        <v>35.275000000000006</v>
      </c>
      <c r="EH18" s="67">
        <v>20</v>
      </c>
      <c r="EI18" s="68">
        <v>14</v>
      </c>
      <c r="EJ18" s="63">
        <f t="shared" si="41"/>
        <v>41.275000000000006</v>
      </c>
      <c r="EK18" s="67">
        <v>20</v>
      </c>
      <c r="EL18" s="817">
        <v>16</v>
      </c>
      <c r="EM18" s="63">
        <f t="shared" si="42"/>
        <v>45.275000000000006</v>
      </c>
      <c r="EN18" s="67">
        <v>0</v>
      </c>
      <c r="EO18" s="68">
        <v>7</v>
      </c>
      <c r="EP18" s="744">
        <f t="shared" si="43"/>
        <v>38.275000000000006</v>
      </c>
      <c r="EQ18" s="67">
        <v>10</v>
      </c>
      <c r="ER18" s="68">
        <v>15</v>
      </c>
      <c r="ES18" s="744">
        <f t="shared" si="44"/>
        <v>33.275000000000006</v>
      </c>
      <c r="ET18" s="67">
        <v>0</v>
      </c>
      <c r="EU18" s="68">
        <v>14</v>
      </c>
      <c r="EV18" s="744">
        <f t="shared" si="45"/>
        <v>19.275000000000006</v>
      </c>
      <c r="EW18" s="67">
        <v>0</v>
      </c>
      <c r="EX18" s="68">
        <v>10</v>
      </c>
      <c r="EY18" s="744">
        <f t="shared" si="46"/>
        <v>9.2750000000000057</v>
      </c>
    </row>
    <row r="19" spans="1:155" ht="19.5">
      <c r="A19" s="59"/>
      <c r="B19" s="60"/>
      <c r="C19" s="76">
        <v>100269790</v>
      </c>
      <c r="D19" s="75" t="s">
        <v>62</v>
      </c>
      <c r="E19" s="77">
        <v>0.95</v>
      </c>
      <c r="F19" s="78">
        <v>0</v>
      </c>
      <c r="G19" s="79">
        <v>0</v>
      </c>
      <c r="H19" s="77">
        <f t="shared" si="0"/>
        <v>0.95</v>
      </c>
      <c r="I19" s="78">
        <v>0</v>
      </c>
      <c r="J19" s="65">
        <v>0</v>
      </c>
      <c r="K19" s="63">
        <f t="shared" si="1"/>
        <v>0.95</v>
      </c>
      <c r="L19" s="64">
        <v>4.1500000000000004</v>
      </c>
      <c r="M19" s="65">
        <v>0.3</v>
      </c>
      <c r="N19" s="63">
        <f t="shared" si="2"/>
        <v>4.8000000000000007</v>
      </c>
      <c r="O19" s="64">
        <v>62.93</v>
      </c>
      <c r="P19" s="65">
        <v>4.1159999999999997</v>
      </c>
      <c r="Q19" s="63">
        <f t="shared" si="3"/>
        <v>63.614000000000004</v>
      </c>
      <c r="R19" s="64">
        <v>87.95</v>
      </c>
      <c r="S19" s="65">
        <v>58.518999999999998</v>
      </c>
      <c r="T19" s="63">
        <f t="shared" si="4"/>
        <v>93.045000000000016</v>
      </c>
      <c r="U19" s="64">
        <v>152.62</v>
      </c>
      <c r="V19" s="65">
        <v>118.895</v>
      </c>
      <c r="W19" s="63">
        <f t="shared" si="5"/>
        <v>126.77000000000002</v>
      </c>
      <c r="X19" s="64">
        <v>126.252</v>
      </c>
      <c r="Y19" s="65">
        <v>91.174999999999997</v>
      </c>
      <c r="Z19" s="63">
        <f t="shared" si="6"/>
        <v>161.84700000000004</v>
      </c>
      <c r="AA19" s="64">
        <v>99.483999999999995</v>
      </c>
      <c r="AB19" s="65">
        <v>93.234999999999999</v>
      </c>
      <c r="AC19" s="63">
        <f t="shared" si="7"/>
        <v>168.096</v>
      </c>
      <c r="AD19" s="64">
        <v>177.55</v>
      </c>
      <c r="AE19" s="65">
        <v>117.54</v>
      </c>
      <c r="AF19" s="63">
        <f>(AC19+AD19)-(AE19)</f>
        <v>228.10599999999999</v>
      </c>
      <c r="AG19" s="64">
        <v>146.97</v>
      </c>
      <c r="AH19" s="65">
        <v>192.28</v>
      </c>
      <c r="AI19" s="63">
        <f t="shared" si="8"/>
        <v>182.79600000000002</v>
      </c>
      <c r="AJ19" s="64">
        <v>105.256</v>
      </c>
      <c r="AK19" s="65">
        <v>92.97</v>
      </c>
      <c r="AL19" s="63">
        <f t="shared" si="9"/>
        <v>195.08200000000002</v>
      </c>
      <c r="AM19" s="64">
        <v>0.52300000000000002</v>
      </c>
      <c r="AN19" s="65">
        <v>32.069000000000003</v>
      </c>
      <c r="AO19" s="63">
        <f t="shared" si="10"/>
        <v>163.536</v>
      </c>
      <c r="AP19" s="64">
        <v>38.686</v>
      </c>
      <c r="AQ19" s="65">
        <v>138.15100000000001</v>
      </c>
      <c r="AR19" s="63">
        <f t="shared" si="47"/>
        <v>64.070999999999998</v>
      </c>
      <c r="AS19" s="64">
        <v>200.45099999999999</v>
      </c>
      <c r="AT19" s="65">
        <v>163.38999999999999</v>
      </c>
      <c r="AU19" s="63">
        <f t="shared" si="11"/>
        <v>101.13200000000001</v>
      </c>
      <c r="AV19" s="64">
        <v>176.99600000000001</v>
      </c>
      <c r="AW19" s="65">
        <v>206.982</v>
      </c>
      <c r="AX19" s="63">
        <f t="shared" si="12"/>
        <v>71.146000000000043</v>
      </c>
      <c r="AY19" s="64">
        <v>204.672</v>
      </c>
      <c r="AZ19" s="65">
        <v>152.42400000000001</v>
      </c>
      <c r="BA19" s="63">
        <f t="shared" si="13"/>
        <v>123.39400000000003</v>
      </c>
      <c r="BB19" s="64">
        <v>136.905</v>
      </c>
      <c r="BC19" s="65">
        <v>100.70099999999999</v>
      </c>
      <c r="BD19" s="63">
        <f t="shared" si="48"/>
        <v>159.59800000000004</v>
      </c>
      <c r="BE19" s="64" t="e">
        <f>153.583-#REF!</f>
        <v>#REF!</v>
      </c>
      <c r="BF19" s="68">
        <v>83.052999999999997</v>
      </c>
      <c r="BG19" s="80" t="e">
        <f>(BD19+BE19)-(BF19)-#REF!</f>
        <v>#REF!</v>
      </c>
      <c r="BH19" s="64">
        <v>69.894999999999996</v>
      </c>
      <c r="BI19" s="65">
        <v>30.353000000000002</v>
      </c>
      <c r="BJ19" s="63" t="e">
        <f t="shared" si="15"/>
        <v>#REF!</v>
      </c>
      <c r="BK19" s="67">
        <v>131.07499999999999</v>
      </c>
      <c r="BL19" s="68">
        <v>146.02500000000001</v>
      </c>
      <c r="BM19" s="63" t="e">
        <f t="shared" si="16"/>
        <v>#REF!</v>
      </c>
      <c r="BN19" s="67">
        <v>121.464</v>
      </c>
      <c r="BO19" s="68">
        <v>190.542</v>
      </c>
      <c r="BP19" s="63" t="e">
        <f t="shared" si="17"/>
        <v>#REF!</v>
      </c>
      <c r="BQ19" s="64">
        <v>237.916</v>
      </c>
      <c r="BR19" s="68">
        <v>216.66499999999999</v>
      </c>
      <c r="BS19" s="63" t="e">
        <f t="shared" si="18"/>
        <v>#REF!</v>
      </c>
      <c r="BT19" s="67">
        <v>276.63299999999998</v>
      </c>
      <c r="BU19" s="65">
        <v>229.54300000000001</v>
      </c>
      <c r="BV19" s="63" t="e">
        <f t="shared" si="19"/>
        <v>#REF!</v>
      </c>
      <c r="BW19" s="64">
        <v>212.60900000000001</v>
      </c>
      <c r="BX19" s="65">
        <v>203.23500000000001</v>
      </c>
      <c r="BY19" s="63" t="e">
        <f t="shared" si="20"/>
        <v>#REF!</v>
      </c>
      <c r="BZ19" s="64">
        <v>223.73500000000001</v>
      </c>
      <c r="CA19" s="65">
        <v>132.73699999999999</v>
      </c>
      <c r="CB19" s="63" t="e">
        <f t="shared" si="21"/>
        <v>#REF!</v>
      </c>
      <c r="CC19" s="64">
        <v>290.40100000000001</v>
      </c>
      <c r="CD19" s="65">
        <v>377.53</v>
      </c>
      <c r="CE19" s="63" t="e">
        <f t="shared" si="22"/>
        <v>#REF!</v>
      </c>
      <c r="CF19" s="64">
        <v>310.90699999999998</v>
      </c>
      <c r="CG19" s="65">
        <v>128.959</v>
      </c>
      <c r="CH19" s="63" t="e">
        <f t="shared" si="23"/>
        <v>#REF!</v>
      </c>
      <c r="CI19" s="64">
        <v>309.27199999999999</v>
      </c>
      <c r="CJ19" s="65">
        <v>245.45</v>
      </c>
      <c r="CK19" s="69" t="e">
        <f t="shared" si="24"/>
        <v>#REF!</v>
      </c>
      <c r="CL19" s="70">
        <v>290.78399999999999</v>
      </c>
      <c r="CM19" s="71">
        <v>554.9</v>
      </c>
      <c r="CN19" s="63">
        <v>91.899000000000001</v>
      </c>
      <c r="CO19" s="64">
        <v>287.87599999999998</v>
      </c>
      <c r="CP19" s="65">
        <v>210.71100000000001</v>
      </c>
      <c r="CQ19" s="63">
        <f t="shared" si="26"/>
        <v>169.06399999999996</v>
      </c>
      <c r="CR19" s="64">
        <v>330.76499999999999</v>
      </c>
      <c r="CS19" s="68">
        <v>351.565</v>
      </c>
      <c r="CT19" s="69">
        <f t="shared" si="27"/>
        <v>148.26399999999995</v>
      </c>
      <c r="CU19" s="81">
        <v>295.35000000000002</v>
      </c>
      <c r="CV19" s="68">
        <v>335.1</v>
      </c>
      <c r="CW19" s="63">
        <f t="shared" si="28"/>
        <v>108.51399999999995</v>
      </c>
      <c r="CX19" s="64">
        <v>331.8</v>
      </c>
      <c r="CY19" s="68">
        <v>226.67500000000001</v>
      </c>
      <c r="CZ19" s="63">
        <f t="shared" si="29"/>
        <v>213.63899999999995</v>
      </c>
      <c r="DA19" s="64">
        <v>281.22500000000002</v>
      </c>
      <c r="DB19" s="68">
        <v>170.1</v>
      </c>
      <c r="DC19" s="63">
        <f t="shared" si="30"/>
        <v>324.76400000000001</v>
      </c>
      <c r="DD19" s="64">
        <v>321.18099999999998</v>
      </c>
      <c r="DE19" s="65">
        <v>365.92500000000001</v>
      </c>
      <c r="DF19" s="63">
        <f t="shared" si="31"/>
        <v>280.01999999999992</v>
      </c>
      <c r="DG19" s="64">
        <v>152.70599999999999</v>
      </c>
      <c r="DH19" s="65">
        <v>0.53700000000000003</v>
      </c>
      <c r="DI19" s="63">
        <f t="shared" si="32"/>
        <v>432.18899999999991</v>
      </c>
      <c r="DJ19" s="64">
        <v>160.08600000000001</v>
      </c>
      <c r="DK19" s="68">
        <v>186.136</v>
      </c>
      <c r="DL19" s="63">
        <f t="shared" si="33"/>
        <v>406.1389999999999</v>
      </c>
      <c r="DM19" s="64">
        <v>170.4</v>
      </c>
      <c r="DN19" s="68">
        <v>210.15</v>
      </c>
      <c r="DO19" s="63">
        <f t="shared" si="34"/>
        <v>366.3889999999999</v>
      </c>
      <c r="DP19" s="64">
        <v>155.964</v>
      </c>
      <c r="DQ19" s="68">
        <v>38.478999999999999</v>
      </c>
      <c r="DR19" s="63">
        <f t="shared" si="35"/>
        <v>483.87399999999985</v>
      </c>
      <c r="DS19" s="64">
        <v>151.078</v>
      </c>
      <c r="DT19" s="68">
        <v>187.02799999999999</v>
      </c>
      <c r="DU19" s="63">
        <f t="shared" si="36"/>
        <v>447.92399999999986</v>
      </c>
      <c r="DV19" s="64">
        <v>155.10599999999999</v>
      </c>
      <c r="DW19" s="65">
        <f>139.956</f>
        <v>139.95599999999999</v>
      </c>
      <c r="DX19" s="744">
        <f t="shared" si="37"/>
        <v>463.07399999999984</v>
      </c>
      <c r="DY19" s="64">
        <v>152.77799999999999</v>
      </c>
      <c r="DZ19" s="65">
        <v>202.578</v>
      </c>
      <c r="EA19" s="63">
        <f t="shared" si="38"/>
        <v>413.27399999999989</v>
      </c>
      <c r="EB19" s="64">
        <v>97.8</v>
      </c>
      <c r="EC19" s="68">
        <v>203.66300000000001</v>
      </c>
      <c r="ED19" s="63">
        <f t="shared" si="39"/>
        <v>307.41099999999989</v>
      </c>
      <c r="EE19" s="64">
        <v>72.2</v>
      </c>
      <c r="EF19" s="68">
        <v>209.4</v>
      </c>
      <c r="EG19" s="744">
        <f t="shared" si="40"/>
        <v>170.21099999999987</v>
      </c>
      <c r="EH19" s="64">
        <v>90</v>
      </c>
      <c r="EI19" s="817">
        <f>166-60</f>
        <v>106</v>
      </c>
      <c r="EJ19" s="63">
        <f t="shared" si="41"/>
        <v>154.2109999999999</v>
      </c>
      <c r="EK19" s="64">
        <v>130</v>
      </c>
      <c r="EL19" s="817">
        <v>127</v>
      </c>
      <c r="EM19" s="63">
        <f t="shared" si="42"/>
        <v>157.2109999999999</v>
      </c>
      <c r="EN19" s="64">
        <v>130</v>
      </c>
      <c r="EO19" s="68">
        <v>152</v>
      </c>
      <c r="EP19" s="744">
        <f t="shared" si="43"/>
        <v>135.2109999999999</v>
      </c>
      <c r="EQ19" s="64">
        <v>180</v>
      </c>
      <c r="ER19" s="68">
        <v>194</v>
      </c>
      <c r="ES19" s="744">
        <f t="shared" si="44"/>
        <v>121.2109999999999</v>
      </c>
      <c r="ET19" s="64">
        <v>150</v>
      </c>
      <c r="EU19" s="68">
        <v>178</v>
      </c>
      <c r="EV19" s="744">
        <f t="shared" si="45"/>
        <v>93.210999999999899</v>
      </c>
      <c r="EW19" s="64">
        <v>150</v>
      </c>
      <c r="EX19" s="68">
        <v>150</v>
      </c>
      <c r="EY19" s="744">
        <f t="shared" si="46"/>
        <v>93.210999999999899</v>
      </c>
    </row>
    <row r="20" spans="1:155" ht="19.5">
      <c r="A20" s="59"/>
      <c r="B20" s="60"/>
      <c r="C20" s="76">
        <v>100253987</v>
      </c>
      <c r="D20" s="75" t="s">
        <v>75</v>
      </c>
      <c r="E20" s="63">
        <v>0</v>
      </c>
      <c r="F20" s="64">
        <v>0</v>
      </c>
      <c r="G20" s="65">
        <v>0</v>
      </c>
      <c r="H20" s="63">
        <f t="shared" si="0"/>
        <v>0</v>
      </c>
      <c r="I20" s="64">
        <v>0</v>
      </c>
      <c r="J20" s="65">
        <v>0</v>
      </c>
      <c r="K20" s="63">
        <f t="shared" si="1"/>
        <v>0</v>
      </c>
      <c r="L20" s="64">
        <v>0</v>
      </c>
      <c r="M20" s="65">
        <v>0</v>
      </c>
      <c r="N20" s="63">
        <f t="shared" si="2"/>
        <v>0</v>
      </c>
      <c r="O20" s="64">
        <v>0</v>
      </c>
      <c r="P20" s="65">
        <v>0</v>
      </c>
      <c r="Q20" s="63">
        <f t="shared" si="3"/>
        <v>0</v>
      </c>
      <c r="R20" s="64">
        <v>0</v>
      </c>
      <c r="S20" s="65">
        <v>0</v>
      </c>
      <c r="T20" s="63">
        <f t="shared" si="4"/>
        <v>0</v>
      </c>
      <c r="U20" s="64">
        <v>0</v>
      </c>
      <c r="V20" s="65">
        <v>0</v>
      </c>
      <c r="W20" s="63">
        <f t="shared" si="5"/>
        <v>0</v>
      </c>
      <c r="X20" s="64">
        <v>0</v>
      </c>
      <c r="Y20" s="65">
        <v>0</v>
      </c>
      <c r="Z20" s="63">
        <f t="shared" si="6"/>
        <v>0</v>
      </c>
      <c r="AA20" s="64">
        <v>1.3</v>
      </c>
      <c r="AB20" s="65">
        <v>0</v>
      </c>
      <c r="AC20" s="63">
        <f t="shared" si="7"/>
        <v>1.3</v>
      </c>
      <c r="AD20" s="64">
        <v>3.25</v>
      </c>
      <c r="AE20" s="65">
        <v>1.2</v>
      </c>
      <c r="AF20" s="63">
        <f>(AC20+AD20)-(AE20)</f>
        <v>3.3499999999999996</v>
      </c>
      <c r="AG20" s="64">
        <v>11.85</v>
      </c>
      <c r="AH20" s="65">
        <v>5.45</v>
      </c>
      <c r="AI20" s="63">
        <f t="shared" si="8"/>
        <v>9.75</v>
      </c>
      <c r="AJ20" s="64">
        <v>16.25</v>
      </c>
      <c r="AK20" s="65">
        <v>16.850000000000001</v>
      </c>
      <c r="AL20" s="63">
        <f t="shared" si="9"/>
        <v>9.1499999999999986</v>
      </c>
      <c r="AM20" s="64">
        <v>11.7</v>
      </c>
      <c r="AN20" s="65">
        <v>3.95</v>
      </c>
      <c r="AO20" s="63">
        <f t="shared" si="10"/>
        <v>16.899999999999999</v>
      </c>
      <c r="AP20" s="64">
        <v>30.524000000000001</v>
      </c>
      <c r="AQ20" s="65">
        <v>23.125</v>
      </c>
      <c r="AR20" s="63">
        <f t="shared" si="47"/>
        <v>24.298999999999999</v>
      </c>
      <c r="AS20" s="64">
        <v>15.353999999999999</v>
      </c>
      <c r="AT20" s="65">
        <v>32.659999999999997</v>
      </c>
      <c r="AU20" s="63">
        <f t="shared" si="11"/>
        <v>6.9930000000000021</v>
      </c>
      <c r="AV20" s="64">
        <v>12.798999999999999</v>
      </c>
      <c r="AW20" s="65">
        <v>4.694</v>
      </c>
      <c r="AX20" s="63">
        <f t="shared" si="12"/>
        <v>15.098000000000003</v>
      </c>
      <c r="AY20" s="64">
        <v>11.351000000000001</v>
      </c>
      <c r="AZ20" s="65">
        <v>13.048999999999999</v>
      </c>
      <c r="BA20" s="63">
        <f t="shared" si="13"/>
        <v>13.400000000000006</v>
      </c>
      <c r="BB20" s="64">
        <v>28.045999999999999</v>
      </c>
      <c r="BC20" s="65">
        <v>8.25</v>
      </c>
      <c r="BD20" s="63">
        <f t="shared" si="48"/>
        <v>33.196000000000005</v>
      </c>
      <c r="BE20" s="64">
        <v>8.4339999999999993</v>
      </c>
      <c r="BF20" s="68">
        <v>5.95</v>
      </c>
      <c r="BG20" s="63">
        <f>(BD20+BE20)-(BF20)</f>
        <v>35.68</v>
      </c>
      <c r="BH20" s="67">
        <v>32.049999999999997</v>
      </c>
      <c r="BI20" s="68">
        <v>6.05</v>
      </c>
      <c r="BJ20" s="63">
        <f t="shared" si="15"/>
        <v>61.679999999999993</v>
      </c>
      <c r="BK20" s="67">
        <v>14.45</v>
      </c>
      <c r="BL20" s="68">
        <v>6</v>
      </c>
      <c r="BM20" s="63">
        <f t="shared" si="16"/>
        <v>70.13</v>
      </c>
      <c r="BN20" s="67">
        <v>1.331</v>
      </c>
      <c r="BO20" s="68">
        <v>16.145</v>
      </c>
      <c r="BP20" s="63">
        <f t="shared" si="17"/>
        <v>55.316000000000003</v>
      </c>
      <c r="BQ20" s="67">
        <v>-0.13300000000000001</v>
      </c>
      <c r="BR20" s="68">
        <v>8.66</v>
      </c>
      <c r="BS20" s="63">
        <f t="shared" si="18"/>
        <v>46.522999999999996</v>
      </c>
      <c r="BT20" s="67">
        <v>-1.603</v>
      </c>
      <c r="BU20" s="65">
        <v>13.742000000000001</v>
      </c>
      <c r="BV20" s="63">
        <f t="shared" si="19"/>
        <v>31.177999999999994</v>
      </c>
      <c r="BW20" s="64">
        <v>14.359</v>
      </c>
      <c r="BX20" s="65">
        <v>12.167999999999999</v>
      </c>
      <c r="BY20" s="63">
        <f t="shared" si="20"/>
        <v>33.368999999999993</v>
      </c>
      <c r="BZ20" s="64">
        <v>14.212999999999999</v>
      </c>
      <c r="CA20" s="65">
        <v>18.277999999999999</v>
      </c>
      <c r="CB20" s="63">
        <f t="shared" si="21"/>
        <v>29.303999999999995</v>
      </c>
      <c r="CC20" s="64">
        <v>14.500999999999999</v>
      </c>
      <c r="CD20" s="68">
        <v>10.465999999999999</v>
      </c>
      <c r="CE20" s="63">
        <f t="shared" si="22"/>
        <v>33.338999999999992</v>
      </c>
      <c r="CF20" s="67">
        <v>6.3330000000000002</v>
      </c>
      <c r="CG20" s="65">
        <v>12.305</v>
      </c>
      <c r="CH20" s="63">
        <f t="shared" si="23"/>
        <v>27.36699999999999</v>
      </c>
      <c r="CI20" s="64">
        <v>19.937999999999999</v>
      </c>
      <c r="CJ20" s="65">
        <v>12.537000000000001</v>
      </c>
      <c r="CK20" s="69">
        <f t="shared" si="24"/>
        <v>34.767999999999994</v>
      </c>
      <c r="CL20" s="70">
        <v>5.5</v>
      </c>
      <c r="CM20" s="71">
        <v>20.824999999999999</v>
      </c>
      <c r="CN20" s="63">
        <f>(CK20+CL20)-(CM20)</f>
        <v>19.442999999999994</v>
      </c>
      <c r="CO20" s="67">
        <v>20.855</v>
      </c>
      <c r="CP20" s="68">
        <v>23.774999999999999</v>
      </c>
      <c r="CQ20" s="63">
        <f t="shared" si="26"/>
        <v>16.522999999999996</v>
      </c>
      <c r="CR20" s="67">
        <v>8.0129999999999999</v>
      </c>
      <c r="CS20" s="68">
        <v>1.425</v>
      </c>
      <c r="CT20" s="69">
        <f t="shared" si="27"/>
        <v>23.110999999999994</v>
      </c>
      <c r="CU20" s="73">
        <v>19.3</v>
      </c>
      <c r="CV20" s="68">
        <v>9.5549999999999997</v>
      </c>
      <c r="CW20" s="63">
        <f t="shared" si="28"/>
        <v>32.855999999999995</v>
      </c>
      <c r="CX20" s="67">
        <v>17.5</v>
      </c>
      <c r="CY20" s="68">
        <v>11.281000000000001</v>
      </c>
      <c r="CZ20" s="63">
        <f t="shared" si="29"/>
        <v>39.074999999999996</v>
      </c>
      <c r="DA20" s="67">
        <v>1</v>
      </c>
      <c r="DB20" s="68">
        <v>8.1</v>
      </c>
      <c r="DC20" s="63">
        <f t="shared" si="30"/>
        <v>31.974999999999994</v>
      </c>
      <c r="DD20" s="67">
        <v>18.3</v>
      </c>
      <c r="DE20" s="68">
        <v>8.5500000000000007</v>
      </c>
      <c r="DF20" s="63">
        <f t="shared" si="31"/>
        <v>41.724999999999994</v>
      </c>
      <c r="DG20" s="67">
        <v>2.9249999999999998</v>
      </c>
      <c r="DH20" s="68">
        <v>10.95</v>
      </c>
      <c r="DI20" s="63">
        <f t="shared" si="32"/>
        <v>33.699999999999989</v>
      </c>
      <c r="DJ20" s="67">
        <v>10.4</v>
      </c>
      <c r="DK20" s="68">
        <v>11.375</v>
      </c>
      <c r="DL20" s="63">
        <f t="shared" si="33"/>
        <v>32.724999999999987</v>
      </c>
      <c r="DM20" s="67">
        <v>22.1</v>
      </c>
      <c r="DN20" s="68">
        <v>5.6</v>
      </c>
      <c r="DO20" s="63">
        <f t="shared" si="34"/>
        <v>49.224999999999987</v>
      </c>
      <c r="DP20" s="67">
        <v>2.5</v>
      </c>
      <c r="DQ20" s="68">
        <v>2.9</v>
      </c>
      <c r="DR20" s="63">
        <f t="shared" si="35"/>
        <v>48.824999999999989</v>
      </c>
      <c r="DS20" s="67">
        <v>0</v>
      </c>
      <c r="DT20" s="68">
        <v>6.1</v>
      </c>
      <c r="DU20" s="63">
        <f t="shared" si="36"/>
        <v>42.724999999999987</v>
      </c>
      <c r="DV20" s="67">
        <v>0</v>
      </c>
      <c r="DW20" s="68">
        <v>4.8250000000000002</v>
      </c>
      <c r="DX20" s="744">
        <f t="shared" si="37"/>
        <v>37.899999999999984</v>
      </c>
      <c r="DY20" s="67">
        <v>10.25</v>
      </c>
      <c r="DZ20" s="68">
        <v>6.2249999999999996</v>
      </c>
      <c r="EA20" s="63">
        <f t="shared" si="38"/>
        <v>41.924999999999983</v>
      </c>
      <c r="EB20" s="67">
        <v>0.6</v>
      </c>
      <c r="EC20" s="68">
        <v>5.15</v>
      </c>
      <c r="ED20" s="63">
        <f t="shared" si="39"/>
        <v>37.374999999999986</v>
      </c>
      <c r="EE20" s="67">
        <v>0</v>
      </c>
      <c r="EF20" s="68">
        <v>3.3250000000000002</v>
      </c>
      <c r="EG20" s="744">
        <f t="shared" si="40"/>
        <v>34.049999999999983</v>
      </c>
      <c r="EH20" s="67">
        <v>0</v>
      </c>
      <c r="EI20" s="68">
        <v>5</v>
      </c>
      <c r="EJ20" s="63">
        <f t="shared" si="41"/>
        <v>29.049999999999983</v>
      </c>
      <c r="EK20" s="67">
        <v>0</v>
      </c>
      <c r="EL20" s="68">
        <v>5</v>
      </c>
      <c r="EM20" s="63">
        <f t="shared" si="42"/>
        <v>24.049999999999983</v>
      </c>
      <c r="EN20" s="67">
        <v>5</v>
      </c>
      <c r="EO20" s="817">
        <v>4</v>
      </c>
      <c r="EP20" s="744">
        <f t="shared" si="43"/>
        <v>25.049999999999983</v>
      </c>
      <c r="EQ20" s="67">
        <v>10</v>
      </c>
      <c r="ER20" s="68">
        <v>3</v>
      </c>
      <c r="ES20" s="744">
        <f t="shared" si="44"/>
        <v>32.049999999999983</v>
      </c>
      <c r="ET20" s="67">
        <v>5</v>
      </c>
      <c r="EU20" s="817">
        <v>7</v>
      </c>
      <c r="EV20" s="744">
        <f t="shared" si="45"/>
        <v>30.049999999999983</v>
      </c>
      <c r="EW20" s="67">
        <v>0</v>
      </c>
      <c r="EX20" s="817">
        <v>7</v>
      </c>
      <c r="EY20" s="744">
        <f t="shared" si="46"/>
        <v>23.049999999999983</v>
      </c>
    </row>
    <row r="21" spans="1:155" ht="19.5">
      <c r="A21" s="59"/>
      <c r="B21" s="60"/>
      <c r="C21" s="76">
        <v>100253898</v>
      </c>
      <c r="D21" s="75" t="s">
        <v>90</v>
      </c>
      <c r="E21" s="63">
        <v>0</v>
      </c>
      <c r="F21" s="64">
        <v>0</v>
      </c>
      <c r="G21" s="65">
        <v>0</v>
      </c>
      <c r="H21" s="63">
        <f t="shared" si="0"/>
        <v>0</v>
      </c>
      <c r="I21" s="64">
        <v>0</v>
      </c>
      <c r="J21" s="65">
        <v>0</v>
      </c>
      <c r="K21" s="63">
        <f t="shared" si="1"/>
        <v>0</v>
      </c>
      <c r="L21" s="64">
        <v>0</v>
      </c>
      <c r="M21" s="65">
        <v>0</v>
      </c>
      <c r="N21" s="63">
        <f t="shared" si="2"/>
        <v>0</v>
      </c>
      <c r="O21" s="64">
        <v>1.5E-3</v>
      </c>
      <c r="P21" s="65">
        <v>0</v>
      </c>
      <c r="Q21" s="63">
        <f t="shared" si="3"/>
        <v>1.5E-3</v>
      </c>
      <c r="R21" s="64">
        <v>3.75</v>
      </c>
      <c r="S21" s="65">
        <v>2.5000000000000001E-3</v>
      </c>
      <c r="T21" s="63">
        <f t="shared" si="4"/>
        <v>3.7490000000000001</v>
      </c>
      <c r="U21" s="64">
        <v>19.7</v>
      </c>
      <c r="V21" s="65">
        <v>0.97499999999999998</v>
      </c>
      <c r="W21" s="63">
        <f t="shared" si="5"/>
        <v>22.473999999999997</v>
      </c>
      <c r="X21" s="64">
        <v>32.558999999999997</v>
      </c>
      <c r="Y21" s="65">
        <v>13.14</v>
      </c>
      <c r="Z21" s="63">
        <f t="shared" si="6"/>
        <v>41.892999999999994</v>
      </c>
      <c r="AA21" s="64">
        <v>28.725000000000001</v>
      </c>
      <c r="AB21" s="65">
        <v>14.425000000000001</v>
      </c>
      <c r="AC21" s="63">
        <f t="shared" si="7"/>
        <v>56.192999999999998</v>
      </c>
      <c r="AD21" s="64">
        <v>22.72</v>
      </c>
      <c r="AE21" s="65">
        <v>43.53</v>
      </c>
      <c r="AF21" s="63">
        <f>(AC21+AD21)-(AE21)</f>
        <v>35.382999999999996</v>
      </c>
      <c r="AG21" s="64">
        <v>40.81</v>
      </c>
      <c r="AH21" s="65">
        <v>43.53</v>
      </c>
      <c r="AI21" s="63">
        <f t="shared" si="8"/>
        <v>32.662999999999997</v>
      </c>
      <c r="AJ21" s="64">
        <v>13.207000000000001</v>
      </c>
      <c r="AK21" s="65">
        <v>18.303999999999998</v>
      </c>
      <c r="AL21" s="63">
        <f t="shared" si="9"/>
        <v>27.565999999999999</v>
      </c>
      <c r="AM21" s="64">
        <v>4.1130000000000004</v>
      </c>
      <c r="AN21" s="65">
        <v>16.875</v>
      </c>
      <c r="AO21" s="63">
        <f t="shared" si="10"/>
        <v>14.803999999999998</v>
      </c>
      <c r="AP21" s="64">
        <v>47.220999999999997</v>
      </c>
      <c r="AQ21" s="65">
        <v>31.198</v>
      </c>
      <c r="AR21" s="63">
        <f t="shared" si="47"/>
        <v>30.826999999999991</v>
      </c>
      <c r="AS21" s="64">
        <v>48.957000000000001</v>
      </c>
      <c r="AT21" s="65">
        <v>39.621000000000002</v>
      </c>
      <c r="AU21" s="63">
        <f t="shared" si="11"/>
        <v>40.16299999999999</v>
      </c>
      <c r="AV21" s="64">
        <v>-0.157</v>
      </c>
      <c r="AW21" s="65">
        <v>14.45</v>
      </c>
      <c r="AX21" s="63">
        <f t="shared" si="12"/>
        <v>25.555999999999994</v>
      </c>
      <c r="AY21" s="64">
        <v>11.151999999999999</v>
      </c>
      <c r="AZ21" s="65">
        <v>21.582000000000001</v>
      </c>
      <c r="BA21" s="63">
        <v>14.584</v>
      </c>
      <c r="BB21" s="64">
        <v>21.091999999999999</v>
      </c>
      <c r="BC21" s="65">
        <v>9.3140000000000001</v>
      </c>
      <c r="BD21" s="63">
        <f t="shared" si="48"/>
        <v>26.362000000000002</v>
      </c>
      <c r="BE21" s="64">
        <v>49.381999999999998</v>
      </c>
      <c r="BF21" s="68">
        <v>42.719000000000001</v>
      </c>
      <c r="BG21" s="63">
        <f>(BD21+BE21)-(BF21)</f>
        <v>33.024999999999999</v>
      </c>
      <c r="BH21" s="67">
        <v>28.154</v>
      </c>
      <c r="BI21" s="68">
        <v>21.817</v>
      </c>
      <c r="BJ21" s="63">
        <f t="shared" si="15"/>
        <v>39.362000000000002</v>
      </c>
      <c r="BK21" s="67">
        <v>8.9209999999999994</v>
      </c>
      <c r="BL21" s="68">
        <v>15.69</v>
      </c>
      <c r="BM21" s="63">
        <f t="shared" si="16"/>
        <v>32.593000000000004</v>
      </c>
      <c r="BN21" s="67">
        <v>24.989000000000001</v>
      </c>
      <c r="BO21" s="68">
        <v>35.299999999999997</v>
      </c>
      <c r="BP21" s="63">
        <f t="shared" si="17"/>
        <v>22.282000000000011</v>
      </c>
      <c r="BQ21" s="67">
        <v>48.831000000000003</v>
      </c>
      <c r="BR21" s="68">
        <v>41.408000000000001</v>
      </c>
      <c r="BS21" s="63">
        <f t="shared" si="18"/>
        <v>29.705000000000013</v>
      </c>
      <c r="BT21" s="67">
        <v>51.408999999999999</v>
      </c>
      <c r="BU21" s="65">
        <v>34.436</v>
      </c>
      <c r="BV21" s="63">
        <f t="shared" si="19"/>
        <v>46.678000000000004</v>
      </c>
      <c r="BW21" s="64">
        <v>29.41</v>
      </c>
      <c r="BX21" s="65">
        <v>24.071999999999999</v>
      </c>
      <c r="BY21" s="63">
        <f t="shared" si="20"/>
        <v>52.016000000000005</v>
      </c>
      <c r="BZ21" s="64">
        <v>20.414000000000001</v>
      </c>
      <c r="CA21" s="65">
        <v>40.146999999999998</v>
      </c>
      <c r="CB21" s="63">
        <f t="shared" si="21"/>
        <v>32.283000000000008</v>
      </c>
      <c r="CC21" s="64">
        <v>30.675000000000001</v>
      </c>
      <c r="CD21" s="68">
        <v>32.417999999999999</v>
      </c>
      <c r="CE21" s="63">
        <f t="shared" si="22"/>
        <v>30.540000000000013</v>
      </c>
      <c r="CF21" s="67">
        <v>41</v>
      </c>
      <c r="CG21" s="65">
        <v>43.216000000000001</v>
      </c>
      <c r="CH21" s="63">
        <f t="shared" si="23"/>
        <v>28.324000000000019</v>
      </c>
      <c r="CI21" s="64">
        <v>36.700000000000003</v>
      </c>
      <c r="CJ21" s="65">
        <v>33.4</v>
      </c>
      <c r="CK21" s="69">
        <f t="shared" si="24"/>
        <v>31.624000000000031</v>
      </c>
      <c r="CL21" s="70">
        <v>13.15</v>
      </c>
      <c r="CM21" s="71">
        <v>31.074999999999999</v>
      </c>
      <c r="CN21" s="63">
        <f>(CK21+CL21)-(CM21)</f>
        <v>13.69900000000003</v>
      </c>
      <c r="CO21" s="67">
        <v>55.436999999999998</v>
      </c>
      <c r="CP21" s="68">
        <v>34.811999999999998</v>
      </c>
      <c r="CQ21" s="63">
        <f t="shared" si="26"/>
        <v>34.324000000000026</v>
      </c>
      <c r="CR21" s="67">
        <v>50.65</v>
      </c>
      <c r="CS21" s="68">
        <v>23.725000000000001</v>
      </c>
      <c r="CT21" s="69">
        <f t="shared" si="27"/>
        <v>61.249000000000017</v>
      </c>
      <c r="CU21" s="73">
        <v>43.2</v>
      </c>
      <c r="CV21" s="68">
        <v>16</v>
      </c>
      <c r="CW21" s="63">
        <f t="shared" si="28"/>
        <v>88.449000000000012</v>
      </c>
      <c r="CX21" s="67">
        <v>17.45</v>
      </c>
      <c r="CY21" s="68">
        <v>13.35</v>
      </c>
      <c r="CZ21" s="63">
        <f t="shared" si="29"/>
        <v>92.549000000000021</v>
      </c>
      <c r="DA21" s="67">
        <v>18.707999999999998</v>
      </c>
      <c r="DB21" s="68">
        <v>4.95</v>
      </c>
      <c r="DC21" s="63">
        <f t="shared" si="30"/>
        <v>106.30700000000002</v>
      </c>
      <c r="DD21" s="67">
        <v>0</v>
      </c>
      <c r="DE21" s="68">
        <v>11.108000000000001</v>
      </c>
      <c r="DF21" s="63">
        <f t="shared" si="31"/>
        <v>95.199000000000012</v>
      </c>
      <c r="DG21" s="67">
        <v>0</v>
      </c>
      <c r="DH21" s="68">
        <v>10.81</v>
      </c>
      <c r="DI21" s="63">
        <f t="shared" si="32"/>
        <v>84.38900000000001</v>
      </c>
      <c r="DJ21" s="67">
        <v>0</v>
      </c>
      <c r="DK21" s="68">
        <v>19.64</v>
      </c>
      <c r="DL21" s="63">
        <f t="shared" si="33"/>
        <v>64.749000000000009</v>
      </c>
      <c r="DM21" s="67">
        <v>0</v>
      </c>
      <c r="DN21" s="68">
        <v>12.25</v>
      </c>
      <c r="DO21" s="63">
        <f t="shared" si="34"/>
        <v>52.499000000000009</v>
      </c>
      <c r="DP21" s="67">
        <v>6.55</v>
      </c>
      <c r="DQ21" s="68">
        <v>9.375</v>
      </c>
      <c r="DR21" s="63">
        <f t="shared" si="35"/>
        <v>49.674000000000007</v>
      </c>
      <c r="DS21" s="67">
        <v>0.26</v>
      </c>
      <c r="DT21" s="68">
        <v>13.15</v>
      </c>
      <c r="DU21" s="63">
        <f t="shared" si="36"/>
        <v>36.784000000000006</v>
      </c>
      <c r="DV21" s="67">
        <v>0</v>
      </c>
      <c r="DW21" s="68">
        <v>7.181</v>
      </c>
      <c r="DX21" s="744">
        <f t="shared" si="37"/>
        <v>29.603000000000005</v>
      </c>
      <c r="DY21" s="67">
        <v>10.206</v>
      </c>
      <c r="DZ21" s="68">
        <v>7.75</v>
      </c>
      <c r="EA21" s="63">
        <f t="shared" si="38"/>
        <v>32.059000000000005</v>
      </c>
      <c r="EB21" s="67">
        <v>4.0999999999999996</v>
      </c>
      <c r="EC21" s="68">
        <v>22.975000000000001</v>
      </c>
      <c r="ED21" s="63">
        <f t="shared" si="39"/>
        <v>13.184000000000005</v>
      </c>
      <c r="EE21" s="67">
        <v>16</v>
      </c>
      <c r="EF21" s="68">
        <v>12.25</v>
      </c>
      <c r="EG21" s="744">
        <f t="shared" si="40"/>
        <v>16.934000000000005</v>
      </c>
      <c r="EH21" s="67">
        <v>20</v>
      </c>
      <c r="EI21" s="68">
        <v>12</v>
      </c>
      <c r="EJ21" s="63">
        <f t="shared" si="41"/>
        <v>24.934000000000005</v>
      </c>
      <c r="EK21" s="67">
        <v>5</v>
      </c>
      <c r="EL21" s="817">
        <v>14</v>
      </c>
      <c r="EM21" s="63">
        <f t="shared" si="42"/>
        <v>15.934000000000005</v>
      </c>
      <c r="EN21" s="67">
        <v>5</v>
      </c>
      <c r="EO21" s="817">
        <v>6</v>
      </c>
      <c r="EP21" s="744">
        <f t="shared" si="43"/>
        <v>14.934000000000005</v>
      </c>
      <c r="EQ21" s="67">
        <v>20</v>
      </c>
      <c r="ER21" s="68">
        <v>12</v>
      </c>
      <c r="ES21" s="744">
        <f t="shared" si="44"/>
        <v>22.934000000000005</v>
      </c>
      <c r="ET21" s="67">
        <v>5</v>
      </c>
      <c r="EU21" s="68">
        <v>11</v>
      </c>
      <c r="EV21" s="744">
        <f t="shared" si="45"/>
        <v>16.934000000000005</v>
      </c>
      <c r="EW21" s="67">
        <v>10</v>
      </c>
      <c r="EX21" s="68">
        <v>10</v>
      </c>
      <c r="EY21" s="744">
        <f t="shared" si="46"/>
        <v>16.934000000000005</v>
      </c>
    </row>
    <row r="22" spans="1:155" ht="19.5">
      <c r="A22" s="59"/>
      <c r="B22" s="60"/>
      <c r="C22" s="76">
        <v>100141822</v>
      </c>
      <c r="D22" s="75" t="s">
        <v>64</v>
      </c>
      <c r="E22" s="77">
        <v>0</v>
      </c>
      <c r="F22" s="64">
        <v>0</v>
      </c>
      <c r="G22" s="65">
        <v>0</v>
      </c>
      <c r="H22" s="63">
        <f t="shared" si="0"/>
        <v>0</v>
      </c>
      <c r="I22" s="64">
        <v>0</v>
      </c>
      <c r="J22" s="65">
        <v>0</v>
      </c>
      <c r="K22" s="63">
        <f t="shared" si="1"/>
        <v>0</v>
      </c>
      <c r="L22" s="64">
        <v>0</v>
      </c>
      <c r="M22" s="65">
        <v>0</v>
      </c>
      <c r="N22" s="63">
        <f t="shared" si="2"/>
        <v>0</v>
      </c>
      <c r="O22" s="64">
        <v>0</v>
      </c>
      <c r="P22" s="65">
        <v>0</v>
      </c>
      <c r="Q22" s="63">
        <f t="shared" si="3"/>
        <v>0</v>
      </c>
      <c r="R22" s="64">
        <v>17.48</v>
      </c>
      <c r="S22" s="65">
        <v>0</v>
      </c>
      <c r="T22" s="63">
        <f t="shared" si="4"/>
        <v>17.48</v>
      </c>
      <c r="U22" s="64">
        <v>56.27</v>
      </c>
      <c r="V22" s="65">
        <v>21.19</v>
      </c>
      <c r="W22" s="63">
        <f t="shared" si="5"/>
        <v>52.56</v>
      </c>
      <c r="X22" s="64">
        <v>56.98</v>
      </c>
      <c r="Y22" s="65">
        <v>92.32</v>
      </c>
      <c r="Z22" s="63">
        <f t="shared" si="6"/>
        <v>17.22</v>
      </c>
      <c r="AA22" s="64">
        <v>63.405000000000001</v>
      </c>
      <c r="AB22" s="65">
        <v>49.615000000000002</v>
      </c>
      <c r="AC22" s="63">
        <f t="shared" si="7"/>
        <v>31.009999999999998</v>
      </c>
      <c r="AD22" s="64">
        <v>110.84</v>
      </c>
      <c r="AE22" s="65">
        <v>83</v>
      </c>
      <c r="AF22" s="63">
        <f>(AC22+AD22)-(AE22)</f>
        <v>58.849999999999994</v>
      </c>
      <c r="AG22" s="64">
        <v>92.43</v>
      </c>
      <c r="AH22" s="65">
        <v>83.54</v>
      </c>
      <c r="AI22" s="63">
        <f t="shared" si="8"/>
        <v>67.739999999999995</v>
      </c>
      <c r="AJ22" s="64">
        <v>30.3</v>
      </c>
      <c r="AK22" s="65">
        <v>45.77</v>
      </c>
      <c r="AL22" s="63">
        <f t="shared" si="9"/>
        <v>52.269999999999989</v>
      </c>
      <c r="AM22" s="64">
        <v>0</v>
      </c>
      <c r="AN22" s="65">
        <v>37</v>
      </c>
      <c r="AO22" s="63">
        <f t="shared" si="10"/>
        <v>15.269999999999989</v>
      </c>
      <c r="AP22" s="64">
        <v>64.867999999999995</v>
      </c>
      <c r="AQ22" s="65">
        <v>28.277999999999999</v>
      </c>
      <c r="AR22" s="63">
        <f t="shared" si="47"/>
        <v>51.859999999999978</v>
      </c>
      <c r="AS22" s="64">
        <v>65.402000000000001</v>
      </c>
      <c r="AT22" s="65">
        <v>67.372</v>
      </c>
      <c r="AU22" s="63">
        <f t="shared" si="11"/>
        <v>49.889999999999972</v>
      </c>
      <c r="AV22" s="64">
        <v>25.32</v>
      </c>
      <c r="AW22" s="65">
        <v>44.59</v>
      </c>
      <c r="AX22" s="63">
        <f t="shared" si="12"/>
        <v>30.619999999999976</v>
      </c>
      <c r="AY22" s="64">
        <v>111.3</v>
      </c>
      <c r="AZ22" s="65">
        <v>71.69</v>
      </c>
      <c r="BA22" s="63">
        <f>(AX22+AY22)-(AZ22)</f>
        <v>70.229999999999961</v>
      </c>
      <c r="BB22" s="64">
        <v>38.92</v>
      </c>
      <c r="BC22" s="65">
        <v>38.219000000000001</v>
      </c>
      <c r="BD22" s="63">
        <f t="shared" si="48"/>
        <v>70.930999999999955</v>
      </c>
      <c r="BE22" s="64">
        <v>57.356999999999999</v>
      </c>
      <c r="BF22" s="68">
        <v>54.831000000000003</v>
      </c>
      <c r="BG22" s="63">
        <f>(BD22+BE22)-(BF22)</f>
        <v>73.456999999999951</v>
      </c>
      <c r="BH22" s="67">
        <v>36.634999999999998</v>
      </c>
      <c r="BI22" s="68">
        <v>19.138000000000002</v>
      </c>
      <c r="BJ22" s="63">
        <f t="shared" si="15"/>
        <v>90.953999999999951</v>
      </c>
      <c r="BK22" s="67">
        <v>32.549999999999997</v>
      </c>
      <c r="BL22" s="68">
        <v>13.212</v>
      </c>
      <c r="BM22" s="63">
        <f t="shared" si="16"/>
        <v>110.29199999999994</v>
      </c>
      <c r="BN22" s="67">
        <v>-0.60599999999999998</v>
      </c>
      <c r="BO22" s="68">
        <v>29.622</v>
      </c>
      <c r="BP22" s="63">
        <f t="shared" si="17"/>
        <v>80.06399999999995</v>
      </c>
      <c r="BQ22" s="67">
        <v>2.1000000000000001E-2</v>
      </c>
      <c r="BR22" s="68">
        <v>37.950000000000003</v>
      </c>
      <c r="BS22" s="63">
        <f t="shared" si="18"/>
        <v>42.134999999999948</v>
      </c>
      <c r="BT22" s="67">
        <v>19.538</v>
      </c>
      <c r="BU22" s="65">
        <v>24.86</v>
      </c>
      <c r="BV22" s="63" t="e">
        <f>(BS22+BT22)-(BU22)-#REF!</f>
        <v>#REF!</v>
      </c>
      <c r="BW22" s="64">
        <v>79.447999999999993</v>
      </c>
      <c r="BX22" s="65">
        <v>66.356999999999999</v>
      </c>
      <c r="BY22" s="63" t="e">
        <f t="shared" si="20"/>
        <v>#REF!</v>
      </c>
      <c r="BZ22" s="64">
        <v>80.16</v>
      </c>
      <c r="CA22" s="65">
        <v>56.002000000000002</v>
      </c>
      <c r="CB22" s="63" t="e">
        <f t="shared" si="21"/>
        <v>#REF!</v>
      </c>
      <c r="CC22" s="64">
        <v>53.83</v>
      </c>
      <c r="CD22" s="68">
        <v>47.598999999999997</v>
      </c>
      <c r="CE22" s="63" t="e">
        <f t="shared" si="22"/>
        <v>#REF!</v>
      </c>
      <c r="CF22" s="64">
        <v>15.875999999999999</v>
      </c>
      <c r="CG22" s="65">
        <v>5.6509999999999998</v>
      </c>
      <c r="CH22" s="63" t="e">
        <f t="shared" si="23"/>
        <v>#REF!</v>
      </c>
      <c r="CI22" s="64">
        <v>35.728999999999999</v>
      </c>
      <c r="CJ22" s="65">
        <v>10.83</v>
      </c>
      <c r="CK22" s="69" t="e">
        <f t="shared" si="24"/>
        <v>#REF!</v>
      </c>
      <c r="CL22" s="70">
        <v>37.563000000000002</v>
      </c>
      <c r="CM22" s="71">
        <v>92.3</v>
      </c>
      <c r="CN22" s="63">
        <v>44.254999999999953</v>
      </c>
      <c r="CO22" s="64">
        <v>39.24</v>
      </c>
      <c r="CP22" s="68">
        <v>0.01</v>
      </c>
      <c r="CQ22" s="63">
        <f t="shared" si="26"/>
        <v>83.484999999999943</v>
      </c>
      <c r="CR22" s="64">
        <v>17.25</v>
      </c>
      <c r="CS22" s="68">
        <v>34.65</v>
      </c>
      <c r="CT22" s="69">
        <f t="shared" si="27"/>
        <v>66.084999999999951</v>
      </c>
      <c r="CU22" s="81">
        <v>37.161999999999999</v>
      </c>
      <c r="CV22" s="68">
        <v>65.09</v>
      </c>
      <c r="CW22" s="63">
        <f t="shared" si="28"/>
        <v>38.156999999999954</v>
      </c>
      <c r="CX22" s="64">
        <v>20.725000000000001</v>
      </c>
      <c r="CY22" s="68">
        <v>0.01</v>
      </c>
      <c r="CZ22" s="63">
        <f t="shared" si="29"/>
        <v>58.871999999999957</v>
      </c>
      <c r="DA22" s="64">
        <v>21.138000000000002</v>
      </c>
      <c r="DB22" s="68">
        <v>38.637</v>
      </c>
      <c r="DC22" s="63">
        <f t="shared" si="30"/>
        <v>41.372999999999962</v>
      </c>
      <c r="DD22" s="64">
        <v>15.004</v>
      </c>
      <c r="DE22" s="68">
        <v>27.777999999999999</v>
      </c>
      <c r="DF22" s="63">
        <v>28.893999999999998</v>
      </c>
      <c r="DG22" s="64">
        <v>0</v>
      </c>
      <c r="DH22" s="68">
        <v>2.7</v>
      </c>
      <c r="DI22" s="63">
        <f t="shared" si="32"/>
        <v>26.193999999999999</v>
      </c>
      <c r="DJ22" s="64">
        <v>20.79</v>
      </c>
      <c r="DK22" s="68">
        <v>8.27</v>
      </c>
      <c r="DL22" s="63">
        <f t="shared" si="33"/>
        <v>38.713999999999999</v>
      </c>
      <c r="DM22" s="64">
        <v>40.5</v>
      </c>
      <c r="DN22" s="68">
        <v>32.65</v>
      </c>
      <c r="DO22" s="63">
        <f t="shared" si="34"/>
        <v>46.564</v>
      </c>
      <c r="DP22" s="64">
        <v>71.459999999999994</v>
      </c>
      <c r="DQ22" s="68">
        <v>23.434000000000001</v>
      </c>
      <c r="DR22" s="63">
        <f t="shared" si="35"/>
        <v>94.59</v>
      </c>
      <c r="DS22" s="64">
        <v>21.66</v>
      </c>
      <c r="DT22" s="68">
        <v>34.090000000000003</v>
      </c>
      <c r="DU22" s="63">
        <f t="shared" si="36"/>
        <v>82.16</v>
      </c>
      <c r="DV22" s="64">
        <v>51.905999999999999</v>
      </c>
      <c r="DW22" s="68">
        <v>33.896000000000001</v>
      </c>
      <c r="DX22" s="744">
        <f t="shared" si="37"/>
        <v>100.17</v>
      </c>
      <c r="DY22" s="64">
        <v>20.472999999999999</v>
      </c>
      <c r="DZ22" s="68">
        <v>23.812999999999999</v>
      </c>
      <c r="EA22" s="63">
        <f t="shared" si="38"/>
        <v>96.83</v>
      </c>
      <c r="EB22" s="64">
        <v>20.37</v>
      </c>
      <c r="EC22" s="68">
        <v>30.91</v>
      </c>
      <c r="ED22" s="63">
        <f t="shared" si="39"/>
        <v>86.29</v>
      </c>
      <c r="EE22" s="64">
        <v>0</v>
      </c>
      <c r="EF22" s="68">
        <v>10.82</v>
      </c>
      <c r="EG22" s="744">
        <f t="shared" si="40"/>
        <v>75.47</v>
      </c>
      <c r="EH22" s="64">
        <v>0</v>
      </c>
      <c r="EI22" s="817">
        <v>30</v>
      </c>
      <c r="EJ22" s="63">
        <f t="shared" si="41"/>
        <v>45.47</v>
      </c>
      <c r="EK22" s="64">
        <v>10</v>
      </c>
      <c r="EL22" s="68">
        <v>26</v>
      </c>
      <c r="EM22" s="63">
        <f t="shared" si="42"/>
        <v>29.47</v>
      </c>
      <c r="EN22" s="64">
        <v>10</v>
      </c>
      <c r="EO22" s="817">
        <v>20</v>
      </c>
      <c r="EP22" s="744">
        <f t="shared" si="43"/>
        <v>19.47</v>
      </c>
      <c r="EQ22" s="64">
        <v>30</v>
      </c>
      <c r="ER22" s="68">
        <v>22</v>
      </c>
      <c r="ES22" s="744">
        <f t="shared" si="44"/>
        <v>27.47</v>
      </c>
      <c r="ET22" s="64">
        <v>30</v>
      </c>
      <c r="EU22" s="68">
        <v>25</v>
      </c>
      <c r="EV22" s="744">
        <f t="shared" si="45"/>
        <v>32.47</v>
      </c>
      <c r="EW22" s="64">
        <v>30</v>
      </c>
      <c r="EX22" s="68">
        <v>30</v>
      </c>
      <c r="EY22" s="744">
        <f t="shared" si="46"/>
        <v>32.47</v>
      </c>
    </row>
    <row r="23" spans="1:155" ht="20.25" thickBot="1">
      <c r="A23" s="82"/>
      <c r="B23" s="83"/>
      <c r="C23" s="84">
        <v>100429633</v>
      </c>
      <c r="D23" s="85" t="s">
        <v>65</v>
      </c>
      <c r="E23" s="86">
        <v>0.56999999999999995</v>
      </c>
      <c r="F23" s="87">
        <v>0</v>
      </c>
      <c r="G23" s="88">
        <v>0</v>
      </c>
      <c r="H23" s="89">
        <v>1.57</v>
      </c>
      <c r="I23" s="87">
        <v>0</v>
      </c>
      <c r="J23" s="88">
        <v>0</v>
      </c>
      <c r="K23" s="86">
        <f t="shared" si="1"/>
        <v>1.57</v>
      </c>
      <c r="L23" s="87">
        <v>0</v>
      </c>
      <c r="M23" s="88">
        <v>0</v>
      </c>
      <c r="N23" s="86">
        <f t="shared" si="2"/>
        <v>1.57</v>
      </c>
      <c r="O23" s="87">
        <v>1.4850000000000001</v>
      </c>
      <c r="P23" s="88">
        <v>2.5000000000000001E-2</v>
      </c>
      <c r="Q23" s="86">
        <f t="shared" si="3"/>
        <v>3.0300000000000002</v>
      </c>
      <c r="R23" s="90">
        <v>0</v>
      </c>
      <c r="S23" s="91">
        <v>0</v>
      </c>
      <c r="T23" s="92">
        <f t="shared" si="4"/>
        <v>3.0300000000000002</v>
      </c>
      <c r="U23" s="90">
        <v>0</v>
      </c>
      <c r="V23" s="91">
        <v>0</v>
      </c>
      <c r="W23" s="92">
        <f t="shared" si="5"/>
        <v>3.0300000000000002</v>
      </c>
      <c r="X23" s="90">
        <v>0</v>
      </c>
      <c r="Y23" s="91">
        <v>1.51</v>
      </c>
      <c r="Z23" s="92">
        <f t="shared" si="6"/>
        <v>1.5200000000000002</v>
      </c>
      <c r="AA23" s="90">
        <v>0</v>
      </c>
      <c r="AB23" s="91">
        <v>0.06</v>
      </c>
      <c r="AC23" s="92">
        <f t="shared" si="7"/>
        <v>1.4600000000000002</v>
      </c>
      <c r="AD23" s="90">
        <v>0</v>
      </c>
      <c r="AE23" s="91">
        <v>0</v>
      </c>
      <c r="AF23" s="92">
        <v>1.46</v>
      </c>
      <c r="AG23" s="90">
        <v>0</v>
      </c>
      <c r="AH23" s="91">
        <v>0.03</v>
      </c>
      <c r="AI23" s="92">
        <f t="shared" si="8"/>
        <v>1.43</v>
      </c>
      <c r="AJ23" s="90">
        <v>0</v>
      </c>
      <c r="AK23" s="91">
        <v>0</v>
      </c>
      <c r="AL23" s="92">
        <f t="shared" si="9"/>
        <v>1.43</v>
      </c>
      <c r="AM23" s="90">
        <v>0</v>
      </c>
      <c r="AN23" s="91">
        <v>0</v>
      </c>
      <c r="AO23" s="92">
        <f t="shared" si="10"/>
        <v>1.43</v>
      </c>
      <c r="AP23" s="90">
        <v>0.74</v>
      </c>
      <c r="AQ23" s="91">
        <v>0</v>
      </c>
      <c r="AR23" s="92">
        <f t="shared" si="47"/>
        <v>2.17</v>
      </c>
      <c r="AS23" s="90">
        <v>0</v>
      </c>
      <c r="AT23" s="91">
        <v>0.74</v>
      </c>
      <c r="AU23" s="92">
        <f t="shared" si="11"/>
        <v>1.43</v>
      </c>
      <c r="AV23" s="90">
        <v>0</v>
      </c>
      <c r="AW23" s="91">
        <v>0</v>
      </c>
      <c r="AX23" s="92">
        <f t="shared" si="12"/>
        <v>1.43</v>
      </c>
      <c r="AY23" s="90">
        <v>0</v>
      </c>
      <c r="AZ23" s="91">
        <v>0</v>
      </c>
      <c r="BA23" s="92">
        <f>(AX23+AY23)-(AZ23)</f>
        <v>1.43</v>
      </c>
      <c r="BB23" s="90">
        <v>2.0699999999999998</v>
      </c>
      <c r="BC23" s="91">
        <v>0.02</v>
      </c>
      <c r="BD23" s="92">
        <f t="shared" si="48"/>
        <v>3.48</v>
      </c>
      <c r="BE23" s="93">
        <v>4.9400000000000004</v>
      </c>
      <c r="BF23" s="91">
        <v>0.23</v>
      </c>
      <c r="BG23" s="92">
        <f>(BD23+BE23)-(BF23)</f>
        <v>8.19</v>
      </c>
      <c r="BH23" s="90">
        <v>0</v>
      </c>
      <c r="BI23" s="91">
        <v>1.67</v>
      </c>
      <c r="BJ23" s="92">
        <f t="shared" si="15"/>
        <v>6.52</v>
      </c>
      <c r="BK23" s="90">
        <v>3.84</v>
      </c>
      <c r="BL23" s="91">
        <v>0.1</v>
      </c>
      <c r="BM23" s="92">
        <f t="shared" si="16"/>
        <v>10.26</v>
      </c>
      <c r="BN23" s="90">
        <v>0</v>
      </c>
      <c r="BO23" s="91">
        <v>1.8</v>
      </c>
      <c r="BP23" s="94">
        <f t="shared" si="17"/>
        <v>8.4599999999999991</v>
      </c>
      <c r="BQ23" s="90">
        <v>-9.093</v>
      </c>
      <c r="BR23" s="91">
        <v>-0.63300000000000001</v>
      </c>
      <c r="BS23" s="92">
        <f t="shared" si="18"/>
        <v>-8.8817841970012523E-16</v>
      </c>
      <c r="BT23" s="90">
        <v>0.16400000000000001</v>
      </c>
      <c r="BU23" s="95">
        <v>-0.22800000000000001</v>
      </c>
      <c r="BV23" s="94">
        <f>(BS23+BT23)-(BU23)</f>
        <v>0.39199999999999913</v>
      </c>
      <c r="BW23" s="93">
        <v>1.76</v>
      </c>
      <c r="BX23" s="95">
        <v>0.5</v>
      </c>
      <c r="BY23" s="94">
        <f t="shared" si="20"/>
        <v>1.6519999999999992</v>
      </c>
      <c r="BZ23" s="93">
        <v>0.97399999999999998</v>
      </c>
      <c r="CA23" s="95">
        <v>0.04</v>
      </c>
      <c r="CB23" s="94">
        <f t="shared" si="21"/>
        <v>2.5859999999999994</v>
      </c>
      <c r="CC23" s="93">
        <v>-0.64</v>
      </c>
      <c r="CD23" s="95">
        <v>0.94299999999999995</v>
      </c>
      <c r="CE23" s="94">
        <v>1.579</v>
      </c>
      <c r="CF23" s="93">
        <v>24.626999999999999</v>
      </c>
      <c r="CG23" s="95">
        <v>10.131</v>
      </c>
      <c r="CH23" s="94">
        <f t="shared" si="23"/>
        <v>16.074999999999999</v>
      </c>
      <c r="CI23" s="93">
        <v>34.508000000000003</v>
      </c>
      <c r="CJ23" s="95">
        <v>33.996000000000002</v>
      </c>
      <c r="CK23" s="96">
        <f t="shared" si="24"/>
        <v>16.586999999999996</v>
      </c>
      <c r="CL23" s="97">
        <v>54.55</v>
      </c>
      <c r="CM23" s="98">
        <v>36.53</v>
      </c>
      <c r="CN23" s="94">
        <f>(CK23+CL23)-(CM23)</f>
        <v>34.606999999999999</v>
      </c>
      <c r="CO23" s="93">
        <v>108.279</v>
      </c>
      <c r="CP23" s="95">
        <v>111.179</v>
      </c>
      <c r="CQ23" s="94">
        <f t="shared" si="26"/>
        <v>31.706999999999994</v>
      </c>
      <c r="CR23" s="93">
        <v>137.44</v>
      </c>
      <c r="CS23" s="95">
        <v>107.87</v>
      </c>
      <c r="CT23" s="96">
        <f t="shared" si="27"/>
        <v>61.276999999999987</v>
      </c>
      <c r="CU23" s="99">
        <v>103.884</v>
      </c>
      <c r="CV23" s="95">
        <v>80.64</v>
      </c>
      <c r="CW23" s="94">
        <f t="shared" si="28"/>
        <v>84.521000000000001</v>
      </c>
      <c r="CX23" s="93">
        <v>121.803</v>
      </c>
      <c r="CY23" s="95">
        <v>160.93</v>
      </c>
      <c r="CZ23" s="94">
        <f t="shared" si="29"/>
        <v>45.394000000000005</v>
      </c>
      <c r="DA23" s="93">
        <v>124.41</v>
      </c>
      <c r="DB23" s="95">
        <v>87</v>
      </c>
      <c r="DC23" s="94">
        <f t="shared" si="30"/>
        <v>82.804000000000002</v>
      </c>
      <c r="DD23" s="93">
        <v>176.28100000000001</v>
      </c>
      <c r="DE23" s="95">
        <v>153.75</v>
      </c>
      <c r="DF23" s="94">
        <f>(DC23+DD23)-(DE23)</f>
        <v>105.33500000000004</v>
      </c>
      <c r="DG23" s="93">
        <v>148.893</v>
      </c>
      <c r="DH23" s="95">
        <v>115.086</v>
      </c>
      <c r="DI23" s="94">
        <f t="shared" si="32"/>
        <v>139.14200000000005</v>
      </c>
      <c r="DJ23" s="93">
        <v>73.478999999999999</v>
      </c>
      <c r="DK23" s="95">
        <v>45.777999999999999</v>
      </c>
      <c r="DL23" s="94">
        <f t="shared" si="33"/>
        <v>166.84300000000005</v>
      </c>
      <c r="DM23" s="93">
        <v>63.893999999999998</v>
      </c>
      <c r="DN23" s="95">
        <v>37.49</v>
      </c>
      <c r="DO23" s="94">
        <f t="shared" si="34"/>
        <v>193.24700000000004</v>
      </c>
      <c r="DP23" s="93">
        <v>50.667000000000002</v>
      </c>
      <c r="DQ23" s="95">
        <v>23.75</v>
      </c>
      <c r="DR23" s="94">
        <f t="shared" si="35"/>
        <v>220.16400000000004</v>
      </c>
      <c r="DS23" s="93">
        <v>50.902999999999999</v>
      </c>
      <c r="DT23" s="95">
        <v>12.106999999999999</v>
      </c>
      <c r="DU23" s="94">
        <f t="shared" si="36"/>
        <v>258.96000000000004</v>
      </c>
      <c r="DV23" s="93">
        <v>0</v>
      </c>
      <c r="DW23" s="95">
        <v>24.54</v>
      </c>
      <c r="DX23" s="745">
        <f t="shared" si="37"/>
        <v>234.42000000000004</v>
      </c>
      <c r="DY23" s="93">
        <v>30.66</v>
      </c>
      <c r="DZ23" s="95">
        <v>36.969000000000001</v>
      </c>
      <c r="EA23" s="94">
        <f t="shared" si="38"/>
        <v>228.11100000000005</v>
      </c>
      <c r="EB23" s="93">
        <v>0</v>
      </c>
      <c r="EC23" s="95">
        <v>46.92</v>
      </c>
      <c r="ED23" s="94">
        <f t="shared" si="39"/>
        <v>181.19100000000003</v>
      </c>
      <c r="EE23" s="93">
        <v>0</v>
      </c>
      <c r="EF23" s="95">
        <v>46.38</v>
      </c>
      <c r="EG23" s="745">
        <f t="shared" si="40"/>
        <v>134.81100000000004</v>
      </c>
      <c r="EH23" s="93">
        <v>0</v>
      </c>
      <c r="EI23" s="820">
        <v>35</v>
      </c>
      <c r="EJ23" s="94">
        <f t="shared" si="41"/>
        <v>99.811000000000035</v>
      </c>
      <c r="EK23" s="93">
        <v>0</v>
      </c>
      <c r="EL23" s="820">
        <v>33</v>
      </c>
      <c r="EM23" s="94">
        <f t="shared" si="42"/>
        <v>66.811000000000035</v>
      </c>
      <c r="EN23" s="93">
        <v>50</v>
      </c>
      <c r="EO23" s="820">
        <v>69</v>
      </c>
      <c r="EP23" s="745">
        <f t="shared" si="43"/>
        <v>47.811000000000035</v>
      </c>
      <c r="EQ23" s="93">
        <v>50</v>
      </c>
      <c r="ER23" s="95">
        <v>60</v>
      </c>
      <c r="ES23" s="745">
        <f t="shared" si="44"/>
        <v>37.811000000000035</v>
      </c>
      <c r="ET23" s="93">
        <v>50</v>
      </c>
      <c r="EU23" s="95">
        <v>49</v>
      </c>
      <c r="EV23" s="745">
        <f t="shared" si="45"/>
        <v>38.811000000000035</v>
      </c>
      <c r="EW23" s="93">
        <v>50</v>
      </c>
      <c r="EX23" s="95">
        <v>60</v>
      </c>
      <c r="EY23" s="745">
        <f t="shared" si="46"/>
        <v>28.811000000000035</v>
      </c>
    </row>
    <row r="24" spans="1:155" s="20" customFormat="1" ht="20.25" thickBot="1">
      <c r="A24" s="82"/>
      <c r="B24" s="100"/>
      <c r="C24" s="101"/>
      <c r="D24" s="102" t="s">
        <v>337</v>
      </c>
      <c r="E24" s="103">
        <v>2999.3180000000002</v>
      </c>
      <c r="F24" s="104">
        <f t="shared" ref="F24:AK24" si="49">SUM(F13:F23)</f>
        <v>3422.1320000000001</v>
      </c>
      <c r="G24" s="105">
        <f t="shared" si="49"/>
        <v>3713.9750000000004</v>
      </c>
      <c r="H24" s="103">
        <f t="shared" si="49"/>
        <v>2700.4960000000019</v>
      </c>
      <c r="I24" s="104">
        <f t="shared" si="49"/>
        <v>3628.4259999999999</v>
      </c>
      <c r="J24" s="105">
        <f t="shared" si="49"/>
        <v>3588.4340000000002</v>
      </c>
      <c r="K24" s="103">
        <f t="shared" si="49"/>
        <v>2740.4880000000016</v>
      </c>
      <c r="L24" s="104">
        <f t="shared" si="49"/>
        <v>3569.2639999999997</v>
      </c>
      <c r="M24" s="105">
        <f t="shared" si="49"/>
        <v>3492.701</v>
      </c>
      <c r="N24" s="103">
        <f t="shared" si="49"/>
        <v>2817.0510000000017</v>
      </c>
      <c r="O24" s="104">
        <f t="shared" si="49"/>
        <v>2988.7714999999994</v>
      </c>
      <c r="P24" s="105">
        <f t="shared" si="49"/>
        <v>3646.3650000000002</v>
      </c>
      <c r="Q24" s="103">
        <f t="shared" si="49"/>
        <v>2159.4575000000013</v>
      </c>
      <c r="R24" s="104">
        <f t="shared" si="49"/>
        <v>3031.4269999999997</v>
      </c>
      <c r="S24" s="105">
        <f t="shared" si="49"/>
        <v>2621.3414999999995</v>
      </c>
      <c r="T24" s="103">
        <f t="shared" si="49"/>
        <v>2569.5430000000015</v>
      </c>
      <c r="U24" s="104">
        <f t="shared" si="49"/>
        <v>3301.527</v>
      </c>
      <c r="V24" s="105">
        <f t="shared" si="49"/>
        <v>2862.64</v>
      </c>
      <c r="W24" s="103">
        <f t="shared" si="49"/>
        <v>3008.4300000000017</v>
      </c>
      <c r="X24" s="104">
        <f t="shared" si="49"/>
        <v>2245.2600000000002</v>
      </c>
      <c r="Y24" s="105">
        <f t="shared" si="49"/>
        <v>2558.4110000000005</v>
      </c>
      <c r="Z24" s="103">
        <f t="shared" si="49"/>
        <v>2695.2790000000009</v>
      </c>
      <c r="AA24" s="104">
        <f t="shared" si="49"/>
        <v>1757.5029999999997</v>
      </c>
      <c r="AB24" s="105">
        <f t="shared" si="49"/>
        <v>1955.2959999999998</v>
      </c>
      <c r="AC24" s="103">
        <f t="shared" si="49"/>
        <v>2497.4860000000017</v>
      </c>
      <c r="AD24" s="104">
        <f t="shared" si="49"/>
        <v>1873.6100000000001</v>
      </c>
      <c r="AE24" s="105">
        <f t="shared" si="49"/>
        <v>1857.0400000000002</v>
      </c>
      <c r="AF24" s="103">
        <f t="shared" si="49"/>
        <v>2514.4490000000005</v>
      </c>
      <c r="AG24" s="104">
        <f t="shared" si="49"/>
        <v>2136.9299999999998</v>
      </c>
      <c r="AH24" s="105">
        <f t="shared" si="49"/>
        <v>2330.0400000000004</v>
      </c>
      <c r="AI24" s="103">
        <f t="shared" si="49"/>
        <v>2321.3390000000009</v>
      </c>
      <c r="AJ24" s="104">
        <f t="shared" si="49"/>
        <v>1120.0030000000002</v>
      </c>
      <c r="AK24" s="105">
        <f t="shared" si="49"/>
        <v>1192.6959999999999</v>
      </c>
      <c r="AL24" s="103">
        <f t="shared" ref="AL24:CW24" si="50">SUM(AL13:AL23)</f>
        <v>2248.6460000000006</v>
      </c>
      <c r="AM24" s="104">
        <f t="shared" si="50"/>
        <v>115.55199999999999</v>
      </c>
      <c r="AN24" s="105">
        <f t="shared" si="50"/>
        <v>492.35500000000002</v>
      </c>
      <c r="AO24" s="103">
        <f t="shared" si="50"/>
        <v>1871.8430000000012</v>
      </c>
      <c r="AP24" s="104">
        <f t="shared" si="50"/>
        <v>1336.548</v>
      </c>
      <c r="AQ24" s="105">
        <f t="shared" si="50"/>
        <v>1315.5780000000002</v>
      </c>
      <c r="AR24" s="103" t="e">
        <f t="shared" si="50"/>
        <v>#REF!</v>
      </c>
      <c r="AS24" s="104">
        <f t="shared" si="50"/>
        <v>2292.4829999999993</v>
      </c>
      <c r="AT24" s="105">
        <f t="shared" si="50"/>
        <v>2162.7079999999996</v>
      </c>
      <c r="AU24" s="103" t="e">
        <f t="shared" si="50"/>
        <v>#REF!</v>
      </c>
      <c r="AV24" s="104">
        <f t="shared" si="50"/>
        <v>1403.6670000000001</v>
      </c>
      <c r="AW24" s="105" t="e">
        <f t="shared" si="50"/>
        <v>#REF!</v>
      </c>
      <c r="AX24" s="103" t="e">
        <f t="shared" si="50"/>
        <v>#REF!</v>
      </c>
      <c r="AY24" s="104">
        <f t="shared" si="50"/>
        <v>2247.4080000000004</v>
      </c>
      <c r="AZ24" s="105">
        <f t="shared" si="50"/>
        <v>2130.2809999999995</v>
      </c>
      <c r="BA24" s="103" t="e">
        <f t="shared" si="50"/>
        <v>#REF!</v>
      </c>
      <c r="BB24" s="104">
        <f t="shared" si="50"/>
        <v>3345.3590000000004</v>
      </c>
      <c r="BC24" s="105">
        <f t="shared" si="50"/>
        <v>2841.4249999999997</v>
      </c>
      <c r="BD24" s="103">
        <f t="shared" si="50"/>
        <v>1064.335</v>
      </c>
      <c r="BE24" s="104" t="e">
        <f t="shared" si="50"/>
        <v>#REF!</v>
      </c>
      <c r="BF24" s="105">
        <f t="shared" si="50"/>
        <v>2612.4129999999996</v>
      </c>
      <c r="BG24" s="103" t="e">
        <f t="shared" si="50"/>
        <v>#REF!</v>
      </c>
      <c r="BH24" s="104">
        <f t="shared" si="50"/>
        <v>2738.3000000000006</v>
      </c>
      <c r="BI24" s="105">
        <f t="shared" si="50"/>
        <v>2497.0219999999999</v>
      </c>
      <c r="BJ24" s="103" t="e">
        <f t="shared" si="50"/>
        <v>#REF!</v>
      </c>
      <c r="BK24" s="104">
        <f t="shared" si="50"/>
        <v>2473.31</v>
      </c>
      <c r="BL24" s="105">
        <f t="shared" si="50"/>
        <v>1598.9280000000001</v>
      </c>
      <c r="BM24" s="103" t="e">
        <f t="shared" si="50"/>
        <v>#REF!</v>
      </c>
      <c r="BN24" s="104">
        <f t="shared" si="50"/>
        <v>2319.498</v>
      </c>
      <c r="BO24" s="105">
        <f t="shared" si="50"/>
        <v>2645.7470000000003</v>
      </c>
      <c r="BP24" s="103" t="e">
        <f t="shared" si="50"/>
        <v>#REF!</v>
      </c>
      <c r="BQ24" s="104">
        <f t="shared" si="50"/>
        <v>2026.7749999999999</v>
      </c>
      <c r="BR24" s="105">
        <f t="shared" si="50"/>
        <v>2037.6859999999997</v>
      </c>
      <c r="BS24" s="103" t="e">
        <f t="shared" si="50"/>
        <v>#REF!</v>
      </c>
      <c r="BT24" s="104">
        <f t="shared" si="50"/>
        <v>2290.1870000000004</v>
      </c>
      <c r="BU24" s="105">
        <f t="shared" si="50"/>
        <v>2790.57</v>
      </c>
      <c r="BV24" s="103" t="e">
        <f t="shared" si="50"/>
        <v>#REF!</v>
      </c>
      <c r="BW24" s="104">
        <f t="shared" si="50"/>
        <v>1497.86</v>
      </c>
      <c r="BX24" s="105">
        <f t="shared" si="50"/>
        <v>1172.8359999999998</v>
      </c>
      <c r="BY24" s="103" t="e">
        <f t="shared" si="50"/>
        <v>#REF!</v>
      </c>
      <c r="BZ24" s="104">
        <f t="shared" si="50"/>
        <v>1969.3070000000002</v>
      </c>
      <c r="CA24" s="105">
        <f t="shared" si="50"/>
        <v>1939.8240000000001</v>
      </c>
      <c r="CB24" s="103" t="e">
        <f t="shared" si="50"/>
        <v>#REF!</v>
      </c>
      <c r="CC24" s="104">
        <f t="shared" si="50"/>
        <v>2223.15</v>
      </c>
      <c r="CD24" s="105">
        <f t="shared" si="50"/>
        <v>2243.8540000000003</v>
      </c>
      <c r="CE24" s="103" t="e">
        <f t="shared" si="50"/>
        <v>#REF!</v>
      </c>
      <c r="CF24" s="104">
        <f t="shared" si="50"/>
        <v>2536.2050000000004</v>
      </c>
      <c r="CG24" s="105">
        <f t="shared" si="50"/>
        <v>2311.2759999999989</v>
      </c>
      <c r="CH24" s="103" t="e">
        <f t="shared" si="50"/>
        <v>#REF!</v>
      </c>
      <c r="CI24" s="104">
        <f t="shared" si="50"/>
        <v>2634.4539999999993</v>
      </c>
      <c r="CJ24" s="105">
        <f t="shared" si="50"/>
        <v>2916.2879999999996</v>
      </c>
      <c r="CK24" s="106" t="e">
        <f t="shared" si="50"/>
        <v>#REF!</v>
      </c>
      <c r="CL24" s="107">
        <f t="shared" si="50"/>
        <v>2645.4919999999997</v>
      </c>
      <c r="CM24" s="108">
        <f t="shared" si="50"/>
        <v>2137.5180000000005</v>
      </c>
      <c r="CN24" s="103">
        <f t="shared" si="50"/>
        <v>2346.108999999999</v>
      </c>
      <c r="CO24" s="109">
        <f t="shared" si="50"/>
        <v>2717.5029999999997</v>
      </c>
      <c r="CP24" s="105">
        <f t="shared" si="50"/>
        <v>2568.3380000000002</v>
      </c>
      <c r="CQ24" s="103">
        <f t="shared" si="50"/>
        <v>2495.2739999999994</v>
      </c>
      <c r="CR24" s="104">
        <f t="shared" si="50"/>
        <v>2463.44</v>
      </c>
      <c r="CS24" s="105">
        <f t="shared" si="50"/>
        <v>2982.3480000000004</v>
      </c>
      <c r="CT24" s="106">
        <f t="shared" si="50"/>
        <v>1976.3659999999993</v>
      </c>
      <c r="CU24" s="104">
        <f t="shared" si="50"/>
        <v>2224.4259999999999</v>
      </c>
      <c r="CV24" s="105">
        <f t="shared" si="50"/>
        <v>1538.9419999999998</v>
      </c>
      <c r="CW24" s="103">
        <f t="shared" si="50"/>
        <v>2661.8499999999995</v>
      </c>
      <c r="CX24" s="109">
        <f t="shared" ref="CX24:EG24" si="51">SUM(CX13:CX23)</f>
        <v>1895.6869999999999</v>
      </c>
      <c r="CY24" s="105">
        <f t="shared" si="51"/>
        <v>1301.1559999999999</v>
      </c>
      <c r="CZ24" s="103">
        <f t="shared" si="51"/>
        <v>3256.3809999999994</v>
      </c>
      <c r="DA24" s="104">
        <f t="shared" si="51"/>
        <v>1265.7659999999998</v>
      </c>
      <c r="DB24" s="105">
        <f t="shared" si="51"/>
        <v>1719.713</v>
      </c>
      <c r="DC24" s="103">
        <f t="shared" si="51"/>
        <v>2802.4339999999997</v>
      </c>
      <c r="DD24" s="104">
        <f t="shared" si="51"/>
        <v>1347.3339999999996</v>
      </c>
      <c r="DE24" s="105">
        <f t="shared" si="51"/>
        <v>2368.1380000000004</v>
      </c>
      <c r="DF24" s="103">
        <f t="shared" si="51"/>
        <v>1781.924999999999</v>
      </c>
      <c r="DG24" s="104">
        <f t="shared" si="51"/>
        <v>1735.1419999999998</v>
      </c>
      <c r="DH24" s="105">
        <f t="shared" si="51"/>
        <v>880.42900000000009</v>
      </c>
      <c r="DI24" s="103">
        <f t="shared" si="51"/>
        <v>2636.637999999999</v>
      </c>
      <c r="DJ24" s="104">
        <f t="shared" si="51"/>
        <v>1440.1290000000001</v>
      </c>
      <c r="DK24" s="105">
        <f t="shared" si="51"/>
        <v>1347.2270000000001</v>
      </c>
      <c r="DL24" s="103">
        <f t="shared" si="51"/>
        <v>2729.5399999999986</v>
      </c>
      <c r="DM24" s="104">
        <f t="shared" si="51"/>
        <v>1486.0220000000002</v>
      </c>
      <c r="DN24" s="105">
        <f t="shared" si="51"/>
        <v>1426.8530000000001</v>
      </c>
      <c r="DO24" s="103">
        <f t="shared" si="51"/>
        <v>2788.7089999999985</v>
      </c>
      <c r="DP24" s="104">
        <f t="shared" si="51"/>
        <v>1201.511</v>
      </c>
      <c r="DQ24" s="105">
        <f t="shared" si="51"/>
        <v>538.08899999999994</v>
      </c>
      <c r="DR24" s="103">
        <f t="shared" si="51"/>
        <v>3452.1309999999994</v>
      </c>
      <c r="DS24" s="104">
        <f t="shared" si="51"/>
        <v>973.24599999999998</v>
      </c>
      <c r="DT24" s="105">
        <f t="shared" si="51"/>
        <v>1403.595</v>
      </c>
      <c r="DU24" s="103">
        <f t="shared" si="51"/>
        <v>3021.7819999999997</v>
      </c>
      <c r="DV24" s="104">
        <f t="shared" si="51"/>
        <v>902.16699999999992</v>
      </c>
      <c r="DW24" s="105">
        <f t="shared" si="51"/>
        <v>1395.4539999999997</v>
      </c>
      <c r="DX24" s="746">
        <f t="shared" si="51"/>
        <v>2528.4949999999994</v>
      </c>
      <c r="DY24" s="104">
        <f t="shared" si="51"/>
        <v>1360.4939999999997</v>
      </c>
      <c r="DZ24" s="105">
        <f t="shared" si="51"/>
        <v>1720.2480000000003</v>
      </c>
      <c r="EA24" s="103">
        <f t="shared" si="51"/>
        <v>2168.7409999999991</v>
      </c>
      <c r="EB24" s="104">
        <f t="shared" si="51"/>
        <v>1222.7919999999997</v>
      </c>
      <c r="EC24" s="105">
        <f t="shared" si="51"/>
        <v>1754.1010000000001</v>
      </c>
      <c r="ED24" s="103">
        <f t="shared" si="51"/>
        <v>1637.4319999999993</v>
      </c>
      <c r="EE24" s="104">
        <f t="shared" si="51"/>
        <v>1010</v>
      </c>
      <c r="EF24" s="105">
        <f t="shared" si="51"/>
        <v>1400.6819999999998</v>
      </c>
      <c r="EG24" s="746">
        <f t="shared" si="51"/>
        <v>1246.7499999999995</v>
      </c>
      <c r="EH24" s="104">
        <f t="shared" ref="EH24:EJ24" si="52">SUM(EH13:EH23)</f>
        <v>1240</v>
      </c>
      <c r="EI24" s="105">
        <f t="shared" si="52"/>
        <v>1234</v>
      </c>
      <c r="EJ24" s="103">
        <f t="shared" si="52"/>
        <v>1252.7499999999995</v>
      </c>
      <c r="EK24" s="104">
        <f t="shared" ref="EK24:EM24" si="53">SUM(EK13:EK23)</f>
        <v>1045</v>
      </c>
      <c r="EL24" s="105">
        <f t="shared" si="53"/>
        <v>1190</v>
      </c>
      <c r="EM24" s="103">
        <f t="shared" si="53"/>
        <v>1107.7499999999995</v>
      </c>
      <c r="EN24" s="104">
        <f t="shared" ref="EN24:EP24" si="54">SUM(EN13:EN23)</f>
        <v>1140</v>
      </c>
      <c r="EO24" s="105">
        <f t="shared" si="54"/>
        <v>1120.8</v>
      </c>
      <c r="EP24" s="746">
        <f t="shared" si="54"/>
        <v>1126.9499999999994</v>
      </c>
      <c r="EQ24" s="104">
        <f t="shared" ref="EQ24:ES24" si="55">SUM(EQ13:EQ23)</f>
        <v>1058</v>
      </c>
      <c r="ER24" s="105">
        <f t="shared" si="55"/>
        <v>1194</v>
      </c>
      <c r="ES24" s="746">
        <f t="shared" si="55"/>
        <v>990.94999999999948</v>
      </c>
      <c r="ET24" s="104">
        <f t="shared" ref="ET24:EV24" si="56">SUM(ET13:ET23)</f>
        <v>950</v>
      </c>
      <c r="EU24" s="105">
        <f t="shared" si="56"/>
        <v>1039</v>
      </c>
      <c r="EV24" s="746">
        <f t="shared" si="56"/>
        <v>901.94999999999948</v>
      </c>
      <c r="EW24" s="104">
        <f t="shared" ref="EW24:EY24" si="57">SUM(EW13:EW23)</f>
        <v>940</v>
      </c>
      <c r="EX24" s="105">
        <f t="shared" si="57"/>
        <v>1022</v>
      </c>
      <c r="EY24" s="746">
        <f t="shared" si="57"/>
        <v>819.94999999999936</v>
      </c>
    </row>
    <row r="25" spans="1:155" ht="20.25" hidden="1" thickBot="1">
      <c r="A25" s="110">
        <v>2</v>
      </c>
      <c r="B25" s="60" t="s">
        <v>24</v>
      </c>
      <c r="C25" s="111">
        <v>100278957</v>
      </c>
      <c r="D25" s="112" t="s">
        <v>46</v>
      </c>
      <c r="E25" s="63">
        <v>258.19499999999999</v>
      </c>
      <c r="F25" s="113">
        <v>406.029</v>
      </c>
      <c r="G25" s="114">
        <v>388.23700000000002</v>
      </c>
      <c r="H25" s="63">
        <f>(E25+F25)-(G25)</f>
        <v>275.98699999999991</v>
      </c>
      <c r="I25" s="113">
        <v>403.50400000000002</v>
      </c>
      <c r="J25" s="114">
        <v>367.76</v>
      </c>
      <c r="K25" s="63">
        <f>(H25+I25)-(J25)</f>
        <v>311.73099999999999</v>
      </c>
      <c r="L25" s="113">
        <v>405.33499999999998</v>
      </c>
      <c r="M25" s="115">
        <v>530.64200000000005</v>
      </c>
      <c r="N25" s="63">
        <f>(K25+L25)-(M25)</f>
        <v>186.42399999999998</v>
      </c>
      <c r="O25" s="113">
        <v>409.77</v>
      </c>
      <c r="P25" s="115">
        <v>528.30600000000004</v>
      </c>
      <c r="Q25" s="63">
        <f>(N25+O25)-(P25)</f>
        <v>67.88799999999992</v>
      </c>
      <c r="R25" s="113">
        <v>401.85</v>
      </c>
      <c r="S25" s="115">
        <v>410.34</v>
      </c>
      <c r="T25" s="66">
        <f>(Q25+R25)-(S25)</f>
        <v>59.397999999999968</v>
      </c>
      <c r="U25" s="113">
        <v>407.005</v>
      </c>
      <c r="V25" s="115">
        <v>414.81599999999997</v>
      </c>
      <c r="W25" s="66">
        <f>(T25+U25)-(V25)</f>
        <v>51.586999999999989</v>
      </c>
      <c r="X25" s="113">
        <v>348.86</v>
      </c>
      <c r="Y25" s="115">
        <v>95.95</v>
      </c>
      <c r="Z25" s="66">
        <f>(W25+X25)-(Y25)</f>
        <v>304.49700000000001</v>
      </c>
      <c r="AA25" s="113">
        <v>293.52</v>
      </c>
      <c r="AB25" s="115">
        <v>386.67</v>
      </c>
      <c r="AC25" s="66">
        <f>(Z25+AA25)-(AB25)</f>
        <v>211.34700000000004</v>
      </c>
      <c r="AD25" s="113">
        <v>377.03</v>
      </c>
      <c r="AE25" s="115">
        <v>396.46</v>
      </c>
      <c r="AF25" s="66">
        <f>(AC25+AD25)-(AE25)</f>
        <v>191.91699999999997</v>
      </c>
      <c r="AG25" s="113">
        <v>383.18</v>
      </c>
      <c r="AH25" s="115">
        <v>410.08</v>
      </c>
      <c r="AI25" s="66">
        <f t="shared" ref="AI25:AI45" si="58">(AF25+AG25)-(AH25)</f>
        <v>165.017</v>
      </c>
      <c r="AJ25" s="113">
        <v>202.292</v>
      </c>
      <c r="AK25" s="115">
        <v>301.221</v>
      </c>
      <c r="AL25" s="66">
        <f t="shared" ref="AL25:AL31" si="59">(AI25+AJ25)-(AK25)</f>
        <v>66.087999999999965</v>
      </c>
      <c r="AM25" s="113">
        <v>171.97</v>
      </c>
      <c r="AN25" s="115">
        <v>133.703</v>
      </c>
      <c r="AO25" s="66">
        <f t="shared" ref="AO25:AO45" si="60">(AL25+AM25)-(AN25)</f>
        <v>104.35499999999996</v>
      </c>
      <c r="AP25" s="113">
        <v>346.37799999999999</v>
      </c>
      <c r="AQ25" s="115">
        <v>329.31799999999998</v>
      </c>
      <c r="AR25" s="66">
        <f>(AO25+AP25)-(AQ25)</f>
        <v>121.41499999999996</v>
      </c>
      <c r="AS25" s="113">
        <v>397.012</v>
      </c>
      <c r="AT25" s="115">
        <v>409.346</v>
      </c>
      <c r="AU25" s="66">
        <f t="shared" ref="AU25:AU45" si="61">(AR25+AS25)-(AT25)</f>
        <v>109.0809999999999</v>
      </c>
      <c r="AV25" s="113">
        <v>272.25200000000001</v>
      </c>
      <c r="AW25" s="115">
        <v>209.32599999999999</v>
      </c>
      <c r="AX25" s="63">
        <f t="shared" ref="AX25:AX45" si="62">(AU25+AV25)-(AW25)</f>
        <v>172.00699999999992</v>
      </c>
      <c r="AY25" s="113">
        <v>391.18400000000003</v>
      </c>
      <c r="AZ25" s="115">
        <v>394.02</v>
      </c>
      <c r="BA25" s="63">
        <f t="shared" ref="BA25:BA45" si="63">(AX25+AY25)-(AZ25)</f>
        <v>169.17099999999994</v>
      </c>
      <c r="BB25" s="113">
        <v>135.91499999999999</v>
      </c>
      <c r="BC25" s="115">
        <v>161.602</v>
      </c>
      <c r="BD25" s="66">
        <v>143.47800000000001</v>
      </c>
      <c r="BE25" s="113">
        <v>0</v>
      </c>
      <c r="BF25" s="115">
        <v>0</v>
      </c>
      <c r="BG25" s="116">
        <v>143.47800000000001</v>
      </c>
      <c r="BH25" s="113">
        <v>0</v>
      </c>
      <c r="BI25" s="115">
        <v>0</v>
      </c>
      <c r="BJ25" s="66">
        <f t="shared" ref="BJ25:BJ45" si="64">(BG25+BH25)-(BI25)</f>
        <v>143.47800000000001</v>
      </c>
      <c r="BK25" s="113">
        <v>0</v>
      </c>
      <c r="BL25" s="115">
        <v>0</v>
      </c>
      <c r="BM25" s="66">
        <f t="shared" ref="BM25:BM45" si="65">(BJ25+BK25)-(BL25)</f>
        <v>143.47800000000001</v>
      </c>
      <c r="BN25" s="113">
        <v>0</v>
      </c>
      <c r="BO25" s="115">
        <v>0</v>
      </c>
      <c r="BP25" s="66">
        <f t="shared" ref="BP25:BP45" si="66">(BM25+BN25)-(BO25)</f>
        <v>143.47800000000001</v>
      </c>
      <c r="BQ25" s="113">
        <v>0</v>
      </c>
      <c r="BR25" s="115">
        <v>0</v>
      </c>
      <c r="BS25" s="66">
        <f t="shared" ref="BS25:BS45" si="67">(BP25+BQ25)-(BR25)</f>
        <v>143.47800000000001</v>
      </c>
      <c r="BT25" s="113">
        <v>0</v>
      </c>
      <c r="BU25" s="115">
        <v>0</v>
      </c>
      <c r="BV25" s="66">
        <f t="shared" ref="BV25:BV45" si="68">(BS25+BT25)-(BU25)</f>
        <v>143.47800000000001</v>
      </c>
      <c r="BW25" s="113">
        <v>0</v>
      </c>
      <c r="BX25" s="115">
        <v>0</v>
      </c>
      <c r="BY25" s="66">
        <f t="shared" ref="BY25:BY45" si="69">(BV25+BW25)-(BX25)</f>
        <v>143.47800000000001</v>
      </c>
      <c r="BZ25" s="113">
        <v>0</v>
      </c>
      <c r="CA25" s="115">
        <v>0</v>
      </c>
      <c r="CB25" s="66">
        <f t="shared" ref="CB25:CB45" si="70">(BY25+BZ25)-(CA25)</f>
        <v>143.47800000000001</v>
      </c>
      <c r="CC25" s="113">
        <v>0</v>
      </c>
      <c r="CD25" s="115">
        <v>0</v>
      </c>
      <c r="CE25" s="66">
        <f t="shared" ref="CE25:CE45" si="71">(CB25+CC25)-(CD25)</f>
        <v>143.47800000000001</v>
      </c>
      <c r="CF25" s="113">
        <v>0</v>
      </c>
      <c r="CG25" s="115">
        <v>0</v>
      </c>
      <c r="CH25" s="66">
        <f t="shared" ref="CH25:CH45" si="72">(CE25+CF25)-(CG25)</f>
        <v>143.47800000000001</v>
      </c>
      <c r="CI25" s="113">
        <v>0</v>
      </c>
      <c r="CJ25" s="115">
        <v>0</v>
      </c>
      <c r="CK25" s="72">
        <f t="shared" ref="CK25:CK45" si="73">(CH25+CI25)-(CJ25)</f>
        <v>143.47800000000001</v>
      </c>
      <c r="CL25" s="117">
        <v>0</v>
      </c>
      <c r="CM25" s="118">
        <v>0</v>
      </c>
      <c r="CN25" s="66">
        <f t="shared" ref="CN25:CN45" si="74">(CK25+CL25)-(CM25)</f>
        <v>143.47800000000001</v>
      </c>
      <c r="CO25" s="113">
        <v>0</v>
      </c>
      <c r="CP25" s="115">
        <v>0</v>
      </c>
      <c r="CQ25" s="66">
        <f t="shared" ref="CQ25:CQ45" si="75">(CN25+CO25)-(CP25)</f>
        <v>143.47800000000001</v>
      </c>
      <c r="CR25" s="113">
        <v>0</v>
      </c>
      <c r="CS25" s="115">
        <v>0</v>
      </c>
      <c r="CT25" s="72">
        <f t="shared" ref="CT25:CT45" si="76">(CQ25+CR25)-(CS25)</f>
        <v>143.47800000000001</v>
      </c>
      <c r="CU25" s="119">
        <v>0</v>
      </c>
      <c r="CV25" s="115">
        <v>0</v>
      </c>
      <c r="CW25" s="66">
        <f t="shared" ref="CW25:CW45" si="77">(CT25+CU25)-(CV25)</f>
        <v>143.47800000000001</v>
      </c>
      <c r="CX25" s="113">
        <v>0</v>
      </c>
      <c r="CY25" s="115">
        <v>0</v>
      </c>
      <c r="CZ25" s="66">
        <f t="shared" ref="CZ25:CZ45" si="78">(CW25+CX25)-(CY25)</f>
        <v>143.47800000000001</v>
      </c>
      <c r="DA25" s="113">
        <v>0</v>
      </c>
      <c r="DB25" s="115">
        <v>0</v>
      </c>
      <c r="DC25" s="66">
        <f t="shared" ref="DC25:DC45" si="79">(CZ25+DA25)-(DB25)</f>
        <v>143.47800000000001</v>
      </c>
      <c r="DD25" s="113">
        <v>0</v>
      </c>
      <c r="DE25" s="115">
        <v>0</v>
      </c>
      <c r="DF25" s="66">
        <f t="shared" ref="DF25:DF45" si="80">(DC25+DD25)-(DE25)</f>
        <v>143.47800000000001</v>
      </c>
      <c r="DG25" s="113">
        <v>0</v>
      </c>
      <c r="DH25" s="115">
        <v>0</v>
      </c>
      <c r="DI25" s="66">
        <f t="shared" ref="DI25:DI45" si="81">(DF25+DG25)-(DH25)</f>
        <v>143.47800000000001</v>
      </c>
      <c r="DJ25" s="113">
        <v>0</v>
      </c>
      <c r="DK25" s="115">
        <v>0</v>
      </c>
      <c r="DL25" s="66">
        <v>0</v>
      </c>
      <c r="DM25" s="113">
        <v>0</v>
      </c>
      <c r="DN25" s="115">
        <v>0</v>
      </c>
      <c r="DO25" s="63">
        <f t="shared" ref="DO25:DO45" si="82">(DL25+DM25)-(DN25)</f>
        <v>0</v>
      </c>
      <c r="DP25" s="113">
        <v>0</v>
      </c>
      <c r="DQ25" s="115">
        <v>0</v>
      </c>
      <c r="DR25" s="66">
        <f t="shared" ref="DR25:DR45" si="83">(DO25+DP25)-(DQ25)</f>
        <v>0</v>
      </c>
      <c r="DS25" s="113">
        <v>0</v>
      </c>
      <c r="DT25" s="115">
        <v>0</v>
      </c>
      <c r="DU25" s="66">
        <f t="shared" ref="DU25:DU45" si="84">(DR25+DS25)-(DT25)</f>
        <v>0</v>
      </c>
      <c r="DV25" s="113">
        <v>0</v>
      </c>
      <c r="DW25" s="115">
        <v>0</v>
      </c>
      <c r="DX25" s="744">
        <f t="shared" ref="DX25:DX45" si="85">(DU25+DV25)-(DW25)</f>
        <v>0</v>
      </c>
      <c r="DY25" s="113">
        <v>0</v>
      </c>
      <c r="DZ25" s="115">
        <v>0</v>
      </c>
      <c r="EA25" s="66">
        <f t="shared" ref="EA25:EA45" si="86">(DX25+DY25)-(DZ25)</f>
        <v>0</v>
      </c>
      <c r="EB25" s="113">
        <v>0</v>
      </c>
      <c r="EC25" s="115">
        <v>0</v>
      </c>
      <c r="ED25" s="66">
        <f t="shared" ref="ED25:ED45" si="87">(EA25+EB25)-(EC25)</f>
        <v>0</v>
      </c>
      <c r="EE25" s="113">
        <v>0</v>
      </c>
      <c r="EF25" s="115">
        <v>0</v>
      </c>
      <c r="EG25" s="744">
        <f t="shared" ref="EG25:EG45" si="88">(ED25+EE25)-(EF25)</f>
        <v>0</v>
      </c>
      <c r="EH25" s="113">
        <v>0</v>
      </c>
      <c r="EI25" s="115">
        <v>0</v>
      </c>
      <c r="EJ25" s="66">
        <f t="shared" ref="EJ25:EJ45" si="89">(EG25+EH25)-(EI25)</f>
        <v>0</v>
      </c>
      <c r="EK25" s="113">
        <v>0</v>
      </c>
      <c r="EL25" s="115">
        <v>0</v>
      </c>
      <c r="EM25" s="66">
        <f t="shared" ref="EM25:EM45" si="90">(EJ25+EK25)-(EL25)</f>
        <v>0</v>
      </c>
      <c r="EN25" s="113">
        <v>0</v>
      </c>
      <c r="EO25" s="115">
        <v>0</v>
      </c>
      <c r="EP25" s="744">
        <f t="shared" ref="EP25:EP45" si="91">(EM25+EN25)-(EO25)</f>
        <v>0</v>
      </c>
      <c r="EQ25" s="113">
        <v>0</v>
      </c>
      <c r="ER25" s="115">
        <v>0</v>
      </c>
      <c r="ES25" s="744">
        <f t="shared" ref="ES25:ES45" si="92">(EP25+EQ25)-(ER25)</f>
        <v>0</v>
      </c>
      <c r="ET25" s="113">
        <v>0</v>
      </c>
      <c r="EU25" s="115">
        <v>0</v>
      </c>
      <c r="EV25" s="744">
        <f t="shared" ref="EV25:EV45" si="93">(ES25+ET25)-(EU25)</f>
        <v>0</v>
      </c>
      <c r="EW25" s="113">
        <v>0</v>
      </c>
      <c r="EX25" s="115">
        <v>0</v>
      </c>
      <c r="EY25" s="744">
        <f t="shared" ref="EY25:EY45" si="94">(EV25+EW25)-(EX25)</f>
        <v>0</v>
      </c>
    </row>
    <row r="26" spans="1:155" ht="20.25" hidden="1" collapsed="1" thickBot="1">
      <c r="A26" s="110"/>
      <c r="B26" s="60"/>
      <c r="C26" s="120" t="s">
        <v>338</v>
      </c>
      <c r="D26" s="121" t="s">
        <v>108</v>
      </c>
      <c r="E26" s="63"/>
      <c r="F26" s="64"/>
      <c r="G26" s="122"/>
      <c r="H26" s="63"/>
      <c r="I26" s="64"/>
      <c r="J26" s="122"/>
      <c r="K26" s="63"/>
      <c r="L26" s="64"/>
      <c r="M26" s="65"/>
      <c r="N26" s="63"/>
      <c r="O26" s="64"/>
      <c r="P26" s="65"/>
      <c r="Q26" s="63"/>
      <c r="R26" s="64"/>
      <c r="S26" s="65"/>
      <c r="T26" s="66"/>
      <c r="U26" s="64"/>
      <c r="V26" s="65"/>
      <c r="W26" s="66"/>
      <c r="X26" s="64"/>
      <c r="Y26" s="65"/>
      <c r="Z26" s="66"/>
      <c r="AA26" s="64"/>
      <c r="AB26" s="65"/>
      <c r="AC26" s="66"/>
      <c r="AD26" s="64">
        <v>0</v>
      </c>
      <c r="AE26" s="123">
        <v>-3.57</v>
      </c>
      <c r="AF26" s="124">
        <f>(AC26+AD26)-(AE26)</f>
        <v>3.57</v>
      </c>
      <c r="AG26" s="64">
        <v>0</v>
      </c>
      <c r="AH26" s="65">
        <v>0</v>
      </c>
      <c r="AI26" s="63">
        <f t="shared" si="58"/>
        <v>3.57</v>
      </c>
      <c r="AJ26" s="64">
        <v>0</v>
      </c>
      <c r="AK26" s="65">
        <v>0</v>
      </c>
      <c r="AL26" s="63">
        <f t="shared" si="59"/>
        <v>3.57</v>
      </c>
      <c r="AM26" s="64">
        <v>0</v>
      </c>
      <c r="AN26" s="65">
        <v>0</v>
      </c>
      <c r="AO26" s="63">
        <f t="shared" si="60"/>
        <v>3.57</v>
      </c>
      <c r="AP26" s="64">
        <v>0</v>
      </c>
      <c r="AQ26" s="65">
        <v>0</v>
      </c>
      <c r="AR26" s="63">
        <f>(AO26+AP26)-(AQ26)</f>
        <v>3.57</v>
      </c>
      <c r="AS26" s="64">
        <v>0</v>
      </c>
      <c r="AT26" s="65">
        <v>0</v>
      </c>
      <c r="AU26" s="63">
        <f t="shared" si="61"/>
        <v>3.57</v>
      </c>
      <c r="AV26" s="64">
        <v>0</v>
      </c>
      <c r="AW26" s="65">
        <v>0</v>
      </c>
      <c r="AX26" s="63">
        <f t="shared" si="62"/>
        <v>3.57</v>
      </c>
      <c r="AY26" s="64">
        <v>0</v>
      </c>
      <c r="AZ26" s="65">
        <v>0</v>
      </c>
      <c r="BA26" s="63">
        <f t="shared" si="63"/>
        <v>3.57</v>
      </c>
      <c r="BB26" s="64">
        <v>-3.5680000000000001</v>
      </c>
      <c r="BC26" s="65">
        <v>0</v>
      </c>
      <c r="BD26" s="63">
        <f>(BA26+BB26)-(BC26)</f>
        <v>1.9999999999997797E-3</v>
      </c>
      <c r="BE26" s="64">
        <v>0</v>
      </c>
      <c r="BF26" s="65">
        <v>0</v>
      </c>
      <c r="BG26" s="63">
        <v>1.9999999999997797E-3</v>
      </c>
      <c r="BH26" s="64">
        <v>0</v>
      </c>
      <c r="BI26" s="65">
        <v>0</v>
      </c>
      <c r="BJ26" s="63">
        <f t="shared" si="64"/>
        <v>1.9999999999997797E-3</v>
      </c>
      <c r="BK26" s="64">
        <v>0</v>
      </c>
      <c r="BL26" s="65">
        <v>0</v>
      </c>
      <c r="BM26" s="63">
        <f t="shared" si="65"/>
        <v>1.9999999999997797E-3</v>
      </c>
      <c r="BN26" s="113">
        <v>0</v>
      </c>
      <c r="BO26" s="65">
        <v>0</v>
      </c>
      <c r="BP26" s="63">
        <f t="shared" si="66"/>
        <v>1.9999999999997797E-3</v>
      </c>
      <c r="BQ26" s="113">
        <v>0</v>
      </c>
      <c r="BR26" s="65">
        <v>0</v>
      </c>
      <c r="BS26" s="63">
        <f t="shared" si="67"/>
        <v>1.9999999999997797E-3</v>
      </c>
      <c r="BT26" s="113">
        <v>0</v>
      </c>
      <c r="BU26" s="65">
        <v>0</v>
      </c>
      <c r="BV26" s="63">
        <f t="shared" si="68"/>
        <v>1.9999999999997797E-3</v>
      </c>
      <c r="BW26" s="113">
        <v>0</v>
      </c>
      <c r="BX26" s="65">
        <v>0</v>
      </c>
      <c r="BY26" s="63">
        <f t="shared" si="69"/>
        <v>1.9999999999997797E-3</v>
      </c>
      <c r="BZ26" s="113">
        <v>0</v>
      </c>
      <c r="CA26" s="65">
        <v>0</v>
      </c>
      <c r="CB26" s="63">
        <f t="shared" si="70"/>
        <v>1.9999999999997797E-3</v>
      </c>
      <c r="CC26" s="113">
        <v>0</v>
      </c>
      <c r="CD26" s="65">
        <v>0</v>
      </c>
      <c r="CE26" s="63">
        <f t="shared" si="71"/>
        <v>1.9999999999997797E-3</v>
      </c>
      <c r="CF26" s="113">
        <v>0</v>
      </c>
      <c r="CG26" s="65">
        <v>0</v>
      </c>
      <c r="CH26" s="63">
        <f t="shared" si="72"/>
        <v>1.9999999999997797E-3</v>
      </c>
      <c r="CI26" s="113">
        <v>0</v>
      </c>
      <c r="CJ26" s="65">
        <v>0</v>
      </c>
      <c r="CK26" s="69">
        <f t="shared" si="73"/>
        <v>1.9999999999997797E-3</v>
      </c>
      <c r="CL26" s="117">
        <v>0</v>
      </c>
      <c r="CM26" s="71">
        <v>0</v>
      </c>
      <c r="CN26" s="63">
        <f t="shared" si="74"/>
        <v>1.9999999999997797E-3</v>
      </c>
      <c r="CO26" s="113">
        <v>0</v>
      </c>
      <c r="CP26" s="65">
        <v>0</v>
      </c>
      <c r="CQ26" s="63">
        <f t="shared" si="75"/>
        <v>1.9999999999997797E-3</v>
      </c>
      <c r="CR26" s="113">
        <v>0</v>
      </c>
      <c r="CS26" s="65">
        <v>0</v>
      </c>
      <c r="CT26" s="69">
        <f t="shared" si="76"/>
        <v>1.9999999999997797E-3</v>
      </c>
      <c r="CU26" s="119">
        <v>0</v>
      </c>
      <c r="CV26" s="65">
        <v>0</v>
      </c>
      <c r="CW26" s="63">
        <f t="shared" si="77"/>
        <v>1.9999999999997797E-3</v>
      </c>
      <c r="CX26" s="113">
        <v>0</v>
      </c>
      <c r="CY26" s="65">
        <v>0</v>
      </c>
      <c r="CZ26" s="63">
        <f t="shared" si="78"/>
        <v>1.9999999999997797E-3</v>
      </c>
      <c r="DA26" s="113">
        <v>0</v>
      </c>
      <c r="DB26" s="65">
        <v>0</v>
      </c>
      <c r="DC26" s="63">
        <f t="shared" si="79"/>
        <v>1.9999999999997797E-3</v>
      </c>
      <c r="DD26" s="113">
        <v>0</v>
      </c>
      <c r="DE26" s="65">
        <v>0</v>
      </c>
      <c r="DF26" s="63">
        <f t="shared" si="80"/>
        <v>1.9999999999997797E-3</v>
      </c>
      <c r="DG26" s="113">
        <v>0</v>
      </c>
      <c r="DH26" s="65">
        <v>0</v>
      </c>
      <c r="DI26" s="63">
        <f t="shared" si="81"/>
        <v>1.9999999999997797E-3</v>
      </c>
      <c r="DJ26" s="113">
        <v>0</v>
      </c>
      <c r="DK26" s="65">
        <v>0</v>
      </c>
      <c r="DL26" s="63">
        <v>0</v>
      </c>
      <c r="DM26" s="113">
        <v>0</v>
      </c>
      <c r="DN26" s="65">
        <v>0</v>
      </c>
      <c r="DO26" s="63">
        <f t="shared" si="82"/>
        <v>0</v>
      </c>
      <c r="DP26" s="113">
        <v>0</v>
      </c>
      <c r="DQ26" s="65">
        <v>0</v>
      </c>
      <c r="DR26" s="63">
        <f t="shared" si="83"/>
        <v>0</v>
      </c>
      <c r="DS26" s="113">
        <v>0</v>
      </c>
      <c r="DT26" s="65">
        <v>0</v>
      </c>
      <c r="DU26" s="63">
        <f t="shared" si="84"/>
        <v>0</v>
      </c>
      <c r="DV26" s="113">
        <v>0</v>
      </c>
      <c r="DW26" s="65">
        <v>0</v>
      </c>
      <c r="DX26" s="744">
        <f t="shared" si="85"/>
        <v>0</v>
      </c>
      <c r="DY26" s="113">
        <v>0</v>
      </c>
      <c r="DZ26" s="65">
        <v>0</v>
      </c>
      <c r="EA26" s="63">
        <f t="shared" si="86"/>
        <v>0</v>
      </c>
      <c r="EB26" s="113">
        <v>0</v>
      </c>
      <c r="EC26" s="65">
        <v>0</v>
      </c>
      <c r="ED26" s="63">
        <f t="shared" si="87"/>
        <v>0</v>
      </c>
      <c r="EE26" s="113">
        <v>0</v>
      </c>
      <c r="EF26" s="65">
        <v>0</v>
      </c>
      <c r="EG26" s="744">
        <f t="shared" si="88"/>
        <v>0</v>
      </c>
      <c r="EH26" s="113">
        <v>0</v>
      </c>
      <c r="EI26" s="65">
        <v>0</v>
      </c>
      <c r="EJ26" s="63">
        <f t="shared" si="89"/>
        <v>0</v>
      </c>
      <c r="EK26" s="113">
        <v>0</v>
      </c>
      <c r="EL26" s="65">
        <v>0</v>
      </c>
      <c r="EM26" s="63">
        <f t="shared" si="90"/>
        <v>0</v>
      </c>
      <c r="EN26" s="113">
        <v>0</v>
      </c>
      <c r="EO26" s="65">
        <v>0</v>
      </c>
      <c r="EP26" s="744">
        <f t="shared" si="91"/>
        <v>0</v>
      </c>
      <c r="EQ26" s="113">
        <v>0</v>
      </c>
      <c r="ER26" s="65">
        <v>0</v>
      </c>
      <c r="ES26" s="744">
        <f t="shared" si="92"/>
        <v>0</v>
      </c>
      <c r="ET26" s="113">
        <v>0</v>
      </c>
      <c r="EU26" s="65">
        <v>0</v>
      </c>
      <c r="EV26" s="744">
        <f t="shared" si="93"/>
        <v>0</v>
      </c>
      <c r="EW26" s="113">
        <v>0</v>
      </c>
      <c r="EX26" s="65">
        <v>0</v>
      </c>
      <c r="EY26" s="744">
        <f t="shared" si="94"/>
        <v>0</v>
      </c>
    </row>
    <row r="27" spans="1:155" s="20" customFormat="1" ht="20.25" hidden="1" collapsed="1" thickBot="1">
      <c r="A27" s="59"/>
      <c r="B27" s="60"/>
      <c r="C27" s="125">
        <v>100241910</v>
      </c>
      <c r="D27" s="126" t="s">
        <v>115</v>
      </c>
      <c r="E27" s="63">
        <v>1614.502</v>
      </c>
      <c r="F27" s="64">
        <v>1297.646</v>
      </c>
      <c r="G27" s="65">
        <v>1074.7550000000001</v>
      </c>
      <c r="H27" s="63">
        <f>(E27+F27)-(G27)</f>
        <v>1837.393</v>
      </c>
      <c r="I27" s="64">
        <v>601.36</v>
      </c>
      <c r="J27" s="65">
        <v>1249.3330000000001</v>
      </c>
      <c r="K27" s="63">
        <f>(H27+I27)-(J27)-K28</f>
        <v>236.41000000000008</v>
      </c>
      <c r="L27" s="64">
        <v>862.18</v>
      </c>
      <c r="M27" s="65">
        <v>721.65899999999999</v>
      </c>
      <c r="N27" s="63">
        <f>(K27+L27)-(M27)</f>
        <v>376.93100000000015</v>
      </c>
      <c r="O27" s="64">
        <v>334.548</v>
      </c>
      <c r="P27" s="65">
        <v>135.34299999999999</v>
      </c>
      <c r="Q27" s="63">
        <f t="shared" ref="Q27:Q38" si="95">(N27+O27)-(P27)</f>
        <v>576.13600000000019</v>
      </c>
      <c r="R27" s="64">
        <v>32.052</v>
      </c>
      <c r="S27" s="65">
        <v>386.72899999999998</v>
      </c>
      <c r="T27" s="63">
        <f t="shared" ref="T27:T38" si="96">(Q27+R27)-(S27)</f>
        <v>221.45900000000023</v>
      </c>
      <c r="U27" s="64">
        <v>97.081999999999994</v>
      </c>
      <c r="V27" s="65">
        <f>282+9.6</f>
        <v>291.60000000000002</v>
      </c>
      <c r="W27" s="63">
        <f t="shared" ref="W27:W35" si="97">(T27+U27)-(V27)</f>
        <v>26.941000000000201</v>
      </c>
      <c r="X27" s="64">
        <v>30.53</v>
      </c>
      <c r="Y27" s="65">
        <v>13.24</v>
      </c>
      <c r="Z27" s="63">
        <v>43.881999999999998</v>
      </c>
      <c r="AA27" s="64">
        <v>-0.18</v>
      </c>
      <c r="AB27" s="65">
        <v>-179.36</v>
      </c>
      <c r="AC27" s="63">
        <v>223.4</v>
      </c>
      <c r="AD27" s="64">
        <v>-5.0000000000000001E-3</v>
      </c>
      <c r="AE27" s="65">
        <v>-0.39800000000000002</v>
      </c>
      <c r="AF27" s="63">
        <v>223.75</v>
      </c>
      <c r="AG27" s="64">
        <v>153.86000000000001</v>
      </c>
      <c r="AH27" s="65">
        <v>373.01</v>
      </c>
      <c r="AI27" s="63">
        <f t="shared" si="58"/>
        <v>4.6000000000000227</v>
      </c>
      <c r="AJ27" s="64">
        <v>0</v>
      </c>
      <c r="AK27" s="65">
        <v>0</v>
      </c>
      <c r="AL27" s="63">
        <f t="shared" si="59"/>
        <v>4.6000000000000227</v>
      </c>
      <c r="AM27" s="64">
        <v>0</v>
      </c>
      <c r="AN27" s="65">
        <v>-0.10199999999999999</v>
      </c>
      <c r="AO27" s="63">
        <f t="shared" si="60"/>
        <v>4.7020000000000231</v>
      </c>
      <c r="AP27" s="64">
        <v>153.398</v>
      </c>
      <c r="AQ27" s="65">
        <v>105.6</v>
      </c>
      <c r="AR27" s="63">
        <v>47.798000000000002</v>
      </c>
      <c r="AS27" s="64">
        <v>0</v>
      </c>
      <c r="AT27" s="65">
        <v>47.572000000000003</v>
      </c>
      <c r="AU27" s="63">
        <f t="shared" si="61"/>
        <v>0.22599999999999909</v>
      </c>
      <c r="AV27" s="64">
        <v>0</v>
      </c>
      <c r="AW27" s="65">
        <v>-6.77</v>
      </c>
      <c r="AX27" s="63">
        <f t="shared" si="62"/>
        <v>6.9959999999999987</v>
      </c>
      <c r="AY27" s="64">
        <v>-4.9480000000000004</v>
      </c>
      <c r="AZ27" s="65">
        <v>0</v>
      </c>
      <c r="BA27" s="63">
        <f t="shared" si="63"/>
        <v>2.0479999999999983</v>
      </c>
      <c r="BB27" s="64">
        <v>0</v>
      </c>
      <c r="BC27" s="65">
        <v>1.8220000000000001</v>
      </c>
      <c r="BD27" s="63">
        <v>0</v>
      </c>
      <c r="BE27" s="64">
        <v>0</v>
      </c>
      <c r="BF27" s="65">
        <v>0</v>
      </c>
      <c r="BG27" s="63">
        <v>0</v>
      </c>
      <c r="BH27" s="64">
        <v>0</v>
      </c>
      <c r="BI27" s="65">
        <v>0</v>
      </c>
      <c r="BJ27" s="63">
        <f t="shared" si="64"/>
        <v>0</v>
      </c>
      <c r="BK27" s="64">
        <v>0</v>
      </c>
      <c r="BL27" s="65">
        <v>0</v>
      </c>
      <c r="BM27" s="63">
        <f t="shared" si="65"/>
        <v>0</v>
      </c>
      <c r="BN27" s="113">
        <v>0</v>
      </c>
      <c r="BO27" s="65">
        <v>0</v>
      </c>
      <c r="BP27" s="63">
        <f t="shared" si="66"/>
        <v>0</v>
      </c>
      <c r="BQ27" s="113">
        <v>0</v>
      </c>
      <c r="BR27" s="65">
        <v>0</v>
      </c>
      <c r="BS27" s="63">
        <f t="shared" si="67"/>
        <v>0</v>
      </c>
      <c r="BT27" s="113">
        <v>0</v>
      </c>
      <c r="BU27" s="65">
        <v>0</v>
      </c>
      <c r="BV27" s="63">
        <f t="shared" si="68"/>
        <v>0</v>
      </c>
      <c r="BW27" s="113">
        <v>0</v>
      </c>
      <c r="BX27" s="65">
        <v>0</v>
      </c>
      <c r="BY27" s="63">
        <f t="shared" si="69"/>
        <v>0</v>
      </c>
      <c r="BZ27" s="113">
        <v>0</v>
      </c>
      <c r="CA27" s="65">
        <v>0</v>
      </c>
      <c r="CB27" s="63">
        <f t="shared" si="70"/>
        <v>0</v>
      </c>
      <c r="CC27" s="113">
        <v>0</v>
      </c>
      <c r="CD27" s="65">
        <v>0</v>
      </c>
      <c r="CE27" s="63">
        <f t="shared" si="71"/>
        <v>0</v>
      </c>
      <c r="CF27" s="113">
        <v>0</v>
      </c>
      <c r="CG27" s="65">
        <v>0</v>
      </c>
      <c r="CH27" s="63">
        <f t="shared" si="72"/>
        <v>0</v>
      </c>
      <c r="CI27" s="113">
        <v>0</v>
      </c>
      <c r="CJ27" s="65">
        <v>0</v>
      </c>
      <c r="CK27" s="69">
        <f t="shared" si="73"/>
        <v>0</v>
      </c>
      <c r="CL27" s="117">
        <v>0</v>
      </c>
      <c r="CM27" s="71">
        <v>0</v>
      </c>
      <c r="CN27" s="63">
        <f t="shared" si="74"/>
        <v>0</v>
      </c>
      <c r="CO27" s="113">
        <v>0</v>
      </c>
      <c r="CP27" s="65">
        <v>0</v>
      </c>
      <c r="CQ27" s="63">
        <f t="shared" si="75"/>
        <v>0</v>
      </c>
      <c r="CR27" s="113">
        <v>0</v>
      </c>
      <c r="CS27" s="65">
        <v>0</v>
      </c>
      <c r="CT27" s="69">
        <f t="shared" si="76"/>
        <v>0</v>
      </c>
      <c r="CU27" s="119">
        <v>0</v>
      </c>
      <c r="CV27" s="65">
        <v>0</v>
      </c>
      <c r="CW27" s="63">
        <f t="shared" si="77"/>
        <v>0</v>
      </c>
      <c r="CX27" s="113">
        <v>0</v>
      </c>
      <c r="CY27" s="65">
        <v>0</v>
      </c>
      <c r="CZ27" s="63">
        <f t="shared" si="78"/>
        <v>0</v>
      </c>
      <c r="DA27" s="113">
        <v>0</v>
      </c>
      <c r="DB27" s="65">
        <v>0</v>
      </c>
      <c r="DC27" s="63">
        <f t="shared" si="79"/>
        <v>0</v>
      </c>
      <c r="DD27" s="113">
        <v>0</v>
      </c>
      <c r="DE27" s="65">
        <v>0</v>
      </c>
      <c r="DF27" s="63">
        <f t="shared" si="80"/>
        <v>0</v>
      </c>
      <c r="DG27" s="113">
        <v>0</v>
      </c>
      <c r="DH27" s="65">
        <v>0</v>
      </c>
      <c r="DI27" s="63">
        <f t="shared" si="81"/>
        <v>0</v>
      </c>
      <c r="DJ27" s="113">
        <v>0</v>
      </c>
      <c r="DK27" s="65">
        <v>0</v>
      </c>
      <c r="DL27" s="63">
        <v>0</v>
      </c>
      <c r="DM27" s="113">
        <v>0</v>
      </c>
      <c r="DN27" s="65">
        <v>0</v>
      </c>
      <c r="DO27" s="63">
        <f t="shared" si="82"/>
        <v>0</v>
      </c>
      <c r="DP27" s="113">
        <v>0</v>
      </c>
      <c r="DQ27" s="65">
        <v>0</v>
      </c>
      <c r="DR27" s="63">
        <f t="shared" si="83"/>
        <v>0</v>
      </c>
      <c r="DS27" s="113">
        <v>0</v>
      </c>
      <c r="DT27" s="65">
        <v>0</v>
      </c>
      <c r="DU27" s="63">
        <f t="shared" si="84"/>
        <v>0</v>
      </c>
      <c r="DV27" s="113">
        <v>0</v>
      </c>
      <c r="DW27" s="65">
        <v>0</v>
      </c>
      <c r="DX27" s="744">
        <f t="shared" si="85"/>
        <v>0</v>
      </c>
      <c r="DY27" s="113">
        <v>0</v>
      </c>
      <c r="DZ27" s="65">
        <v>0</v>
      </c>
      <c r="EA27" s="63">
        <f t="shared" si="86"/>
        <v>0</v>
      </c>
      <c r="EB27" s="113">
        <v>0</v>
      </c>
      <c r="EC27" s="65">
        <v>0</v>
      </c>
      <c r="ED27" s="63">
        <f t="shared" si="87"/>
        <v>0</v>
      </c>
      <c r="EE27" s="113">
        <v>0</v>
      </c>
      <c r="EF27" s="65">
        <v>0</v>
      </c>
      <c r="EG27" s="744">
        <f t="shared" si="88"/>
        <v>0</v>
      </c>
      <c r="EH27" s="113">
        <v>0</v>
      </c>
      <c r="EI27" s="65">
        <v>0</v>
      </c>
      <c r="EJ27" s="63">
        <f t="shared" si="89"/>
        <v>0</v>
      </c>
      <c r="EK27" s="113">
        <v>0</v>
      </c>
      <c r="EL27" s="65">
        <v>0</v>
      </c>
      <c r="EM27" s="63">
        <f t="shared" si="90"/>
        <v>0</v>
      </c>
      <c r="EN27" s="113">
        <v>0</v>
      </c>
      <c r="EO27" s="65">
        <v>0</v>
      </c>
      <c r="EP27" s="744">
        <f t="shared" si="91"/>
        <v>0</v>
      </c>
      <c r="EQ27" s="113">
        <v>0</v>
      </c>
      <c r="ER27" s="65">
        <v>0</v>
      </c>
      <c r="ES27" s="744">
        <f t="shared" si="92"/>
        <v>0</v>
      </c>
      <c r="ET27" s="113">
        <v>0</v>
      </c>
      <c r="EU27" s="65">
        <v>0</v>
      </c>
      <c r="EV27" s="744">
        <f t="shared" si="93"/>
        <v>0</v>
      </c>
      <c r="EW27" s="113">
        <v>0</v>
      </c>
      <c r="EX27" s="65">
        <v>0</v>
      </c>
      <c r="EY27" s="744">
        <f t="shared" si="94"/>
        <v>0</v>
      </c>
    </row>
    <row r="28" spans="1:155" s="20" customFormat="1" ht="20.25" hidden="1" collapsed="1" thickBot="1">
      <c r="A28" s="59"/>
      <c r="B28" s="60"/>
      <c r="C28" s="127">
        <v>100241910</v>
      </c>
      <c r="D28" s="128" t="s">
        <v>339</v>
      </c>
      <c r="E28" s="129"/>
      <c r="F28" s="130"/>
      <c r="G28" s="131"/>
      <c r="H28" s="129"/>
      <c r="I28" s="130">
        <v>0</v>
      </c>
      <c r="J28" s="131">
        <v>0</v>
      </c>
      <c r="K28" s="129">
        <v>953.01</v>
      </c>
      <c r="L28" s="130">
        <v>-37.987000000000002</v>
      </c>
      <c r="M28" s="131">
        <v>0</v>
      </c>
      <c r="N28" s="129">
        <f>(K28+L28)-(M28)</f>
        <v>915.02300000000002</v>
      </c>
      <c r="O28" s="130">
        <v>0</v>
      </c>
      <c r="P28" s="131">
        <v>0</v>
      </c>
      <c r="Q28" s="129">
        <f t="shared" si="95"/>
        <v>915.02300000000002</v>
      </c>
      <c r="R28" s="130">
        <v>0</v>
      </c>
      <c r="S28" s="131">
        <v>0</v>
      </c>
      <c r="T28" s="129">
        <f t="shared" si="96"/>
        <v>915.02300000000002</v>
      </c>
      <c r="U28" s="130">
        <v>0</v>
      </c>
      <c r="V28" s="131">
        <v>162.13300000000001</v>
      </c>
      <c r="W28" s="129">
        <f t="shared" si="97"/>
        <v>752.89</v>
      </c>
      <c r="X28" s="130">
        <v>0</v>
      </c>
      <c r="Y28" s="131">
        <v>0</v>
      </c>
      <c r="Z28" s="129">
        <v>753.23599999999999</v>
      </c>
      <c r="AA28" s="130">
        <v>-8.9999999999999993E-3</v>
      </c>
      <c r="AB28" s="131">
        <v>0</v>
      </c>
      <c r="AC28" s="129">
        <v>752.89</v>
      </c>
      <c r="AD28" s="130">
        <v>-0.45</v>
      </c>
      <c r="AE28" s="131">
        <v>386.59500000000003</v>
      </c>
      <c r="AF28" s="129">
        <f t="shared" ref="AF28:AF39" si="98">(AC28+AD28)-(AE28)</f>
        <v>365.84499999999991</v>
      </c>
      <c r="AG28" s="130">
        <v>-0.6</v>
      </c>
      <c r="AH28" s="131">
        <v>365.25</v>
      </c>
      <c r="AI28" s="129">
        <f t="shared" si="58"/>
        <v>-5.0000000001091394E-3</v>
      </c>
      <c r="AJ28" s="130">
        <v>0</v>
      </c>
      <c r="AK28" s="131">
        <v>0</v>
      </c>
      <c r="AL28" s="129">
        <f t="shared" si="59"/>
        <v>-5.0000000001091394E-3</v>
      </c>
      <c r="AM28" s="130">
        <v>0</v>
      </c>
      <c r="AN28" s="131">
        <v>0</v>
      </c>
      <c r="AO28" s="129">
        <f t="shared" si="60"/>
        <v>-5.0000000001091394E-3</v>
      </c>
      <c r="AP28" s="130">
        <v>0</v>
      </c>
      <c r="AQ28" s="131">
        <v>0</v>
      </c>
      <c r="AR28" s="129">
        <f t="shared" ref="AR28:AR33" si="99">(AO28+AP28)-(AQ28)</f>
        <v>-5.0000000001091394E-3</v>
      </c>
      <c r="AS28" s="130">
        <v>0</v>
      </c>
      <c r="AT28" s="65">
        <v>0</v>
      </c>
      <c r="AU28" s="63">
        <f t="shared" si="61"/>
        <v>-5.0000000001091394E-3</v>
      </c>
      <c r="AV28" s="64">
        <v>0</v>
      </c>
      <c r="AW28" s="65">
        <v>0</v>
      </c>
      <c r="AX28" s="63">
        <f t="shared" si="62"/>
        <v>-5.0000000001091394E-3</v>
      </c>
      <c r="AY28" s="64">
        <v>0</v>
      </c>
      <c r="AZ28" s="131">
        <v>0</v>
      </c>
      <c r="BA28" s="129">
        <f t="shared" si="63"/>
        <v>-5.0000000001091394E-3</v>
      </c>
      <c r="BB28" s="64">
        <v>0</v>
      </c>
      <c r="BC28" s="65">
        <v>0</v>
      </c>
      <c r="BD28" s="129">
        <f>(BA28+BB28)-(BC28)</f>
        <v>-5.0000000001091394E-3</v>
      </c>
      <c r="BE28" s="130">
        <v>0</v>
      </c>
      <c r="BF28" s="131">
        <v>0</v>
      </c>
      <c r="BG28" s="129">
        <v>-5.0000000001091394E-3</v>
      </c>
      <c r="BH28" s="130">
        <v>0</v>
      </c>
      <c r="BI28" s="131">
        <v>0</v>
      </c>
      <c r="BJ28" s="129">
        <f t="shared" si="64"/>
        <v>-5.0000000001091394E-3</v>
      </c>
      <c r="BK28" s="130">
        <v>0</v>
      </c>
      <c r="BL28" s="131">
        <v>0</v>
      </c>
      <c r="BM28" s="129">
        <f t="shared" si="65"/>
        <v>-5.0000000001091394E-3</v>
      </c>
      <c r="BN28" s="113">
        <v>0</v>
      </c>
      <c r="BO28" s="131">
        <v>0</v>
      </c>
      <c r="BP28" s="129">
        <f t="shared" si="66"/>
        <v>-5.0000000001091394E-3</v>
      </c>
      <c r="BQ28" s="113">
        <v>0</v>
      </c>
      <c r="BR28" s="131">
        <v>0</v>
      </c>
      <c r="BS28" s="129">
        <f t="shared" si="67"/>
        <v>-5.0000000001091394E-3</v>
      </c>
      <c r="BT28" s="113">
        <v>0</v>
      </c>
      <c r="BU28" s="131">
        <v>0</v>
      </c>
      <c r="BV28" s="129">
        <f t="shared" si="68"/>
        <v>-5.0000000001091394E-3</v>
      </c>
      <c r="BW28" s="113">
        <v>0</v>
      </c>
      <c r="BX28" s="131">
        <v>0</v>
      </c>
      <c r="BY28" s="129">
        <f t="shared" si="69"/>
        <v>-5.0000000001091394E-3</v>
      </c>
      <c r="BZ28" s="113">
        <v>0</v>
      </c>
      <c r="CA28" s="131">
        <v>0</v>
      </c>
      <c r="CB28" s="129">
        <f t="shared" si="70"/>
        <v>-5.0000000001091394E-3</v>
      </c>
      <c r="CC28" s="113">
        <v>0</v>
      </c>
      <c r="CD28" s="131">
        <v>0</v>
      </c>
      <c r="CE28" s="129">
        <f t="shared" si="71"/>
        <v>-5.0000000001091394E-3</v>
      </c>
      <c r="CF28" s="113">
        <v>0</v>
      </c>
      <c r="CG28" s="65">
        <v>0</v>
      </c>
      <c r="CH28" s="129">
        <f t="shared" si="72"/>
        <v>-5.0000000001091394E-3</v>
      </c>
      <c r="CI28" s="113">
        <v>0</v>
      </c>
      <c r="CJ28" s="65">
        <v>0</v>
      </c>
      <c r="CK28" s="132">
        <f t="shared" si="73"/>
        <v>-5.0000000001091394E-3</v>
      </c>
      <c r="CL28" s="117">
        <v>0</v>
      </c>
      <c r="CM28" s="71">
        <v>0</v>
      </c>
      <c r="CN28" s="129">
        <f t="shared" si="74"/>
        <v>-5.0000000001091394E-3</v>
      </c>
      <c r="CO28" s="113">
        <v>0</v>
      </c>
      <c r="CP28" s="131">
        <v>0</v>
      </c>
      <c r="CQ28" s="129">
        <f t="shared" si="75"/>
        <v>-5.0000000001091394E-3</v>
      </c>
      <c r="CR28" s="113">
        <v>0</v>
      </c>
      <c r="CS28" s="131">
        <v>0</v>
      </c>
      <c r="CT28" s="132">
        <f t="shared" si="76"/>
        <v>-5.0000000001091394E-3</v>
      </c>
      <c r="CU28" s="119">
        <v>0</v>
      </c>
      <c r="CV28" s="131">
        <v>0</v>
      </c>
      <c r="CW28" s="129">
        <f t="shared" si="77"/>
        <v>-5.0000000001091394E-3</v>
      </c>
      <c r="CX28" s="113">
        <v>0</v>
      </c>
      <c r="CY28" s="131">
        <v>0</v>
      </c>
      <c r="CZ28" s="129">
        <f t="shared" si="78"/>
        <v>-5.0000000001091394E-3</v>
      </c>
      <c r="DA28" s="113">
        <v>0</v>
      </c>
      <c r="DB28" s="131">
        <v>0</v>
      </c>
      <c r="DC28" s="129">
        <f t="shared" si="79"/>
        <v>-5.0000000001091394E-3</v>
      </c>
      <c r="DD28" s="113">
        <v>0</v>
      </c>
      <c r="DE28" s="131">
        <v>0</v>
      </c>
      <c r="DF28" s="129">
        <f t="shared" si="80"/>
        <v>-5.0000000001091394E-3</v>
      </c>
      <c r="DG28" s="113">
        <v>0</v>
      </c>
      <c r="DH28" s="131">
        <v>0</v>
      </c>
      <c r="DI28" s="129">
        <f t="shared" si="81"/>
        <v>-5.0000000001091394E-3</v>
      </c>
      <c r="DJ28" s="113">
        <v>0</v>
      </c>
      <c r="DK28" s="131">
        <v>0</v>
      </c>
      <c r="DL28" s="129">
        <v>0</v>
      </c>
      <c r="DM28" s="113">
        <v>0</v>
      </c>
      <c r="DN28" s="131">
        <v>0</v>
      </c>
      <c r="DO28" s="63">
        <f t="shared" si="82"/>
        <v>0</v>
      </c>
      <c r="DP28" s="113">
        <v>0</v>
      </c>
      <c r="DQ28" s="131">
        <v>0</v>
      </c>
      <c r="DR28" s="129">
        <f t="shared" si="83"/>
        <v>0</v>
      </c>
      <c r="DS28" s="113">
        <v>0</v>
      </c>
      <c r="DT28" s="131">
        <v>0</v>
      </c>
      <c r="DU28" s="129">
        <f t="shared" si="84"/>
        <v>0</v>
      </c>
      <c r="DV28" s="113">
        <v>0</v>
      </c>
      <c r="DW28" s="131">
        <v>0</v>
      </c>
      <c r="DX28" s="744">
        <f t="shared" si="85"/>
        <v>0</v>
      </c>
      <c r="DY28" s="113">
        <v>0</v>
      </c>
      <c r="DZ28" s="131">
        <v>0</v>
      </c>
      <c r="EA28" s="129">
        <f t="shared" si="86"/>
        <v>0</v>
      </c>
      <c r="EB28" s="113">
        <v>0</v>
      </c>
      <c r="EC28" s="131">
        <v>0</v>
      </c>
      <c r="ED28" s="129">
        <f t="shared" si="87"/>
        <v>0</v>
      </c>
      <c r="EE28" s="113">
        <v>0</v>
      </c>
      <c r="EF28" s="131">
        <v>0</v>
      </c>
      <c r="EG28" s="744">
        <f t="shared" si="88"/>
        <v>0</v>
      </c>
      <c r="EH28" s="113">
        <v>0</v>
      </c>
      <c r="EI28" s="131">
        <v>0</v>
      </c>
      <c r="EJ28" s="129">
        <f t="shared" si="89"/>
        <v>0</v>
      </c>
      <c r="EK28" s="113">
        <v>0</v>
      </c>
      <c r="EL28" s="131">
        <v>0</v>
      </c>
      <c r="EM28" s="129">
        <f t="shared" si="90"/>
        <v>0</v>
      </c>
      <c r="EN28" s="113">
        <v>0</v>
      </c>
      <c r="EO28" s="131">
        <v>0</v>
      </c>
      <c r="EP28" s="744">
        <f t="shared" si="91"/>
        <v>0</v>
      </c>
      <c r="EQ28" s="113">
        <v>0</v>
      </c>
      <c r="ER28" s="131">
        <v>0</v>
      </c>
      <c r="ES28" s="744">
        <f t="shared" si="92"/>
        <v>0</v>
      </c>
      <c r="ET28" s="113">
        <v>0</v>
      </c>
      <c r="EU28" s="131">
        <v>0</v>
      </c>
      <c r="EV28" s="744">
        <f t="shared" si="93"/>
        <v>0</v>
      </c>
      <c r="EW28" s="113">
        <v>0</v>
      </c>
      <c r="EX28" s="131">
        <v>0</v>
      </c>
      <c r="EY28" s="744">
        <f t="shared" si="94"/>
        <v>0</v>
      </c>
    </row>
    <row r="29" spans="1:155" s="20" customFormat="1" ht="20.25" hidden="1" collapsed="1" thickBot="1">
      <c r="A29" s="59"/>
      <c r="B29" s="60"/>
      <c r="C29" s="111">
        <v>100378830</v>
      </c>
      <c r="D29" s="126" t="s">
        <v>76</v>
      </c>
      <c r="E29" s="63">
        <v>954.00300000000004</v>
      </c>
      <c r="F29" s="64">
        <v>446.67599999999999</v>
      </c>
      <c r="G29" s="65">
        <v>556.28499999999997</v>
      </c>
      <c r="H29" s="63">
        <f>E29+F29-G29</f>
        <v>844.39400000000012</v>
      </c>
      <c r="I29" s="64">
        <v>425.81900000000002</v>
      </c>
      <c r="J29" s="65">
        <v>374.35</v>
      </c>
      <c r="K29" s="66">
        <f>(H29+I29)-(J29)-K30</f>
        <v>765.13800000000015</v>
      </c>
      <c r="L29" s="64">
        <v>742.98699999999997</v>
      </c>
      <c r="M29" s="65">
        <v>1368.038</v>
      </c>
      <c r="N29" s="63">
        <f>(K29+L29)-(M29)</f>
        <v>140.08699999999999</v>
      </c>
      <c r="O29" s="64">
        <v>1175.8420000000001</v>
      </c>
      <c r="P29" s="65">
        <v>1253.904</v>
      </c>
      <c r="Q29" s="63">
        <f t="shared" si="95"/>
        <v>62.025000000000091</v>
      </c>
      <c r="R29" s="64">
        <v>-0.28399999999999997</v>
      </c>
      <c r="S29" s="65">
        <v>43.932000000000002</v>
      </c>
      <c r="T29" s="63">
        <f t="shared" si="96"/>
        <v>17.80900000000009</v>
      </c>
      <c r="U29" s="64">
        <v>-0.61099999999999999</v>
      </c>
      <c r="V29" s="65">
        <v>-1.246</v>
      </c>
      <c r="W29" s="63">
        <f t="shared" si="97"/>
        <v>18.444000000000088</v>
      </c>
      <c r="X29" s="64">
        <v>-14.4</v>
      </c>
      <c r="Y29" s="65">
        <v>0</v>
      </c>
      <c r="Z29" s="63">
        <v>4.0579999999999998</v>
      </c>
      <c r="AA29" s="64">
        <v>0</v>
      </c>
      <c r="AB29" s="65">
        <v>-0.27</v>
      </c>
      <c r="AC29" s="63">
        <v>4.32</v>
      </c>
      <c r="AD29" s="64">
        <v>-7.4999999999999997E-2</v>
      </c>
      <c r="AE29" s="65">
        <v>-7.4999999999999997E-2</v>
      </c>
      <c r="AF29" s="63">
        <f t="shared" si="98"/>
        <v>4.32</v>
      </c>
      <c r="AG29" s="64">
        <v>0</v>
      </c>
      <c r="AH29" s="65">
        <v>0</v>
      </c>
      <c r="AI29" s="63">
        <f t="shared" si="58"/>
        <v>4.32</v>
      </c>
      <c r="AJ29" s="64">
        <v>-2.4</v>
      </c>
      <c r="AK29" s="65">
        <v>0</v>
      </c>
      <c r="AL29" s="63">
        <f t="shared" si="59"/>
        <v>1.9200000000000004</v>
      </c>
      <c r="AM29" s="64">
        <v>2</v>
      </c>
      <c r="AN29" s="65">
        <v>0</v>
      </c>
      <c r="AO29" s="63">
        <f t="shared" si="60"/>
        <v>3.9200000000000004</v>
      </c>
      <c r="AP29" s="64">
        <v>-2</v>
      </c>
      <c r="AQ29" s="65">
        <v>0</v>
      </c>
      <c r="AR29" s="63">
        <f t="shared" si="99"/>
        <v>1.9200000000000004</v>
      </c>
      <c r="AS29" s="64">
        <v>-1.923</v>
      </c>
      <c r="AT29" s="65">
        <v>0</v>
      </c>
      <c r="AU29" s="63">
        <f t="shared" si="61"/>
        <v>-2.9999999999996696E-3</v>
      </c>
      <c r="AV29" s="64">
        <v>0</v>
      </c>
      <c r="AW29" s="65">
        <v>0</v>
      </c>
      <c r="AX29" s="63">
        <f t="shared" si="62"/>
        <v>-2.9999999999996696E-3</v>
      </c>
      <c r="AY29" s="64">
        <v>0</v>
      </c>
      <c r="AZ29" s="65">
        <v>0</v>
      </c>
      <c r="BA29" s="63">
        <f t="shared" si="63"/>
        <v>-2.9999999999996696E-3</v>
      </c>
      <c r="BB29" s="64">
        <v>0</v>
      </c>
      <c r="BC29" s="65">
        <v>0</v>
      </c>
      <c r="BD29" s="63">
        <f>(BA29+BB29)-(BC29)</f>
        <v>-2.9999999999996696E-3</v>
      </c>
      <c r="BE29" s="64">
        <v>0</v>
      </c>
      <c r="BF29" s="65">
        <v>0</v>
      </c>
      <c r="BG29" s="63">
        <v>-2.9999999999996696E-3</v>
      </c>
      <c r="BH29" s="64">
        <v>0</v>
      </c>
      <c r="BI29" s="65">
        <v>0</v>
      </c>
      <c r="BJ29" s="63">
        <f t="shared" si="64"/>
        <v>-2.9999999999996696E-3</v>
      </c>
      <c r="BK29" s="64">
        <v>0</v>
      </c>
      <c r="BL29" s="65">
        <v>0</v>
      </c>
      <c r="BM29" s="63">
        <f t="shared" si="65"/>
        <v>-2.9999999999996696E-3</v>
      </c>
      <c r="BN29" s="113">
        <v>0</v>
      </c>
      <c r="BO29" s="65">
        <v>0</v>
      </c>
      <c r="BP29" s="63">
        <f t="shared" si="66"/>
        <v>-2.9999999999996696E-3</v>
      </c>
      <c r="BQ29" s="113">
        <v>0</v>
      </c>
      <c r="BR29" s="65">
        <v>0</v>
      </c>
      <c r="BS29" s="63">
        <f t="shared" si="67"/>
        <v>-2.9999999999996696E-3</v>
      </c>
      <c r="BT29" s="113">
        <v>0</v>
      </c>
      <c r="BU29" s="65">
        <v>0</v>
      </c>
      <c r="BV29" s="63">
        <f t="shared" si="68"/>
        <v>-2.9999999999996696E-3</v>
      </c>
      <c r="BW29" s="113">
        <v>0</v>
      </c>
      <c r="BX29" s="65">
        <v>0</v>
      </c>
      <c r="BY29" s="63">
        <f t="shared" si="69"/>
        <v>-2.9999999999996696E-3</v>
      </c>
      <c r="BZ29" s="113">
        <v>0</v>
      </c>
      <c r="CA29" s="65">
        <v>0</v>
      </c>
      <c r="CB29" s="63">
        <f t="shared" si="70"/>
        <v>-2.9999999999996696E-3</v>
      </c>
      <c r="CC29" s="113">
        <v>0</v>
      </c>
      <c r="CD29" s="65">
        <v>0</v>
      </c>
      <c r="CE29" s="63">
        <f t="shared" si="71"/>
        <v>-2.9999999999996696E-3</v>
      </c>
      <c r="CF29" s="113">
        <v>0</v>
      </c>
      <c r="CG29" s="65">
        <v>0</v>
      </c>
      <c r="CH29" s="63">
        <f t="shared" si="72"/>
        <v>-2.9999999999996696E-3</v>
      </c>
      <c r="CI29" s="113">
        <v>0</v>
      </c>
      <c r="CJ29" s="65">
        <v>0</v>
      </c>
      <c r="CK29" s="69">
        <f t="shared" si="73"/>
        <v>-2.9999999999996696E-3</v>
      </c>
      <c r="CL29" s="117">
        <v>0</v>
      </c>
      <c r="CM29" s="71">
        <v>0</v>
      </c>
      <c r="CN29" s="63">
        <f t="shared" si="74"/>
        <v>-2.9999999999996696E-3</v>
      </c>
      <c r="CO29" s="113">
        <v>0</v>
      </c>
      <c r="CP29" s="65">
        <v>0</v>
      </c>
      <c r="CQ29" s="63">
        <f t="shared" si="75"/>
        <v>-2.9999999999996696E-3</v>
      </c>
      <c r="CR29" s="113">
        <v>0</v>
      </c>
      <c r="CS29" s="65">
        <v>0</v>
      </c>
      <c r="CT29" s="69">
        <f t="shared" si="76"/>
        <v>-2.9999999999996696E-3</v>
      </c>
      <c r="CU29" s="119">
        <v>0</v>
      </c>
      <c r="CV29" s="65">
        <v>0</v>
      </c>
      <c r="CW29" s="63">
        <f t="shared" si="77"/>
        <v>-2.9999999999996696E-3</v>
      </c>
      <c r="CX29" s="113">
        <v>0</v>
      </c>
      <c r="CY29" s="65">
        <v>0</v>
      </c>
      <c r="CZ29" s="63">
        <f t="shared" si="78"/>
        <v>-2.9999999999996696E-3</v>
      </c>
      <c r="DA29" s="113">
        <v>0</v>
      </c>
      <c r="DB29" s="65">
        <v>0</v>
      </c>
      <c r="DC29" s="63">
        <f t="shared" si="79"/>
        <v>-2.9999999999996696E-3</v>
      </c>
      <c r="DD29" s="113">
        <v>0</v>
      </c>
      <c r="DE29" s="65">
        <v>0</v>
      </c>
      <c r="DF29" s="63">
        <f t="shared" si="80"/>
        <v>-2.9999999999996696E-3</v>
      </c>
      <c r="DG29" s="113">
        <v>0</v>
      </c>
      <c r="DH29" s="65">
        <v>0</v>
      </c>
      <c r="DI29" s="63">
        <f t="shared" si="81"/>
        <v>-2.9999999999996696E-3</v>
      </c>
      <c r="DJ29" s="113">
        <v>0</v>
      </c>
      <c r="DK29" s="65">
        <v>0</v>
      </c>
      <c r="DL29" s="63">
        <v>0</v>
      </c>
      <c r="DM29" s="113">
        <v>0</v>
      </c>
      <c r="DN29" s="65">
        <v>0</v>
      </c>
      <c r="DO29" s="63">
        <f t="shared" si="82"/>
        <v>0</v>
      </c>
      <c r="DP29" s="113">
        <v>0</v>
      </c>
      <c r="DQ29" s="65">
        <v>0</v>
      </c>
      <c r="DR29" s="63">
        <f t="shared" si="83"/>
        <v>0</v>
      </c>
      <c r="DS29" s="113">
        <v>0</v>
      </c>
      <c r="DT29" s="65">
        <v>0</v>
      </c>
      <c r="DU29" s="63">
        <f t="shared" si="84"/>
        <v>0</v>
      </c>
      <c r="DV29" s="113">
        <v>0</v>
      </c>
      <c r="DW29" s="65">
        <v>0</v>
      </c>
      <c r="DX29" s="744">
        <f t="shared" si="85"/>
        <v>0</v>
      </c>
      <c r="DY29" s="113">
        <v>0</v>
      </c>
      <c r="DZ29" s="65">
        <v>0</v>
      </c>
      <c r="EA29" s="63">
        <f t="shared" si="86"/>
        <v>0</v>
      </c>
      <c r="EB29" s="113">
        <v>0</v>
      </c>
      <c r="EC29" s="65">
        <v>0</v>
      </c>
      <c r="ED29" s="63">
        <f t="shared" si="87"/>
        <v>0</v>
      </c>
      <c r="EE29" s="113">
        <v>0</v>
      </c>
      <c r="EF29" s="65">
        <v>0</v>
      </c>
      <c r="EG29" s="744">
        <f t="shared" si="88"/>
        <v>0</v>
      </c>
      <c r="EH29" s="113">
        <v>0</v>
      </c>
      <c r="EI29" s="65">
        <v>0</v>
      </c>
      <c r="EJ29" s="63">
        <f t="shared" si="89"/>
        <v>0</v>
      </c>
      <c r="EK29" s="113">
        <v>0</v>
      </c>
      <c r="EL29" s="65">
        <v>0</v>
      </c>
      <c r="EM29" s="63">
        <f t="shared" si="90"/>
        <v>0</v>
      </c>
      <c r="EN29" s="113">
        <v>0</v>
      </c>
      <c r="EO29" s="65">
        <v>0</v>
      </c>
      <c r="EP29" s="744">
        <f t="shared" si="91"/>
        <v>0</v>
      </c>
      <c r="EQ29" s="113">
        <v>0</v>
      </c>
      <c r="ER29" s="65">
        <v>0</v>
      </c>
      <c r="ES29" s="744">
        <f t="shared" si="92"/>
        <v>0</v>
      </c>
      <c r="ET29" s="113">
        <v>0</v>
      </c>
      <c r="EU29" s="65">
        <v>0</v>
      </c>
      <c r="EV29" s="744">
        <f t="shared" si="93"/>
        <v>0</v>
      </c>
      <c r="EW29" s="113">
        <v>0</v>
      </c>
      <c r="EX29" s="65">
        <v>0</v>
      </c>
      <c r="EY29" s="744">
        <f t="shared" si="94"/>
        <v>0</v>
      </c>
    </row>
    <row r="30" spans="1:155" s="20" customFormat="1" ht="20.25" hidden="1" collapsed="1" thickBot="1">
      <c r="A30" s="59"/>
      <c r="B30" s="60"/>
      <c r="C30" s="133">
        <v>100378830</v>
      </c>
      <c r="D30" s="128" t="s">
        <v>92</v>
      </c>
      <c r="E30" s="129"/>
      <c r="F30" s="130"/>
      <c r="G30" s="131"/>
      <c r="H30" s="129"/>
      <c r="I30" s="130">
        <v>0</v>
      </c>
      <c r="J30" s="131">
        <v>0</v>
      </c>
      <c r="K30" s="129">
        <v>130.72499999999999</v>
      </c>
      <c r="L30" s="130">
        <v>0</v>
      </c>
      <c r="M30" s="131">
        <v>0</v>
      </c>
      <c r="N30" s="129">
        <f>(K30+L30)-(M30)</f>
        <v>130.72499999999999</v>
      </c>
      <c r="O30" s="130">
        <v>0</v>
      </c>
      <c r="P30" s="131">
        <v>0</v>
      </c>
      <c r="Q30" s="129">
        <f t="shared" si="95"/>
        <v>130.72499999999999</v>
      </c>
      <c r="R30" s="130">
        <v>0</v>
      </c>
      <c r="S30" s="131">
        <v>0</v>
      </c>
      <c r="T30" s="129">
        <f t="shared" si="96"/>
        <v>130.72499999999999</v>
      </c>
      <c r="U30" s="130">
        <v>0</v>
      </c>
      <c r="V30" s="131">
        <v>130.709</v>
      </c>
      <c r="W30" s="129">
        <f t="shared" si="97"/>
        <v>1.5999999999991132E-2</v>
      </c>
      <c r="X30" s="130">
        <v>0</v>
      </c>
      <c r="Y30" s="131">
        <v>0</v>
      </c>
      <c r="Z30" s="129">
        <f>(W30+X30)-(Y30)</f>
        <v>1.5999999999991132E-2</v>
      </c>
      <c r="AA30" s="130">
        <v>0</v>
      </c>
      <c r="AB30" s="131">
        <v>0</v>
      </c>
      <c r="AC30" s="129">
        <f t="shared" ref="AC30:AC42" si="100">(Z30+AA30)-(AB30)</f>
        <v>1.5999999999991132E-2</v>
      </c>
      <c r="AD30" s="130">
        <v>0</v>
      </c>
      <c r="AE30" s="131">
        <v>0</v>
      </c>
      <c r="AF30" s="129">
        <f t="shared" si="98"/>
        <v>1.5999999999991132E-2</v>
      </c>
      <c r="AG30" s="130">
        <v>0</v>
      </c>
      <c r="AH30" s="131">
        <v>0</v>
      </c>
      <c r="AI30" s="129">
        <f t="shared" si="58"/>
        <v>1.5999999999991132E-2</v>
      </c>
      <c r="AJ30" s="130">
        <v>0</v>
      </c>
      <c r="AK30" s="131">
        <v>0</v>
      </c>
      <c r="AL30" s="129">
        <f t="shared" si="59"/>
        <v>1.5999999999991132E-2</v>
      </c>
      <c r="AM30" s="130">
        <v>0</v>
      </c>
      <c r="AN30" s="131">
        <v>0</v>
      </c>
      <c r="AO30" s="129">
        <f t="shared" si="60"/>
        <v>1.5999999999991132E-2</v>
      </c>
      <c r="AP30" s="130">
        <v>0</v>
      </c>
      <c r="AQ30" s="131">
        <v>0</v>
      </c>
      <c r="AR30" s="129">
        <f t="shared" si="99"/>
        <v>1.5999999999991132E-2</v>
      </c>
      <c r="AS30" s="130">
        <v>0</v>
      </c>
      <c r="AT30" s="65">
        <v>0</v>
      </c>
      <c r="AU30" s="63">
        <f t="shared" si="61"/>
        <v>1.5999999999991132E-2</v>
      </c>
      <c r="AV30" s="64">
        <v>0</v>
      </c>
      <c r="AW30" s="65">
        <v>0</v>
      </c>
      <c r="AX30" s="63">
        <f t="shared" si="62"/>
        <v>1.5999999999991132E-2</v>
      </c>
      <c r="AY30" s="64">
        <v>0</v>
      </c>
      <c r="AZ30" s="131">
        <v>0</v>
      </c>
      <c r="BA30" s="129">
        <f t="shared" si="63"/>
        <v>1.5999999999991132E-2</v>
      </c>
      <c r="BB30" s="64">
        <v>0</v>
      </c>
      <c r="BC30" s="65">
        <v>0</v>
      </c>
      <c r="BD30" s="129">
        <f>(BA30+BB30)-(BC30)</f>
        <v>1.5999999999991132E-2</v>
      </c>
      <c r="BE30" s="130">
        <v>0</v>
      </c>
      <c r="BF30" s="131">
        <v>0</v>
      </c>
      <c r="BG30" s="129">
        <v>1.5999999999991132E-2</v>
      </c>
      <c r="BH30" s="130">
        <v>0</v>
      </c>
      <c r="BI30" s="131">
        <v>0</v>
      </c>
      <c r="BJ30" s="129">
        <f t="shared" si="64"/>
        <v>1.5999999999991132E-2</v>
      </c>
      <c r="BK30" s="130">
        <v>0</v>
      </c>
      <c r="BL30" s="131">
        <v>0</v>
      </c>
      <c r="BM30" s="129">
        <f t="shared" si="65"/>
        <v>1.5999999999991132E-2</v>
      </c>
      <c r="BN30" s="113">
        <v>0</v>
      </c>
      <c r="BO30" s="131">
        <v>0</v>
      </c>
      <c r="BP30" s="129">
        <f t="shared" si="66"/>
        <v>1.5999999999991132E-2</v>
      </c>
      <c r="BQ30" s="113">
        <v>0</v>
      </c>
      <c r="BR30" s="131">
        <v>0</v>
      </c>
      <c r="BS30" s="129">
        <f t="shared" si="67"/>
        <v>1.5999999999991132E-2</v>
      </c>
      <c r="BT30" s="113">
        <v>0</v>
      </c>
      <c r="BU30" s="131">
        <v>0</v>
      </c>
      <c r="BV30" s="129">
        <f t="shared" si="68"/>
        <v>1.5999999999991132E-2</v>
      </c>
      <c r="BW30" s="113">
        <v>0</v>
      </c>
      <c r="BX30" s="131">
        <v>0</v>
      </c>
      <c r="BY30" s="129">
        <f t="shared" si="69"/>
        <v>1.5999999999991132E-2</v>
      </c>
      <c r="BZ30" s="113">
        <v>0</v>
      </c>
      <c r="CA30" s="131">
        <v>0</v>
      </c>
      <c r="CB30" s="129">
        <f t="shared" si="70"/>
        <v>1.5999999999991132E-2</v>
      </c>
      <c r="CC30" s="113">
        <v>0</v>
      </c>
      <c r="CD30" s="131">
        <v>0</v>
      </c>
      <c r="CE30" s="129">
        <f t="shared" si="71"/>
        <v>1.5999999999991132E-2</v>
      </c>
      <c r="CF30" s="113">
        <v>0</v>
      </c>
      <c r="CG30" s="65">
        <v>0</v>
      </c>
      <c r="CH30" s="129">
        <f t="shared" si="72"/>
        <v>1.5999999999991132E-2</v>
      </c>
      <c r="CI30" s="113">
        <v>0</v>
      </c>
      <c r="CJ30" s="65">
        <v>0</v>
      </c>
      <c r="CK30" s="132">
        <f t="shared" si="73"/>
        <v>1.5999999999991132E-2</v>
      </c>
      <c r="CL30" s="117">
        <v>0</v>
      </c>
      <c r="CM30" s="71">
        <v>0</v>
      </c>
      <c r="CN30" s="129">
        <f t="shared" si="74"/>
        <v>1.5999999999991132E-2</v>
      </c>
      <c r="CO30" s="113">
        <v>0</v>
      </c>
      <c r="CP30" s="131">
        <v>0</v>
      </c>
      <c r="CQ30" s="129">
        <f t="shared" si="75"/>
        <v>1.5999999999991132E-2</v>
      </c>
      <c r="CR30" s="113">
        <v>0</v>
      </c>
      <c r="CS30" s="131">
        <v>0</v>
      </c>
      <c r="CT30" s="132">
        <f t="shared" si="76"/>
        <v>1.5999999999991132E-2</v>
      </c>
      <c r="CU30" s="119">
        <v>0</v>
      </c>
      <c r="CV30" s="131">
        <v>0</v>
      </c>
      <c r="CW30" s="129">
        <f t="shared" si="77"/>
        <v>1.5999999999991132E-2</v>
      </c>
      <c r="CX30" s="113">
        <v>0</v>
      </c>
      <c r="CY30" s="131">
        <v>0</v>
      </c>
      <c r="CZ30" s="129">
        <f t="shared" si="78"/>
        <v>1.5999999999991132E-2</v>
      </c>
      <c r="DA30" s="113">
        <v>0</v>
      </c>
      <c r="DB30" s="131">
        <v>0</v>
      </c>
      <c r="DC30" s="129">
        <f t="shared" si="79"/>
        <v>1.5999999999991132E-2</v>
      </c>
      <c r="DD30" s="113">
        <v>0</v>
      </c>
      <c r="DE30" s="131">
        <v>0</v>
      </c>
      <c r="DF30" s="129">
        <f t="shared" si="80"/>
        <v>1.5999999999991132E-2</v>
      </c>
      <c r="DG30" s="113">
        <v>0</v>
      </c>
      <c r="DH30" s="131">
        <v>0</v>
      </c>
      <c r="DI30" s="129">
        <f t="shared" si="81"/>
        <v>1.5999999999991132E-2</v>
      </c>
      <c r="DJ30" s="113">
        <v>0</v>
      </c>
      <c r="DK30" s="131">
        <v>0</v>
      </c>
      <c r="DL30" s="129">
        <v>0</v>
      </c>
      <c r="DM30" s="113">
        <v>0</v>
      </c>
      <c r="DN30" s="131">
        <v>0</v>
      </c>
      <c r="DO30" s="63">
        <f t="shared" si="82"/>
        <v>0</v>
      </c>
      <c r="DP30" s="113">
        <v>0</v>
      </c>
      <c r="DQ30" s="131">
        <v>0</v>
      </c>
      <c r="DR30" s="129">
        <f t="shared" si="83"/>
        <v>0</v>
      </c>
      <c r="DS30" s="113">
        <v>0</v>
      </c>
      <c r="DT30" s="131">
        <v>0</v>
      </c>
      <c r="DU30" s="129">
        <f t="shared" si="84"/>
        <v>0</v>
      </c>
      <c r="DV30" s="113">
        <v>0</v>
      </c>
      <c r="DW30" s="131">
        <v>0</v>
      </c>
      <c r="DX30" s="744">
        <f t="shared" si="85"/>
        <v>0</v>
      </c>
      <c r="DY30" s="113">
        <v>0</v>
      </c>
      <c r="DZ30" s="131">
        <v>0</v>
      </c>
      <c r="EA30" s="129">
        <f t="shared" si="86"/>
        <v>0</v>
      </c>
      <c r="EB30" s="113">
        <v>0</v>
      </c>
      <c r="EC30" s="131">
        <v>0</v>
      </c>
      <c r="ED30" s="129">
        <f t="shared" si="87"/>
        <v>0</v>
      </c>
      <c r="EE30" s="113">
        <v>0</v>
      </c>
      <c r="EF30" s="131">
        <v>0</v>
      </c>
      <c r="EG30" s="744">
        <f t="shared" si="88"/>
        <v>0</v>
      </c>
      <c r="EH30" s="113">
        <v>0</v>
      </c>
      <c r="EI30" s="131">
        <v>0</v>
      </c>
      <c r="EJ30" s="129">
        <f t="shared" si="89"/>
        <v>0</v>
      </c>
      <c r="EK30" s="113">
        <v>0</v>
      </c>
      <c r="EL30" s="131">
        <v>0</v>
      </c>
      <c r="EM30" s="129">
        <f t="shared" si="90"/>
        <v>0</v>
      </c>
      <c r="EN30" s="113">
        <v>0</v>
      </c>
      <c r="EO30" s="131">
        <v>0</v>
      </c>
      <c r="EP30" s="744">
        <f t="shared" si="91"/>
        <v>0</v>
      </c>
      <c r="EQ30" s="113">
        <v>0</v>
      </c>
      <c r="ER30" s="131">
        <v>0</v>
      </c>
      <c r="ES30" s="744">
        <f t="shared" si="92"/>
        <v>0</v>
      </c>
      <c r="ET30" s="113">
        <v>0</v>
      </c>
      <c r="EU30" s="131">
        <v>0</v>
      </c>
      <c r="EV30" s="744">
        <f t="shared" si="93"/>
        <v>0</v>
      </c>
      <c r="EW30" s="113">
        <v>0</v>
      </c>
      <c r="EX30" s="131">
        <v>0</v>
      </c>
      <c r="EY30" s="744">
        <f t="shared" si="94"/>
        <v>0</v>
      </c>
    </row>
    <row r="31" spans="1:155" ht="20.25" hidden="1" collapsed="1" thickBot="1">
      <c r="A31" s="110"/>
      <c r="B31" s="60"/>
      <c r="C31" s="111">
        <v>100241910</v>
      </c>
      <c r="D31" s="126" t="s">
        <v>340</v>
      </c>
      <c r="E31" s="63">
        <v>48.914999999999999</v>
      </c>
      <c r="F31" s="64">
        <v>0</v>
      </c>
      <c r="G31" s="65">
        <v>0</v>
      </c>
      <c r="H31" s="66">
        <f>(E31+F31)-(G31)</f>
        <v>48.914999999999999</v>
      </c>
      <c r="I31" s="67">
        <v>0</v>
      </c>
      <c r="J31" s="65">
        <v>48.914999999999999</v>
      </c>
      <c r="K31" s="66">
        <f>(H31+I31)-(J31)</f>
        <v>0</v>
      </c>
      <c r="L31" s="67">
        <v>33.594999999999999</v>
      </c>
      <c r="M31" s="68">
        <v>33.594999999999999</v>
      </c>
      <c r="N31" s="66">
        <f>(K31+L31)-(M31)</f>
        <v>0</v>
      </c>
      <c r="O31" s="67">
        <v>0</v>
      </c>
      <c r="P31" s="68">
        <v>0</v>
      </c>
      <c r="Q31" s="66">
        <f t="shared" si="95"/>
        <v>0</v>
      </c>
      <c r="R31" s="67">
        <v>0</v>
      </c>
      <c r="S31" s="68">
        <v>0</v>
      </c>
      <c r="T31" s="66">
        <f t="shared" si="96"/>
        <v>0</v>
      </c>
      <c r="U31" s="64">
        <v>0</v>
      </c>
      <c r="V31" s="65">
        <v>0</v>
      </c>
      <c r="W31" s="66">
        <f t="shared" si="97"/>
        <v>0</v>
      </c>
      <c r="X31" s="64">
        <v>0</v>
      </c>
      <c r="Y31" s="65">
        <v>0</v>
      </c>
      <c r="Z31" s="66">
        <f>(W31+X31)-(Y31)</f>
        <v>0</v>
      </c>
      <c r="AA31" s="64">
        <v>0</v>
      </c>
      <c r="AB31" s="65">
        <v>0</v>
      </c>
      <c r="AC31" s="66">
        <f t="shared" si="100"/>
        <v>0</v>
      </c>
      <c r="AD31" s="64">
        <v>0</v>
      </c>
      <c r="AE31" s="65">
        <v>0</v>
      </c>
      <c r="AF31" s="66">
        <f t="shared" si="98"/>
        <v>0</v>
      </c>
      <c r="AG31" s="64">
        <v>0</v>
      </c>
      <c r="AH31" s="65">
        <v>0</v>
      </c>
      <c r="AI31" s="66">
        <f t="shared" si="58"/>
        <v>0</v>
      </c>
      <c r="AJ31" s="64">
        <v>0</v>
      </c>
      <c r="AK31" s="65">
        <v>0</v>
      </c>
      <c r="AL31" s="66">
        <f t="shared" si="59"/>
        <v>0</v>
      </c>
      <c r="AM31" s="64">
        <v>0</v>
      </c>
      <c r="AN31" s="65">
        <v>0</v>
      </c>
      <c r="AO31" s="66">
        <f t="shared" si="60"/>
        <v>0</v>
      </c>
      <c r="AP31" s="64">
        <v>0</v>
      </c>
      <c r="AQ31" s="65">
        <v>0</v>
      </c>
      <c r="AR31" s="66">
        <f t="shared" si="99"/>
        <v>0</v>
      </c>
      <c r="AS31" s="64">
        <v>0</v>
      </c>
      <c r="AT31" s="65">
        <v>0</v>
      </c>
      <c r="AU31" s="63">
        <f t="shared" si="61"/>
        <v>0</v>
      </c>
      <c r="AV31" s="64">
        <v>0</v>
      </c>
      <c r="AW31" s="65">
        <v>0</v>
      </c>
      <c r="AX31" s="63">
        <f t="shared" si="62"/>
        <v>0</v>
      </c>
      <c r="AY31" s="64">
        <v>0</v>
      </c>
      <c r="AZ31" s="65">
        <v>0</v>
      </c>
      <c r="BA31" s="66">
        <f t="shared" si="63"/>
        <v>0</v>
      </c>
      <c r="BB31" s="64">
        <v>0</v>
      </c>
      <c r="BC31" s="65">
        <v>0</v>
      </c>
      <c r="BD31" s="66">
        <f>(BA31+BB31)-(BC31)</f>
        <v>0</v>
      </c>
      <c r="BE31" s="64">
        <v>0</v>
      </c>
      <c r="BF31" s="65">
        <v>0</v>
      </c>
      <c r="BG31" s="66">
        <v>0</v>
      </c>
      <c r="BH31" s="64">
        <v>0</v>
      </c>
      <c r="BI31" s="65">
        <v>0</v>
      </c>
      <c r="BJ31" s="66">
        <f t="shared" si="64"/>
        <v>0</v>
      </c>
      <c r="BK31" s="64">
        <v>0</v>
      </c>
      <c r="BL31" s="65">
        <v>0</v>
      </c>
      <c r="BM31" s="66">
        <f t="shared" si="65"/>
        <v>0</v>
      </c>
      <c r="BN31" s="113">
        <v>0</v>
      </c>
      <c r="BO31" s="65">
        <v>0</v>
      </c>
      <c r="BP31" s="66">
        <f t="shared" si="66"/>
        <v>0</v>
      </c>
      <c r="BQ31" s="113">
        <v>0</v>
      </c>
      <c r="BR31" s="65">
        <v>0</v>
      </c>
      <c r="BS31" s="66">
        <f t="shared" si="67"/>
        <v>0</v>
      </c>
      <c r="BT31" s="113">
        <v>0</v>
      </c>
      <c r="BU31" s="65">
        <v>0</v>
      </c>
      <c r="BV31" s="66">
        <f t="shared" si="68"/>
        <v>0</v>
      </c>
      <c r="BW31" s="113">
        <v>0</v>
      </c>
      <c r="BX31" s="65">
        <v>0</v>
      </c>
      <c r="BY31" s="66">
        <f t="shared" si="69"/>
        <v>0</v>
      </c>
      <c r="BZ31" s="113">
        <v>0</v>
      </c>
      <c r="CA31" s="65">
        <v>0</v>
      </c>
      <c r="CB31" s="66">
        <f t="shared" si="70"/>
        <v>0</v>
      </c>
      <c r="CC31" s="113">
        <v>0</v>
      </c>
      <c r="CD31" s="65">
        <v>0</v>
      </c>
      <c r="CE31" s="66">
        <f t="shared" si="71"/>
        <v>0</v>
      </c>
      <c r="CF31" s="113">
        <v>0</v>
      </c>
      <c r="CG31" s="65">
        <v>0</v>
      </c>
      <c r="CH31" s="66">
        <f t="shared" si="72"/>
        <v>0</v>
      </c>
      <c r="CI31" s="113">
        <v>0</v>
      </c>
      <c r="CJ31" s="65">
        <v>0</v>
      </c>
      <c r="CK31" s="72">
        <f t="shared" si="73"/>
        <v>0</v>
      </c>
      <c r="CL31" s="117">
        <v>0</v>
      </c>
      <c r="CM31" s="71">
        <v>0</v>
      </c>
      <c r="CN31" s="66">
        <f t="shared" si="74"/>
        <v>0</v>
      </c>
      <c r="CO31" s="113">
        <v>0</v>
      </c>
      <c r="CP31" s="65">
        <v>0</v>
      </c>
      <c r="CQ31" s="66">
        <f t="shared" si="75"/>
        <v>0</v>
      </c>
      <c r="CR31" s="113">
        <v>0</v>
      </c>
      <c r="CS31" s="65">
        <v>0</v>
      </c>
      <c r="CT31" s="72">
        <f t="shared" si="76"/>
        <v>0</v>
      </c>
      <c r="CU31" s="119">
        <v>0</v>
      </c>
      <c r="CV31" s="65">
        <v>0</v>
      </c>
      <c r="CW31" s="66">
        <f t="shared" si="77"/>
        <v>0</v>
      </c>
      <c r="CX31" s="113">
        <v>0</v>
      </c>
      <c r="CY31" s="65">
        <v>0</v>
      </c>
      <c r="CZ31" s="66">
        <f t="shared" si="78"/>
        <v>0</v>
      </c>
      <c r="DA31" s="113">
        <v>0</v>
      </c>
      <c r="DB31" s="65">
        <v>0</v>
      </c>
      <c r="DC31" s="66">
        <f t="shared" si="79"/>
        <v>0</v>
      </c>
      <c r="DD31" s="113">
        <v>0</v>
      </c>
      <c r="DE31" s="65">
        <v>0</v>
      </c>
      <c r="DF31" s="66">
        <f t="shared" si="80"/>
        <v>0</v>
      </c>
      <c r="DG31" s="113">
        <v>0</v>
      </c>
      <c r="DH31" s="65">
        <v>0</v>
      </c>
      <c r="DI31" s="66">
        <f t="shared" si="81"/>
        <v>0</v>
      </c>
      <c r="DJ31" s="113">
        <v>0</v>
      </c>
      <c r="DK31" s="65">
        <v>0</v>
      </c>
      <c r="DL31" s="66">
        <v>0</v>
      </c>
      <c r="DM31" s="113">
        <v>0</v>
      </c>
      <c r="DN31" s="65">
        <v>0</v>
      </c>
      <c r="DO31" s="63">
        <f t="shared" si="82"/>
        <v>0</v>
      </c>
      <c r="DP31" s="113">
        <v>0</v>
      </c>
      <c r="DQ31" s="65">
        <v>0</v>
      </c>
      <c r="DR31" s="66">
        <f t="shared" si="83"/>
        <v>0</v>
      </c>
      <c r="DS31" s="113">
        <v>0</v>
      </c>
      <c r="DT31" s="65">
        <v>0</v>
      </c>
      <c r="DU31" s="66">
        <f t="shared" si="84"/>
        <v>0</v>
      </c>
      <c r="DV31" s="113">
        <v>0</v>
      </c>
      <c r="DW31" s="65">
        <v>0</v>
      </c>
      <c r="DX31" s="744">
        <f t="shared" si="85"/>
        <v>0</v>
      </c>
      <c r="DY31" s="113">
        <v>0</v>
      </c>
      <c r="DZ31" s="65">
        <v>0</v>
      </c>
      <c r="EA31" s="66">
        <f t="shared" si="86"/>
        <v>0</v>
      </c>
      <c r="EB31" s="113">
        <v>0</v>
      </c>
      <c r="EC31" s="65">
        <v>0</v>
      </c>
      <c r="ED31" s="66">
        <f t="shared" si="87"/>
        <v>0</v>
      </c>
      <c r="EE31" s="113">
        <v>0</v>
      </c>
      <c r="EF31" s="65">
        <v>0</v>
      </c>
      <c r="EG31" s="744">
        <f t="shared" si="88"/>
        <v>0</v>
      </c>
      <c r="EH31" s="113">
        <v>0</v>
      </c>
      <c r="EI31" s="65">
        <v>0</v>
      </c>
      <c r="EJ31" s="66">
        <f t="shared" si="89"/>
        <v>0</v>
      </c>
      <c r="EK31" s="113">
        <v>0</v>
      </c>
      <c r="EL31" s="65">
        <v>0</v>
      </c>
      <c r="EM31" s="66">
        <f t="shared" si="90"/>
        <v>0</v>
      </c>
      <c r="EN31" s="113">
        <v>0</v>
      </c>
      <c r="EO31" s="65">
        <v>0</v>
      </c>
      <c r="EP31" s="744">
        <f t="shared" si="91"/>
        <v>0</v>
      </c>
      <c r="EQ31" s="113">
        <v>0</v>
      </c>
      <c r="ER31" s="65">
        <v>0</v>
      </c>
      <c r="ES31" s="744">
        <f t="shared" si="92"/>
        <v>0</v>
      </c>
      <c r="ET31" s="113">
        <v>0</v>
      </c>
      <c r="EU31" s="65">
        <v>0</v>
      </c>
      <c r="EV31" s="744">
        <f t="shared" si="93"/>
        <v>0</v>
      </c>
      <c r="EW31" s="113">
        <v>0</v>
      </c>
      <c r="EX31" s="65">
        <v>0</v>
      </c>
      <c r="EY31" s="744">
        <f t="shared" si="94"/>
        <v>0</v>
      </c>
    </row>
    <row r="32" spans="1:155" s="20" customFormat="1" ht="20.25" hidden="1" collapsed="1" thickBot="1">
      <c r="A32" s="59"/>
      <c r="B32" s="60"/>
      <c r="C32" s="111">
        <v>100241910</v>
      </c>
      <c r="D32" s="126" t="s">
        <v>94</v>
      </c>
      <c r="E32" s="63">
        <v>2198.11</v>
      </c>
      <c r="F32" s="64">
        <v>0</v>
      </c>
      <c r="G32" s="65">
        <v>0</v>
      </c>
      <c r="H32" s="63">
        <f>E32+F32-G32</f>
        <v>2198.11</v>
      </c>
      <c r="I32" s="64">
        <v>0</v>
      </c>
      <c r="J32" s="65">
        <v>0</v>
      </c>
      <c r="K32" s="63">
        <f>H32+I32-J32</f>
        <v>2198.11</v>
      </c>
      <c r="L32" s="64">
        <v>0</v>
      </c>
      <c r="M32" s="65">
        <v>0</v>
      </c>
      <c r="N32" s="63">
        <f>(K32+L32)-(M32)-2.6</f>
        <v>2195.5100000000002</v>
      </c>
      <c r="O32" s="64">
        <v>0</v>
      </c>
      <c r="P32" s="65">
        <v>0</v>
      </c>
      <c r="Q32" s="63">
        <f t="shared" si="95"/>
        <v>2195.5100000000002</v>
      </c>
      <c r="R32" s="64">
        <v>0</v>
      </c>
      <c r="S32" s="65">
        <v>0</v>
      </c>
      <c r="T32" s="63">
        <f t="shared" si="96"/>
        <v>2195.5100000000002</v>
      </c>
      <c r="U32" s="64">
        <v>-0.34300000000000003</v>
      </c>
      <c r="V32" s="65">
        <v>5.0000000000000001E-3</v>
      </c>
      <c r="W32" s="63">
        <f t="shared" si="97"/>
        <v>2195.1620000000003</v>
      </c>
      <c r="X32" s="64">
        <v>0</v>
      </c>
      <c r="Y32" s="65">
        <v>0</v>
      </c>
      <c r="Z32" s="63">
        <v>2195.1129999999998</v>
      </c>
      <c r="AA32" s="64">
        <v>-0.2</v>
      </c>
      <c r="AB32" s="65">
        <v>0.2</v>
      </c>
      <c r="AC32" s="63">
        <f t="shared" si="100"/>
        <v>2194.7130000000002</v>
      </c>
      <c r="AD32" s="64">
        <v>0</v>
      </c>
      <c r="AE32" s="65">
        <v>0</v>
      </c>
      <c r="AF32" s="63">
        <f t="shared" si="98"/>
        <v>2194.7130000000002</v>
      </c>
      <c r="AG32" s="64">
        <v>0</v>
      </c>
      <c r="AH32" s="65">
        <v>0</v>
      </c>
      <c r="AI32" s="63">
        <f t="shared" si="58"/>
        <v>2194.7130000000002</v>
      </c>
      <c r="AJ32" s="64">
        <v>-1.99</v>
      </c>
      <c r="AK32" s="65">
        <v>0.42</v>
      </c>
      <c r="AL32" s="63">
        <v>2192.3029999999999</v>
      </c>
      <c r="AM32" s="64">
        <v>-2.5790000000000002</v>
      </c>
      <c r="AN32" s="65">
        <v>0</v>
      </c>
      <c r="AO32" s="63">
        <f t="shared" si="60"/>
        <v>2189.7239999999997</v>
      </c>
      <c r="AP32" s="64">
        <v>1.3169999999999999</v>
      </c>
      <c r="AQ32" s="65">
        <v>6.45</v>
      </c>
      <c r="AR32" s="63">
        <f t="shared" si="99"/>
        <v>2184.5909999999999</v>
      </c>
      <c r="AS32" s="64">
        <v>-19.334</v>
      </c>
      <c r="AT32" s="65">
        <v>316.63600000000002</v>
      </c>
      <c r="AU32" s="63">
        <f t="shared" si="61"/>
        <v>1848.6210000000001</v>
      </c>
      <c r="AV32" s="64">
        <v>-12.237</v>
      </c>
      <c r="AW32" s="65">
        <v>299.95999999999998</v>
      </c>
      <c r="AX32" s="63">
        <f t="shared" si="62"/>
        <v>1536.424</v>
      </c>
      <c r="AY32" s="64">
        <v>-21.597999999999999</v>
      </c>
      <c r="AZ32" s="65">
        <v>53.097999999999999</v>
      </c>
      <c r="BA32" s="63">
        <f t="shared" si="63"/>
        <v>1461.7280000000001</v>
      </c>
      <c r="BB32" s="64">
        <v>-5.36</v>
      </c>
      <c r="BC32" s="65">
        <v>513.01800000000003</v>
      </c>
      <c r="BD32" s="63">
        <v>943.57600000000002</v>
      </c>
      <c r="BE32" s="64">
        <v>0</v>
      </c>
      <c r="BF32" s="65">
        <v>0</v>
      </c>
      <c r="BG32" s="63">
        <v>943.57600000000002</v>
      </c>
      <c r="BH32" s="64">
        <v>0</v>
      </c>
      <c r="BI32" s="65">
        <v>0</v>
      </c>
      <c r="BJ32" s="63">
        <f t="shared" si="64"/>
        <v>943.57600000000002</v>
      </c>
      <c r="BK32" s="64">
        <v>0</v>
      </c>
      <c r="BL32" s="65">
        <v>0</v>
      </c>
      <c r="BM32" s="63">
        <f t="shared" si="65"/>
        <v>943.57600000000002</v>
      </c>
      <c r="BN32" s="113">
        <v>0</v>
      </c>
      <c r="BO32" s="65">
        <v>0</v>
      </c>
      <c r="BP32" s="63">
        <f t="shared" si="66"/>
        <v>943.57600000000002</v>
      </c>
      <c r="BQ32" s="113">
        <v>0</v>
      </c>
      <c r="BR32" s="65">
        <v>0</v>
      </c>
      <c r="BS32" s="63">
        <f t="shared" si="67"/>
        <v>943.57600000000002</v>
      </c>
      <c r="BT32" s="113">
        <v>0</v>
      </c>
      <c r="BU32" s="65">
        <v>0</v>
      </c>
      <c r="BV32" s="63">
        <f t="shared" si="68"/>
        <v>943.57600000000002</v>
      </c>
      <c r="BW32" s="113">
        <v>0</v>
      </c>
      <c r="BX32" s="65">
        <v>0</v>
      </c>
      <c r="BY32" s="63">
        <f t="shared" si="69"/>
        <v>943.57600000000002</v>
      </c>
      <c r="BZ32" s="113">
        <v>0</v>
      </c>
      <c r="CA32" s="65">
        <v>0</v>
      </c>
      <c r="CB32" s="63">
        <f t="shared" si="70"/>
        <v>943.57600000000002</v>
      </c>
      <c r="CC32" s="113">
        <v>0</v>
      </c>
      <c r="CD32" s="65">
        <v>0</v>
      </c>
      <c r="CE32" s="63">
        <f t="shared" si="71"/>
        <v>943.57600000000002</v>
      </c>
      <c r="CF32" s="113">
        <v>0</v>
      </c>
      <c r="CG32" s="65">
        <v>0</v>
      </c>
      <c r="CH32" s="63">
        <f t="shared" si="72"/>
        <v>943.57600000000002</v>
      </c>
      <c r="CI32" s="113">
        <v>0</v>
      </c>
      <c r="CJ32" s="65">
        <v>0</v>
      </c>
      <c r="CK32" s="69">
        <f t="shared" si="73"/>
        <v>943.57600000000002</v>
      </c>
      <c r="CL32" s="117">
        <v>0</v>
      </c>
      <c r="CM32" s="71">
        <v>0</v>
      </c>
      <c r="CN32" s="63">
        <f t="shared" si="74"/>
        <v>943.57600000000002</v>
      </c>
      <c r="CO32" s="113">
        <v>0</v>
      </c>
      <c r="CP32" s="65">
        <v>0</v>
      </c>
      <c r="CQ32" s="63">
        <f t="shared" si="75"/>
        <v>943.57600000000002</v>
      </c>
      <c r="CR32" s="113">
        <v>0</v>
      </c>
      <c r="CS32" s="65">
        <v>0</v>
      </c>
      <c r="CT32" s="69">
        <f t="shared" si="76"/>
        <v>943.57600000000002</v>
      </c>
      <c r="CU32" s="119">
        <v>0</v>
      </c>
      <c r="CV32" s="65">
        <v>0</v>
      </c>
      <c r="CW32" s="63">
        <f t="shared" si="77"/>
        <v>943.57600000000002</v>
      </c>
      <c r="CX32" s="113">
        <v>0</v>
      </c>
      <c r="CY32" s="65">
        <v>0</v>
      </c>
      <c r="CZ32" s="63">
        <f t="shared" si="78"/>
        <v>943.57600000000002</v>
      </c>
      <c r="DA32" s="113">
        <v>0</v>
      </c>
      <c r="DB32" s="65">
        <v>0</v>
      </c>
      <c r="DC32" s="63">
        <f t="shared" si="79"/>
        <v>943.57600000000002</v>
      </c>
      <c r="DD32" s="113">
        <v>0</v>
      </c>
      <c r="DE32" s="65">
        <v>0</v>
      </c>
      <c r="DF32" s="63">
        <f t="shared" si="80"/>
        <v>943.57600000000002</v>
      </c>
      <c r="DG32" s="113">
        <v>0</v>
      </c>
      <c r="DH32" s="65">
        <v>0</v>
      </c>
      <c r="DI32" s="63">
        <f t="shared" si="81"/>
        <v>943.57600000000002</v>
      </c>
      <c r="DJ32" s="113">
        <v>0</v>
      </c>
      <c r="DK32" s="65">
        <v>0</v>
      </c>
      <c r="DL32" s="63">
        <v>0</v>
      </c>
      <c r="DM32" s="113">
        <v>0</v>
      </c>
      <c r="DN32" s="65">
        <v>0</v>
      </c>
      <c r="DO32" s="63">
        <f t="shared" si="82"/>
        <v>0</v>
      </c>
      <c r="DP32" s="113">
        <v>0</v>
      </c>
      <c r="DQ32" s="65">
        <v>0</v>
      </c>
      <c r="DR32" s="63">
        <f t="shared" si="83"/>
        <v>0</v>
      </c>
      <c r="DS32" s="113">
        <v>0</v>
      </c>
      <c r="DT32" s="65">
        <v>0</v>
      </c>
      <c r="DU32" s="63">
        <f t="shared" si="84"/>
        <v>0</v>
      </c>
      <c r="DV32" s="113">
        <v>0</v>
      </c>
      <c r="DW32" s="65">
        <v>0</v>
      </c>
      <c r="DX32" s="744">
        <f t="shared" si="85"/>
        <v>0</v>
      </c>
      <c r="DY32" s="113">
        <v>0</v>
      </c>
      <c r="DZ32" s="65">
        <v>0</v>
      </c>
      <c r="EA32" s="63">
        <f t="shared" si="86"/>
        <v>0</v>
      </c>
      <c r="EB32" s="113">
        <v>0</v>
      </c>
      <c r="EC32" s="65">
        <v>0</v>
      </c>
      <c r="ED32" s="63">
        <f t="shared" si="87"/>
        <v>0</v>
      </c>
      <c r="EE32" s="113">
        <v>0</v>
      </c>
      <c r="EF32" s="65">
        <v>0</v>
      </c>
      <c r="EG32" s="744">
        <f t="shared" si="88"/>
        <v>0</v>
      </c>
      <c r="EH32" s="113">
        <v>0</v>
      </c>
      <c r="EI32" s="65">
        <v>0</v>
      </c>
      <c r="EJ32" s="63">
        <f t="shared" si="89"/>
        <v>0</v>
      </c>
      <c r="EK32" s="113">
        <v>0</v>
      </c>
      <c r="EL32" s="65">
        <v>0</v>
      </c>
      <c r="EM32" s="63">
        <f t="shared" si="90"/>
        <v>0</v>
      </c>
      <c r="EN32" s="113">
        <v>0</v>
      </c>
      <c r="EO32" s="65">
        <v>0</v>
      </c>
      <c r="EP32" s="744">
        <f t="shared" si="91"/>
        <v>0</v>
      </c>
      <c r="EQ32" s="113">
        <v>0</v>
      </c>
      <c r="ER32" s="65">
        <v>0</v>
      </c>
      <c r="ES32" s="744">
        <f t="shared" si="92"/>
        <v>0</v>
      </c>
      <c r="ET32" s="113">
        <v>0</v>
      </c>
      <c r="EU32" s="65">
        <v>0</v>
      </c>
      <c r="EV32" s="744">
        <f t="shared" si="93"/>
        <v>0</v>
      </c>
      <c r="EW32" s="113">
        <v>0</v>
      </c>
      <c r="EX32" s="65">
        <v>0</v>
      </c>
      <c r="EY32" s="744">
        <f t="shared" si="94"/>
        <v>0</v>
      </c>
    </row>
    <row r="33" spans="1:155" s="20" customFormat="1" ht="20.25" hidden="1" collapsed="1" thickBot="1">
      <c r="A33" s="59"/>
      <c r="B33" s="60"/>
      <c r="C33" s="120" t="s">
        <v>57</v>
      </c>
      <c r="D33" s="126" t="s">
        <v>341</v>
      </c>
      <c r="E33" s="77">
        <v>1.0000000000021101E-3</v>
      </c>
      <c r="F33" s="78">
        <v>48.618000000000002</v>
      </c>
      <c r="G33" s="79">
        <v>-7.3999999999999996E-2</v>
      </c>
      <c r="H33" s="77">
        <f>(E33+F33)-(G33)</f>
        <v>48.693000000000005</v>
      </c>
      <c r="I33" s="78">
        <v>2.0819999999999999</v>
      </c>
      <c r="J33" s="79">
        <v>50.5</v>
      </c>
      <c r="K33" s="77">
        <v>0.90100000000000002</v>
      </c>
      <c r="L33" s="78">
        <v>134.37100000000001</v>
      </c>
      <c r="M33" s="79">
        <v>134.37100000000001</v>
      </c>
      <c r="N33" s="77">
        <f>(K33+L33)-(M33)</f>
        <v>0.90100000000001046</v>
      </c>
      <c r="O33" s="78">
        <v>0</v>
      </c>
      <c r="P33" s="79">
        <v>0</v>
      </c>
      <c r="Q33" s="77">
        <f t="shared" si="95"/>
        <v>0.90100000000001046</v>
      </c>
      <c r="R33" s="78">
        <v>0</v>
      </c>
      <c r="S33" s="79">
        <v>0</v>
      </c>
      <c r="T33" s="77">
        <f t="shared" si="96"/>
        <v>0.90100000000001046</v>
      </c>
      <c r="U33" s="64">
        <v>0</v>
      </c>
      <c r="V33" s="65">
        <v>0</v>
      </c>
      <c r="W33" s="63">
        <f t="shared" si="97"/>
        <v>0.90100000000001046</v>
      </c>
      <c r="X33" s="64">
        <v>0</v>
      </c>
      <c r="Y33" s="65">
        <v>0</v>
      </c>
      <c r="Z33" s="63">
        <f t="shared" ref="Z33:Z45" si="101">(W33+X33)-(Y33)</f>
        <v>0.90100000000001046</v>
      </c>
      <c r="AA33" s="64">
        <v>0</v>
      </c>
      <c r="AB33" s="65">
        <v>0</v>
      </c>
      <c r="AC33" s="63">
        <f t="shared" si="100"/>
        <v>0.90100000000001046</v>
      </c>
      <c r="AD33" s="64">
        <v>0</v>
      </c>
      <c r="AE33" s="65">
        <v>0</v>
      </c>
      <c r="AF33" s="63">
        <f t="shared" si="98"/>
        <v>0.90100000000001046</v>
      </c>
      <c r="AG33" s="64">
        <v>0</v>
      </c>
      <c r="AH33" s="65">
        <v>0</v>
      </c>
      <c r="AI33" s="63">
        <f t="shared" si="58"/>
        <v>0.90100000000001046</v>
      </c>
      <c r="AJ33" s="64">
        <v>0</v>
      </c>
      <c r="AK33" s="65">
        <v>0</v>
      </c>
      <c r="AL33" s="63">
        <f t="shared" ref="AL33:AL45" si="102">(AI33+AJ33)-(AK33)</f>
        <v>0.90100000000001046</v>
      </c>
      <c r="AM33" s="64">
        <v>0</v>
      </c>
      <c r="AN33" s="65">
        <v>0</v>
      </c>
      <c r="AO33" s="63">
        <f t="shared" si="60"/>
        <v>0.90100000000001046</v>
      </c>
      <c r="AP33" s="64">
        <v>0</v>
      </c>
      <c r="AQ33" s="65">
        <v>0</v>
      </c>
      <c r="AR33" s="63">
        <f t="shared" si="99"/>
        <v>0.90100000000001046</v>
      </c>
      <c r="AS33" s="64">
        <v>-0.90100000000000002</v>
      </c>
      <c r="AT33" s="65">
        <v>0</v>
      </c>
      <c r="AU33" s="63">
        <f t="shared" si="61"/>
        <v>1.0436096431476471E-14</v>
      </c>
      <c r="AV33" s="64">
        <v>0</v>
      </c>
      <c r="AW33" s="65">
        <v>0</v>
      </c>
      <c r="AX33" s="63">
        <f t="shared" si="62"/>
        <v>1.0436096431476471E-14</v>
      </c>
      <c r="AY33" s="64">
        <v>0</v>
      </c>
      <c r="AZ33" s="65">
        <v>0</v>
      </c>
      <c r="BA33" s="63">
        <f t="shared" si="63"/>
        <v>1.0436096431476471E-14</v>
      </c>
      <c r="BB33" s="64">
        <v>0</v>
      </c>
      <c r="BC33" s="65">
        <v>0</v>
      </c>
      <c r="BD33" s="63">
        <f>(BA33+BB33)-(BC33)</f>
        <v>1.0436096431476471E-14</v>
      </c>
      <c r="BE33" s="64">
        <v>0</v>
      </c>
      <c r="BF33" s="65">
        <v>0</v>
      </c>
      <c r="BG33" s="63">
        <v>1.0436096431476471E-14</v>
      </c>
      <c r="BH33" s="64">
        <v>0</v>
      </c>
      <c r="BI33" s="65">
        <v>0</v>
      </c>
      <c r="BJ33" s="63">
        <f t="shared" si="64"/>
        <v>1.0436096431476471E-14</v>
      </c>
      <c r="BK33" s="64">
        <v>0</v>
      </c>
      <c r="BL33" s="65">
        <v>0</v>
      </c>
      <c r="BM33" s="63">
        <f t="shared" si="65"/>
        <v>1.0436096431476471E-14</v>
      </c>
      <c r="BN33" s="113">
        <v>0</v>
      </c>
      <c r="BO33" s="65">
        <v>0</v>
      </c>
      <c r="BP33" s="63">
        <f t="shared" si="66"/>
        <v>1.0436096431476471E-14</v>
      </c>
      <c r="BQ33" s="113">
        <v>0</v>
      </c>
      <c r="BR33" s="65">
        <v>0</v>
      </c>
      <c r="BS33" s="63">
        <f t="shared" si="67"/>
        <v>1.0436096431476471E-14</v>
      </c>
      <c r="BT33" s="113">
        <v>0</v>
      </c>
      <c r="BU33" s="65">
        <v>0</v>
      </c>
      <c r="BV33" s="63">
        <f t="shared" si="68"/>
        <v>1.0436096431476471E-14</v>
      </c>
      <c r="BW33" s="113">
        <v>0</v>
      </c>
      <c r="BX33" s="65">
        <v>0</v>
      </c>
      <c r="BY33" s="63">
        <f t="shared" si="69"/>
        <v>1.0436096431476471E-14</v>
      </c>
      <c r="BZ33" s="113">
        <v>0</v>
      </c>
      <c r="CA33" s="65">
        <v>0</v>
      </c>
      <c r="CB33" s="63">
        <f t="shared" si="70"/>
        <v>1.0436096431476471E-14</v>
      </c>
      <c r="CC33" s="113">
        <v>0</v>
      </c>
      <c r="CD33" s="65">
        <v>0</v>
      </c>
      <c r="CE33" s="63">
        <f t="shared" si="71"/>
        <v>1.0436096431476471E-14</v>
      </c>
      <c r="CF33" s="113">
        <v>0</v>
      </c>
      <c r="CG33" s="65">
        <v>0</v>
      </c>
      <c r="CH33" s="63">
        <f t="shared" si="72"/>
        <v>1.0436096431476471E-14</v>
      </c>
      <c r="CI33" s="113">
        <v>0</v>
      </c>
      <c r="CJ33" s="65">
        <v>0</v>
      </c>
      <c r="CK33" s="69">
        <f t="shared" si="73"/>
        <v>1.0436096431476471E-14</v>
      </c>
      <c r="CL33" s="117">
        <v>0</v>
      </c>
      <c r="CM33" s="71">
        <v>0</v>
      </c>
      <c r="CN33" s="63">
        <f t="shared" si="74"/>
        <v>1.0436096431476471E-14</v>
      </c>
      <c r="CO33" s="113">
        <v>0</v>
      </c>
      <c r="CP33" s="65">
        <v>0</v>
      </c>
      <c r="CQ33" s="63">
        <f t="shared" si="75"/>
        <v>1.0436096431476471E-14</v>
      </c>
      <c r="CR33" s="113">
        <v>0</v>
      </c>
      <c r="CS33" s="65">
        <v>0</v>
      </c>
      <c r="CT33" s="69">
        <f t="shared" si="76"/>
        <v>1.0436096431476471E-14</v>
      </c>
      <c r="CU33" s="119">
        <v>0</v>
      </c>
      <c r="CV33" s="65">
        <v>0</v>
      </c>
      <c r="CW33" s="63">
        <f t="shared" si="77"/>
        <v>1.0436096431476471E-14</v>
      </c>
      <c r="CX33" s="113">
        <v>0</v>
      </c>
      <c r="CY33" s="65">
        <v>0</v>
      </c>
      <c r="CZ33" s="63">
        <f t="shared" si="78"/>
        <v>1.0436096431476471E-14</v>
      </c>
      <c r="DA33" s="113">
        <v>0</v>
      </c>
      <c r="DB33" s="65">
        <v>0</v>
      </c>
      <c r="DC33" s="63">
        <f t="shared" si="79"/>
        <v>1.0436096431476471E-14</v>
      </c>
      <c r="DD33" s="113">
        <v>0</v>
      </c>
      <c r="DE33" s="65">
        <v>0</v>
      </c>
      <c r="DF33" s="63">
        <f t="shared" si="80"/>
        <v>1.0436096431476471E-14</v>
      </c>
      <c r="DG33" s="113">
        <v>0</v>
      </c>
      <c r="DH33" s="65">
        <v>0</v>
      </c>
      <c r="DI33" s="63">
        <f t="shared" si="81"/>
        <v>1.0436096431476471E-14</v>
      </c>
      <c r="DJ33" s="113">
        <v>0</v>
      </c>
      <c r="DK33" s="65">
        <v>0</v>
      </c>
      <c r="DL33" s="63">
        <v>0</v>
      </c>
      <c r="DM33" s="113">
        <v>0</v>
      </c>
      <c r="DN33" s="65">
        <v>0</v>
      </c>
      <c r="DO33" s="63">
        <f t="shared" si="82"/>
        <v>0</v>
      </c>
      <c r="DP33" s="113">
        <v>0</v>
      </c>
      <c r="DQ33" s="65">
        <v>0</v>
      </c>
      <c r="DR33" s="63">
        <f t="shared" si="83"/>
        <v>0</v>
      </c>
      <c r="DS33" s="113">
        <v>0</v>
      </c>
      <c r="DT33" s="65">
        <v>0</v>
      </c>
      <c r="DU33" s="63">
        <f t="shared" si="84"/>
        <v>0</v>
      </c>
      <c r="DV33" s="113">
        <v>0</v>
      </c>
      <c r="DW33" s="65">
        <v>0</v>
      </c>
      <c r="DX33" s="744">
        <f t="shared" si="85"/>
        <v>0</v>
      </c>
      <c r="DY33" s="113">
        <v>0</v>
      </c>
      <c r="DZ33" s="65">
        <v>0</v>
      </c>
      <c r="EA33" s="63">
        <f t="shared" si="86"/>
        <v>0</v>
      </c>
      <c r="EB33" s="113">
        <v>0</v>
      </c>
      <c r="EC33" s="65">
        <v>0</v>
      </c>
      <c r="ED33" s="63">
        <f t="shared" si="87"/>
        <v>0</v>
      </c>
      <c r="EE33" s="113">
        <v>0</v>
      </c>
      <c r="EF33" s="65">
        <v>0</v>
      </c>
      <c r="EG33" s="744">
        <f t="shared" si="88"/>
        <v>0</v>
      </c>
      <c r="EH33" s="113">
        <v>0</v>
      </c>
      <c r="EI33" s="65">
        <v>0</v>
      </c>
      <c r="EJ33" s="63">
        <f t="shared" si="89"/>
        <v>0</v>
      </c>
      <c r="EK33" s="113">
        <v>0</v>
      </c>
      <c r="EL33" s="65">
        <v>0</v>
      </c>
      <c r="EM33" s="63">
        <f t="shared" si="90"/>
        <v>0</v>
      </c>
      <c r="EN33" s="113">
        <v>0</v>
      </c>
      <c r="EO33" s="65">
        <v>0</v>
      </c>
      <c r="EP33" s="744">
        <f t="shared" si="91"/>
        <v>0</v>
      </c>
      <c r="EQ33" s="113">
        <v>0</v>
      </c>
      <c r="ER33" s="65">
        <v>0</v>
      </c>
      <c r="ES33" s="744">
        <f t="shared" si="92"/>
        <v>0</v>
      </c>
      <c r="ET33" s="113">
        <v>0</v>
      </c>
      <c r="EU33" s="65">
        <v>0</v>
      </c>
      <c r="EV33" s="744">
        <f t="shared" si="93"/>
        <v>0</v>
      </c>
      <c r="EW33" s="113">
        <v>0</v>
      </c>
      <c r="EX33" s="65">
        <v>0</v>
      </c>
      <c r="EY33" s="744">
        <f t="shared" si="94"/>
        <v>0</v>
      </c>
    </row>
    <row r="34" spans="1:155" s="20" customFormat="1" ht="20.25" hidden="1" collapsed="1" thickBot="1">
      <c r="A34" s="59"/>
      <c r="B34" s="60"/>
      <c r="C34" s="111">
        <v>100440211</v>
      </c>
      <c r="D34" s="134" t="s">
        <v>97</v>
      </c>
      <c r="E34" s="63">
        <v>0</v>
      </c>
      <c r="F34" s="64">
        <v>0</v>
      </c>
      <c r="G34" s="65">
        <v>0</v>
      </c>
      <c r="H34" s="63">
        <f>(E34+F34)-(G34)</f>
        <v>0</v>
      </c>
      <c r="I34" s="64">
        <v>0</v>
      </c>
      <c r="J34" s="65">
        <v>0</v>
      </c>
      <c r="K34" s="63">
        <f>(H34+I34)-(J34)</f>
        <v>0</v>
      </c>
      <c r="L34" s="64">
        <v>0</v>
      </c>
      <c r="M34" s="65">
        <v>0</v>
      </c>
      <c r="N34" s="63">
        <f>(K34+L34)-(M34)</f>
        <v>0</v>
      </c>
      <c r="O34" s="64">
        <v>270.14999999999998</v>
      </c>
      <c r="P34" s="65">
        <v>244.8</v>
      </c>
      <c r="Q34" s="63">
        <f t="shared" si="95"/>
        <v>25.349999999999966</v>
      </c>
      <c r="R34" s="64">
        <v>261.60000000000002</v>
      </c>
      <c r="S34" s="65">
        <v>249.8</v>
      </c>
      <c r="T34" s="63">
        <f t="shared" si="96"/>
        <v>37.149999999999977</v>
      </c>
      <c r="U34" s="64">
        <v>261.53800000000001</v>
      </c>
      <c r="V34" s="65">
        <v>259.89499999999998</v>
      </c>
      <c r="W34" s="63">
        <f t="shared" si="97"/>
        <v>38.793000000000006</v>
      </c>
      <c r="X34" s="64">
        <v>404.18099999999998</v>
      </c>
      <c r="Y34" s="65">
        <v>326.3</v>
      </c>
      <c r="Z34" s="63">
        <f t="shared" si="101"/>
        <v>116.67399999999998</v>
      </c>
      <c r="AA34" s="64">
        <v>520.37</v>
      </c>
      <c r="AB34" s="65">
        <v>456.4</v>
      </c>
      <c r="AC34" s="63">
        <f t="shared" si="100"/>
        <v>180.64400000000001</v>
      </c>
      <c r="AD34" s="64">
        <v>952.75</v>
      </c>
      <c r="AE34" s="65">
        <v>720</v>
      </c>
      <c r="AF34" s="63">
        <f t="shared" si="98"/>
        <v>413.39400000000001</v>
      </c>
      <c r="AG34" s="64">
        <v>554.61</v>
      </c>
      <c r="AH34" s="65">
        <v>518.9</v>
      </c>
      <c r="AI34" s="63">
        <f t="shared" si="58"/>
        <v>449.10400000000004</v>
      </c>
      <c r="AJ34" s="64">
        <v>23.954999999999998</v>
      </c>
      <c r="AK34" s="65">
        <v>468.18599999999998</v>
      </c>
      <c r="AL34" s="63">
        <f t="shared" si="102"/>
        <v>4.8730000000000473</v>
      </c>
      <c r="AM34" s="64">
        <v>15.068</v>
      </c>
      <c r="AN34" s="65">
        <v>-4.0000000000000001E-3</v>
      </c>
      <c r="AO34" s="63">
        <f t="shared" si="60"/>
        <v>19.945000000000046</v>
      </c>
      <c r="AP34" s="64">
        <v>47.97</v>
      </c>
      <c r="AQ34" s="65">
        <v>0</v>
      </c>
      <c r="AR34" s="63">
        <v>63.037999999999997</v>
      </c>
      <c r="AS34" s="64">
        <v>877.755</v>
      </c>
      <c r="AT34" s="65">
        <v>865.44399999999996</v>
      </c>
      <c r="AU34" s="63">
        <f t="shared" si="61"/>
        <v>75.349000000000046</v>
      </c>
      <c r="AV34" s="64">
        <v>437.13499999999999</v>
      </c>
      <c r="AW34" s="65">
        <v>392.57799999999997</v>
      </c>
      <c r="AX34" s="63">
        <f t="shared" si="62"/>
        <v>119.90600000000006</v>
      </c>
      <c r="AY34" s="64">
        <v>298.77699999999999</v>
      </c>
      <c r="AZ34" s="65">
        <v>318.95499999999998</v>
      </c>
      <c r="BA34" s="63">
        <f t="shared" si="63"/>
        <v>99.728000000000065</v>
      </c>
      <c r="BB34" s="64">
        <v>262.18200000000002</v>
      </c>
      <c r="BC34" s="65">
        <v>361.91</v>
      </c>
      <c r="BD34" s="63">
        <f>(BA34+BB34)-(BC34)</f>
        <v>0</v>
      </c>
      <c r="BE34" s="64">
        <v>0</v>
      </c>
      <c r="BF34" s="65">
        <v>0</v>
      </c>
      <c r="BG34" s="63">
        <v>0</v>
      </c>
      <c r="BH34" s="64">
        <v>0</v>
      </c>
      <c r="BI34" s="65">
        <v>0</v>
      </c>
      <c r="BJ34" s="63">
        <f t="shared" si="64"/>
        <v>0</v>
      </c>
      <c r="BK34" s="64">
        <v>0</v>
      </c>
      <c r="BL34" s="65">
        <v>0</v>
      </c>
      <c r="BM34" s="63">
        <f t="shared" si="65"/>
        <v>0</v>
      </c>
      <c r="BN34" s="113">
        <v>0</v>
      </c>
      <c r="BO34" s="65">
        <v>0</v>
      </c>
      <c r="BP34" s="63">
        <f t="shared" si="66"/>
        <v>0</v>
      </c>
      <c r="BQ34" s="113">
        <v>0</v>
      </c>
      <c r="BR34" s="65">
        <v>0</v>
      </c>
      <c r="BS34" s="63">
        <f t="shared" si="67"/>
        <v>0</v>
      </c>
      <c r="BT34" s="113">
        <v>0</v>
      </c>
      <c r="BU34" s="65">
        <v>0</v>
      </c>
      <c r="BV34" s="63">
        <f t="shared" si="68"/>
        <v>0</v>
      </c>
      <c r="BW34" s="113">
        <v>0</v>
      </c>
      <c r="BX34" s="65">
        <v>0</v>
      </c>
      <c r="BY34" s="63">
        <f t="shared" si="69"/>
        <v>0</v>
      </c>
      <c r="BZ34" s="113">
        <v>0</v>
      </c>
      <c r="CA34" s="65">
        <v>0</v>
      </c>
      <c r="CB34" s="63">
        <f t="shared" si="70"/>
        <v>0</v>
      </c>
      <c r="CC34" s="113">
        <v>0</v>
      </c>
      <c r="CD34" s="65">
        <v>0</v>
      </c>
      <c r="CE34" s="63">
        <f t="shared" si="71"/>
        <v>0</v>
      </c>
      <c r="CF34" s="113">
        <v>0</v>
      </c>
      <c r="CG34" s="65">
        <v>0</v>
      </c>
      <c r="CH34" s="63">
        <f t="shared" si="72"/>
        <v>0</v>
      </c>
      <c r="CI34" s="113">
        <v>0</v>
      </c>
      <c r="CJ34" s="65">
        <v>0</v>
      </c>
      <c r="CK34" s="69">
        <f t="shared" si="73"/>
        <v>0</v>
      </c>
      <c r="CL34" s="117">
        <v>0</v>
      </c>
      <c r="CM34" s="71">
        <v>0</v>
      </c>
      <c r="CN34" s="63">
        <f t="shared" si="74"/>
        <v>0</v>
      </c>
      <c r="CO34" s="113">
        <v>0</v>
      </c>
      <c r="CP34" s="65">
        <v>0</v>
      </c>
      <c r="CQ34" s="63">
        <f t="shared" si="75"/>
        <v>0</v>
      </c>
      <c r="CR34" s="113">
        <v>0</v>
      </c>
      <c r="CS34" s="65">
        <v>0</v>
      </c>
      <c r="CT34" s="69">
        <f t="shared" si="76"/>
        <v>0</v>
      </c>
      <c r="CU34" s="119">
        <v>0</v>
      </c>
      <c r="CV34" s="65">
        <v>0</v>
      </c>
      <c r="CW34" s="63">
        <f t="shared" si="77"/>
        <v>0</v>
      </c>
      <c r="CX34" s="113">
        <v>0</v>
      </c>
      <c r="CY34" s="65">
        <v>0</v>
      </c>
      <c r="CZ34" s="63">
        <f t="shared" si="78"/>
        <v>0</v>
      </c>
      <c r="DA34" s="113">
        <v>0</v>
      </c>
      <c r="DB34" s="65">
        <v>0</v>
      </c>
      <c r="DC34" s="63">
        <f t="shared" si="79"/>
        <v>0</v>
      </c>
      <c r="DD34" s="113">
        <v>0</v>
      </c>
      <c r="DE34" s="65">
        <v>0</v>
      </c>
      <c r="DF34" s="63">
        <f t="shared" si="80"/>
        <v>0</v>
      </c>
      <c r="DG34" s="113">
        <v>0</v>
      </c>
      <c r="DH34" s="65">
        <v>0</v>
      </c>
      <c r="DI34" s="63">
        <f t="shared" si="81"/>
        <v>0</v>
      </c>
      <c r="DJ34" s="113">
        <v>0</v>
      </c>
      <c r="DK34" s="65">
        <v>0</v>
      </c>
      <c r="DL34" s="63">
        <v>0</v>
      </c>
      <c r="DM34" s="113">
        <v>0</v>
      </c>
      <c r="DN34" s="65">
        <v>0</v>
      </c>
      <c r="DO34" s="63">
        <f t="shared" si="82"/>
        <v>0</v>
      </c>
      <c r="DP34" s="113">
        <v>0</v>
      </c>
      <c r="DQ34" s="65">
        <v>0</v>
      </c>
      <c r="DR34" s="63">
        <f t="shared" si="83"/>
        <v>0</v>
      </c>
      <c r="DS34" s="113">
        <v>0</v>
      </c>
      <c r="DT34" s="65">
        <v>0</v>
      </c>
      <c r="DU34" s="63">
        <f t="shared" si="84"/>
        <v>0</v>
      </c>
      <c r="DV34" s="113">
        <v>0</v>
      </c>
      <c r="DW34" s="65">
        <v>0</v>
      </c>
      <c r="DX34" s="744">
        <f t="shared" si="85"/>
        <v>0</v>
      </c>
      <c r="DY34" s="113">
        <v>0</v>
      </c>
      <c r="DZ34" s="65">
        <v>0</v>
      </c>
      <c r="EA34" s="63">
        <f t="shared" si="86"/>
        <v>0</v>
      </c>
      <c r="EB34" s="113">
        <v>0</v>
      </c>
      <c r="EC34" s="65">
        <v>0</v>
      </c>
      <c r="ED34" s="63">
        <f t="shared" si="87"/>
        <v>0</v>
      </c>
      <c r="EE34" s="113">
        <v>0</v>
      </c>
      <c r="EF34" s="65">
        <v>0</v>
      </c>
      <c r="EG34" s="744">
        <f t="shared" si="88"/>
        <v>0</v>
      </c>
      <c r="EH34" s="113">
        <v>0</v>
      </c>
      <c r="EI34" s="65">
        <v>0</v>
      </c>
      <c r="EJ34" s="63">
        <f t="shared" si="89"/>
        <v>0</v>
      </c>
      <c r="EK34" s="113">
        <v>0</v>
      </c>
      <c r="EL34" s="65">
        <v>0</v>
      </c>
      <c r="EM34" s="63">
        <f t="shared" si="90"/>
        <v>0</v>
      </c>
      <c r="EN34" s="113">
        <v>0</v>
      </c>
      <c r="EO34" s="65">
        <v>0</v>
      </c>
      <c r="EP34" s="744">
        <f t="shared" si="91"/>
        <v>0</v>
      </c>
      <c r="EQ34" s="113">
        <v>0</v>
      </c>
      <c r="ER34" s="65">
        <v>0</v>
      </c>
      <c r="ES34" s="744">
        <f t="shared" si="92"/>
        <v>0</v>
      </c>
      <c r="ET34" s="113">
        <v>0</v>
      </c>
      <c r="EU34" s="65">
        <v>0</v>
      </c>
      <c r="EV34" s="744">
        <f t="shared" si="93"/>
        <v>0</v>
      </c>
      <c r="EW34" s="113">
        <v>0</v>
      </c>
      <c r="EX34" s="65">
        <v>0</v>
      </c>
      <c r="EY34" s="744">
        <f t="shared" si="94"/>
        <v>0</v>
      </c>
    </row>
    <row r="35" spans="1:155" s="20" customFormat="1" ht="20.25" hidden="1" collapsed="1" thickBot="1">
      <c r="A35" s="59"/>
      <c r="B35" s="60"/>
      <c r="C35" s="111">
        <v>100443637</v>
      </c>
      <c r="D35" s="134" t="s">
        <v>342</v>
      </c>
      <c r="E35" s="63">
        <v>0</v>
      </c>
      <c r="F35" s="64">
        <v>0</v>
      </c>
      <c r="G35" s="65">
        <v>0</v>
      </c>
      <c r="H35" s="63">
        <f>(E35+F35)-(G35)</f>
        <v>0</v>
      </c>
      <c r="I35" s="64">
        <v>0</v>
      </c>
      <c r="J35" s="65">
        <v>0</v>
      </c>
      <c r="K35" s="63">
        <f>(H35+I35)-(J35)</f>
        <v>0</v>
      </c>
      <c r="L35" s="64">
        <v>0</v>
      </c>
      <c r="M35" s="65">
        <v>0</v>
      </c>
      <c r="N35" s="63">
        <f>(K35+L35)-(M35)</f>
        <v>0</v>
      </c>
      <c r="O35" s="64">
        <v>455.2</v>
      </c>
      <c r="P35" s="65">
        <v>361.2</v>
      </c>
      <c r="Q35" s="63">
        <f t="shared" si="95"/>
        <v>94</v>
      </c>
      <c r="R35" s="64">
        <v>1566.29</v>
      </c>
      <c r="S35" s="65">
        <v>1234.643</v>
      </c>
      <c r="T35" s="63">
        <f t="shared" si="96"/>
        <v>425.64699999999993</v>
      </c>
      <c r="U35" s="64">
        <v>1786.0909999999999</v>
      </c>
      <c r="V35" s="65">
        <v>1474.4549999999999</v>
      </c>
      <c r="W35" s="63">
        <f t="shared" si="97"/>
        <v>737.2829999999999</v>
      </c>
      <c r="X35" s="64">
        <v>899.42</v>
      </c>
      <c r="Y35" s="65">
        <v>1228.75</v>
      </c>
      <c r="Z35" s="63">
        <f t="shared" si="101"/>
        <v>407.95299999999997</v>
      </c>
      <c r="AA35" s="64">
        <v>661.46</v>
      </c>
      <c r="AB35" s="65">
        <v>652.61</v>
      </c>
      <c r="AC35" s="63">
        <f t="shared" si="100"/>
        <v>416.803</v>
      </c>
      <c r="AD35" s="64">
        <v>349.14</v>
      </c>
      <c r="AE35" s="65">
        <v>141.57</v>
      </c>
      <c r="AF35" s="63">
        <f t="shared" si="98"/>
        <v>624.37300000000005</v>
      </c>
      <c r="AG35" s="64">
        <v>759.18</v>
      </c>
      <c r="AH35" s="65">
        <v>596.03</v>
      </c>
      <c r="AI35" s="63">
        <f t="shared" si="58"/>
        <v>787.52299999999991</v>
      </c>
      <c r="AJ35" s="64">
        <v>649.43899999999996</v>
      </c>
      <c r="AK35" s="65">
        <v>1345.34</v>
      </c>
      <c r="AL35" s="63">
        <f t="shared" si="102"/>
        <v>91.622000000000071</v>
      </c>
      <c r="AM35" s="64">
        <v>-7.8819999999999997</v>
      </c>
      <c r="AN35" s="65">
        <v>-10.089</v>
      </c>
      <c r="AO35" s="63">
        <f t="shared" si="60"/>
        <v>93.829000000000065</v>
      </c>
      <c r="AP35" s="64">
        <v>485.351</v>
      </c>
      <c r="AQ35" s="65">
        <v>382.11500000000001</v>
      </c>
      <c r="AR35" s="63">
        <f>(AO35+AP35)-(AQ35)</f>
        <v>197.06500000000005</v>
      </c>
      <c r="AS35" s="64">
        <v>797.66200000000003</v>
      </c>
      <c r="AT35" s="65">
        <v>696.44799999999998</v>
      </c>
      <c r="AU35" s="63">
        <f t="shared" si="61"/>
        <v>298.27900000000011</v>
      </c>
      <c r="AV35" s="64">
        <v>531.50699999999995</v>
      </c>
      <c r="AW35" s="65">
        <v>455.267</v>
      </c>
      <c r="AX35" s="63">
        <f t="shared" si="62"/>
        <v>374.51900000000006</v>
      </c>
      <c r="AY35" s="64">
        <v>286.7</v>
      </c>
      <c r="AZ35" s="65">
        <v>534.298</v>
      </c>
      <c r="BA35" s="63">
        <f t="shared" si="63"/>
        <v>126.92100000000005</v>
      </c>
      <c r="BB35" s="64">
        <v>764.10900000000004</v>
      </c>
      <c r="BC35" s="65">
        <v>421.05</v>
      </c>
      <c r="BD35" s="63">
        <v>469.988</v>
      </c>
      <c r="BE35" s="64">
        <v>0</v>
      </c>
      <c r="BF35" s="65">
        <v>0</v>
      </c>
      <c r="BG35" s="63">
        <v>469.988</v>
      </c>
      <c r="BH35" s="64">
        <v>0</v>
      </c>
      <c r="BI35" s="65">
        <v>0</v>
      </c>
      <c r="BJ35" s="63">
        <f t="shared" si="64"/>
        <v>469.988</v>
      </c>
      <c r="BK35" s="64">
        <v>0</v>
      </c>
      <c r="BL35" s="65">
        <v>0</v>
      </c>
      <c r="BM35" s="63">
        <f t="shared" si="65"/>
        <v>469.988</v>
      </c>
      <c r="BN35" s="113">
        <v>0</v>
      </c>
      <c r="BO35" s="65">
        <v>0</v>
      </c>
      <c r="BP35" s="63">
        <f t="shared" si="66"/>
        <v>469.988</v>
      </c>
      <c r="BQ35" s="113">
        <v>0</v>
      </c>
      <c r="BR35" s="65">
        <v>0</v>
      </c>
      <c r="BS35" s="63">
        <f t="shared" si="67"/>
        <v>469.988</v>
      </c>
      <c r="BT35" s="113">
        <v>0</v>
      </c>
      <c r="BU35" s="65">
        <v>0</v>
      </c>
      <c r="BV35" s="63">
        <f t="shared" si="68"/>
        <v>469.988</v>
      </c>
      <c r="BW35" s="113">
        <v>0</v>
      </c>
      <c r="BX35" s="65">
        <v>0</v>
      </c>
      <c r="BY35" s="63">
        <f t="shared" si="69"/>
        <v>469.988</v>
      </c>
      <c r="BZ35" s="113">
        <v>0</v>
      </c>
      <c r="CA35" s="65">
        <v>0</v>
      </c>
      <c r="CB35" s="63">
        <f t="shared" si="70"/>
        <v>469.988</v>
      </c>
      <c r="CC35" s="113">
        <v>0</v>
      </c>
      <c r="CD35" s="65">
        <v>0</v>
      </c>
      <c r="CE35" s="63">
        <f t="shared" si="71"/>
        <v>469.988</v>
      </c>
      <c r="CF35" s="113">
        <v>0</v>
      </c>
      <c r="CG35" s="65">
        <v>0</v>
      </c>
      <c r="CH35" s="63">
        <f t="shared" si="72"/>
        <v>469.988</v>
      </c>
      <c r="CI35" s="113">
        <v>0</v>
      </c>
      <c r="CJ35" s="65">
        <v>0</v>
      </c>
      <c r="CK35" s="69">
        <f t="shared" si="73"/>
        <v>469.988</v>
      </c>
      <c r="CL35" s="117">
        <v>0</v>
      </c>
      <c r="CM35" s="71">
        <v>0</v>
      </c>
      <c r="CN35" s="63">
        <f t="shared" si="74"/>
        <v>469.988</v>
      </c>
      <c r="CO35" s="113">
        <v>0</v>
      </c>
      <c r="CP35" s="65">
        <v>0</v>
      </c>
      <c r="CQ35" s="63">
        <f t="shared" si="75"/>
        <v>469.988</v>
      </c>
      <c r="CR35" s="113">
        <v>0</v>
      </c>
      <c r="CS35" s="65">
        <v>0</v>
      </c>
      <c r="CT35" s="69">
        <f t="shared" si="76"/>
        <v>469.988</v>
      </c>
      <c r="CU35" s="119">
        <v>0</v>
      </c>
      <c r="CV35" s="65">
        <v>0</v>
      </c>
      <c r="CW35" s="63">
        <f t="shared" si="77"/>
        <v>469.988</v>
      </c>
      <c r="CX35" s="113">
        <v>0</v>
      </c>
      <c r="CY35" s="65">
        <v>0</v>
      </c>
      <c r="CZ35" s="63">
        <f t="shared" si="78"/>
        <v>469.988</v>
      </c>
      <c r="DA35" s="113">
        <v>0</v>
      </c>
      <c r="DB35" s="65">
        <v>0</v>
      </c>
      <c r="DC35" s="63">
        <f t="shared" si="79"/>
        <v>469.988</v>
      </c>
      <c r="DD35" s="113">
        <v>0</v>
      </c>
      <c r="DE35" s="65">
        <v>0</v>
      </c>
      <c r="DF35" s="63">
        <f t="shared" si="80"/>
        <v>469.988</v>
      </c>
      <c r="DG35" s="113">
        <v>0</v>
      </c>
      <c r="DH35" s="65">
        <v>0</v>
      </c>
      <c r="DI35" s="63">
        <f t="shared" si="81"/>
        <v>469.988</v>
      </c>
      <c r="DJ35" s="113">
        <v>0</v>
      </c>
      <c r="DK35" s="65">
        <v>0</v>
      </c>
      <c r="DL35" s="63">
        <v>0</v>
      </c>
      <c r="DM35" s="113">
        <v>0</v>
      </c>
      <c r="DN35" s="65">
        <v>0</v>
      </c>
      <c r="DO35" s="63">
        <f t="shared" si="82"/>
        <v>0</v>
      </c>
      <c r="DP35" s="113">
        <v>0</v>
      </c>
      <c r="DQ35" s="65">
        <v>0</v>
      </c>
      <c r="DR35" s="63">
        <f t="shared" si="83"/>
        <v>0</v>
      </c>
      <c r="DS35" s="113">
        <v>0</v>
      </c>
      <c r="DT35" s="65">
        <v>0</v>
      </c>
      <c r="DU35" s="63">
        <f t="shared" si="84"/>
        <v>0</v>
      </c>
      <c r="DV35" s="113">
        <v>0</v>
      </c>
      <c r="DW35" s="65">
        <v>0</v>
      </c>
      <c r="DX35" s="744">
        <f t="shared" si="85"/>
        <v>0</v>
      </c>
      <c r="DY35" s="113">
        <v>0</v>
      </c>
      <c r="DZ35" s="65">
        <v>0</v>
      </c>
      <c r="EA35" s="63">
        <f t="shared" si="86"/>
        <v>0</v>
      </c>
      <c r="EB35" s="113">
        <v>0</v>
      </c>
      <c r="EC35" s="65">
        <v>0</v>
      </c>
      <c r="ED35" s="63">
        <f t="shared" si="87"/>
        <v>0</v>
      </c>
      <c r="EE35" s="113">
        <v>0</v>
      </c>
      <c r="EF35" s="65">
        <v>0</v>
      </c>
      <c r="EG35" s="744">
        <f t="shared" si="88"/>
        <v>0</v>
      </c>
      <c r="EH35" s="113">
        <v>0</v>
      </c>
      <c r="EI35" s="65">
        <v>0</v>
      </c>
      <c r="EJ35" s="63">
        <f t="shared" si="89"/>
        <v>0</v>
      </c>
      <c r="EK35" s="113">
        <v>0</v>
      </c>
      <c r="EL35" s="65">
        <v>0</v>
      </c>
      <c r="EM35" s="63">
        <f t="shared" si="90"/>
        <v>0</v>
      </c>
      <c r="EN35" s="113">
        <v>0</v>
      </c>
      <c r="EO35" s="65">
        <v>0</v>
      </c>
      <c r="EP35" s="744">
        <f t="shared" si="91"/>
        <v>0</v>
      </c>
      <c r="EQ35" s="113">
        <v>0</v>
      </c>
      <c r="ER35" s="65">
        <v>0</v>
      </c>
      <c r="ES35" s="744">
        <f t="shared" si="92"/>
        <v>0</v>
      </c>
      <c r="ET35" s="113">
        <v>0</v>
      </c>
      <c r="EU35" s="65">
        <v>0</v>
      </c>
      <c r="EV35" s="744">
        <f t="shared" si="93"/>
        <v>0</v>
      </c>
      <c r="EW35" s="113">
        <v>0</v>
      </c>
      <c r="EX35" s="65">
        <v>0</v>
      </c>
      <c r="EY35" s="744">
        <f t="shared" si="94"/>
        <v>0</v>
      </c>
    </row>
    <row r="36" spans="1:155" s="20" customFormat="1" ht="20.25" hidden="1" collapsed="1" thickBot="1">
      <c r="A36" s="59"/>
      <c r="B36" s="60"/>
      <c r="C36" s="111">
        <v>100392130</v>
      </c>
      <c r="D36" s="126" t="s">
        <v>343</v>
      </c>
      <c r="E36" s="63">
        <v>636.375</v>
      </c>
      <c r="F36" s="64">
        <v>549.54</v>
      </c>
      <c r="G36" s="65">
        <v>579.84199999999998</v>
      </c>
      <c r="H36" s="63">
        <f>(E36+F36)-(G36)</f>
        <v>606.07299999999998</v>
      </c>
      <c r="I36" s="64">
        <v>535.90200000000004</v>
      </c>
      <c r="J36" s="65">
        <v>462.55</v>
      </c>
      <c r="K36" s="63">
        <f>679.1-K38</f>
        <v>281.05</v>
      </c>
      <c r="L36" s="64">
        <v>516.43299999999999</v>
      </c>
      <c r="M36" s="65">
        <v>552.15899999999999</v>
      </c>
      <c r="N36" s="63">
        <f>(K36+L36)-(M36)</f>
        <v>245.32399999999996</v>
      </c>
      <c r="O36" s="64">
        <v>574.12400000000002</v>
      </c>
      <c r="P36" s="65">
        <v>460.15600000000001</v>
      </c>
      <c r="Q36" s="63">
        <f t="shared" si="95"/>
        <v>359.29199999999997</v>
      </c>
      <c r="R36" s="64">
        <v>605.43100000000004</v>
      </c>
      <c r="S36" s="65">
        <v>217.42699999999999</v>
      </c>
      <c r="T36" s="63">
        <f t="shared" si="96"/>
        <v>747.29599999999994</v>
      </c>
      <c r="U36" s="64">
        <v>606.59400000000005</v>
      </c>
      <c r="V36" s="65">
        <v>623.05499999999995</v>
      </c>
      <c r="W36" s="135">
        <v>71.872</v>
      </c>
      <c r="X36" s="64">
        <v>624.97</v>
      </c>
      <c r="Y36" s="65">
        <v>600.58000000000004</v>
      </c>
      <c r="Z36" s="63">
        <f t="shared" si="101"/>
        <v>96.261999999999944</v>
      </c>
      <c r="AA36" s="64">
        <v>505.9</v>
      </c>
      <c r="AB36" s="65">
        <v>538.11</v>
      </c>
      <c r="AC36" s="63">
        <f t="shared" si="100"/>
        <v>64.051999999999907</v>
      </c>
      <c r="AD36" s="64">
        <v>610.21</v>
      </c>
      <c r="AE36" s="65">
        <v>579.04</v>
      </c>
      <c r="AF36" s="63">
        <f t="shared" si="98"/>
        <v>95.22199999999998</v>
      </c>
      <c r="AG36" s="64">
        <v>573.86</v>
      </c>
      <c r="AH36" s="65">
        <v>520.22</v>
      </c>
      <c r="AI36" s="63">
        <f t="shared" si="58"/>
        <v>148.86199999999997</v>
      </c>
      <c r="AJ36" s="64">
        <v>361.404</v>
      </c>
      <c r="AK36" s="65">
        <v>330.46</v>
      </c>
      <c r="AL36" s="63">
        <f t="shared" si="102"/>
        <v>179.80599999999998</v>
      </c>
      <c r="AM36" s="64">
        <v>208.81800000000001</v>
      </c>
      <c r="AN36" s="65">
        <v>176</v>
      </c>
      <c r="AO36" s="63">
        <f t="shared" si="60"/>
        <v>212.62400000000002</v>
      </c>
      <c r="AP36" s="64">
        <v>618.75199999999995</v>
      </c>
      <c r="AQ36" s="65">
        <v>447.75400000000002</v>
      </c>
      <c r="AR36" s="63">
        <f>(AO36+AP36)-(AQ36)</f>
        <v>383.62199999999996</v>
      </c>
      <c r="AS36" s="64">
        <v>627.28499999999997</v>
      </c>
      <c r="AT36" s="65">
        <v>981.1</v>
      </c>
      <c r="AU36" s="63">
        <f t="shared" si="61"/>
        <v>29.806999999999903</v>
      </c>
      <c r="AV36" s="64">
        <v>509.899</v>
      </c>
      <c r="AW36" s="65">
        <v>470.99900000000002</v>
      </c>
      <c r="AX36" s="63">
        <f t="shared" si="62"/>
        <v>68.70699999999988</v>
      </c>
      <c r="AY36" s="64">
        <v>721.601</v>
      </c>
      <c r="AZ36" s="65">
        <v>696.67200000000003</v>
      </c>
      <c r="BA36" s="63">
        <f t="shared" si="63"/>
        <v>93.635999999999854</v>
      </c>
      <c r="BB36" s="64">
        <v>431.02</v>
      </c>
      <c r="BC36" s="65">
        <v>347.75799999999998</v>
      </c>
      <c r="BD36" s="63">
        <v>176.88300000000001</v>
      </c>
      <c r="BE36" s="64">
        <v>0</v>
      </c>
      <c r="BF36" s="65">
        <v>0</v>
      </c>
      <c r="BG36" s="63">
        <v>176.88300000000001</v>
      </c>
      <c r="BH36" s="64">
        <v>0</v>
      </c>
      <c r="BI36" s="65">
        <v>0</v>
      </c>
      <c r="BJ36" s="63">
        <f t="shared" si="64"/>
        <v>176.88300000000001</v>
      </c>
      <c r="BK36" s="64">
        <v>0</v>
      </c>
      <c r="BL36" s="65">
        <v>0</v>
      </c>
      <c r="BM36" s="63">
        <f t="shared" si="65"/>
        <v>176.88300000000001</v>
      </c>
      <c r="BN36" s="113">
        <v>0</v>
      </c>
      <c r="BO36" s="65">
        <v>0</v>
      </c>
      <c r="BP36" s="63">
        <f t="shared" si="66"/>
        <v>176.88300000000001</v>
      </c>
      <c r="BQ36" s="113">
        <v>0</v>
      </c>
      <c r="BR36" s="65">
        <v>0</v>
      </c>
      <c r="BS36" s="63">
        <f t="shared" si="67"/>
        <v>176.88300000000001</v>
      </c>
      <c r="BT36" s="113">
        <v>0</v>
      </c>
      <c r="BU36" s="65">
        <v>0</v>
      </c>
      <c r="BV36" s="63">
        <f t="shared" si="68"/>
        <v>176.88300000000001</v>
      </c>
      <c r="BW36" s="113">
        <v>0</v>
      </c>
      <c r="BX36" s="65">
        <v>0</v>
      </c>
      <c r="BY36" s="63">
        <f t="shared" si="69"/>
        <v>176.88300000000001</v>
      </c>
      <c r="BZ36" s="113">
        <v>0</v>
      </c>
      <c r="CA36" s="65">
        <v>0</v>
      </c>
      <c r="CB36" s="63">
        <f t="shared" si="70"/>
        <v>176.88300000000001</v>
      </c>
      <c r="CC36" s="113">
        <v>0</v>
      </c>
      <c r="CD36" s="65">
        <v>0</v>
      </c>
      <c r="CE36" s="63">
        <f t="shared" si="71"/>
        <v>176.88300000000001</v>
      </c>
      <c r="CF36" s="113">
        <v>0</v>
      </c>
      <c r="CG36" s="65">
        <v>0</v>
      </c>
      <c r="CH36" s="63">
        <f t="shared" si="72"/>
        <v>176.88300000000001</v>
      </c>
      <c r="CI36" s="113">
        <v>0</v>
      </c>
      <c r="CJ36" s="65">
        <v>0</v>
      </c>
      <c r="CK36" s="69">
        <f t="shared" si="73"/>
        <v>176.88300000000001</v>
      </c>
      <c r="CL36" s="117">
        <v>0</v>
      </c>
      <c r="CM36" s="71">
        <v>0</v>
      </c>
      <c r="CN36" s="63">
        <f t="shared" si="74"/>
        <v>176.88300000000001</v>
      </c>
      <c r="CO36" s="113">
        <v>0</v>
      </c>
      <c r="CP36" s="65">
        <v>0</v>
      </c>
      <c r="CQ36" s="63">
        <f t="shared" si="75"/>
        <v>176.88300000000001</v>
      </c>
      <c r="CR36" s="113">
        <v>0</v>
      </c>
      <c r="CS36" s="65">
        <v>0</v>
      </c>
      <c r="CT36" s="69">
        <f t="shared" si="76"/>
        <v>176.88300000000001</v>
      </c>
      <c r="CU36" s="119">
        <v>0</v>
      </c>
      <c r="CV36" s="65">
        <v>0</v>
      </c>
      <c r="CW36" s="63">
        <f t="shared" si="77"/>
        <v>176.88300000000001</v>
      </c>
      <c r="CX36" s="113">
        <v>0</v>
      </c>
      <c r="CY36" s="65">
        <v>0</v>
      </c>
      <c r="CZ36" s="63">
        <f t="shared" si="78"/>
        <v>176.88300000000001</v>
      </c>
      <c r="DA36" s="113">
        <v>0</v>
      </c>
      <c r="DB36" s="65">
        <v>0</v>
      </c>
      <c r="DC36" s="63">
        <f t="shared" si="79"/>
        <v>176.88300000000001</v>
      </c>
      <c r="DD36" s="113">
        <v>0</v>
      </c>
      <c r="DE36" s="65">
        <v>0</v>
      </c>
      <c r="DF36" s="63">
        <f t="shared" si="80"/>
        <v>176.88300000000001</v>
      </c>
      <c r="DG36" s="113">
        <v>0</v>
      </c>
      <c r="DH36" s="65">
        <v>0</v>
      </c>
      <c r="DI36" s="63">
        <f t="shared" si="81"/>
        <v>176.88300000000001</v>
      </c>
      <c r="DJ36" s="113">
        <v>0</v>
      </c>
      <c r="DK36" s="65">
        <v>0</v>
      </c>
      <c r="DL36" s="63">
        <v>0</v>
      </c>
      <c r="DM36" s="113">
        <v>0</v>
      </c>
      <c r="DN36" s="65">
        <v>0</v>
      </c>
      <c r="DO36" s="63">
        <f t="shared" si="82"/>
        <v>0</v>
      </c>
      <c r="DP36" s="113">
        <v>0</v>
      </c>
      <c r="DQ36" s="65">
        <v>0</v>
      </c>
      <c r="DR36" s="63">
        <f t="shared" si="83"/>
        <v>0</v>
      </c>
      <c r="DS36" s="113">
        <v>0</v>
      </c>
      <c r="DT36" s="65">
        <v>0</v>
      </c>
      <c r="DU36" s="63">
        <f t="shared" si="84"/>
        <v>0</v>
      </c>
      <c r="DV36" s="113">
        <v>0</v>
      </c>
      <c r="DW36" s="65">
        <v>0</v>
      </c>
      <c r="DX36" s="744">
        <f t="shared" si="85"/>
        <v>0</v>
      </c>
      <c r="DY36" s="113">
        <v>0</v>
      </c>
      <c r="DZ36" s="65">
        <v>0</v>
      </c>
      <c r="EA36" s="63">
        <f t="shared" si="86"/>
        <v>0</v>
      </c>
      <c r="EB36" s="113">
        <v>0</v>
      </c>
      <c r="EC36" s="65">
        <v>0</v>
      </c>
      <c r="ED36" s="63">
        <f t="shared" si="87"/>
        <v>0</v>
      </c>
      <c r="EE36" s="113">
        <v>0</v>
      </c>
      <c r="EF36" s="65">
        <v>0</v>
      </c>
      <c r="EG36" s="744">
        <f t="shared" si="88"/>
        <v>0</v>
      </c>
      <c r="EH36" s="113">
        <v>0</v>
      </c>
      <c r="EI36" s="65">
        <v>0</v>
      </c>
      <c r="EJ36" s="63">
        <f t="shared" si="89"/>
        <v>0</v>
      </c>
      <c r="EK36" s="113">
        <v>0</v>
      </c>
      <c r="EL36" s="65">
        <v>0</v>
      </c>
      <c r="EM36" s="63">
        <f t="shared" si="90"/>
        <v>0</v>
      </c>
      <c r="EN36" s="113">
        <v>0</v>
      </c>
      <c r="EO36" s="65">
        <v>0</v>
      </c>
      <c r="EP36" s="744">
        <f t="shared" si="91"/>
        <v>0</v>
      </c>
      <c r="EQ36" s="113">
        <v>0</v>
      </c>
      <c r="ER36" s="65">
        <v>0</v>
      </c>
      <c r="ES36" s="744">
        <f t="shared" si="92"/>
        <v>0</v>
      </c>
      <c r="ET36" s="113">
        <v>0</v>
      </c>
      <c r="EU36" s="65">
        <v>0</v>
      </c>
      <c r="EV36" s="744">
        <f t="shared" si="93"/>
        <v>0</v>
      </c>
      <c r="EW36" s="113">
        <v>0</v>
      </c>
      <c r="EX36" s="65">
        <v>0</v>
      </c>
      <c r="EY36" s="744">
        <f t="shared" si="94"/>
        <v>0</v>
      </c>
    </row>
    <row r="37" spans="1:155" s="20" customFormat="1" ht="20.25" hidden="1" collapsed="1" thickBot="1">
      <c r="A37" s="59"/>
      <c r="B37" s="60"/>
      <c r="C37" s="111">
        <v>100444117</v>
      </c>
      <c r="D37" s="126" t="s">
        <v>344</v>
      </c>
      <c r="E37" s="63"/>
      <c r="F37" s="64"/>
      <c r="G37" s="65"/>
      <c r="H37" s="63"/>
      <c r="I37" s="64"/>
      <c r="J37" s="65"/>
      <c r="K37" s="63"/>
      <c r="L37" s="64"/>
      <c r="M37" s="65"/>
      <c r="N37" s="63"/>
      <c r="O37" s="64">
        <v>9.6</v>
      </c>
      <c r="P37" s="65">
        <v>0</v>
      </c>
      <c r="Q37" s="63">
        <f t="shared" si="95"/>
        <v>9.6</v>
      </c>
      <c r="R37" s="64">
        <v>0</v>
      </c>
      <c r="S37" s="65">
        <v>0</v>
      </c>
      <c r="T37" s="63">
        <f t="shared" si="96"/>
        <v>9.6</v>
      </c>
      <c r="U37" s="64">
        <v>0</v>
      </c>
      <c r="V37" s="65">
        <v>9.6</v>
      </c>
      <c r="W37" s="63">
        <f>(T37+U37)-(V37)</f>
        <v>0</v>
      </c>
      <c r="X37" s="64">
        <v>0</v>
      </c>
      <c r="Y37" s="65">
        <v>0</v>
      </c>
      <c r="Z37" s="63">
        <f t="shared" si="101"/>
        <v>0</v>
      </c>
      <c r="AA37" s="64">
        <v>0</v>
      </c>
      <c r="AB37" s="65">
        <v>-4.8</v>
      </c>
      <c r="AC37" s="63">
        <f t="shared" si="100"/>
        <v>4.8</v>
      </c>
      <c r="AD37" s="64">
        <v>0</v>
      </c>
      <c r="AE37" s="65">
        <v>0</v>
      </c>
      <c r="AF37" s="63">
        <f t="shared" si="98"/>
        <v>4.8</v>
      </c>
      <c r="AG37" s="64">
        <v>0</v>
      </c>
      <c r="AH37" s="65">
        <v>-1.8</v>
      </c>
      <c r="AI37" s="63">
        <f t="shared" si="58"/>
        <v>6.6</v>
      </c>
      <c r="AJ37" s="64">
        <v>0</v>
      </c>
      <c r="AK37" s="65">
        <v>0</v>
      </c>
      <c r="AL37" s="63">
        <f t="shared" si="102"/>
        <v>6.6</v>
      </c>
      <c r="AM37" s="64">
        <v>0</v>
      </c>
      <c r="AN37" s="65">
        <v>0</v>
      </c>
      <c r="AO37" s="63">
        <f t="shared" si="60"/>
        <v>6.6</v>
      </c>
      <c r="AP37" s="64">
        <v>-3.7999999999999999E-2</v>
      </c>
      <c r="AQ37" s="65">
        <v>0</v>
      </c>
      <c r="AR37" s="63">
        <f>(AO37+AP37)-(AQ37)</f>
        <v>6.5619999999999994</v>
      </c>
      <c r="AS37" s="64">
        <v>-2.5000000000000001E-2</v>
      </c>
      <c r="AT37" s="65">
        <v>3</v>
      </c>
      <c r="AU37" s="63">
        <f t="shared" si="61"/>
        <v>3.536999999999999</v>
      </c>
      <c r="AV37" s="64">
        <v>0</v>
      </c>
      <c r="AW37" s="65">
        <v>0</v>
      </c>
      <c r="AX37" s="63">
        <f t="shared" si="62"/>
        <v>3.536999999999999</v>
      </c>
      <c r="AY37" s="64">
        <v>-2.4</v>
      </c>
      <c r="AZ37" s="65">
        <v>0</v>
      </c>
      <c r="BA37" s="63">
        <f t="shared" si="63"/>
        <v>1.1369999999999991</v>
      </c>
      <c r="BB37" s="64">
        <v>-1.137</v>
      </c>
      <c r="BC37" s="65">
        <v>0</v>
      </c>
      <c r="BD37" s="63">
        <v>0</v>
      </c>
      <c r="BE37" s="64">
        <v>0</v>
      </c>
      <c r="BF37" s="65">
        <v>0</v>
      </c>
      <c r="BG37" s="63">
        <v>0</v>
      </c>
      <c r="BH37" s="64">
        <v>0</v>
      </c>
      <c r="BI37" s="65">
        <v>0</v>
      </c>
      <c r="BJ37" s="63">
        <f t="shared" si="64"/>
        <v>0</v>
      </c>
      <c r="BK37" s="64">
        <v>0</v>
      </c>
      <c r="BL37" s="65">
        <v>0</v>
      </c>
      <c r="BM37" s="63">
        <f t="shared" si="65"/>
        <v>0</v>
      </c>
      <c r="BN37" s="113">
        <v>0</v>
      </c>
      <c r="BO37" s="65">
        <v>0</v>
      </c>
      <c r="BP37" s="63">
        <f t="shared" si="66"/>
        <v>0</v>
      </c>
      <c r="BQ37" s="113">
        <v>0</v>
      </c>
      <c r="BR37" s="65">
        <v>0</v>
      </c>
      <c r="BS37" s="63">
        <f t="shared" si="67"/>
        <v>0</v>
      </c>
      <c r="BT37" s="113">
        <v>0</v>
      </c>
      <c r="BU37" s="65">
        <v>0</v>
      </c>
      <c r="BV37" s="63">
        <f t="shared" si="68"/>
        <v>0</v>
      </c>
      <c r="BW37" s="113">
        <v>0</v>
      </c>
      <c r="BX37" s="65">
        <v>0</v>
      </c>
      <c r="BY37" s="63">
        <f t="shared" si="69"/>
        <v>0</v>
      </c>
      <c r="BZ37" s="113">
        <v>0</v>
      </c>
      <c r="CA37" s="65">
        <v>0</v>
      </c>
      <c r="CB37" s="63">
        <f t="shared" si="70"/>
        <v>0</v>
      </c>
      <c r="CC37" s="113">
        <v>0</v>
      </c>
      <c r="CD37" s="65">
        <v>0</v>
      </c>
      <c r="CE37" s="63">
        <f t="shared" si="71"/>
        <v>0</v>
      </c>
      <c r="CF37" s="113">
        <v>0</v>
      </c>
      <c r="CG37" s="65">
        <v>0</v>
      </c>
      <c r="CH37" s="63">
        <f t="shared" si="72"/>
        <v>0</v>
      </c>
      <c r="CI37" s="113">
        <v>0</v>
      </c>
      <c r="CJ37" s="65">
        <v>0</v>
      </c>
      <c r="CK37" s="69">
        <f t="shared" si="73"/>
        <v>0</v>
      </c>
      <c r="CL37" s="117">
        <v>0</v>
      </c>
      <c r="CM37" s="71">
        <v>0</v>
      </c>
      <c r="CN37" s="63">
        <f t="shared" si="74"/>
        <v>0</v>
      </c>
      <c r="CO37" s="113">
        <v>0</v>
      </c>
      <c r="CP37" s="65">
        <v>0</v>
      </c>
      <c r="CQ37" s="63">
        <f t="shared" si="75"/>
        <v>0</v>
      </c>
      <c r="CR37" s="113">
        <v>0</v>
      </c>
      <c r="CS37" s="65">
        <v>0</v>
      </c>
      <c r="CT37" s="69">
        <f t="shared" si="76"/>
        <v>0</v>
      </c>
      <c r="CU37" s="119">
        <v>0</v>
      </c>
      <c r="CV37" s="65">
        <v>0</v>
      </c>
      <c r="CW37" s="63">
        <f t="shared" si="77"/>
        <v>0</v>
      </c>
      <c r="CX37" s="113">
        <v>0</v>
      </c>
      <c r="CY37" s="65">
        <v>0</v>
      </c>
      <c r="CZ37" s="63">
        <f t="shared" si="78"/>
        <v>0</v>
      </c>
      <c r="DA37" s="113">
        <v>0</v>
      </c>
      <c r="DB37" s="65">
        <v>0</v>
      </c>
      <c r="DC37" s="63">
        <f t="shared" si="79"/>
        <v>0</v>
      </c>
      <c r="DD37" s="113">
        <v>0</v>
      </c>
      <c r="DE37" s="65">
        <v>0</v>
      </c>
      <c r="DF37" s="63">
        <f t="shared" si="80"/>
        <v>0</v>
      </c>
      <c r="DG37" s="113">
        <v>0</v>
      </c>
      <c r="DH37" s="65">
        <v>0</v>
      </c>
      <c r="DI37" s="63">
        <f t="shared" si="81"/>
        <v>0</v>
      </c>
      <c r="DJ37" s="113">
        <v>0</v>
      </c>
      <c r="DK37" s="65">
        <v>0</v>
      </c>
      <c r="DL37" s="63">
        <v>0</v>
      </c>
      <c r="DM37" s="113">
        <v>0</v>
      </c>
      <c r="DN37" s="65">
        <v>0</v>
      </c>
      <c r="DO37" s="63">
        <f t="shared" si="82"/>
        <v>0</v>
      </c>
      <c r="DP37" s="113">
        <v>0</v>
      </c>
      <c r="DQ37" s="65">
        <v>0</v>
      </c>
      <c r="DR37" s="63">
        <f t="shared" si="83"/>
        <v>0</v>
      </c>
      <c r="DS37" s="113">
        <v>0</v>
      </c>
      <c r="DT37" s="65">
        <v>0</v>
      </c>
      <c r="DU37" s="63">
        <f t="shared" si="84"/>
        <v>0</v>
      </c>
      <c r="DV37" s="113">
        <v>0</v>
      </c>
      <c r="DW37" s="65">
        <v>0</v>
      </c>
      <c r="DX37" s="744">
        <f t="shared" si="85"/>
        <v>0</v>
      </c>
      <c r="DY37" s="113">
        <v>0</v>
      </c>
      <c r="DZ37" s="65">
        <v>0</v>
      </c>
      <c r="EA37" s="63">
        <f t="shared" si="86"/>
        <v>0</v>
      </c>
      <c r="EB37" s="113">
        <v>0</v>
      </c>
      <c r="EC37" s="65">
        <v>0</v>
      </c>
      <c r="ED37" s="63">
        <f t="shared" si="87"/>
        <v>0</v>
      </c>
      <c r="EE37" s="113">
        <v>0</v>
      </c>
      <c r="EF37" s="65">
        <v>0</v>
      </c>
      <c r="EG37" s="744">
        <f t="shared" si="88"/>
        <v>0</v>
      </c>
      <c r="EH37" s="113">
        <v>0</v>
      </c>
      <c r="EI37" s="65">
        <v>0</v>
      </c>
      <c r="EJ37" s="63">
        <f t="shared" si="89"/>
        <v>0</v>
      </c>
      <c r="EK37" s="113">
        <v>0</v>
      </c>
      <c r="EL37" s="65">
        <v>0</v>
      </c>
      <c r="EM37" s="63">
        <f t="shared" si="90"/>
        <v>0</v>
      </c>
      <c r="EN37" s="113">
        <v>0</v>
      </c>
      <c r="EO37" s="65">
        <v>0</v>
      </c>
      <c r="EP37" s="744">
        <f t="shared" si="91"/>
        <v>0</v>
      </c>
      <c r="EQ37" s="113">
        <v>0</v>
      </c>
      <c r="ER37" s="65">
        <v>0</v>
      </c>
      <c r="ES37" s="744">
        <f t="shared" si="92"/>
        <v>0</v>
      </c>
      <c r="ET37" s="113">
        <v>0</v>
      </c>
      <c r="EU37" s="65">
        <v>0</v>
      </c>
      <c r="EV37" s="744">
        <f t="shared" si="93"/>
        <v>0</v>
      </c>
      <c r="EW37" s="113">
        <v>0</v>
      </c>
      <c r="EX37" s="65">
        <v>0</v>
      </c>
      <c r="EY37" s="744">
        <f t="shared" si="94"/>
        <v>0</v>
      </c>
    </row>
    <row r="38" spans="1:155" s="20" customFormat="1" ht="20.25" hidden="1" collapsed="1" thickBot="1">
      <c r="A38" s="59"/>
      <c r="B38" s="60"/>
      <c r="C38" s="111">
        <v>100392130</v>
      </c>
      <c r="D38" s="126" t="s">
        <v>345</v>
      </c>
      <c r="E38" s="63"/>
      <c r="F38" s="64"/>
      <c r="G38" s="65"/>
      <c r="H38" s="63"/>
      <c r="I38" s="64">
        <v>0</v>
      </c>
      <c r="J38" s="65">
        <v>0</v>
      </c>
      <c r="K38" s="63">
        <v>398.05</v>
      </c>
      <c r="L38" s="64">
        <v>-1.2</v>
      </c>
      <c r="M38" s="65">
        <v>0</v>
      </c>
      <c r="N38" s="63">
        <f>(K38+L38)-(M38)</f>
        <v>396.85</v>
      </c>
      <c r="O38" s="64">
        <v>0</v>
      </c>
      <c r="P38" s="65">
        <v>163.977</v>
      </c>
      <c r="Q38" s="63">
        <f t="shared" si="95"/>
        <v>232.87300000000002</v>
      </c>
      <c r="R38" s="64">
        <v>0</v>
      </c>
      <c r="S38" s="65">
        <v>0</v>
      </c>
      <c r="T38" s="63">
        <f t="shared" si="96"/>
        <v>232.87300000000002</v>
      </c>
      <c r="U38" s="64">
        <v>0</v>
      </c>
      <c r="V38" s="65">
        <v>24.629000000000001</v>
      </c>
      <c r="W38" s="63">
        <v>224.21100000000001</v>
      </c>
      <c r="X38" s="64">
        <v>0</v>
      </c>
      <c r="Y38" s="65">
        <v>0</v>
      </c>
      <c r="Z38" s="63">
        <f t="shared" si="101"/>
        <v>224.21100000000001</v>
      </c>
      <c r="AA38" s="64">
        <v>0</v>
      </c>
      <c r="AB38" s="65">
        <v>0</v>
      </c>
      <c r="AC38" s="63">
        <f t="shared" si="100"/>
        <v>224.21100000000001</v>
      </c>
      <c r="AD38" s="64">
        <v>0</v>
      </c>
      <c r="AE38" s="65">
        <v>0</v>
      </c>
      <c r="AF38" s="63">
        <f t="shared" si="98"/>
        <v>224.21100000000001</v>
      </c>
      <c r="AG38" s="64">
        <v>0</v>
      </c>
      <c r="AH38" s="65">
        <v>0</v>
      </c>
      <c r="AI38" s="63">
        <f t="shared" si="58"/>
        <v>224.21100000000001</v>
      </c>
      <c r="AJ38" s="64">
        <v>-30.295999999999999</v>
      </c>
      <c r="AK38" s="65">
        <v>0</v>
      </c>
      <c r="AL38" s="63">
        <f t="shared" si="102"/>
        <v>193.91500000000002</v>
      </c>
      <c r="AM38" s="64">
        <v>-9</v>
      </c>
      <c r="AN38" s="65">
        <v>0</v>
      </c>
      <c r="AO38" s="63">
        <f t="shared" si="60"/>
        <v>184.91500000000002</v>
      </c>
      <c r="AP38" s="64">
        <v>-28.021999999999998</v>
      </c>
      <c r="AQ38" s="65">
        <v>50.496000000000002</v>
      </c>
      <c r="AR38" s="63">
        <v>145.762</v>
      </c>
      <c r="AS38" s="64">
        <v>1.4430000000000001</v>
      </c>
      <c r="AT38" s="65">
        <v>129.30199999999999</v>
      </c>
      <c r="AU38" s="63">
        <f t="shared" si="61"/>
        <v>17.90300000000002</v>
      </c>
      <c r="AV38" s="64">
        <v>-17.902999999999999</v>
      </c>
      <c r="AW38" s="65">
        <v>0</v>
      </c>
      <c r="AX38" s="63">
        <f t="shared" si="62"/>
        <v>2.1316282072803006E-14</v>
      </c>
      <c r="AY38" s="64">
        <v>0</v>
      </c>
      <c r="AZ38" s="65">
        <v>0</v>
      </c>
      <c r="BA38" s="63">
        <f t="shared" si="63"/>
        <v>2.1316282072803006E-14</v>
      </c>
      <c r="BB38" s="64">
        <v>0</v>
      </c>
      <c r="BC38" s="65">
        <v>0</v>
      </c>
      <c r="BD38" s="63">
        <f>(BA38+BB38)-(BC38)</f>
        <v>2.1316282072803006E-14</v>
      </c>
      <c r="BE38" s="64">
        <v>0</v>
      </c>
      <c r="BF38" s="65">
        <v>0</v>
      </c>
      <c r="BG38" s="63">
        <v>2.1316282072803006E-14</v>
      </c>
      <c r="BH38" s="64">
        <v>0</v>
      </c>
      <c r="BI38" s="65">
        <v>0</v>
      </c>
      <c r="BJ38" s="63">
        <f t="shared" si="64"/>
        <v>2.1316282072803006E-14</v>
      </c>
      <c r="BK38" s="64">
        <v>0</v>
      </c>
      <c r="BL38" s="65">
        <v>0</v>
      </c>
      <c r="BM38" s="63">
        <f t="shared" si="65"/>
        <v>2.1316282072803006E-14</v>
      </c>
      <c r="BN38" s="113">
        <v>0</v>
      </c>
      <c r="BO38" s="65">
        <v>0</v>
      </c>
      <c r="BP38" s="63">
        <f t="shared" si="66"/>
        <v>2.1316282072803006E-14</v>
      </c>
      <c r="BQ38" s="113">
        <v>0</v>
      </c>
      <c r="BR38" s="65">
        <v>0</v>
      </c>
      <c r="BS38" s="63">
        <f t="shared" si="67"/>
        <v>2.1316282072803006E-14</v>
      </c>
      <c r="BT38" s="113">
        <v>0</v>
      </c>
      <c r="BU38" s="65">
        <v>0</v>
      </c>
      <c r="BV38" s="63">
        <f t="shared" si="68"/>
        <v>2.1316282072803006E-14</v>
      </c>
      <c r="BW38" s="113">
        <v>0</v>
      </c>
      <c r="BX38" s="65">
        <v>0</v>
      </c>
      <c r="BY38" s="63">
        <f t="shared" si="69"/>
        <v>2.1316282072803006E-14</v>
      </c>
      <c r="BZ38" s="113">
        <v>0</v>
      </c>
      <c r="CA38" s="65">
        <v>0</v>
      </c>
      <c r="CB38" s="63">
        <f t="shared" si="70"/>
        <v>2.1316282072803006E-14</v>
      </c>
      <c r="CC38" s="113">
        <v>0</v>
      </c>
      <c r="CD38" s="65">
        <v>0</v>
      </c>
      <c r="CE38" s="63">
        <f t="shared" si="71"/>
        <v>2.1316282072803006E-14</v>
      </c>
      <c r="CF38" s="113">
        <v>0</v>
      </c>
      <c r="CG38" s="65">
        <v>0</v>
      </c>
      <c r="CH38" s="63">
        <f t="shared" si="72"/>
        <v>2.1316282072803006E-14</v>
      </c>
      <c r="CI38" s="113">
        <v>0</v>
      </c>
      <c r="CJ38" s="65">
        <v>0</v>
      </c>
      <c r="CK38" s="69">
        <f t="shared" si="73"/>
        <v>2.1316282072803006E-14</v>
      </c>
      <c r="CL38" s="117">
        <v>0</v>
      </c>
      <c r="CM38" s="71">
        <v>0</v>
      </c>
      <c r="CN38" s="63">
        <f t="shared" si="74"/>
        <v>2.1316282072803006E-14</v>
      </c>
      <c r="CO38" s="113">
        <v>0</v>
      </c>
      <c r="CP38" s="65">
        <v>0</v>
      </c>
      <c r="CQ38" s="63">
        <f t="shared" si="75"/>
        <v>2.1316282072803006E-14</v>
      </c>
      <c r="CR38" s="113">
        <v>0</v>
      </c>
      <c r="CS38" s="65">
        <v>0</v>
      </c>
      <c r="CT38" s="69">
        <f t="shared" si="76"/>
        <v>2.1316282072803006E-14</v>
      </c>
      <c r="CU38" s="119">
        <v>0</v>
      </c>
      <c r="CV38" s="65">
        <v>0</v>
      </c>
      <c r="CW38" s="63">
        <f t="shared" si="77"/>
        <v>2.1316282072803006E-14</v>
      </c>
      <c r="CX38" s="113">
        <v>0</v>
      </c>
      <c r="CY38" s="65">
        <v>0</v>
      </c>
      <c r="CZ38" s="63">
        <f t="shared" si="78"/>
        <v>2.1316282072803006E-14</v>
      </c>
      <c r="DA38" s="113">
        <v>0</v>
      </c>
      <c r="DB38" s="65">
        <v>0</v>
      </c>
      <c r="DC38" s="63">
        <f t="shared" si="79"/>
        <v>2.1316282072803006E-14</v>
      </c>
      <c r="DD38" s="113">
        <v>0</v>
      </c>
      <c r="DE38" s="65">
        <v>0</v>
      </c>
      <c r="DF38" s="63">
        <f t="shared" si="80"/>
        <v>2.1316282072803006E-14</v>
      </c>
      <c r="DG38" s="113">
        <v>0</v>
      </c>
      <c r="DH38" s="65">
        <v>0</v>
      </c>
      <c r="DI38" s="63">
        <f t="shared" si="81"/>
        <v>2.1316282072803006E-14</v>
      </c>
      <c r="DJ38" s="113">
        <v>0</v>
      </c>
      <c r="DK38" s="65">
        <v>0</v>
      </c>
      <c r="DL38" s="63">
        <v>0</v>
      </c>
      <c r="DM38" s="113">
        <v>0</v>
      </c>
      <c r="DN38" s="65">
        <v>0</v>
      </c>
      <c r="DO38" s="63">
        <f t="shared" si="82"/>
        <v>0</v>
      </c>
      <c r="DP38" s="113">
        <v>0</v>
      </c>
      <c r="DQ38" s="65">
        <v>0</v>
      </c>
      <c r="DR38" s="63">
        <f t="shared" si="83"/>
        <v>0</v>
      </c>
      <c r="DS38" s="113">
        <v>0</v>
      </c>
      <c r="DT38" s="65">
        <v>0</v>
      </c>
      <c r="DU38" s="63">
        <f t="shared" si="84"/>
        <v>0</v>
      </c>
      <c r="DV38" s="113">
        <v>0</v>
      </c>
      <c r="DW38" s="65">
        <v>0</v>
      </c>
      <c r="DX38" s="744">
        <f t="shared" si="85"/>
        <v>0</v>
      </c>
      <c r="DY38" s="113">
        <v>0</v>
      </c>
      <c r="DZ38" s="65">
        <v>0</v>
      </c>
      <c r="EA38" s="63">
        <f t="shared" si="86"/>
        <v>0</v>
      </c>
      <c r="EB38" s="113">
        <v>0</v>
      </c>
      <c r="EC38" s="65">
        <v>0</v>
      </c>
      <c r="ED38" s="63">
        <f t="shared" si="87"/>
        <v>0</v>
      </c>
      <c r="EE38" s="113">
        <v>0</v>
      </c>
      <c r="EF38" s="65">
        <v>0</v>
      </c>
      <c r="EG38" s="744">
        <f t="shared" si="88"/>
        <v>0</v>
      </c>
      <c r="EH38" s="113">
        <v>0</v>
      </c>
      <c r="EI38" s="65">
        <v>0</v>
      </c>
      <c r="EJ38" s="63">
        <f t="shared" si="89"/>
        <v>0</v>
      </c>
      <c r="EK38" s="113">
        <v>0</v>
      </c>
      <c r="EL38" s="65">
        <v>0</v>
      </c>
      <c r="EM38" s="63">
        <f t="shared" si="90"/>
        <v>0</v>
      </c>
      <c r="EN38" s="113">
        <v>0</v>
      </c>
      <c r="EO38" s="65">
        <v>0</v>
      </c>
      <c r="EP38" s="744">
        <f t="shared" si="91"/>
        <v>0</v>
      </c>
      <c r="EQ38" s="113">
        <v>0</v>
      </c>
      <c r="ER38" s="65">
        <v>0</v>
      </c>
      <c r="ES38" s="744">
        <f t="shared" si="92"/>
        <v>0</v>
      </c>
      <c r="ET38" s="113">
        <v>0</v>
      </c>
      <c r="EU38" s="65">
        <v>0</v>
      </c>
      <c r="EV38" s="744">
        <f t="shared" si="93"/>
        <v>0</v>
      </c>
      <c r="EW38" s="113">
        <v>0</v>
      </c>
      <c r="EX38" s="65">
        <v>0</v>
      </c>
      <c r="EY38" s="744">
        <f t="shared" si="94"/>
        <v>0</v>
      </c>
    </row>
    <row r="39" spans="1:155" s="20" customFormat="1" ht="20.25" hidden="1" collapsed="1" thickBot="1">
      <c r="A39" s="59"/>
      <c r="B39" s="60"/>
      <c r="C39" s="111">
        <v>100392130</v>
      </c>
      <c r="D39" s="126" t="s">
        <v>346</v>
      </c>
      <c r="E39" s="63"/>
      <c r="F39" s="64"/>
      <c r="G39" s="65"/>
      <c r="H39" s="63"/>
      <c r="I39" s="64"/>
      <c r="J39" s="65"/>
      <c r="K39" s="63"/>
      <c r="L39" s="64"/>
      <c r="M39" s="65"/>
      <c r="N39" s="63"/>
      <c r="O39" s="64"/>
      <c r="P39" s="65"/>
      <c r="Q39" s="63"/>
      <c r="R39" s="64"/>
      <c r="S39" s="65"/>
      <c r="T39" s="63"/>
      <c r="U39" s="64">
        <v>0</v>
      </c>
      <c r="V39" s="65">
        <v>0</v>
      </c>
      <c r="W39" s="63">
        <v>642.44299999999998</v>
      </c>
      <c r="X39" s="64">
        <v>0</v>
      </c>
      <c r="Y39" s="65">
        <v>0</v>
      </c>
      <c r="Z39" s="63">
        <f t="shared" si="101"/>
        <v>642.44299999999998</v>
      </c>
      <c r="AA39" s="64">
        <v>7.54</v>
      </c>
      <c r="AB39" s="65">
        <v>0</v>
      </c>
      <c r="AC39" s="63">
        <f t="shared" si="100"/>
        <v>649.98299999999995</v>
      </c>
      <c r="AD39" s="64">
        <v>0</v>
      </c>
      <c r="AE39" s="65">
        <v>0</v>
      </c>
      <c r="AF39" s="63">
        <f t="shared" si="98"/>
        <v>649.98299999999995</v>
      </c>
      <c r="AG39" s="64">
        <v>-4.5999999999999996</v>
      </c>
      <c r="AH39" s="65">
        <v>5</v>
      </c>
      <c r="AI39" s="63">
        <f t="shared" si="58"/>
        <v>640.38299999999992</v>
      </c>
      <c r="AJ39" s="64">
        <v>-4.8959999999999999</v>
      </c>
      <c r="AK39" s="65">
        <v>52.16</v>
      </c>
      <c r="AL39" s="63">
        <f t="shared" si="102"/>
        <v>583.327</v>
      </c>
      <c r="AM39" s="64">
        <v>41.247</v>
      </c>
      <c r="AN39" s="65">
        <v>451.2</v>
      </c>
      <c r="AO39" s="63">
        <f t="shared" si="60"/>
        <v>173.37399999999997</v>
      </c>
      <c r="AP39" s="64">
        <v>21.009</v>
      </c>
      <c r="AQ39" s="65">
        <v>109.11</v>
      </c>
      <c r="AR39" s="63">
        <v>51.905999999999999</v>
      </c>
      <c r="AS39" s="64">
        <v>65.731999999999999</v>
      </c>
      <c r="AT39" s="65">
        <v>30.834</v>
      </c>
      <c r="AU39" s="63">
        <f t="shared" si="61"/>
        <v>86.804000000000002</v>
      </c>
      <c r="AV39" s="64">
        <v>8.3019999999999996</v>
      </c>
      <c r="AW39" s="65">
        <v>38.276000000000003</v>
      </c>
      <c r="AX39" s="63">
        <f t="shared" si="62"/>
        <v>56.829999999999991</v>
      </c>
      <c r="AY39" s="64">
        <v>-2.069</v>
      </c>
      <c r="AZ39" s="65">
        <v>27.361999999999998</v>
      </c>
      <c r="BA39" s="63">
        <f t="shared" si="63"/>
        <v>27.39899999999999</v>
      </c>
      <c r="BB39" s="64">
        <v>-27.399000000000001</v>
      </c>
      <c r="BC39" s="65">
        <v>0</v>
      </c>
      <c r="BD39" s="63">
        <v>0</v>
      </c>
      <c r="BE39" s="64">
        <v>0</v>
      </c>
      <c r="BF39" s="65">
        <v>0</v>
      </c>
      <c r="BG39" s="63">
        <v>0</v>
      </c>
      <c r="BH39" s="64">
        <v>0</v>
      </c>
      <c r="BI39" s="65">
        <v>0</v>
      </c>
      <c r="BJ39" s="63">
        <f t="shared" si="64"/>
        <v>0</v>
      </c>
      <c r="BK39" s="64">
        <v>0</v>
      </c>
      <c r="BL39" s="65">
        <v>0</v>
      </c>
      <c r="BM39" s="63">
        <f t="shared" si="65"/>
        <v>0</v>
      </c>
      <c r="BN39" s="113">
        <v>0</v>
      </c>
      <c r="BO39" s="65">
        <v>0</v>
      </c>
      <c r="BP39" s="63">
        <f t="shared" si="66"/>
        <v>0</v>
      </c>
      <c r="BQ39" s="113">
        <v>0</v>
      </c>
      <c r="BR39" s="65">
        <v>0</v>
      </c>
      <c r="BS39" s="63">
        <f t="shared" si="67"/>
        <v>0</v>
      </c>
      <c r="BT39" s="113">
        <v>0</v>
      </c>
      <c r="BU39" s="65">
        <v>0</v>
      </c>
      <c r="BV39" s="63">
        <f t="shared" si="68"/>
        <v>0</v>
      </c>
      <c r="BW39" s="113">
        <v>0</v>
      </c>
      <c r="BX39" s="65">
        <v>0</v>
      </c>
      <c r="BY39" s="63">
        <f t="shared" si="69"/>
        <v>0</v>
      </c>
      <c r="BZ39" s="113">
        <v>0</v>
      </c>
      <c r="CA39" s="65">
        <v>0</v>
      </c>
      <c r="CB39" s="63">
        <f t="shared" si="70"/>
        <v>0</v>
      </c>
      <c r="CC39" s="113">
        <v>0</v>
      </c>
      <c r="CD39" s="65">
        <v>0</v>
      </c>
      <c r="CE39" s="63">
        <f t="shared" si="71"/>
        <v>0</v>
      </c>
      <c r="CF39" s="113">
        <v>0</v>
      </c>
      <c r="CG39" s="65">
        <v>0</v>
      </c>
      <c r="CH39" s="63">
        <f t="shared" si="72"/>
        <v>0</v>
      </c>
      <c r="CI39" s="113">
        <v>0</v>
      </c>
      <c r="CJ39" s="65">
        <v>0</v>
      </c>
      <c r="CK39" s="69">
        <f t="shared" si="73"/>
        <v>0</v>
      </c>
      <c r="CL39" s="117">
        <v>0</v>
      </c>
      <c r="CM39" s="71">
        <v>0</v>
      </c>
      <c r="CN39" s="63">
        <f t="shared" si="74"/>
        <v>0</v>
      </c>
      <c r="CO39" s="113">
        <v>0</v>
      </c>
      <c r="CP39" s="65">
        <v>0</v>
      </c>
      <c r="CQ39" s="63">
        <f t="shared" si="75"/>
        <v>0</v>
      </c>
      <c r="CR39" s="113">
        <v>0</v>
      </c>
      <c r="CS39" s="65">
        <v>0</v>
      </c>
      <c r="CT39" s="69">
        <f t="shared" si="76"/>
        <v>0</v>
      </c>
      <c r="CU39" s="119">
        <v>0</v>
      </c>
      <c r="CV39" s="65">
        <v>0</v>
      </c>
      <c r="CW39" s="63">
        <f t="shared" si="77"/>
        <v>0</v>
      </c>
      <c r="CX39" s="113">
        <v>0</v>
      </c>
      <c r="CY39" s="65">
        <v>0</v>
      </c>
      <c r="CZ39" s="63">
        <f t="shared" si="78"/>
        <v>0</v>
      </c>
      <c r="DA39" s="113">
        <v>0</v>
      </c>
      <c r="DB39" s="65">
        <v>0</v>
      </c>
      <c r="DC39" s="63">
        <f t="shared" si="79"/>
        <v>0</v>
      </c>
      <c r="DD39" s="113">
        <v>0</v>
      </c>
      <c r="DE39" s="65">
        <v>0</v>
      </c>
      <c r="DF39" s="63">
        <f t="shared" si="80"/>
        <v>0</v>
      </c>
      <c r="DG39" s="113">
        <v>0</v>
      </c>
      <c r="DH39" s="65">
        <v>0</v>
      </c>
      <c r="DI39" s="63">
        <f t="shared" si="81"/>
        <v>0</v>
      </c>
      <c r="DJ39" s="113">
        <v>0</v>
      </c>
      <c r="DK39" s="65">
        <v>0</v>
      </c>
      <c r="DL39" s="63">
        <v>0</v>
      </c>
      <c r="DM39" s="113">
        <v>0</v>
      </c>
      <c r="DN39" s="65">
        <v>0</v>
      </c>
      <c r="DO39" s="63">
        <f t="shared" si="82"/>
        <v>0</v>
      </c>
      <c r="DP39" s="113">
        <v>0</v>
      </c>
      <c r="DQ39" s="65">
        <v>0</v>
      </c>
      <c r="DR39" s="63">
        <f t="shared" si="83"/>
        <v>0</v>
      </c>
      <c r="DS39" s="113">
        <v>0</v>
      </c>
      <c r="DT39" s="65">
        <v>0</v>
      </c>
      <c r="DU39" s="63">
        <f t="shared" si="84"/>
        <v>0</v>
      </c>
      <c r="DV39" s="113">
        <v>0</v>
      </c>
      <c r="DW39" s="65">
        <v>0</v>
      </c>
      <c r="DX39" s="744">
        <f t="shared" si="85"/>
        <v>0</v>
      </c>
      <c r="DY39" s="113">
        <v>0</v>
      </c>
      <c r="DZ39" s="65">
        <v>0</v>
      </c>
      <c r="EA39" s="63">
        <f t="shared" si="86"/>
        <v>0</v>
      </c>
      <c r="EB39" s="113">
        <v>0</v>
      </c>
      <c r="EC39" s="65">
        <v>0</v>
      </c>
      <c r="ED39" s="63">
        <f t="shared" si="87"/>
        <v>0</v>
      </c>
      <c r="EE39" s="113">
        <v>0</v>
      </c>
      <c r="EF39" s="65">
        <v>0</v>
      </c>
      <c r="EG39" s="744">
        <f t="shared" si="88"/>
        <v>0</v>
      </c>
      <c r="EH39" s="113">
        <v>0</v>
      </c>
      <c r="EI39" s="65">
        <v>0</v>
      </c>
      <c r="EJ39" s="63">
        <f t="shared" si="89"/>
        <v>0</v>
      </c>
      <c r="EK39" s="113">
        <v>0</v>
      </c>
      <c r="EL39" s="65">
        <v>0</v>
      </c>
      <c r="EM39" s="63">
        <f t="shared" si="90"/>
        <v>0</v>
      </c>
      <c r="EN39" s="113">
        <v>0</v>
      </c>
      <c r="EO39" s="65">
        <v>0</v>
      </c>
      <c r="EP39" s="744">
        <f t="shared" si="91"/>
        <v>0</v>
      </c>
      <c r="EQ39" s="113">
        <v>0</v>
      </c>
      <c r="ER39" s="65">
        <v>0</v>
      </c>
      <c r="ES39" s="744">
        <f t="shared" si="92"/>
        <v>0</v>
      </c>
      <c r="ET39" s="113">
        <v>0</v>
      </c>
      <c r="EU39" s="65">
        <v>0</v>
      </c>
      <c r="EV39" s="744">
        <f t="shared" si="93"/>
        <v>0</v>
      </c>
      <c r="EW39" s="113">
        <v>0</v>
      </c>
      <c r="EX39" s="65">
        <v>0</v>
      </c>
      <c r="EY39" s="744">
        <f t="shared" si="94"/>
        <v>0</v>
      </c>
    </row>
    <row r="40" spans="1:155" s="20" customFormat="1" ht="20.25" hidden="1" collapsed="1" thickBot="1">
      <c r="A40" s="59"/>
      <c r="B40" s="60"/>
      <c r="C40" s="120" t="s">
        <v>347</v>
      </c>
      <c r="D40" s="126" t="s">
        <v>109</v>
      </c>
      <c r="E40" s="63">
        <v>6.0000000000000001E-3</v>
      </c>
      <c r="F40" s="64">
        <v>0</v>
      </c>
      <c r="G40" s="65">
        <v>0</v>
      </c>
      <c r="H40" s="63">
        <f t="shared" ref="H40:H45" si="103">(E40+F40)-(G40)</f>
        <v>6.0000000000000001E-3</v>
      </c>
      <c r="I40" s="64">
        <v>0</v>
      </c>
      <c r="J40" s="65">
        <v>0</v>
      </c>
      <c r="K40" s="63">
        <f t="shared" ref="K40:K45" si="104">(H40+I40)-(J40)</f>
        <v>6.0000000000000001E-3</v>
      </c>
      <c r="L40" s="64">
        <v>0</v>
      </c>
      <c r="M40" s="65">
        <v>0</v>
      </c>
      <c r="N40" s="63">
        <f t="shared" ref="N40:N45" si="105">(K40+L40)-(M40)</f>
        <v>6.0000000000000001E-3</v>
      </c>
      <c r="O40" s="64">
        <v>0</v>
      </c>
      <c r="P40" s="65">
        <v>0</v>
      </c>
      <c r="Q40" s="63">
        <f t="shared" ref="Q40:Q45" si="106">(N40+O40)-(P40)</f>
        <v>6.0000000000000001E-3</v>
      </c>
      <c r="R40" s="64">
        <v>0</v>
      </c>
      <c r="S40" s="65">
        <v>0</v>
      </c>
      <c r="T40" s="63">
        <f t="shared" ref="T40:T45" si="107">(Q40+R40)-(S40)</f>
        <v>6.0000000000000001E-3</v>
      </c>
      <c r="U40" s="64">
        <v>0</v>
      </c>
      <c r="V40" s="65">
        <v>0</v>
      </c>
      <c r="W40" s="63">
        <f t="shared" ref="W40:W45" si="108">(T40+U40)-(V40)</f>
        <v>6.0000000000000001E-3</v>
      </c>
      <c r="X40" s="64">
        <v>0</v>
      </c>
      <c r="Y40" s="65">
        <v>0</v>
      </c>
      <c r="Z40" s="63">
        <f t="shared" si="101"/>
        <v>6.0000000000000001E-3</v>
      </c>
      <c r="AA40" s="64">
        <v>0</v>
      </c>
      <c r="AB40" s="65">
        <v>0</v>
      </c>
      <c r="AC40" s="63">
        <f t="shared" si="100"/>
        <v>6.0000000000000001E-3</v>
      </c>
      <c r="AD40" s="64">
        <v>0</v>
      </c>
      <c r="AE40" s="65">
        <v>0</v>
      </c>
      <c r="AF40" s="63">
        <v>0.64200000000000002</v>
      </c>
      <c r="AG40" s="64">
        <v>0</v>
      </c>
      <c r="AH40" s="65">
        <v>0</v>
      </c>
      <c r="AI40" s="63">
        <f t="shared" si="58"/>
        <v>0.64200000000000002</v>
      </c>
      <c r="AJ40" s="64">
        <v>0</v>
      </c>
      <c r="AK40" s="65">
        <v>0</v>
      </c>
      <c r="AL40" s="63">
        <f t="shared" si="102"/>
        <v>0.64200000000000002</v>
      </c>
      <c r="AM40" s="64">
        <v>0</v>
      </c>
      <c r="AN40" s="65">
        <v>0</v>
      </c>
      <c r="AO40" s="63">
        <f t="shared" si="60"/>
        <v>0.64200000000000002</v>
      </c>
      <c r="AP40" s="64">
        <v>0</v>
      </c>
      <c r="AQ40" s="65">
        <v>0</v>
      </c>
      <c r="AR40" s="63">
        <f>(AO40+AP40)-(AQ40)</f>
        <v>0.64200000000000002</v>
      </c>
      <c r="AS40" s="64">
        <v>-0.6</v>
      </c>
      <c r="AT40" s="65">
        <v>0</v>
      </c>
      <c r="AU40" s="63">
        <f t="shared" si="61"/>
        <v>4.2000000000000037E-2</v>
      </c>
      <c r="AV40" s="64">
        <v>0</v>
      </c>
      <c r="AW40" s="65">
        <v>0</v>
      </c>
      <c r="AX40" s="63">
        <f t="shared" si="62"/>
        <v>4.2000000000000037E-2</v>
      </c>
      <c r="AY40" s="64">
        <v>0</v>
      </c>
      <c r="AZ40" s="65">
        <v>0</v>
      </c>
      <c r="BA40" s="63">
        <f t="shared" si="63"/>
        <v>4.2000000000000037E-2</v>
      </c>
      <c r="BB40" s="64">
        <v>0</v>
      </c>
      <c r="BC40" s="65">
        <v>0</v>
      </c>
      <c r="BD40" s="63">
        <f t="shared" ref="BD40:BD45" si="109">(BA40+BB40)-(BC40)</f>
        <v>4.2000000000000037E-2</v>
      </c>
      <c r="BE40" s="64">
        <v>0</v>
      </c>
      <c r="BF40" s="65">
        <v>0</v>
      </c>
      <c r="BG40" s="63">
        <f t="shared" ref="BG40:BG45" si="110">(BD40+BE40)-(BF40)</f>
        <v>4.2000000000000037E-2</v>
      </c>
      <c r="BH40" s="64">
        <v>0</v>
      </c>
      <c r="BI40" s="65">
        <v>0</v>
      </c>
      <c r="BJ40" s="63">
        <f t="shared" si="64"/>
        <v>4.2000000000000037E-2</v>
      </c>
      <c r="BK40" s="64">
        <v>0</v>
      </c>
      <c r="BL40" s="65">
        <v>0</v>
      </c>
      <c r="BM40" s="63">
        <f t="shared" si="65"/>
        <v>4.2000000000000037E-2</v>
      </c>
      <c r="BN40" s="113">
        <v>0</v>
      </c>
      <c r="BO40" s="113">
        <v>0</v>
      </c>
      <c r="BP40" s="63">
        <f t="shared" si="66"/>
        <v>4.2000000000000037E-2</v>
      </c>
      <c r="BQ40" s="113">
        <v>0</v>
      </c>
      <c r="BR40" s="113">
        <v>0</v>
      </c>
      <c r="BS40" s="63">
        <f t="shared" si="67"/>
        <v>4.2000000000000037E-2</v>
      </c>
      <c r="BT40" s="113">
        <v>0</v>
      </c>
      <c r="BU40" s="113">
        <v>0</v>
      </c>
      <c r="BV40" s="63">
        <f t="shared" si="68"/>
        <v>4.2000000000000037E-2</v>
      </c>
      <c r="BW40" s="113">
        <v>0</v>
      </c>
      <c r="BX40" s="113">
        <v>0</v>
      </c>
      <c r="BY40" s="63">
        <f t="shared" si="69"/>
        <v>4.2000000000000037E-2</v>
      </c>
      <c r="BZ40" s="113">
        <v>0</v>
      </c>
      <c r="CA40" s="113">
        <v>0</v>
      </c>
      <c r="CB40" s="63">
        <f t="shared" si="70"/>
        <v>4.2000000000000037E-2</v>
      </c>
      <c r="CC40" s="113">
        <v>0</v>
      </c>
      <c r="CD40" s="113">
        <v>0</v>
      </c>
      <c r="CE40" s="63">
        <f t="shared" si="71"/>
        <v>4.2000000000000037E-2</v>
      </c>
      <c r="CF40" s="113">
        <v>0</v>
      </c>
      <c r="CG40" s="113">
        <v>0</v>
      </c>
      <c r="CH40" s="63">
        <f t="shared" si="72"/>
        <v>4.2000000000000037E-2</v>
      </c>
      <c r="CI40" s="113">
        <v>0</v>
      </c>
      <c r="CJ40" s="113">
        <v>0</v>
      </c>
      <c r="CK40" s="69">
        <f t="shared" si="73"/>
        <v>4.2000000000000037E-2</v>
      </c>
      <c r="CL40" s="117">
        <v>0</v>
      </c>
      <c r="CM40" s="136">
        <v>0</v>
      </c>
      <c r="CN40" s="63">
        <f t="shared" si="74"/>
        <v>4.2000000000000037E-2</v>
      </c>
      <c r="CO40" s="113">
        <v>0</v>
      </c>
      <c r="CP40" s="113">
        <v>0</v>
      </c>
      <c r="CQ40" s="63">
        <f t="shared" si="75"/>
        <v>4.2000000000000037E-2</v>
      </c>
      <c r="CR40" s="113">
        <v>0</v>
      </c>
      <c r="CS40" s="113">
        <v>0</v>
      </c>
      <c r="CT40" s="69">
        <f t="shared" si="76"/>
        <v>4.2000000000000037E-2</v>
      </c>
      <c r="CU40" s="119">
        <v>0</v>
      </c>
      <c r="CV40" s="113">
        <v>0</v>
      </c>
      <c r="CW40" s="63">
        <f t="shared" si="77"/>
        <v>4.2000000000000037E-2</v>
      </c>
      <c r="CX40" s="113">
        <v>0</v>
      </c>
      <c r="CY40" s="113">
        <v>0</v>
      </c>
      <c r="CZ40" s="63">
        <f t="shared" si="78"/>
        <v>4.2000000000000037E-2</v>
      </c>
      <c r="DA40" s="113">
        <v>0</v>
      </c>
      <c r="DB40" s="113">
        <v>0</v>
      </c>
      <c r="DC40" s="63">
        <f t="shared" si="79"/>
        <v>4.2000000000000037E-2</v>
      </c>
      <c r="DD40" s="113">
        <v>0</v>
      </c>
      <c r="DE40" s="113">
        <v>0</v>
      </c>
      <c r="DF40" s="63">
        <f t="shared" si="80"/>
        <v>4.2000000000000037E-2</v>
      </c>
      <c r="DG40" s="113">
        <v>0</v>
      </c>
      <c r="DH40" s="113">
        <v>0</v>
      </c>
      <c r="DI40" s="63">
        <f t="shared" si="81"/>
        <v>4.2000000000000037E-2</v>
      </c>
      <c r="DJ40" s="113">
        <v>0</v>
      </c>
      <c r="DK40" s="113">
        <v>0</v>
      </c>
      <c r="DL40" s="63">
        <v>0</v>
      </c>
      <c r="DM40" s="113">
        <v>0</v>
      </c>
      <c r="DN40" s="113">
        <v>0</v>
      </c>
      <c r="DO40" s="63">
        <f t="shared" si="82"/>
        <v>0</v>
      </c>
      <c r="DP40" s="113">
        <v>0</v>
      </c>
      <c r="DQ40" s="113">
        <v>0</v>
      </c>
      <c r="DR40" s="63">
        <f t="shared" si="83"/>
        <v>0</v>
      </c>
      <c r="DS40" s="113">
        <v>0</v>
      </c>
      <c r="DT40" s="113">
        <v>0</v>
      </c>
      <c r="DU40" s="63">
        <f t="shared" si="84"/>
        <v>0</v>
      </c>
      <c r="DV40" s="113">
        <v>0</v>
      </c>
      <c r="DW40" s="113">
        <v>0</v>
      </c>
      <c r="DX40" s="744">
        <f t="shared" si="85"/>
        <v>0</v>
      </c>
      <c r="DY40" s="113">
        <v>0</v>
      </c>
      <c r="DZ40" s="113">
        <v>0</v>
      </c>
      <c r="EA40" s="63">
        <f t="shared" si="86"/>
        <v>0</v>
      </c>
      <c r="EB40" s="113">
        <v>0</v>
      </c>
      <c r="EC40" s="113">
        <v>0</v>
      </c>
      <c r="ED40" s="63">
        <f t="shared" si="87"/>
        <v>0</v>
      </c>
      <c r="EE40" s="113">
        <v>0</v>
      </c>
      <c r="EF40" s="113">
        <v>0</v>
      </c>
      <c r="EG40" s="744">
        <f t="shared" si="88"/>
        <v>0</v>
      </c>
      <c r="EH40" s="113">
        <v>0</v>
      </c>
      <c r="EI40" s="113">
        <v>0</v>
      </c>
      <c r="EJ40" s="63">
        <f t="shared" si="89"/>
        <v>0</v>
      </c>
      <c r="EK40" s="113">
        <v>0</v>
      </c>
      <c r="EL40" s="113">
        <v>0</v>
      </c>
      <c r="EM40" s="63">
        <f t="shared" si="90"/>
        <v>0</v>
      </c>
      <c r="EN40" s="113">
        <v>0</v>
      </c>
      <c r="EO40" s="113">
        <v>0</v>
      </c>
      <c r="EP40" s="744">
        <f t="shared" si="91"/>
        <v>0</v>
      </c>
      <c r="EQ40" s="113">
        <v>0</v>
      </c>
      <c r="ER40" s="113">
        <v>0</v>
      </c>
      <c r="ES40" s="744">
        <f t="shared" si="92"/>
        <v>0</v>
      </c>
      <c r="ET40" s="113">
        <v>0</v>
      </c>
      <c r="EU40" s="113">
        <v>0</v>
      </c>
      <c r="EV40" s="744">
        <f t="shared" si="93"/>
        <v>0</v>
      </c>
      <c r="EW40" s="113">
        <v>0</v>
      </c>
      <c r="EX40" s="113">
        <v>0</v>
      </c>
      <c r="EY40" s="744">
        <f t="shared" si="94"/>
        <v>0</v>
      </c>
    </row>
    <row r="41" spans="1:155" ht="20.25" hidden="1" collapsed="1" thickBot="1">
      <c r="A41" s="110"/>
      <c r="B41" s="137"/>
      <c r="C41" s="111">
        <v>100133676</v>
      </c>
      <c r="D41" s="138" t="s">
        <v>25</v>
      </c>
      <c r="E41" s="63">
        <v>4.32</v>
      </c>
      <c r="F41" s="64">
        <v>0</v>
      </c>
      <c r="G41" s="65">
        <v>0</v>
      </c>
      <c r="H41" s="63">
        <f t="shared" si="103"/>
        <v>4.32</v>
      </c>
      <c r="I41" s="67">
        <v>0</v>
      </c>
      <c r="J41" s="65">
        <v>0</v>
      </c>
      <c r="K41" s="63">
        <f t="shared" si="104"/>
        <v>4.32</v>
      </c>
      <c r="L41" s="67">
        <v>-3.0000000000000001E-3</v>
      </c>
      <c r="M41" s="65">
        <v>4.3170000000000002</v>
      </c>
      <c r="N41" s="63">
        <f t="shared" si="105"/>
        <v>0</v>
      </c>
      <c r="O41" s="67">
        <v>0</v>
      </c>
      <c r="P41" s="65">
        <v>0</v>
      </c>
      <c r="Q41" s="63">
        <f t="shared" si="106"/>
        <v>0</v>
      </c>
      <c r="R41" s="67">
        <v>0</v>
      </c>
      <c r="S41" s="65">
        <v>0</v>
      </c>
      <c r="T41" s="63">
        <f t="shared" si="107"/>
        <v>0</v>
      </c>
      <c r="U41" s="67">
        <v>0</v>
      </c>
      <c r="V41" s="65">
        <v>0</v>
      </c>
      <c r="W41" s="63">
        <f t="shared" si="108"/>
        <v>0</v>
      </c>
      <c r="X41" s="67">
        <v>0</v>
      </c>
      <c r="Y41" s="65">
        <v>0</v>
      </c>
      <c r="Z41" s="63">
        <f t="shared" si="101"/>
        <v>0</v>
      </c>
      <c r="AA41" s="67">
        <v>0</v>
      </c>
      <c r="AB41" s="65">
        <v>0</v>
      </c>
      <c r="AC41" s="63">
        <f t="shared" si="100"/>
        <v>0</v>
      </c>
      <c r="AD41" s="67">
        <v>0</v>
      </c>
      <c r="AE41" s="65">
        <v>-4.3</v>
      </c>
      <c r="AF41" s="63">
        <f>(AC41+AD41)-(AE41)</f>
        <v>4.3</v>
      </c>
      <c r="AG41" s="67">
        <v>0</v>
      </c>
      <c r="AH41" s="65">
        <v>0</v>
      </c>
      <c r="AI41" s="63">
        <f t="shared" si="58"/>
        <v>4.3</v>
      </c>
      <c r="AJ41" s="67">
        <v>0</v>
      </c>
      <c r="AK41" s="65">
        <v>0</v>
      </c>
      <c r="AL41" s="63">
        <f t="shared" si="102"/>
        <v>4.3</v>
      </c>
      <c r="AM41" s="67">
        <v>0</v>
      </c>
      <c r="AN41" s="65">
        <v>0</v>
      </c>
      <c r="AO41" s="63">
        <f t="shared" si="60"/>
        <v>4.3</v>
      </c>
      <c r="AP41" s="67">
        <v>0</v>
      </c>
      <c r="AQ41" s="65">
        <v>0</v>
      </c>
      <c r="AR41" s="63">
        <v>0</v>
      </c>
      <c r="AS41" s="67">
        <v>0</v>
      </c>
      <c r="AT41" s="65">
        <v>0</v>
      </c>
      <c r="AU41" s="63">
        <f t="shared" si="61"/>
        <v>0</v>
      </c>
      <c r="AV41" s="64">
        <v>0</v>
      </c>
      <c r="AW41" s="65">
        <v>0</v>
      </c>
      <c r="AX41" s="63">
        <f t="shared" si="62"/>
        <v>0</v>
      </c>
      <c r="AY41" s="67">
        <v>0</v>
      </c>
      <c r="AZ41" s="65">
        <v>0</v>
      </c>
      <c r="BA41" s="63">
        <f t="shared" si="63"/>
        <v>0</v>
      </c>
      <c r="BB41" s="67">
        <v>0</v>
      </c>
      <c r="BC41" s="65">
        <v>0</v>
      </c>
      <c r="BD41" s="63">
        <f t="shared" si="109"/>
        <v>0</v>
      </c>
      <c r="BE41" s="67">
        <v>0</v>
      </c>
      <c r="BF41" s="65">
        <v>0</v>
      </c>
      <c r="BG41" s="63">
        <f t="shared" si="110"/>
        <v>0</v>
      </c>
      <c r="BH41" s="67">
        <v>0</v>
      </c>
      <c r="BI41" s="65">
        <v>0</v>
      </c>
      <c r="BJ41" s="63">
        <f t="shared" si="64"/>
        <v>0</v>
      </c>
      <c r="BK41" s="67">
        <v>0</v>
      </c>
      <c r="BL41" s="65">
        <v>0</v>
      </c>
      <c r="BM41" s="63">
        <f t="shared" si="65"/>
        <v>0</v>
      </c>
      <c r="BN41" s="113">
        <v>0</v>
      </c>
      <c r="BO41" s="113">
        <v>0</v>
      </c>
      <c r="BP41" s="63">
        <f t="shared" si="66"/>
        <v>0</v>
      </c>
      <c r="BQ41" s="113">
        <v>0</v>
      </c>
      <c r="BR41" s="113">
        <v>0</v>
      </c>
      <c r="BS41" s="63">
        <f t="shared" si="67"/>
        <v>0</v>
      </c>
      <c r="BT41" s="113">
        <v>0</v>
      </c>
      <c r="BU41" s="113">
        <v>0</v>
      </c>
      <c r="BV41" s="63">
        <f t="shared" si="68"/>
        <v>0</v>
      </c>
      <c r="BW41" s="113">
        <v>0</v>
      </c>
      <c r="BX41" s="113">
        <v>0</v>
      </c>
      <c r="BY41" s="63">
        <f t="shared" si="69"/>
        <v>0</v>
      </c>
      <c r="BZ41" s="113">
        <v>0</v>
      </c>
      <c r="CA41" s="113">
        <v>0</v>
      </c>
      <c r="CB41" s="63">
        <f t="shared" si="70"/>
        <v>0</v>
      </c>
      <c r="CC41" s="113">
        <v>0</v>
      </c>
      <c r="CD41" s="113">
        <v>0</v>
      </c>
      <c r="CE41" s="63">
        <f t="shared" si="71"/>
        <v>0</v>
      </c>
      <c r="CF41" s="113">
        <v>0</v>
      </c>
      <c r="CG41" s="113">
        <v>0</v>
      </c>
      <c r="CH41" s="63">
        <f t="shared" si="72"/>
        <v>0</v>
      </c>
      <c r="CI41" s="113">
        <v>0</v>
      </c>
      <c r="CJ41" s="113">
        <v>0</v>
      </c>
      <c r="CK41" s="69">
        <f t="shared" si="73"/>
        <v>0</v>
      </c>
      <c r="CL41" s="117">
        <v>0</v>
      </c>
      <c r="CM41" s="136">
        <v>0</v>
      </c>
      <c r="CN41" s="63">
        <f t="shared" si="74"/>
        <v>0</v>
      </c>
      <c r="CO41" s="113">
        <v>0</v>
      </c>
      <c r="CP41" s="113">
        <v>0</v>
      </c>
      <c r="CQ41" s="63">
        <f t="shared" si="75"/>
        <v>0</v>
      </c>
      <c r="CR41" s="113">
        <v>0</v>
      </c>
      <c r="CS41" s="113">
        <v>0</v>
      </c>
      <c r="CT41" s="69">
        <f t="shared" si="76"/>
        <v>0</v>
      </c>
      <c r="CU41" s="119">
        <v>0</v>
      </c>
      <c r="CV41" s="113">
        <v>0</v>
      </c>
      <c r="CW41" s="63">
        <f t="shared" si="77"/>
        <v>0</v>
      </c>
      <c r="CX41" s="113">
        <v>0</v>
      </c>
      <c r="CY41" s="113">
        <v>0</v>
      </c>
      <c r="CZ41" s="63">
        <f t="shared" si="78"/>
        <v>0</v>
      </c>
      <c r="DA41" s="113">
        <v>0</v>
      </c>
      <c r="DB41" s="113">
        <v>0</v>
      </c>
      <c r="DC41" s="63">
        <f t="shared" si="79"/>
        <v>0</v>
      </c>
      <c r="DD41" s="113">
        <v>0</v>
      </c>
      <c r="DE41" s="113">
        <v>0</v>
      </c>
      <c r="DF41" s="63">
        <f t="shared" si="80"/>
        <v>0</v>
      </c>
      <c r="DG41" s="113">
        <v>0</v>
      </c>
      <c r="DH41" s="113">
        <v>0</v>
      </c>
      <c r="DI41" s="63">
        <f t="shared" si="81"/>
        <v>0</v>
      </c>
      <c r="DJ41" s="113">
        <v>0</v>
      </c>
      <c r="DK41" s="113">
        <v>0</v>
      </c>
      <c r="DL41" s="63">
        <v>0</v>
      </c>
      <c r="DM41" s="113">
        <v>0</v>
      </c>
      <c r="DN41" s="113">
        <v>0</v>
      </c>
      <c r="DO41" s="63">
        <f t="shared" si="82"/>
        <v>0</v>
      </c>
      <c r="DP41" s="113">
        <v>0</v>
      </c>
      <c r="DQ41" s="113">
        <v>0</v>
      </c>
      <c r="DR41" s="63">
        <f t="shared" si="83"/>
        <v>0</v>
      </c>
      <c r="DS41" s="113">
        <v>0</v>
      </c>
      <c r="DT41" s="113">
        <v>0</v>
      </c>
      <c r="DU41" s="63">
        <f t="shared" si="84"/>
        <v>0</v>
      </c>
      <c r="DV41" s="113">
        <v>0</v>
      </c>
      <c r="DW41" s="113">
        <v>0</v>
      </c>
      <c r="DX41" s="744">
        <f t="shared" si="85"/>
        <v>0</v>
      </c>
      <c r="DY41" s="113">
        <v>0</v>
      </c>
      <c r="DZ41" s="113">
        <v>0</v>
      </c>
      <c r="EA41" s="63">
        <f t="shared" si="86"/>
        <v>0</v>
      </c>
      <c r="EB41" s="113">
        <v>0</v>
      </c>
      <c r="EC41" s="113">
        <v>0</v>
      </c>
      <c r="ED41" s="63">
        <f t="shared" si="87"/>
        <v>0</v>
      </c>
      <c r="EE41" s="113">
        <v>0</v>
      </c>
      <c r="EF41" s="113">
        <v>0</v>
      </c>
      <c r="EG41" s="744">
        <f t="shared" si="88"/>
        <v>0</v>
      </c>
      <c r="EH41" s="113">
        <v>0</v>
      </c>
      <c r="EI41" s="113">
        <v>0</v>
      </c>
      <c r="EJ41" s="63">
        <f t="shared" si="89"/>
        <v>0</v>
      </c>
      <c r="EK41" s="113">
        <v>0</v>
      </c>
      <c r="EL41" s="113">
        <v>0</v>
      </c>
      <c r="EM41" s="63">
        <f t="shared" si="90"/>
        <v>0</v>
      </c>
      <c r="EN41" s="113">
        <v>0</v>
      </c>
      <c r="EO41" s="113">
        <v>0</v>
      </c>
      <c r="EP41" s="744">
        <f t="shared" si="91"/>
        <v>0</v>
      </c>
      <c r="EQ41" s="113">
        <v>0</v>
      </c>
      <c r="ER41" s="113">
        <v>0</v>
      </c>
      <c r="ES41" s="744">
        <f t="shared" si="92"/>
        <v>0</v>
      </c>
      <c r="ET41" s="113">
        <v>0</v>
      </c>
      <c r="EU41" s="113">
        <v>0</v>
      </c>
      <c r="EV41" s="744">
        <f t="shared" si="93"/>
        <v>0</v>
      </c>
      <c r="EW41" s="113">
        <v>0</v>
      </c>
      <c r="EX41" s="113">
        <v>0</v>
      </c>
      <c r="EY41" s="744">
        <f t="shared" si="94"/>
        <v>0</v>
      </c>
    </row>
    <row r="42" spans="1:155" ht="20.25" hidden="1" collapsed="1" thickBot="1">
      <c r="A42" s="110"/>
      <c r="B42" s="137"/>
      <c r="C42" s="139">
        <v>100241577</v>
      </c>
      <c r="D42" s="140" t="s">
        <v>26</v>
      </c>
      <c r="E42" s="66">
        <v>37.244999999999997</v>
      </c>
      <c r="F42" s="67">
        <v>0.122</v>
      </c>
      <c r="G42" s="65">
        <v>10.840999999999999</v>
      </c>
      <c r="H42" s="66">
        <f t="shared" si="103"/>
        <v>26.525999999999996</v>
      </c>
      <c r="I42" s="67">
        <v>13.595000000000001</v>
      </c>
      <c r="J42" s="68">
        <v>13.595000000000001</v>
      </c>
      <c r="K42" s="66">
        <f t="shared" si="104"/>
        <v>26.525999999999996</v>
      </c>
      <c r="L42" s="67">
        <v>-2E-3</v>
      </c>
      <c r="M42" s="68">
        <v>0</v>
      </c>
      <c r="N42" s="66">
        <f t="shared" si="105"/>
        <v>26.523999999999997</v>
      </c>
      <c r="O42" s="67">
        <v>0</v>
      </c>
      <c r="P42" s="68">
        <v>26.536999999999999</v>
      </c>
      <c r="Q42" s="66">
        <f t="shared" si="106"/>
        <v>-1.3000000000001677E-2</v>
      </c>
      <c r="R42" s="67">
        <v>0</v>
      </c>
      <c r="S42" s="68">
        <v>0</v>
      </c>
      <c r="T42" s="66">
        <f t="shared" si="107"/>
        <v>-1.3000000000001677E-2</v>
      </c>
      <c r="U42" s="67">
        <v>0</v>
      </c>
      <c r="V42" s="68">
        <v>0</v>
      </c>
      <c r="W42" s="66">
        <f t="shared" si="108"/>
        <v>-1.3000000000001677E-2</v>
      </c>
      <c r="X42" s="67">
        <v>0</v>
      </c>
      <c r="Y42" s="68">
        <v>0</v>
      </c>
      <c r="Z42" s="66">
        <f t="shared" si="101"/>
        <v>-1.3000000000001677E-2</v>
      </c>
      <c r="AA42" s="67">
        <v>48.94</v>
      </c>
      <c r="AB42" s="68">
        <v>48.94</v>
      </c>
      <c r="AC42" s="66">
        <f t="shared" si="100"/>
        <v>-1.300000000000523E-2</v>
      </c>
      <c r="AD42" s="67">
        <v>59.03</v>
      </c>
      <c r="AE42" s="68">
        <v>21.76</v>
      </c>
      <c r="AF42" s="66">
        <f>(AC42+AD42)-(AE42)</f>
        <v>37.256999999999991</v>
      </c>
      <c r="AG42" s="67">
        <v>94.91</v>
      </c>
      <c r="AH42" s="68">
        <v>88.2</v>
      </c>
      <c r="AI42" s="66">
        <f t="shared" si="58"/>
        <v>43.96699999999997</v>
      </c>
      <c r="AJ42" s="67">
        <v>39.04</v>
      </c>
      <c r="AK42" s="68">
        <v>73.748000000000005</v>
      </c>
      <c r="AL42" s="66">
        <f t="shared" si="102"/>
        <v>9.2589999999999719</v>
      </c>
      <c r="AM42" s="67">
        <v>0</v>
      </c>
      <c r="AN42" s="68">
        <v>0</v>
      </c>
      <c r="AO42" s="66">
        <f t="shared" si="60"/>
        <v>9.2589999999999719</v>
      </c>
      <c r="AP42" s="67">
        <v>68.930999999999997</v>
      </c>
      <c r="AQ42" s="65">
        <v>47.000999999999998</v>
      </c>
      <c r="AR42" s="66">
        <f>(AO42+AP42)-(AQ42)</f>
        <v>31.188999999999972</v>
      </c>
      <c r="AS42" s="67">
        <v>39.786999999999999</v>
      </c>
      <c r="AT42" s="65">
        <v>70.507000000000005</v>
      </c>
      <c r="AU42" s="66">
        <f t="shared" si="61"/>
        <v>0.46899999999996567</v>
      </c>
      <c r="AV42" s="64">
        <v>0</v>
      </c>
      <c r="AW42" s="65">
        <v>0.48</v>
      </c>
      <c r="AX42" s="66">
        <f t="shared" si="62"/>
        <v>-1.1000000000034316E-2</v>
      </c>
      <c r="AY42" s="67">
        <v>0</v>
      </c>
      <c r="AZ42" s="68">
        <v>-4.0000000000000001E-3</v>
      </c>
      <c r="BA42" s="66">
        <f t="shared" si="63"/>
        <v>-7.0000000000343156E-3</v>
      </c>
      <c r="BB42" s="67">
        <v>0</v>
      </c>
      <c r="BC42" s="68">
        <v>0</v>
      </c>
      <c r="BD42" s="66">
        <f t="shared" si="109"/>
        <v>-7.0000000000343156E-3</v>
      </c>
      <c r="BE42" s="67">
        <v>0</v>
      </c>
      <c r="BF42" s="68">
        <v>0</v>
      </c>
      <c r="BG42" s="66">
        <f t="shared" si="110"/>
        <v>-7.0000000000343156E-3</v>
      </c>
      <c r="BH42" s="67">
        <v>0</v>
      </c>
      <c r="BI42" s="68">
        <v>0</v>
      </c>
      <c r="BJ42" s="66">
        <f t="shared" si="64"/>
        <v>-7.0000000000343156E-3</v>
      </c>
      <c r="BK42" s="67">
        <v>0</v>
      </c>
      <c r="BL42" s="68">
        <v>0</v>
      </c>
      <c r="BM42" s="66">
        <f t="shared" si="65"/>
        <v>-7.0000000000343156E-3</v>
      </c>
      <c r="BN42" s="113">
        <v>0</v>
      </c>
      <c r="BO42" s="113">
        <v>0</v>
      </c>
      <c r="BP42" s="66">
        <f t="shared" si="66"/>
        <v>-7.0000000000343156E-3</v>
      </c>
      <c r="BQ42" s="113">
        <v>0</v>
      </c>
      <c r="BR42" s="113">
        <v>0</v>
      </c>
      <c r="BS42" s="66">
        <f t="shared" si="67"/>
        <v>-7.0000000000343156E-3</v>
      </c>
      <c r="BT42" s="113">
        <v>0</v>
      </c>
      <c r="BU42" s="113">
        <v>0</v>
      </c>
      <c r="BV42" s="66">
        <f t="shared" si="68"/>
        <v>-7.0000000000343156E-3</v>
      </c>
      <c r="BW42" s="113">
        <v>0</v>
      </c>
      <c r="BX42" s="113">
        <v>0</v>
      </c>
      <c r="BY42" s="66">
        <f t="shared" si="69"/>
        <v>-7.0000000000343156E-3</v>
      </c>
      <c r="BZ42" s="113">
        <v>0</v>
      </c>
      <c r="CA42" s="113">
        <v>0</v>
      </c>
      <c r="CB42" s="66">
        <f t="shared" si="70"/>
        <v>-7.0000000000343156E-3</v>
      </c>
      <c r="CC42" s="113">
        <v>0</v>
      </c>
      <c r="CD42" s="113">
        <v>0</v>
      </c>
      <c r="CE42" s="66">
        <f t="shared" si="71"/>
        <v>-7.0000000000343156E-3</v>
      </c>
      <c r="CF42" s="113">
        <v>0</v>
      </c>
      <c r="CG42" s="113">
        <v>0</v>
      </c>
      <c r="CH42" s="66">
        <f t="shared" si="72"/>
        <v>-7.0000000000343156E-3</v>
      </c>
      <c r="CI42" s="113">
        <v>0</v>
      </c>
      <c r="CJ42" s="113">
        <v>0</v>
      </c>
      <c r="CK42" s="72">
        <f t="shared" si="73"/>
        <v>-7.0000000000343156E-3</v>
      </c>
      <c r="CL42" s="117">
        <v>0</v>
      </c>
      <c r="CM42" s="136">
        <v>0</v>
      </c>
      <c r="CN42" s="66">
        <f t="shared" si="74"/>
        <v>-7.0000000000343156E-3</v>
      </c>
      <c r="CO42" s="113">
        <v>0</v>
      </c>
      <c r="CP42" s="113">
        <v>0</v>
      </c>
      <c r="CQ42" s="66">
        <f t="shared" si="75"/>
        <v>-7.0000000000343156E-3</v>
      </c>
      <c r="CR42" s="113">
        <v>0</v>
      </c>
      <c r="CS42" s="113">
        <v>0</v>
      </c>
      <c r="CT42" s="72">
        <f t="shared" si="76"/>
        <v>-7.0000000000343156E-3</v>
      </c>
      <c r="CU42" s="119">
        <v>0</v>
      </c>
      <c r="CV42" s="113">
        <v>0</v>
      </c>
      <c r="CW42" s="66">
        <f t="shared" si="77"/>
        <v>-7.0000000000343156E-3</v>
      </c>
      <c r="CX42" s="113">
        <v>0</v>
      </c>
      <c r="CY42" s="113">
        <v>0</v>
      </c>
      <c r="CZ42" s="66">
        <f t="shared" si="78"/>
        <v>-7.0000000000343156E-3</v>
      </c>
      <c r="DA42" s="113">
        <v>0</v>
      </c>
      <c r="DB42" s="113">
        <v>0</v>
      </c>
      <c r="DC42" s="66">
        <f t="shared" si="79"/>
        <v>-7.0000000000343156E-3</v>
      </c>
      <c r="DD42" s="113">
        <v>0</v>
      </c>
      <c r="DE42" s="113">
        <v>0</v>
      </c>
      <c r="DF42" s="66">
        <f t="shared" si="80"/>
        <v>-7.0000000000343156E-3</v>
      </c>
      <c r="DG42" s="113">
        <v>0</v>
      </c>
      <c r="DH42" s="113">
        <v>0</v>
      </c>
      <c r="DI42" s="66">
        <f t="shared" si="81"/>
        <v>-7.0000000000343156E-3</v>
      </c>
      <c r="DJ42" s="113">
        <v>0</v>
      </c>
      <c r="DK42" s="113">
        <v>0</v>
      </c>
      <c r="DL42" s="66">
        <v>0</v>
      </c>
      <c r="DM42" s="113">
        <v>0</v>
      </c>
      <c r="DN42" s="113">
        <v>0</v>
      </c>
      <c r="DO42" s="63">
        <f t="shared" si="82"/>
        <v>0</v>
      </c>
      <c r="DP42" s="113">
        <v>0</v>
      </c>
      <c r="DQ42" s="113">
        <v>0</v>
      </c>
      <c r="DR42" s="66">
        <f t="shared" si="83"/>
        <v>0</v>
      </c>
      <c r="DS42" s="113">
        <v>0</v>
      </c>
      <c r="DT42" s="113">
        <v>0</v>
      </c>
      <c r="DU42" s="66">
        <f t="shared" si="84"/>
        <v>0</v>
      </c>
      <c r="DV42" s="113">
        <v>0</v>
      </c>
      <c r="DW42" s="113">
        <v>0</v>
      </c>
      <c r="DX42" s="744">
        <f t="shared" si="85"/>
        <v>0</v>
      </c>
      <c r="DY42" s="113">
        <v>0</v>
      </c>
      <c r="DZ42" s="113">
        <v>0</v>
      </c>
      <c r="EA42" s="66">
        <f t="shared" si="86"/>
        <v>0</v>
      </c>
      <c r="EB42" s="113">
        <v>0</v>
      </c>
      <c r="EC42" s="113">
        <v>0</v>
      </c>
      <c r="ED42" s="66">
        <f t="shared" si="87"/>
        <v>0</v>
      </c>
      <c r="EE42" s="113">
        <v>0</v>
      </c>
      <c r="EF42" s="113">
        <v>0</v>
      </c>
      <c r="EG42" s="744">
        <f t="shared" si="88"/>
        <v>0</v>
      </c>
      <c r="EH42" s="113">
        <v>0</v>
      </c>
      <c r="EI42" s="113">
        <v>0</v>
      </c>
      <c r="EJ42" s="66">
        <f t="shared" si="89"/>
        <v>0</v>
      </c>
      <c r="EK42" s="113">
        <v>0</v>
      </c>
      <c r="EL42" s="113">
        <v>0</v>
      </c>
      <c r="EM42" s="66">
        <f t="shared" si="90"/>
        <v>0</v>
      </c>
      <c r="EN42" s="113">
        <v>0</v>
      </c>
      <c r="EO42" s="113">
        <v>0</v>
      </c>
      <c r="EP42" s="744">
        <f t="shared" si="91"/>
        <v>0</v>
      </c>
      <c r="EQ42" s="113">
        <v>0</v>
      </c>
      <c r="ER42" s="113">
        <v>0</v>
      </c>
      <c r="ES42" s="744">
        <f t="shared" si="92"/>
        <v>0</v>
      </c>
      <c r="ET42" s="113">
        <v>0</v>
      </c>
      <c r="EU42" s="113">
        <v>0</v>
      </c>
      <c r="EV42" s="744">
        <f t="shared" si="93"/>
        <v>0</v>
      </c>
      <c r="EW42" s="113">
        <v>0</v>
      </c>
      <c r="EX42" s="113">
        <v>0</v>
      </c>
      <c r="EY42" s="744">
        <f t="shared" si="94"/>
        <v>0</v>
      </c>
    </row>
    <row r="43" spans="1:155" ht="20.25" hidden="1" collapsed="1" thickBot="1">
      <c r="A43" s="110"/>
      <c r="B43" s="137"/>
      <c r="C43" s="139">
        <v>100241605</v>
      </c>
      <c r="D43" s="140" t="s">
        <v>27</v>
      </c>
      <c r="E43" s="66">
        <v>59.145000000000003</v>
      </c>
      <c r="F43" s="67">
        <v>0</v>
      </c>
      <c r="G43" s="68">
        <v>26.88</v>
      </c>
      <c r="H43" s="66">
        <f t="shared" si="103"/>
        <v>32.265000000000001</v>
      </c>
      <c r="I43" s="67">
        <v>12.930999999999999</v>
      </c>
      <c r="J43" s="68">
        <v>0</v>
      </c>
      <c r="K43" s="66">
        <f t="shared" si="104"/>
        <v>45.195999999999998</v>
      </c>
      <c r="L43" s="67">
        <v>0</v>
      </c>
      <c r="M43" s="68">
        <v>0</v>
      </c>
      <c r="N43" s="66">
        <f t="shared" si="105"/>
        <v>45.195999999999998</v>
      </c>
      <c r="O43" s="67">
        <v>0</v>
      </c>
      <c r="P43" s="68">
        <v>0</v>
      </c>
      <c r="Q43" s="66">
        <f t="shared" si="106"/>
        <v>45.195999999999998</v>
      </c>
      <c r="R43" s="67">
        <v>0</v>
      </c>
      <c r="S43" s="68">
        <v>0</v>
      </c>
      <c r="T43" s="66">
        <f t="shared" si="107"/>
        <v>45.195999999999998</v>
      </c>
      <c r="U43" s="67">
        <v>0</v>
      </c>
      <c r="V43" s="68">
        <v>0</v>
      </c>
      <c r="W43" s="66">
        <f t="shared" si="108"/>
        <v>45.195999999999998</v>
      </c>
      <c r="X43" s="67">
        <v>0</v>
      </c>
      <c r="Y43" s="68">
        <v>23.04</v>
      </c>
      <c r="Z43" s="66">
        <f t="shared" si="101"/>
        <v>22.155999999999999</v>
      </c>
      <c r="AA43" s="67">
        <v>0</v>
      </c>
      <c r="AB43" s="68">
        <v>0</v>
      </c>
      <c r="AC43" s="66">
        <v>22.11</v>
      </c>
      <c r="AD43" s="67">
        <v>0</v>
      </c>
      <c r="AE43" s="68">
        <v>0</v>
      </c>
      <c r="AF43" s="66">
        <f>(AC43+AD43)-(AE43)</f>
        <v>22.11</v>
      </c>
      <c r="AG43" s="67">
        <v>0</v>
      </c>
      <c r="AH43" s="68">
        <v>0</v>
      </c>
      <c r="AI43" s="66">
        <f t="shared" si="58"/>
        <v>22.11</v>
      </c>
      <c r="AJ43" s="67">
        <v>-3.36</v>
      </c>
      <c r="AK43" s="68">
        <v>0</v>
      </c>
      <c r="AL43" s="66">
        <f t="shared" si="102"/>
        <v>18.75</v>
      </c>
      <c r="AM43" s="67">
        <v>3.02</v>
      </c>
      <c r="AN43" s="68">
        <v>0</v>
      </c>
      <c r="AO43" s="66">
        <f t="shared" si="60"/>
        <v>21.77</v>
      </c>
      <c r="AP43" s="67">
        <v>0</v>
      </c>
      <c r="AQ43" s="68">
        <v>21.8</v>
      </c>
      <c r="AR43" s="66">
        <f>(AO43+AP43)-(AQ43)</f>
        <v>-3.0000000000001137E-2</v>
      </c>
      <c r="AS43" s="67">
        <v>0</v>
      </c>
      <c r="AT43" s="65">
        <v>0</v>
      </c>
      <c r="AU43" s="66">
        <f t="shared" si="61"/>
        <v>-3.0000000000001137E-2</v>
      </c>
      <c r="AV43" s="64">
        <v>0</v>
      </c>
      <c r="AW43" s="65">
        <v>0</v>
      </c>
      <c r="AX43" s="66">
        <f t="shared" si="62"/>
        <v>-3.0000000000001137E-2</v>
      </c>
      <c r="AY43" s="67">
        <v>0</v>
      </c>
      <c r="AZ43" s="68">
        <v>0</v>
      </c>
      <c r="BA43" s="66">
        <f t="shared" si="63"/>
        <v>-3.0000000000001137E-2</v>
      </c>
      <c r="BB43" s="67">
        <v>0</v>
      </c>
      <c r="BC43" s="68">
        <v>0</v>
      </c>
      <c r="BD43" s="66">
        <f t="shared" si="109"/>
        <v>-3.0000000000001137E-2</v>
      </c>
      <c r="BE43" s="67">
        <v>0</v>
      </c>
      <c r="BF43" s="68">
        <v>0</v>
      </c>
      <c r="BG43" s="66">
        <f t="shared" si="110"/>
        <v>-3.0000000000001137E-2</v>
      </c>
      <c r="BH43" s="67">
        <v>0</v>
      </c>
      <c r="BI43" s="68">
        <v>0</v>
      </c>
      <c r="BJ43" s="66">
        <f t="shared" si="64"/>
        <v>-3.0000000000001137E-2</v>
      </c>
      <c r="BK43" s="67">
        <v>0</v>
      </c>
      <c r="BL43" s="68">
        <v>0</v>
      </c>
      <c r="BM43" s="66">
        <f t="shared" si="65"/>
        <v>-3.0000000000001137E-2</v>
      </c>
      <c r="BN43" s="113">
        <v>0</v>
      </c>
      <c r="BO43" s="113">
        <v>0</v>
      </c>
      <c r="BP43" s="66">
        <f t="shared" si="66"/>
        <v>-3.0000000000001137E-2</v>
      </c>
      <c r="BQ43" s="113">
        <v>0</v>
      </c>
      <c r="BR43" s="113">
        <v>0</v>
      </c>
      <c r="BS43" s="66">
        <f t="shared" si="67"/>
        <v>-3.0000000000001137E-2</v>
      </c>
      <c r="BT43" s="113">
        <v>0</v>
      </c>
      <c r="BU43" s="113">
        <v>0</v>
      </c>
      <c r="BV43" s="66">
        <f t="shared" si="68"/>
        <v>-3.0000000000001137E-2</v>
      </c>
      <c r="BW43" s="113">
        <v>0</v>
      </c>
      <c r="BX43" s="113">
        <v>0</v>
      </c>
      <c r="BY43" s="66">
        <f t="shared" si="69"/>
        <v>-3.0000000000001137E-2</v>
      </c>
      <c r="BZ43" s="113">
        <v>0</v>
      </c>
      <c r="CA43" s="113">
        <v>0</v>
      </c>
      <c r="CB43" s="66">
        <f t="shared" si="70"/>
        <v>-3.0000000000001137E-2</v>
      </c>
      <c r="CC43" s="113">
        <v>0</v>
      </c>
      <c r="CD43" s="113">
        <v>0</v>
      </c>
      <c r="CE43" s="66">
        <f t="shared" si="71"/>
        <v>-3.0000000000001137E-2</v>
      </c>
      <c r="CF43" s="113">
        <v>0</v>
      </c>
      <c r="CG43" s="113">
        <v>0</v>
      </c>
      <c r="CH43" s="66">
        <f t="shared" si="72"/>
        <v>-3.0000000000001137E-2</v>
      </c>
      <c r="CI43" s="113">
        <v>0</v>
      </c>
      <c r="CJ43" s="113">
        <v>0</v>
      </c>
      <c r="CK43" s="72">
        <f t="shared" si="73"/>
        <v>-3.0000000000001137E-2</v>
      </c>
      <c r="CL43" s="117">
        <v>0</v>
      </c>
      <c r="CM43" s="136">
        <v>0</v>
      </c>
      <c r="CN43" s="66">
        <f t="shared" si="74"/>
        <v>-3.0000000000001137E-2</v>
      </c>
      <c r="CO43" s="113">
        <v>0</v>
      </c>
      <c r="CP43" s="113">
        <v>0</v>
      </c>
      <c r="CQ43" s="66">
        <f t="shared" si="75"/>
        <v>-3.0000000000001137E-2</v>
      </c>
      <c r="CR43" s="113">
        <v>0</v>
      </c>
      <c r="CS43" s="113">
        <v>0</v>
      </c>
      <c r="CT43" s="72">
        <f t="shared" si="76"/>
        <v>-3.0000000000001137E-2</v>
      </c>
      <c r="CU43" s="119">
        <v>0</v>
      </c>
      <c r="CV43" s="113">
        <v>0</v>
      </c>
      <c r="CW43" s="66">
        <f t="shared" si="77"/>
        <v>-3.0000000000001137E-2</v>
      </c>
      <c r="CX43" s="113">
        <v>0</v>
      </c>
      <c r="CY43" s="113">
        <v>0</v>
      </c>
      <c r="CZ43" s="66">
        <f t="shared" si="78"/>
        <v>-3.0000000000001137E-2</v>
      </c>
      <c r="DA43" s="113">
        <v>0</v>
      </c>
      <c r="DB43" s="113">
        <v>0</v>
      </c>
      <c r="DC43" s="66">
        <f t="shared" si="79"/>
        <v>-3.0000000000001137E-2</v>
      </c>
      <c r="DD43" s="113">
        <v>0</v>
      </c>
      <c r="DE43" s="113">
        <v>0</v>
      </c>
      <c r="DF43" s="66">
        <f t="shared" si="80"/>
        <v>-3.0000000000001137E-2</v>
      </c>
      <c r="DG43" s="113">
        <v>0</v>
      </c>
      <c r="DH43" s="113">
        <v>0</v>
      </c>
      <c r="DI43" s="66">
        <f t="shared" si="81"/>
        <v>-3.0000000000001137E-2</v>
      </c>
      <c r="DJ43" s="113">
        <v>0</v>
      </c>
      <c r="DK43" s="113">
        <v>0</v>
      </c>
      <c r="DL43" s="66">
        <v>0</v>
      </c>
      <c r="DM43" s="113">
        <v>0</v>
      </c>
      <c r="DN43" s="113">
        <v>0</v>
      </c>
      <c r="DO43" s="63">
        <f t="shared" si="82"/>
        <v>0</v>
      </c>
      <c r="DP43" s="113">
        <v>0</v>
      </c>
      <c r="DQ43" s="113">
        <v>0</v>
      </c>
      <c r="DR43" s="66">
        <f t="shared" si="83"/>
        <v>0</v>
      </c>
      <c r="DS43" s="113">
        <v>0</v>
      </c>
      <c r="DT43" s="113">
        <v>0</v>
      </c>
      <c r="DU43" s="66">
        <f t="shared" si="84"/>
        <v>0</v>
      </c>
      <c r="DV43" s="113">
        <v>0</v>
      </c>
      <c r="DW43" s="113">
        <v>0</v>
      </c>
      <c r="DX43" s="744">
        <f t="shared" si="85"/>
        <v>0</v>
      </c>
      <c r="DY43" s="113">
        <v>0</v>
      </c>
      <c r="DZ43" s="113">
        <v>0</v>
      </c>
      <c r="EA43" s="66">
        <f t="shared" si="86"/>
        <v>0</v>
      </c>
      <c r="EB43" s="113">
        <v>0</v>
      </c>
      <c r="EC43" s="113">
        <v>0</v>
      </c>
      <c r="ED43" s="66">
        <f t="shared" si="87"/>
        <v>0</v>
      </c>
      <c r="EE43" s="113">
        <v>0</v>
      </c>
      <c r="EF43" s="113">
        <v>0</v>
      </c>
      <c r="EG43" s="744">
        <f t="shared" si="88"/>
        <v>0</v>
      </c>
      <c r="EH43" s="113">
        <v>0</v>
      </c>
      <c r="EI43" s="113">
        <v>0</v>
      </c>
      <c r="EJ43" s="66">
        <f t="shared" si="89"/>
        <v>0</v>
      </c>
      <c r="EK43" s="113">
        <v>0</v>
      </c>
      <c r="EL43" s="113">
        <v>0</v>
      </c>
      <c r="EM43" s="66">
        <f t="shared" si="90"/>
        <v>0</v>
      </c>
      <c r="EN43" s="113">
        <v>0</v>
      </c>
      <c r="EO43" s="113">
        <v>0</v>
      </c>
      <c r="EP43" s="744">
        <f t="shared" si="91"/>
        <v>0</v>
      </c>
      <c r="EQ43" s="113">
        <v>0</v>
      </c>
      <c r="ER43" s="113">
        <v>0</v>
      </c>
      <c r="ES43" s="744">
        <f t="shared" si="92"/>
        <v>0</v>
      </c>
      <c r="ET43" s="113">
        <v>0</v>
      </c>
      <c r="EU43" s="113">
        <v>0</v>
      </c>
      <c r="EV43" s="744">
        <f t="shared" si="93"/>
        <v>0</v>
      </c>
      <c r="EW43" s="113">
        <v>0</v>
      </c>
      <c r="EX43" s="113">
        <v>0</v>
      </c>
      <c r="EY43" s="744">
        <f t="shared" si="94"/>
        <v>0</v>
      </c>
    </row>
    <row r="44" spans="1:155" ht="20.25" hidden="1" collapsed="1" thickBot="1">
      <c r="A44" s="110"/>
      <c r="B44" s="137"/>
      <c r="C44" s="111">
        <v>100256094</v>
      </c>
      <c r="D44" s="138" t="s">
        <v>78</v>
      </c>
      <c r="E44" s="66">
        <v>104.64100000000001</v>
      </c>
      <c r="F44" s="67">
        <v>0</v>
      </c>
      <c r="G44" s="68">
        <v>0</v>
      </c>
      <c r="H44" s="66">
        <f t="shared" si="103"/>
        <v>104.64100000000001</v>
      </c>
      <c r="I44" s="67">
        <v>4.194</v>
      </c>
      <c r="J44" s="68">
        <v>-2E-3</v>
      </c>
      <c r="K44" s="66">
        <f t="shared" si="104"/>
        <v>108.837</v>
      </c>
      <c r="L44" s="67">
        <v>0</v>
      </c>
      <c r="M44" s="68">
        <v>0</v>
      </c>
      <c r="N44" s="66">
        <f t="shared" si="105"/>
        <v>108.837</v>
      </c>
      <c r="O44" s="67">
        <v>0</v>
      </c>
      <c r="P44" s="68">
        <v>0</v>
      </c>
      <c r="Q44" s="66">
        <f t="shared" si="106"/>
        <v>108.837</v>
      </c>
      <c r="R44" s="67">
        <v>0</v>
      </c>
      <c r="S44" s="68">
        <v>4</v>
      </c>
      <c r="T44" s="66">
        <f t="shared" si="107"/>
        <v>104.837</v>
      </c>
      <c r="U44" s="67">
        <v>0</v>
      </c>
      <c r="V44" s="68">
        <v>0</v>
      </c>
      <c r="W44" s="66">
        <f t="shared" si="108"/>
        <v>104.837</v>
      </c>
      <c r="X44" s="67">
        <v>0</v>
      </c>
      <c r="Y44" s="68">
        <v>0</v>
      </c>
      <c r="Z44" s="66">
        <f t="shared" si="101"/>
        <v>104.837</v>
      </c>
      <c r="AA44" s="67">
        <v>0</v>
      </c>
      <c r="AB44" s="68">
        <v>0</v>
      </c>
      <c r="AC44" s="66">
        <v>104.76</v>
      </c>
      <c r="AD44" s="67">
        <v>0</v>
      </c>
      <c r="AE44" s="68">
        <v>0</v>
      </c>
      <c r="AF44" s="66">
        <f>(AC44+AD44)-(AE44)</f>
        <v>104.76</v>
      </c>
      <c r="AG44" s="67">
        <v>-0.94</v>
      </c>
      <c r="AH44" s="68">
        <v>0</v>
      </c>
      <c r="AI44" s="66">
        <f t="shared" si="58"/>
        <v>103.82000000000001</v>
      </c>
      <c r="AJ44" s="67">
        <v>-6.7519999999999998</v>
      </c>
      <c r="AK44" s="68">
        <v>0</v>
      </c>
      <c r="AL44" s="66">
        <f t="shared" si="102"/>
        <v>97.068000000000012</v>
      </c>
      <c r="AM44" s="67">
        <v>5.6269999999999998</v>
      </c>
      <c r="AN44" s="68">
        <v>67.816999999999993</v>
      </c>
      <c r="AO44" s="66">
        <f t="shared" si="60"/>
        <v>34.878000000000014</v>
      </c>
      <c r="AP44" s="67">
        <v>0</v>
      </c>
      <c r="AQ44" s="68">
        <v>34.9</v>
      </c>
      <c r="AR44" s="66">
        <f>(AO44+AP44)-(AQ44)</f>
        <v>-2.1999999999984254E-2</v>
      </c>
      <c r="AS44" s="67">
        <v>0</v>
      </c>
      <c r="AT44" s="65">
        <v>0</v>
      </c>
      <c r="AU44" s="66">
        <f t="shared" si="61"/>
        <v>-2.1999999999984254E-2</v>
      </c>
      <c r="AV44" s="64">
        <v>0</v>
      </c>
      <c r="AW44" s="65">
        <v>-9.6000000000000002E-2</v>
      </c>
      <c r="AX44" s="66">
        <f t="shared" si="62"/>
        <v>7.4000000000015748E-2</v>
      </c>
      <c r="AY44" s="67">
        <v>-9.6000000000000002E-2</v>
      </c>
      <c r="AZ44" s="68">
        <v>0</v>
      </c>
      <c r="BA44" s="66">
        <f t="shared" si="63"/>
        <v>-2.1999999999984254E-2</v>
      </c>
      <c r="BB44" s="67">
        <v>0</v>
      </c>
      <c r="BC44" s="68">
        <v>0</v>
      </c>
      <c r="BD44" s="66">
        <f t="shared" si="109"/>
        <v>-2.1999999999984254E-2</v>
      </c>
      <c r="BE44" s="67">
        <v>0</v>
      </c>
      <c r="BF44" s="68">
        <v>0</v>
      </c>
      <c r="BG44" s="66">
        <f t="shared" si="110"/>
        <v>-2.1999999999984254E-2</v>
      </c>
      <c r="BH44" s="67">
        <v>0</v>
      </c>
      <c r="BI44" s="68">
        <v>0</v>
      </c>
      <c r="BJ44" s="66">
        <f t="shared" si="64"/>
        <v>-2.1999999999984254E-2</v>
      </c>
      <c r="BK44" s="67">
        <v>0</v>
      </c>
      <c r="BL44" s="68">
        <v>0</v>
      </c>
      <c r="BM44" s="66">
        <f t="shared" si="65"/>
        <v>-2.1999999999984254E-2</v>
      </c>
      <c r="BN44" s="113">
        <v>0</v>
      </c>
      <c r="BO44" s="113">
        <v>0</v>
      </c>
      <c r="BP44" s="66">
        <f t="shared" si="66"/>
        <v>-2.1999999999984254E-2</v>
      </c>
      <c r="BQ44" s="113">
        <v>0</v>
      </c>
      <c r="BR44" s="113">
        <v>0</v>
      </c>
      <c r="BS44" s="66">
        <f t="shared" si="67"/>
        <v>-2.1999999999984254E-2</v>
      </c>
      <c r="BT44" s="113">
        <v>0</v>
      </c>
      <c r="BU44" s="113">
        <v>0</v>
      </c>
      <c r="BV44" s="66">
        <f t="shared" si="68"/>
        <v>-2.1999999999984254E-2</v>
      </c>
      <c r="BW44" s="113">
        <v>0</v>
      </c>
      <c r="BX44" s="113">
        <v>0</v>
      </c>
      <c r="BY44" s="66">
        <f t="shared" si="69"/>
        <v>-2.1999999999984254E-2</v>
      </c>
      <c r="BZ44" s="113">
        <v>0</v>
      </c>
      <c r="CA44" s="113">
        <v>0</v>
      </c>
      <c r="CB44" s="66">
        <f t="shared" si="70"/>
        <v>-2.1999999999984254E-2</v>
      </c>
      <c r="CC44" s="113">
        <v>0</v>
      </c>
      <c r="CD44" s="113">
        <v>0</v>
      </c>
      <c r="CE44" s="66">
        <f t="shared" si="71"/>
        <v>-2.1999999999984254E-2</v>
      </c>
      <c r="CF44" s="113">
        <v>0</v>
      </c>
      <c r="CG44" s="113">
        <v>0</v>
      </c>
      <c r="CH44" s="66">
        <f t="shared" si="72"/>
        <v>-2.1999999999984254E-2</v>
      </c>
      <c r="CI44" s="113">
        <v>0</v>
      </c>
      <c r="CJ44" s="113">
        <v>0</v>
      </c>
      <c r="CK44" s="72">
        <f t="shared" si="73"/>
        <v>-2.1999999999984254E-2</v>
      </c>
      <c r="CL44" s="117">
        <v>0</v>
      </c>
      <c r="CM44" s="136">
        <v>0</v>
      </c>
      <c r="CN44" s="66">
        <f t="shared" si="74"/>
        <v>-2.1999999999984254E-2</v>
      </c>
      <c r="CO44" s="113">
        <v>0</v>
      </c>
      <c r="CP44" s="113">
        <v>0</v>
      </c>
      <c r="CQ44" s="66">
        <f t="shared" si="75"/>
        <v>-2.1999999999984254E-2</v>
      </c>
      <c r="CR44" s="113">
        <v>0</v>
      </c>
      <c r="CS44" s="113">
        <v>0</v>
      </c>
      <c r="CT44" s="72">
        <f t="shared" si="76"/>
        <v>-2.1999999999984254E-2</v>
      </c>
      <c r="CU44" s="119">
        <v>0</v>
      </c>
      <c r="CV44" s="113">
        <v>0</v>
      </c>
      <c r="CW44" s="66">
        <f t="shared" si="77"/>
        <v>-2.1999999999984254E-2</v>
      </c>
      <c r="CX44" s="113">
        <v>0</v>
      </c>
      <c r="CY44" s="113">
        <v>0</v>
      </c>
      <c r="CZ44" s="66">
        <f t="shared" si="78"/>
        <v>-2.1999999999984254E-2</v>
      </c>
      <c r="DA44" s="113">
        <v>0</v>
      </c>
      <c r="DB44" s="113">
        <v>0</v>
      </c>
      <c r="DC44" s="66">
        <f t="shared" si="79"/>
        <v>-2.1999999999984254E-2</v>
      </c>
      <c r="DD44" s="113">
        <v>0</v>
      </c>
      <c r="DE44" s="113">
        <v>0</v>
      </c>
      <c r="DF44" s="66">
        <f t="shared" si="80"/>
        <v>-2.1999999999984254E-2</v>
      </c>
      <c r="DG44" s="113">
        <v>0</v>
      </c>
      <c r="DH44" s="113">
        <v>0</v>
      </c>
      <c r="DI44" s="66">
        <f t="shared" si="81"/>
        <v>-2.1999999999984254E-2</v>
      </c>
      <c r="DJ44" s="113">
        <v>0</v>
      </c>
      <c r="DK44" s="113">
        <v>0</v>
      </c>
      <c r="DL44" s="66">
        <v>0</v>
      </c>
      <c r="DM44" s="113">
        <v>0</v>
      </c>
      <c r="DN44" s="113">
        <v>0</v>
      </c>
      <c r="DO44" s="63">
        <f t="shared" si="82"/>
        <v>0</v>
      </c>
      <c r="DP44" s="113">
        <v>0</v>
      </c>
      <c r="DQ44" s="113">
        <v>0</v>
      </c>
      <c r="DR44" s="66">
        <f t="shared" si="83"/>
        <v>0</v>
      </c>
      <c r="DS44" s="113">
        <v>0</v>
      </c>
      <c r="DT44" s="113">
        <v>0</v>
      </c>
      <c r="DU44" s="66">
        <f t="shared" si="84"/>
        <v>0</v>
      </c>
      <c r="DV44" s="113">
        <v>0</v>
      </c>
      <c r="DW44" s="113">
        <v>0</v>
      </c>
      <c r="DX44" s="744">
        <f t="shared" si="85"/>
        <v>0</v>
      </c>
      <c r="DY44" s="113">
        <v>0</v>
      </c>
      <c r="DZ44" s="113">
        <v>0</v>
      </c>
      <c r="EA44" s="66">
        <f t="shared" si="86"/>
        <v>0</v>
      </c>
      <c r="EB44" s="113">
        <v>0</v>
      </c>
      <c r="EC44" s="113">
        <v>0</v>
      </c>
      <c r="ED44" s="66">
        <f t="shared" si="87"/>
        <v>0</v>
      </c>
      <c r="EE44" s="113">
        <v>0</v>
      </c>
      <c r="EF44" s="113">
        <v>0</v>
      </c>
      <c r="EG44" s="744">
        <f t="shared" si="88"/>
        <v>0</v>
      </c>
      <c r="EH44" s="113">
        <v>0</v>
      </c>
      <c r="EI44" s="113">
        <v>0</v>
      </c>
      <c r="EJ44" s="66">
        <f t="shared" si="89"/>
        <v>0</v>
      </c>
      <c r="EK44" s="113">
        <v>0</v>
      </c>
      <c r="EL44" s="113">
        <v>0</v>
      </c>
      <c r="EM44" s="66">
        <f t="shared" si="90"/>
        <v>0</v>
      </c>
      <c r="EN44" s="113">
        <v>0</v>
      </c>
      <c r="EO44" s="113">
        <v>0</v>
      </c>
      <c r="EP44" s="744">
        <f t="shared" si="91"/>
        <v>0</v>
      </c>
      <c r="EQ44" s="113">
        <v>0</v>
      </c>
      <c r="ER44" s="113">
        <v>0</v>
      </c>
      <c r="ES44" s="744">
        <f t="shared" si="92"/>
        <v>0</v>
      </c>
      <c r="ET44" s="113">
        <v>0</v>
      </c>
      <c r="EU44" s="113">
        <v>0</v>
      </c>
      <c r="EV44" s="744">
        <f t="shared" si="93"/>
        <v>0</v>
      </c>
      <c r="EW44" s="113">
        <v>0</v>
      </c>
      <c r="EX44" s="113">
        <v>0</v>
      </c>
      <c r="EY44" s="744">
        <f t="shared" si="94"/>
        <v>0</v>
      </c>
    </row>
    <row r="45" spans="1:155" ht="20.25" hidden="1" collapsed="1" thickBot="1">
      <c r="A45" s="110"/>
      <c r="B45" s="137"/>
      <c r="C45" s="111">
        <v>100255935</v>
      </c>
      <c r="D45" s="138" t="s">
        <v>79</v>
      </c>
      <c r="E45" s="66">
        <v>3.1139999999999999</v>
      </c>
      <c r="F45" s="64">
        <v>-1.2999999999999999E-2</v>
      </c>
      <c r="G45" s="68">
        <v>3.1070000000000002</v>
      </c>
      <c r="H45" s="66">
        <f t="shared" si="103"/>
        <v>-6.0000000000002274E-3</v>
      </c>
      <c r="I45" s="67">
        <v>22.56</v>
      </c>
      <c r="J45" s="68">
        <v>0</v>
      </c>
      <c r="K45" s="66">
        <f t="shared" si="104"/>
        <v>22.553999999999998</v>
      </c>
      <c r="L45" s="67">
        <v>5.5759999999999996</v>
      </c>
      <c r="M45" s="68">
        <v>0</v>
      </c>
      <c r="N45" s="66">
        <f t="shared" si="105"/>
        <v>28.13</v>
      </c>
      <c r="O45" s="67">
        <v>0</v>
      </c>
      <c r="P45" s="68">
        <v>0</v>
      </c>
      <c r="Q45" s="66">
        <f t="shared" si="106"/>
        <v>28.13</v>
      </c>
      <c r="R45" s="67">
        <v>0</v>
      </c>
      <c r="S45" s="68">
        <v>0</v>
      </c>
      <c r="T45" s="66">
        <f t="shared" si="107"/>
        <v>28.13</v>
      </c>
      <c r="U45" s="67">
        <v>0</v>
      </c>
      <c r="V45" s="68">
        <v>0</v>
      </c>
      <c r="W45" s="66">
        <f t="shared" si="108"/>
        <v>28.13</v>
      </c>
      <c r="X45" s="67">
        <v>0</v>
      </c>
      <c r="Y45" s="68">
        <v>0</v>
      </c>
      <c r="Z45" s="66">
        <f t="shared" si="101"/>
        <v>28.13</v>
      </c>
      <c r="AA45" s="67">
        <v>0</v>
      </c>
      <c r="AB45" s="68">
        <v>0</v>
      </c>
      <c r="AC45" s="66">
        <v>28.1</v>
      </c>
      <c r="AD45" s="67">
        <v>0</v>
      </c>
      <c r="AE45" s="68">
        <v>0</v>
      </c>
      <c r="AF45" s="66">
        <f>(AC45+AD45)-(AE45)</f>
        <v>28.1</v>
      </c>
      <c r="AG45" s="67">
        <v>-0.02</v>
      </c>
      <c r="AH45" s="68">
        <v>0</v>
      </c>
      <c r="AI45" s="66">
        <f t="shared" si="58"/>
        <v>28.080000000000002</v>
      </c>
      <c r="AJ45" s="67">
        <v>0</v>
      </c>
      <c r="AK45" s="68">
        <v>0</v>
      </c>
      <c r="AL45" s="66">
        <f t="shared" si="102"/>
        <v>28.080000000000002</v>
      </c>
      <c r="AM45" s="67">
        <v>-3.347</v>
      </c>
      <c r="AN45" s="68">
        <v>0</v>
      </c>
      <c r="AO45" s="66">
        <f t="shared" si="60"/>
        <v>24.733000000000001</v>
      </c>
      <c r="AP45" s="67">
        <v>2.6480000000000001</v>
      </c>
      <c r="AQ45" s="68">
        <v>27.417000000000002</v>
      </c>
      <c r="AR45" s="66">
        <f>(AO45+AP45)-(AQ45)</f>
        <v>-3.6000000000001364E-2</v>
      </c>
      <c r="AS45" s="67">
        <v>0</v>
      </c>
      <c r="AT45" s="65">
        <v>0</v>
      </c>
      <c r="AU45" s="66">
        <f t="shared" si="61"/>
        <v>-3.6000000000001364E-2</v>
      </c>
      <c r="AV45" s="64">
        <v>0</v>
      </c>
      <c r="AW45" s="65">
        <v>0</v>
      </c>
      <c r="AX45" s="66">
        <f t="shared" si="62"/>
        <v>-3.6000000000001364E-2</v>
      </c>
      <c r="AY45" s="67">
        <v>0</v>
      </c>
      <c r="AZ45" s="68">
        <v>0</v>
      </c>
      <c r="BA45" s="66">
        <f t="shared" si="63"/>
        <v>-3.6000000000001364E-2</v>
      </c>
      <c r="BB45" s="67">
        <v>0</v>
      </c>
      <c r="BC45" s="68">
        <v>0</v>
      </c>
      <c r="BD45" s="66">
        <f t="shared" si="109"/>
        <v>-3.6000000000001364E-2</v>
      </c>
      <c r="BE45" s="67">
        <v>0</v>
      </c>
      <c r="BF45" s="68">
        <v>0</v>
      </c>
      <c r="BG45" s="66">
        <f t="shared" si="110"/>
        <v>-3.6000000000001364E-2</v>
      </c>
      <c r="BH45" s="67">
        <v>0</v>
      </c>
      <c r="BI45" s="68">
        <v>0</v>
      </c>
      <c r="BJ45" s="66">
        <f t="shared" si="64"/>
        <v>-3.6000000000001364E-2</v>
      </c>
      <c r="BK45" s="67">
        <v>0</v>
      </c>
      <c r="BL45" s="68">
        <v>0</v>
      </c>
      <c r="BM45" s="66">
        <f t="shared" si="65"/>
        <v>-3.6000000000001364E-2</v>
      </c>
      <c r="BN45" s="113">
        <v>0</v>
      </c>
      <c r="BO45" s="113">
        <v>0</v>
      </c>
      <c r="BP45" s="66">
        <f t="shared" si="66"/>
        <v>-3.6000000000001364E-2</v>
      </c>
      <c r="BQ45" s="113">
        <v>0</v>
      </c>
      <c r="BR45" s="113">
        <v>0</v>
      </c>
      <c r="BS45" s="66">
        <f t="shared" si="67"/>
        <v>-3.6000000000001364E-2</v>
      </c>
      <c r="BT45" s="113">
        <v>0</v>
      </c>
      <c r="BU45" s="113">
        <v>0</v>
      </c>
      <c r="BV45" s="66">
        <f t="shared" si="68"/>
        <v>-3.6000000000001364E-2</v>
      </c>
      <c r="BW45" s="113">
        <v>0</v>
      </c>
      <c r="BX45" s="113">
        <v>0</v>
      </c>
      <c r="BY45" s="66">
        <f t="shared" si="69"/>
        <v>-3.6000000000001364E-2</v>
      </c>
      <c r="BZ45" s="113">
        <v>0</v>
      </c>
      <c r="CA45" s="113">
        <v>0</v>
      </c>
      <c r="CB45" s="66">
        <f t="shared" si="70"/>
        <v>-3.6000000000001364E-2</v>
      </c>
      <c r="CC45" s="113">
        <v>0</v>
      </c>
      <c r="CD45" s="113">
        <v>0</v>
      </c>
      <c r="CE45" s="66">
        <f t="shared" si="71"/>
        <v>-3.6000000000001364E-2</v>
      </c>
      <c r="CF45" s="113">
        <v>0</v>
      </c>
      <c r="CG45" s="113">
        <v>0</v>
      </c>
      <c r="CH45" s="66">
        <f t="shared" si="72"/>
        <v>-3.6000000000001364E-2</v>
      </c>
      <c r="CI45" s="113">
        <v>0</v>
      </c>
      <c r="CJ45" s="113">
        <v>0</v>
      </c>
      <c r="CK45" s="72">
        <f t="shared" si="73"/>
        <v>-3.6000000000001364E-2</v>
      </c>
      <c r="CL45" s="117">
        <v>0</v>
      </c>
      <c r="CM45" s="136">
        <v>0</v>
      </c>
      <c r="CN45" s="66">
        <f t="shared" si="74"/>
        <v>-3.6000000000001364E-2</v>
      </c>
      <c r="CO45" s="113">
        <v>0</v>
      </c>
      <c r="CP45" s="113">
        <v>0</v>
      </c>
      <c r="CQ45" s="66">
        <f t="shared" si="75"/>
        <v>-3.6000000000001364E-2</v>
      </c>
      <c r="CR45" s="113">
        <v>0</v>
      </c>
      <c r="CS45" s="113">
        <v>0</v>
      </c>
      <c r="CT45" s="72">
        <f t="shared" si="76"/>
        <v>-3.6000000000001364E-2</v>
      </c>
      <c r="CU45" s="119">
        <v>0</v>
      </c>
      <c r="CV45" s="113">
        <v>0</v>
      </c>
      <c r="CW45" s="66">
        <f t="shared" si="77"/>
        <v>-3.6000000000001364E-2</v>
      </c>
      <c r="CX45" s="113">
        <v>0</v>
      </c>
      <c r="CY45" s="113">
        <v>0</v>
      </c>
      <c r="CZ45" s="66">
        <f t="shared" si="78"/>
        <v>-3.6000000000001364E-2</v>
      </c>
      <c r="DA45" s="113">
        <v>0</v>
      </c>
      <c r="DB45" s="113">
        <v>0</v>
      </c>
      <c r="DC45" s="66">
        <f t="shared" si="79"/>
        <v>-3.6000000000001364E-2</v>
      </c>
      <c r="DD45" s="113">
        <v>0</v>
      </c>
      <c r="DE45" s="113">
        <v>0</v>
      </c>
      <c r="DF45" s="66">
        <f t="shared" si="80"/>
        <v>-3.6000000000001364E-2</v>
      </c>
      <c r="DG45" s="113">
        <v>0</v>
      </c>
      <c r="DH45" s="113">
        <v>0</v>
      </c>
      <c r="DI45" s="66">
        <f t="shared" si="81"/>
        <v>-3.6000000000001364E-2</v>
      </c>
      <c r="DJ45" s="113">
        <v>0</v>
      </c>
      <c r="DK45" s="113">
        <v>0</v>
      </c>
      <c r="DL45" s="66">
        <v>0</v>
      </c>
      <c r="DM45" s="113">
        <v>0</v>
      </c>
      <c r="DN45" s="113">
        <v>0</v>
      </c>
      <c r="DO45" s="63">
        <f t="shared" si="82"/>
        <v>0</v>
      </c>
      <c r="DP45" s="113">
        <v>0</v>
      </c>
      <c r="DQ45" s="113">
        <v>0</v>
      </c>
      <c r="DR45" s="66">
        <f t="shared" si="83"/>
        <v>0</v>
      </c>
      <c r="DS45" s="113">
        <v>0</v>
      </c>
      <c r="DT45" s="113">
        <v>0</v>
      </c>
      <c r="DU45" s="66">
        <f t="shared" si="84"/>
        <v>0</v>
      </c>
      <c r="DV45" s="113">
        <v>0</v>
      </c>
      <c r="DW45" s="113">
        <v>0</v>
      </c>
      <c r="DX45" s="744">
        <f t="shared" si="85"/>
        <v>0</v>
      </c>
      <c r="DY45" s="113">
        <v>0</v>
      </c>
      <c r="DZ45" s="113">
        <v>0</v>
      </c>
      <c r="EA45" s="66">
        <f t="shared" si="86"/>
        <v>0</v>
      </c>
      <c r="EB45" s="113">
        <v>0</v>
      </c>
      <c r="EC45" s="113">
        <v>0</v>
      </c>
      <c r="ED45" s="66">
        <f t="shared" si="87"/>
        <v>0</v>
      </c>
      <c r="EE45" s="113">
        <v>0</v>
      </c>
      <c r="EF45" s="113">
        <v>0</v>
      </c>
      <c r="EG45" s="744">
        <f t="shared" si="88"/>
        <v>0</v>
      </c>
      <c r="EH45" s="113">
        <v>0</v>
      </c>
      <c r="EI45" s="113">
        <v>0</v>
      </c>
      <c r="EJ45" s="66">
        <f t="shared" si="89"/>
        <v>0</v>
      </c>
      <c r="EK45" s="113">
        <v>0</v>
      </c>
      <c r="EL45" s="113">
        <v>0</v>
      </c>
      <c r="EM45" s="66">
        <f t="shared" si="90"/>
        <v>0</v>
      </c>
      <c r="EN45" s="113">
        <v>0</v>
      </c>
      <c r="EO45" s="113">
        <v>0</v>
      </c>
      <c r="EP45" s="744">
        <f t="shared" si="91"/>
        <v>0</v>
      </c>
      <c r="EQ45" s="113">
        <v>0</v>
      </c>
      <c r="ER45" s="113">
        <v>0</v>
      </c>
      <c r="ES45" s="744">
        <f t="shared" si="92"/>
        <v>0</v>
      </c>
      <c r="ET45" s="113">
        <v>0</v>
      </c>
      <c r="EU45" s="113">
        <v>0</v>
      </c>
      <c r="EV45" s="744">
        <f t="shared" si="93"/>
        <v>0</v>
      </c>
      <c r="EW45" s="113">
        <v>0</v>
      </c>
      <c r="EX45" s="113">
        <v>0</v>
      </c>
      <c r="EY45" s="744">
        <f t="shared" si="94"/>
        <v>0</v>
      </c>
    </row>
    <row r="46" spans="1:155" s="155" customFormat="1" ht="20.25" hidden="1" collapsed="1" thickBot="1">
      <c r="A46" s="141"/>
      <c r="B46" s="142" t="s">
        <v>348</v>
      </c>
      <c r="C46" s="143"/>
      <c r="D46" s="144" t="s">
        <v>349</v>
      </c>
      <c r="E46" s="145">
        <v>5922.3519999999999</v>
      </c>
      <c r="F46" s="146">
        <f t="shared" ref="F46:AK46" si="111">SUM(F25:F45)</f>
        <v>2748.6179999999999</v>
      </c>
      <c r="G46" s="147">
        <f t="shared" si="111"/>
        <v>2639.873</v>
      </c>
      <c r="H46" s="145">
        <f t="shared" si="111"/>
        <v>6027.3170000000009</v>
      </c>
      <c r="I46" s="146">
        <f t="shared" si="111"/>
        <v>2021.9470000000001</v>
      </c>
      <c r="J46" s="147">
        <f t="shared" si="111"/>
        <v>2567.0010000000002</v>
      </c>
      <c r="K46" s="145">
        <f t="shared" si="111"/>
        <v>5482.5640000000003</v>
      </c>
      <c r="L46" s="146">
        <f t="shared" si="111"/>
        <v>2661.2849999999999</v>
      </c>
      <c r="M46" s="147">
        <f t="shared" si="111"/>
        <v>3344.7809999999999</v>
      </c>
      <c r="N46" s="145">
        <f t="shared" si="111"/>
        <v>4796.4680000000017</v>
      </c>
      <c r="O46" s="146">
        <f t="shared" si="111"/>
        <v>3229.2339999999999</v>
      </c>
      <c r="P46" s="147">
        <f t="shared" si="111"/>
        <v>3174.2229999999995</v>
      </c>
      <c r="Q46" s="145">
        <f t="shared" si="111"/>
        <v>4851.4790000000012</v>
      </c>
      <c r="R46" s="146">
        <f t="shared" si="111"/>
        <v>2866.9389999999999</v>
      </c>
      <c r="S46" s="147">
        <f t="shared" si="111"/>
        <v>2546.8710000000001</v>
      </c>
      <c r="T46" s="145">
        <f t="shared" si="111"/>
        <v>5171.5470000000014</v>
      </c>
      <c r="U46" s="146">
        <f t="shared" si="111"/>
        <v>3157.3559999999998</v>
      </c>
      <c r="V46" s="147">
        <f t="shared" si="111"/>
        <v>3389.6509999999994</v>
      </c>
      <c r="W46" s="145">
        <f t="shared" si="111"/>
        <v>4938.6990000000014</v>
      </c>
      <c r="X46" s="146">
        <f t="shared" si="111"/>
        <v>2293.5609999999997</v>
      </c>
      <c r="Y46" s="147">
        <f t="shared" si="111"/>
        <v>2287.86</v>
      </c>
      <c r="Z46" s="145">
        <f t="shared" si="111"/>
        <v>4944.362000000001</v>
      </c>
      <c r="AA46" s="146">
        <f t="shared" si="111"/>
        <v>2037.3409999999999</v>
      </c>
      <c r="AB46" s="147">
        <f t="shared" si="111"/>
        <v>1898.5000000000002</v>
      </c>
      <c r="AC46" s="145">
        <f t="shared" si="111"/>
        <v>5083.0430000000015</v>
      </c>
      <c r="AD46" s="146">
        <f t="shared" si="111"/>
        <v>2347.63</v>
      </c>
      <c r="AE46" s="147">
        <f t="shared" si="111"/>
        <v>2237.0819999999999</v>
      </c>
      <c r="AF46" s="145">
        <f t="shared" si="111"/>
        <v>5194.1840000000011</v>
      </c>
      <c r="AG46" s="146">
        <f t="shared" si="111"/>
        <v>2513.44</v>
      </c>
      <c r="AH46" s="147">
        <f t="shared" si="111"/>
        <v>2874.8899999999994</v>
      </c>
      <c r="AI46" s="145">
        <f t="shared" si="111"/>
        <v>4832.7339999999986</v>
      </c>
      <c r="AJ46" s="146">
        <f t="shared" si="111"/>
        <v>1226.4359999999999</v>
      </c>
      <c r="AK46" s="147">
        <f t="shared" si="111"/>
        <v>2571.5349999999999</v>
      </c>
      <c r="AL46" s="145">
        <f t="shared" ref="AL46:CW46" si="112">SUM(AL25:AL45)</f>
        <v>3487.6350000000002</v>
      </c>
      <c r="AM46" s="146">
        <f t="shared" si="112"/>
        <v>424.94200000000001</v>
      </c>
      <c r="AN46" s="147">
        <f t="shared" si="112"/>
        <v>818.52500000000009</v>
      </c>
      <c r="AO46" s="145">
        <f t="shared" si="112"/>
        <v>3094.0520000000001</v>
      </c>
      <c r="AP46" s="146">
        <f t="shared" si="112"/>
        <v>1715.694</v>
      </c>
      <c r="AQ46" s="147">
        <f t="shared" si="112"/>
        <v>1561.961</v>
      </c>
      <c r="AR46" s="145">
        <f t="shared" si="112"/>
        <v>3239.9039999999991</v>
      </c>
      <c r="AS46" s="146">
        <f t="shared" si="112"/>
        <v>2783.8929999999996</v>
      </c>
      <c r="AT46" s="147">
        <f t="shared" si="112"/>
        <v>3550.1889999999999</v>
      </c>
      <c r="AU46" s="145">
        <f t="shared" si="112"/>
        <v>2473.6079999999993</v>
      </c>
      <c r="AV46" s="146">
        <f t="shared" si="112"/>
        <v>1728.9549999999999</v>
      </c>
      <c r="AW46" s="147">
        <f t="shared" si="112"/>
        <v>1860.02</v>
      </c>
      <c r="AX46" s="145">
        <f t="shared" si="112"/>
        <v>2342.5429999999997</v>
      </c>
      <c r="AY46" s="146">
        <f t="shared" si="112"/>
        <v>1667.1509999999998</v>
      </c>
      <c r="AZ46" s="147">
        <f t="shared" si="112"/>
        <v>2024.4010000000003</v>
      </c>
      <c r="BA46" s="145">
        <f t="shared" si="112"/>
        <v>1985.2929999999997</v>
      </c>
      <c r="BB46" s="146">
        <f t="shared" si="112"/>
        <v>1555.7620000000002</v>
      </c>
      <c r="BC46" s="147">
        <f t="shared" si="112"/>
        <v>1807.16</v>
      </c>
      <c r="BD46" s="145">
        <f t="shared" si="112"/>
        <v>1733.8819999999998</v>
      </c>
      <c r="BE46" s="146">
        <f t="shared" si="112"/>
        <v>0</v>
      </c>
      <c r="BF46" s="147">
        <f t="shared" si="112"/>
        <v>0</v>
      </c>
      <c r="BG46" s="145">
        <f t="shared" si="112"/>
        <v>1733.8819999999998</v>
      </c>
      <c r="BH46" s="146">
        <f t="shared" si="112"/>
        <v>0</v>
      </c>
      <c r="BI46" s="147">
        <f t="shared" si="112"/>
        <v>0</v>
      </c>
      <c r="BJ46" s="145">
        <f t="shared" si="112"/>
        <v>1733.8819999999998</v>
      </c>
      <c r="BK46" s="146">
        <f t="shared" si="112"/>
        <v>0</v>
      </c>
      <c r="BL46" s="147">
        <f t="shared" si="112"/>
        <v>0</v>
      </c>
      <c r="BM46" s="145">
        <f t="shared" si="112"/>
        <v>1733.8819999999998</v>
      </c>
      <c r="BN46" s="146">
        <f t="shared" si="112"/>
        <v>0</v>
      </c>
      <c r="BO46" s="147">
        <f t="shared" si="112"/>
        <v>0</v>
      </c>
      <c r="BP46" s="145">
        <f t="shared" si="112"/>
        <v>1733.8819999999998</v>
      </c>
      <c r="BQ46" s="146">
        <f t="shared" si="112"/>
        <v>0</v>
      </c>
      <c r="BR46" s="147">
        <f t="shared" si="112"/>
        <v>0</v>
      </c>
      <c r="BS46" s="145">
        <f t="shared" si="112"/>
        <v>1733.8819999999998</v>
      </c>
      <c r="BT46" s="146">
        <f t="shared" si="112"/>
        <v>0</v>
      </c>
      <c r="BU46" s="147">
        <f t="shared" si="112"/>
        <v>0</v>
      </c>
      <c r="BV46" s="145">
        <f t="shared" si="112"/>
        <v>1733.8819999999998</v>
      </c>
      <c r="BW46" s="146">
        <f t="shared" si="112"/>
        <v>0</v>
      </c>
      <c r="BX46" s="147">
        <f t="shared" si="112"/>
        <v>0</v>
      </c>
      <c r="BY46" s="145">
        <f t="shared" si="112"/>
        <v>1733.8819999999998</v>
      </c>
      <c r="BZ46" s="146">
        <f t="shared" si="112"/>
        <v>0</v>
      </c>
      <c r="CA46" s="147">
        <f t="shared" si="112"/>
        <v>0</v>
      </c>
      <c r="CB46" s="145">
        <f t="shared" si="112"/>
        <v>1733.8819999999998</v>
      </c>
      <c r="CC46" s="146">
        <f t="shared" si="112"/>
        <v>0</v>
      </c>
      <c r="CD46" s="147">
        <f t="shared" si="112"/>
        <v>0</v>
      </c>
      <c r="CE46" s="145">
        <f t="shared" si="112"/>
        <v>1733.8819999999998</v>
      </c>
      <c r="CF46" s="146">
        <f t="shared" si="112"/>
        <v>0</v>
      </c>
      <c r="CG46" s="147">
        <f t="shared" si="112"/>
        <v>0</v>
      </c>
      <c r="CH46" s="145">
        <f t="shared" si="112"/>
        <v>1733.8819999999998</v>
      </c>
      <c r="CI46" s="146">
        <f t="shared" si="112"/>
        <v>0</v>
      </c>
      <c r="CJ46" s="147">
        <f t="shared" si="112"/>
        <v>0</v>
      </c>
      <c r="CK46" s="148">
        <f t="shared" si="112"/>
        <v>1733.8819999999998</v>
      </c>
      <c r="CL46" s="149">
        <f t="shared" si="112"/>
        <v>0</v>
      </c>
      <c r="CM46" s="147">
        <f t="shared" si="112"/>
        <v>0</v>
      </c>
      <c r="CN46" s="150">
        <f t="shared" si="112"/>
        <v>1733.8819999999998</v>
      </c>
      <c r="CO46" s="151">
        <f t="shared" si="112"/>
        <v>0</v>
      </c>
      <c r="CP46" s="152">
        <f t="shared" si="112"/>
        <v>0</v>
      </c>
      <c r="CQ46" s="150">
        <f t="shared" si="112"/>
        <v>1733.8819999999998</v>
      </c>
      <c r="CR46" s="151">
        <f t="shared" si="112"/>
        <v>0</v>
      </c>
      <c r="CS46" s="152">
        <f t="shared" si="112"/>
        <v>0</v>
      </c>
      <c r="CT46" s="153">
        <f t="shared" si="112"/>
        <v>1733.8819999999998</v>
      </c>
      <c r="CU46" s="154">
        <f t="shared" si="112"/>
        <v>0</v>
      </c>
      <c r="CV46" s="152">
        <f t="shared" si="112"/>
        <v>0</v>
      </c>
      <c r="CW46" s="150">
        <f t="shared" si="112"/>
        <v>1733.8819999999998</v>
      </c>
      <c r="CX46" s="151">
        <f t="shared" ref="CX46:EG46" si="113">SUM(CX25:CX45)</f>
        <v>0</v>
      </c>
      <c r="CY46" s="152">
        <f t="shared" si="113"/>
        <v>0</v>
      </c>
      <c r="CZ46" s="150">
        <f t="shared" si="113"/>
        <v>1733.8819999999998</v>
      </c>
      <c r="DA46" s="151">
        <f t="shared" si="113"/>
        <v>0</v>
      </c>
      <c r="DB46" s="152">
        <f t="shared" si="113"/>
        <v>0</v>
      </c>
      <c r="DC46" s="150">
        <f t="shared" si="113"/>
        <v>1733.8819999999998</v>
      </c>
      <c r="DD46" s="151">
        <f t="shared" si="113"/>
        <v>0</v>
      </c>
      <c r="DE46" s="152">
        <f t="shared" si="113"/>
        <v>0</v>
      </c>
      <c r="DF46" s="150">
        <f t="shared" si="113"/>
        <v>1733.8819999999998</v>
      </c>
      <c r="DG46" s="151">
        <f t="shared" si="113"/>
        <v>0</v>
      </c>
      <c r="DH46" s="152">
        <f t="shared" si="113"/>
        <v>0</v>
      </c>
      <c r="DI46" s="150">
        <f t="shared" si="113"/>
        <v>1733.8819999999998</v>
      </c>
      <c r="DJ46" s="151">
        <f t="shared" si="113"/>
        <v>0</v>
      </c>
      <c r="DK46" s="152">
        <f t="shared" si="113"/>
        <v>0</v>
      </c>
      <c r="DL46" s="150">
        <f t="shared" si="113"/>
        <v>0</v>
      </c>
      <c r="DM46" s="151">
        <f t="shared" si="113"/>
        <v>0</v>
      </c>
      <c r="DN46" s="152">
        <f t="shared" si="113"/>
        <v>0</v>
      </c>
      <c r="DO46" s="150">
        <f t="shared" si="113"/>
        <v>0</v>
      </c>
      <c r="DP46" s="151">
        <f t="shared" si="113"/>
        <v>0</v>
      </c>
      <c r="DQ46" s="152">
        <f t="shared" si="113"/>
        <v>0</v>
      </c>
      <c r="DR46" s="150">
        <f t="shared" si="113"/>
        <v>0</v>
      </c>
      <c r="DS46" s="151">
        <f t="shared" si="113"/>
        <v>0</v>
      </c>
      <c r="DT46" s="152">
        <f t="shared" si="113"/>
        <v>0</v>
      </c>
      <c r="DU46" s="150">
        <f t="shared" si="113"/>
        <v>0</v>
      </c>
      <c r="DV46" s="151">
        <f t="shared" si="113"/>
        <v>0</v>
      </c>
      <c r="DW46" s="152">
        <f t="shared" si="113"/>
        <v>0</v>
      </c>
      <c r="DX46" s="747">
        <f t="shared" si="113"/>
        <v>0</v>
      </c>
      <c r="DY46" s="151">
        <f t="shared" si="113"/>
        <v>0</v>
      </c>
      <c r="DZ46" s="152">
        <f t="shared" si="113"/>
        <v>0</v>
      </c>
      <c r="EA46" s="150">
        <f t="shared" si="113"/>
        <v>0</v>
      </c>
      <c r="EB46" s="151">
        <f t="shared" si="113"/>
        <v>0</v>
      </c>
      <c r="EC46" s="152">
        <f t="shared" si="113"/>
        <v>0</v>
      </c>
      <c r="ED46" s="150">
        <f t="shared" si="113"/>
        <v>0</v>
      </c>
      <c r="EE46" s="151">
        <f t="shared" si="113"/>
        <v>0</v>
      </c>
      <c r="EF46" s="152">
        <f t="shared" si="113"/>
        <v>0</v>
      </c>
      <c r="EG46" s="747">
        <f t="shared" si="113"/>
        <v>0</v>
      </c>
      <c r="EH46" s="151">
        <f t="shared" ref="EH46:EJ46" si="114">SUM(EH25:EH45)</f>
        <v>0</v>
      </c>
      <c r="EI46" s="152">
        <f t="shared" si="114"/>
        <v>0</v>
      </c>
      <c r="EJ46" s="150">
        <f t="shared" si="114"/>
        <v>0</v>
      </c>
      <c r="EK46" s="151">
        <f t="shared" ref="EK46:EM46" si="115">SUM(EK25:EK45)</f>
        <v>0</v>
      </c>
      <c r="EL46" s="152">
        <f t="shared" si="115"/>
        <v>0</v>
      </c>
      <c r="EM46" s="150">
        <f t="shared" si="115"/>
        <v>0</v>
      </c>
      <c r="EN46" s="151">
        <f t="shared" ref="EN46:EP46" si="116">SUM(EN25:EN45)</f>
        <v>0</v>
      </c>
      <c r="EO46" s="152">
        <f t="shared" si="116"/>
        <v>0</v>
      </c>
      <c r="EP46" s="747">
        <f t="shared" si="116"/>
        <v>0</v>
      </c>
      <c r="EQ46" s="151">
        <f t="shared" ref="EQ46:ES46" si="117">SUM(EQ25:EQ45)</f>
        <v>0</v>
      </c>
      <c r="ER46" s="152">
        <f t="shared" si="117"/>
        <v>0</v>
      </c>
      <c r="ES46" s="747">
        <f t="shared" si="117"/>
        <v>0</v>
      </c>
      <c r="ET46" s="151">
        <f t="shared" ref="ET46:EV46" si="118">SUM(ET25:ET45)</f>
        <v>0</v>
      </c>
      <c r="EU46" s="152">
        <f t="shared" si="118"/>
        <v>0</v>
      </c>
      <c r="EV46" s="747">
        <f t="shared" si="118"/>
        <v>0</v>
      </c>
      <c r="EW46" s="151">
        <f t="shared" ref="EW46:EY46" si="119">SUM(EW25:EW45)</f>
        <v>0</v>
      </c>
      <c r="EX46" s="152">
        <f t="shared" si="119"/>
        <v>0</v>
      </c>
      <c r="EY46" s="747">
        <f t="shared" si="119"/>
        <v>0</v>
      </c>
    </row>
    <row r="47" spans="1:155" ht="20.25" hidden="1" collapsed="1" thickBot="1">
      <c r="A47" s="156"/>
      <c r="B47" s="157"/>
      <c r="C47" s="158"/>
      <c r="D47" s="159" t="s">
        <v>28</v>
      </c>
      <c r="E47" s="160" t="e">
        <v>#REF!</v>
      </c>
      <c r="F47" s="161" t="e">
        <f>#REF!+F46+F24+#REF!</f>
        <v>#REF!</v>
      </c>
      <c r="G47" s="162" t="e">
        <f>#REF!+G46+G24+#REF!</f>
        <v>#REF!</v>
      </c>
      <c r="H47" s="160" t="e">
        <f>#REF!+H46+H24+#REF!</f>
        <v>#REF!</v>
      </c>
      <c r="I47" s="161">
        <f t="shared" ref="I47:BT47" si="120">I46+I24</f>
        <v>5650.3729999999996</v>
      </c>
      <c r="J47" s="162">
        <f t="shared" si="120"/>
        <v>6155.4350000000004</v>
      </c>
      <c r="K47" s="160">
        <f t="shared" si="120"/>
        <v>8223.0520000000015</v>
      </c>
      <c r="L47" s="161">
        <f t="shared" si="120"/>
        <v>6230.5489999999991</v>
      </c>
      <c r="M47" s="162">
        <f t="shared" si="120"/>
        <v>6837.482</v>
      </c>
      <c r="N47" s="160">
        <f t="shared" si="120"/>
        <v>7613.5190000000039</v>
      </c>
      <c r="O47" s="161">
        <f t="shared" si="120"/>
        <v>6218.0054999999993</v>
      </c>
      <c r="P47" s="162">
        <f t="shared" si="120"/>
        <v>6820.5879999999997</v>
      </c>
      <c r="Q47" s="160">
        <f t="shared" si="120"/>
        <v>7010.9365000000025</v>
      </c>
      <c r="R47" s="161">
        <f t="shared" si="120"/>
        <v>5898.366</v>
      </c>
      <c r="S47" s="162">
        <f t="shared" si="120"/>
        <v>5168.2124999999996</v>
      </c>
      <c r="T47" s="160">
        <f t="shared" si="120"/>
        <v>7741.0900000000029</v>
      </c>
      <c r="U47" s="161">
        <f t="shared" si="120"/>
        <v>6458.8829999999998</v>
      </c>
      <c r="V47" s="162">
        <f t="shared" si="120"/>
        <v>6252.2909999999993</v>
      </c>
      <c r="W47" s="160">
        <f t="shared" si="120"/>
        <v>7947.1290000000026</v>
      </c>
      <c r="X47" s="161">
        <f t="shared" si="120"/>
        <v>4538.8209999999999</v>
      </c>
      <c r="Y47" s="162">
        <f t="shared" si="120"/>
        <v>4846.2710000000006</v>
      </c>
      <c r="Z47" s="160">
        <f t="shared" si="120"/>
        <v>7639.6410000000014</v>
      </c>
      <c r="AA47" s="161">
        <f t="shared" si="120"/>
        <v>3794.8439999999996</v>
      </c>
      <c r="AB47" s="162">
        <f t="shared" si="120"/>
        <v>3853.7960000000003</v>
      </c>
      <c r="AC47" s="160">
        <f t="shared" si="120"/>
        <v>7580.5290000000032</v>
      </c>
      <c r="AD47" s="161">
        <f t="shared" si="120"/>
        <v>4221.24</v>
      </c>
      <c r="AE47" s="162">
        <f t="shared" si="120"/>
        <v>4094.1220000000003</v>
      </c>
      <c r="AF47" s="160">
        <f t="shared" si="120"/>
        <v>7708.6330000000016</v>
      </c>
      <c r="AG47" s="161">
        <f t="shared" si="120"/>
        <v>4650.37</v>
      </c>
      <c r="AH47" s="162">
        <f t="shared" si="120"/>
        <v>5204.93</v>
      </c>
      <c r="AI47" s="160">
        <f t="shared" si="120"/>
        <v>7154.0729999999994</v>
      </c>
      <c r="AJ47" s="161">
        <f t="shared" si="120"/>
        <v>2346.4390000000003</v>
      </c>
      <c r="AK47" s="162">
        <f t="shared" si="120"/>
        <v>3764.2309999999998</v>
      </c>
      <c r="AL47" s="160">
        <f t="shared" si="120"/>
        <v>5736.2810000000009</v>
      </c>
      <c r="AM47" s="161">
        <f t="shared" si="120"/>
        <v>540.49400000000003</v>
      </c>
      <c r="AN47" s="162">
        <f t="shared" si="120"/>
        <v>1310.88</v>
      </c>
      <c r="AO47" s="160">
        <f t="shared" si="120"/>
        <v>4965.8950000000013</v>
      </c>
      <c r="AP47" s="161">
        <f t="shared" si="120"/>
        <v>3052.2420000000002</v>
      </c>
      <c r="AQ47" s="162">
        <f t="shared" si="120"/>
        <v>2877.5390000000002</v>
      </c>
      <c r="AR47" s="160" t="e">
        <f t="shared" si="120"/>
        <v>#REF!</v>
      </c>
      <c r="AS47" s="161">
        <f t="shared" si="120"/>
        <v>5076.3759999999984</v>
      </c>
      <c r="AT47" s="162">
        <f t="shared" si="120"/>
        <v>5712.896999999999</v>
      </c>
      <c r="AU47" s="160" t="e">
        <f t="shared" si="120"/>
        <v>#REF!</v>
      </c>
      <c r="AV47" s="161">
        <f t="shared" si="120"/>
        <v>3132.6220000000003</v>
      </c>
      <c r="AW47" s="162" t="e">
        <f t="shared" si="120"/>
        <v>#REF!</v>
      </c>
      <c r="AX47" s="160" t="e">
        <f t="shared" si="120"/>
        <v>#REF!</v>
      </c>
      <c r="AY47" s="161">
        <f t="shared" si="120"/>
        <v>3914.5590000000002</v>
      </c>
      <c r="AZ47" s="162">
        <f t="shared" si="120"/>
        <v>4154.6819999999998</v>
      </c>
      <c r="BA47" s="160" t="e">
        <f t="shared" si="120"/>
        <v>#REF!</v>
      </c>
      <c r="BB47" s="161">
        <f t="shared" si="120"/>
        <v>4901.121000000001</v>
      </c>
      <c r="BC47" s="162">
        <f t="shared" si="120"/>
        <v>4648.585</v>
      </c>
      <c r="BD47" s="160">
        <f t="shared" si="120"/>
        <v>2798.2169999999996</v>
      </c>
      <c r="BE47" s="161" t="e">
        <f t="shared" si="120"/>
        <v>#REF!</v>
      </c>
      <c r="BF47" s="162">
        <f t="shared" si="120"/>
        <v>2612.4129999999996</v>
      </c>
      <c r="BG47" s="160" t="e">
        <f t="shared" si="120"/>
        <v>#REF!</v>
      </c>
      <c r="BH47" s="161">
        <f t="shared" si="120"/>
        <v>2738.3000000000006</v>
      </c>
      <c r="BI47" s="162">
        <f t="shared" si="120"/>
        <v>2497.0219999999999</v>
      </c>
      <c r="BJ47" s="160" t="e">
        <f t="shared" si="120"/>
        <v>#REF!</v>
      </c>
      <c r="BK47" s="161">
        <f t="shared" si="120"/>
        <v>2473.31</v>
      </c>
      <c r="BL47" s="162">
        <f t="shared" si="120"/>
        <v>1598.9280000000001</v>
      </c>
      <c r="BM47" s="160" t="e">
        <f t="shared" si="120"/>
        <v>#REF!</v>
      </c>
      <c r="BN47" s="161">
        <f t="shared" si="120"/>
        <v>2319.498</v>
      </c>
      <c r="BO47" s="162">
        <f t="shared" si="120"/>
        <v>2645.7470000000003</v>
      </c>
      <c r="BP47" s="160" t="e">
        <f t="shared" si="120"/>
        <v>#REF!</v>
      </c>
      <c r="BQ47" s="161">
        <f t="shared" si="120"/>
        <v>2026.7749999999999</v>
      </c>
      <c r="BR47" s="162">
        <f t="shared" si="120"/>
        <v>2037.6859999999997</v>
      </c>
      <c r="BS47" s="160" t="e">
        <f t="shared" si="120"/>
        <v>#REF!</v>
      </c>
      <c r="BT47" s="161">
        <f t="shared" si="120"/>
        <v>2290.1870000000004</v>
      </c>
      <c r="BU47" s="162">
        <f t="shared" ref="BU47:EF47" si="121">BU46+BU24</f>
        <v>2790.57</v>
      </c>
      <c r="BV47" s="160" t="e">
        <f t="shared" si="121"/>
        <v>#REF!</v>
      </c>
      <c r="BW47" s="161">
        <f t="shared" si="121"/>
        <v>1497.86</v>
      </c>
      <c r="BX47" s="162">
        <f t="shared" si="121"/>
        <v>1172.8359999999998</v>
      </c>
      <c r="BY47" s="160" t="e">
        <f t="shared" si="121"/>
        <v>#REF!</v>
      </c>
      <c r="BZ47" s="161">
        <f t="shared" si="121"/>
        <v>1969.3070000000002</v>
      </c>
      <c r="CA47" s="162">
        <f t="shared" si="121"/>
        <v>1939.8240000000001</v>
      </c>
      <c r="CB47" s="160" t="e">
        <f t="shared" si="121"/>
        <v>#REF!</v>
      </c>
      <c r="CC47" s="161">
        <f t="shared" si="121"/>
        <v>2223.15</v>
      </c>
      <c r="CD47" s="162">
        <f t="shared" si="121"/>
        <v>2243.8540000000003</v>
      </c>
      <c r="CE47" s="160" t="e">
        <f t="shared" si="121"/>
        <v>#REF!</v>
      </c>
      <c r="CF47" s="161">
        <f t="shared" si="121"/>
        <v>2536.2050000000004</v>
      </c>
      <c r="CG47" s="162">
        <f t="shared" si="121"/>
        <v>2311.2759999999989</v>
      </c>
      <c r="CH47" s="160" t="e">
        <f t="shared" si="121"/>
        <v>#REF!</v>
      </c>
      <c r="CI47" s="161">
        <f t="shared" si="121"/>
        <v>2634.4539999999993</v>
      </c>
      <c r="CJ47" s="162">
        <f t="shared" si="121"/>
        <v>2916.2879999999996</v>
      </c>
      <c r="CK47" s="163" t="e">
        <f t="shared" si="121"/>
        <v>#REF!</v>
      </c>
      <c r="CL47" s="164">
        <f t="shared" si="121"/>
        <v>2645.4919999999997</v>
      </c>
      <c r="CM47" s="165">
        <f t="shared" si="121"/>
        <v>2137.5180000000005</v>
      </c>
      <c r="CN47" s="160">
        <f t="shared" si="121"/>
        <v>4079.9909999999991</v>
      </c>
      <c r="CO47" s="166">
        <f t="shared" si="121"/>
        <v>2717.5029999999997</v>
      </c>
      <c r="CP47" s="162">
        <f t="shared" si="121"/>
        <v>2568.3380000000002</v>
      </c>
      <c r="CQ47" s="160">
        <f t="shared" si="121"/>
        <v>4229.155999999999</v>
      </c>
      <c r="CR47" s="161">
        <f t="shared" si="121"/>
        <v>2463.44</v>
      </c>
      <c r="CS47" s="162">
        <f t="shared" si="121"/>
        <v>2982.3480000000004</v>
      </c>
      <c r="CT47" s="163">
        <f t="shared" si="121"/>
        <v>3710.2479999999991</v>
      </c>
      <c r="CU47" s="161">
        <f t="shared" si="121"/>
        <v>2224.4259999999999</v>
      </c>
      <c r="CV47" s="162">
        <f t="shared" si="121"/>
        <v>1538.9419999999998</v>
      </c>
      <c r="CW47" s="160">
        <f t="shared" si="121"/>
        <v>4395.7319999999991</v>
      </c>
      <c r="CX47" s="166">
        <f t="shared" si="121"/>
        <v>1895.6869999999999</v>
      </c>
      <c r="CY47" s="162">
        <f t="shared" si="121"/>
        <v>1301.1559999999999</v>
      </c>
      <c r="CZ47" s="160">
        <f t="shared" si="121"/>
        <v>4990.262999999999</v>
      </c>
      <c r="DA47" s="161">
        <f t="shared" si="121"/>
        <v>1265.7659999999998</v>
      </c>
      <c r="DB47" s="162">
        <f t="shared" si="121"/>
        <v>1719.713</v>
      </c>
      <c r="DC47" s="160">
        <f t="shared" si="121"/>
        <v>4536.3159999999998</v>
      </c>
      <c r="DD47" s="161">
        <f t="shared" si="121"/>
        <v>1347.3339999999996</v>
      </c>
      <c r="DE47" s="162">
        <f t="shared" si="121"/>
        <v>2368.1380000000004</v>
      </c>
      <c r="DF47" s="160">
        <f t="shared" si="121"/>
        <v>3515.8069999999989</v>
      </c>
      <c r="DG47" s="161">
        <f t="shared" si="121"/>
        <v>1735.1419999999998</v>
      </c>
      <c r="DH47" s="162">
        <f t="shared" si="121"/>
        <v>880.42900000000009</v>
      </c>
      <c r="DI47" s="160">
        <f t="shared" si="121"/>
        <v>4370.5199999999986</v>
      </c>
      <c r="DJ47" s="161">
        <f t="shared" si="121"/>
        <v>1440.1290000000001</v>
      </c>
      <c r="DK47" s="162">
        <f t="shared" si="121"/>
        <v>1347.2270000000001</v>
      </c>
      <c r="DL47" s="160">
        <f t="shared" si="121"/>
        <v>2729.5399999999986</v>
      </c>
      <c r="DM47" s="161">
        <f t="shared" si="121"/>
        <v>1486.0220000000002</v>
      </c>
      <c r="DN47" s="162">
        <f t="shared" si="121"/>
        <v>1426.8530000000001</v>
      </c>
      <c r="DO47" s="160">
        <f t="shared" si="121"/>
        <v>2788.7089999999985</v>
      </c>
      <c r="DP47" s="161">
        <f t="shared" si="121"/>
        <v>1201.511</v>
      </c>
      <c r="DQ47" s="162">
        <f t="shared" si="121"/>
        <v>538.08899999999994</v>
      </c>
      <c r="DR47" s="160">
        <f t="shared" si="121"/>
        <v>3452.1309999999994</v>
      </c>
      <c r="DS47" s="161">
        <f t="shared" si="121"/>
        <v>973.24599999999998</v>
      </c>
      <c r="DT47" s="162">
        <f t="shared" si="121"/>
        <v>1403.595</v>
      </c>
      <c r="DU47" s="160">
        <f t="shared" si="121"/>
        <v>3021.7819999999997</v>
      </c>
      <c r="DV47" s="161">
        <f t="shared" si="121"/>
        <v>902.16699999999992</v>
      </c>
      <c r="DW47" s="162">
        <f t="shared" si="121"/>
        <v>1395.4539999999997</v>
      </c>
      <c r="DX47" s="748">
        <f t="shared" si="121"/>
        <v>2528.4949999999994</v>
      </c>
      <c r="DY47" s="161">
        <f t="shared" si="121"/>
        <v>1360.4939999999997</v>
      </c>
      <c r="DZ47" s="162">
        <f t="shared" si="121"/>
        <v>1720.2480000000003</v>
      </c>
      <c r="EA47" s="160">
        <f t="shared" si="121"/>
        <v>2168.7409999999991</v>
      </c>
      <c r="EB47" s="161">
        <f t="shared" si="121"/>
        <v>1222.7919999999997</v>
      </c>
      <c r="EC47" s="162">
        <f t="shared" si="121"/>
        <v>1754.1010000000001</v>
      </c>
      <c r="ED47" s="160">
        <f t="shared" si="121"/>
        <v>1637.4319999999993</v>
      </c>
      <c r="EE47" s="161">
        <f t="shared" si="121"/>
        <v>1010</v>
      </c>
      <c r="EF47" s="162">
        <f t="shared" si="121"/>
        <v>1400.6819999999998</v>
      </c>
      <c r="EG47" s="748">
        <f t="shared" ref="EG47:EI47" si="122">EG46+EG24</f>
        <v>1246.7499999999995</v>
      </c>
      <c r="EH47" s="161">
        <f t="shared" si="122"/>
        <v>1240</v>
      </c>
      <c r="EI47" s="162">
        <f t="shared" si="122"/>
        <v>1234</v>
      </c>
      <c r="EJ47" s="160">
        <f t="shared" ref="EJ47:EL47" si="123">EJ46+EJ24</f>
        <v>1252.7499999999995</v>
      </c>
      <c r="EK47" s="161">
        <f t="shared" si="123"/>
        <v>1045</v>
      </c>
      <c r="EL47" s="162">
        <f t="shared" si="123"/>
        <v>1190</v>
      </c>
      <c r="EM47" s="160">
        <f t="shared" ref="EM47:EO47" si="124">EM46+EM24</f>
        <v>1107.7499999999995</v>
      </c>
      <c r="EN47" s="161">
        <f t="shared" si="124"/>
        <v>1140</v>
      </c>
      <c r="EO47" s="162">
        <f t="shared" si="124"/>
        <v>1120.8</v>
      </c>
      <c r="EP47" s="748">
        <f t="shared" ref="EP47:ER47" si="125">EP46+EP24</f>
        <v>1126.9499999999994</v>
      </c>
      <c r="EQ47" s="161">
        <f t="shared" si="125"/>
        <v>1058</v>
      </c>
      <c r="ER47" s="162">
        <f t="shared" si="125"/>
        <v>1194</v>
      </c>
      <c r="ES47" s="748">
        <f t="shared" ref="ES47:EU47" si="126">ES46+ES24</f>
        <v>990.94999999999948</v>
      </c>
      <c r="ET47" s="161">
        <f t="shared" si="126"/>
        <v>950</v>
      </c>
      <c r="EU47" s="162">
        <f t="shared" si="126"/>
        <v>1039</v>
      </c>
      <c r="EV47" s="748">
        <f t="shared" ref="EV47:EX47" si="127">EV46+EV24</f>
        <v>901.94999999999948</v>
      </c>
      <c r="EW47" s="161">
        <f t="shared" si="127"/>
        <v>940</v>
      </c>
      <c r="EX47" s="162">
        <f t="shared" si="127"/>
        <v>1022</v>
      </c>
      <c r="EY47" s="748">
        <f t="shared" ref="EY47" si="128">EY46+EY24</f>
        <v>819.94999999999936</v>
      </c>
    </row>
    <row r="48" spans="1:155" ht="20.25" hidden="1" thickBot="1">
      <c r="B48" s="20"/>
      <c r="C48" s="20"/>
      <c r="E48" s="167"/>
      <c r="F48" s="168"/>
      <c r="G48" s="168"/>
      <c r="H48" s="167"/>
      <c r="I48" s="168"/>
      <c r="J48" s="168"/>
      <c r="K48" s="167"/>
      <c r="L48" s="168"/>
      <c r="M48" s="168"/>
      <c r="N48" s="167"/>
      <c r="O48" s="168"/>
      <c r="P48" s="168"/>
      <c r="Q48" s="167"/>
      <c r="R48" s="168"/>
      <c r="S48" s="168"/>
      <c r="T48" s="167"/>
      <c r="U48" s="168"/>
      <c r="V48" s="168"/>
      <c r="W48" s="167"/>
      <c r="X48" s="168"/>
      <c r="Y48" s="168"/>
      <c r="Z48" s="167"/>
      <c r="AA48" s="168"/>
      <c r="AB48" s="168"/>
      <c r="AC48" s="167"/>
      <c r="AD48" s="168"/>
      <c r="AE48" s="168"/>
      <c r="AF48" s="167"/>
      <c r="AG48" s="168"/>
      <c r="AH48" s="168"/>
      <c r="AI48" s="167"/>
      <c r="AJ48" s="168"/>
      <c r="AK48" s="168"/>
      <c r="AL48" s="167"/>
      <c r="AM48" s="168"/>
      <c r="AN48" s="168"/>
      <c r="AO48" s="167"/>
      <c r="AP48" s="168"/>
      <c r="AQ48" s="168"/>
      <c r="AR48" s="167"/>
      <c r="AS48" s="168"/>
      <c r="AT48" s="168"/>
      <c r="AU48" s="167"/>
      <c r="AV48" s="168"/>
      <c r="AW48" s="168"/>
      <c r="AX48" s="167"/>
      <c r="AY48" s="168"/>
      <c r="AZ48" s="168"/>
      <c r="BA48" s="167"/>
      <c r="BB48" s="168"/>
      <c r="BC48" s="168"/>
      <c r="BD48" s="167"/>
      <c r="BE48" s="168"/>
      <c r="BF48" s="168"/>
      <c r="BG48" s="167"/>
      <c r="BH48" s="168"/>
      <c r="BI48" s="168"/>
      <c r="BJ48" s="167"/>
      <c r="BK48" s="168"/>
      <c r="BL48" s="168"/>
      <c r="BM48" s="167"/>
      <c r="BN48" s="168"/>
      <c r="BO48" s="168"/>
      <c r="BP48" s="167"/>
      <c r="BQ48" s="168"/>
      <c r="BR48" s="168"/>
      <c r="BS48" s="167"/>
      <c r="BT48" s="168"/>
      <c r="BU48" s="168"/>
      <c r="BV48" s="167"/>
      <c r="BW48" s="168"/>
      <c r="BX48" s="168"/>
      <c r="BY48" s="167"/>
      <c r="BZ48" s="168"/>
      <c r="CA48" s="168"/>
      <c r="CB48" s="167"/>
      <c r="CC48" s="168"/>
      <c r="CD48" s="168"/>
      <c r="CE48" s="167"/>
      <c r="CF48" s="168"/>
      <c r="CG48" s="168"/>
      <c r="CH48" s="167"/>
      <c r="CI48" s="168"/>
      <c r="CJ48" s="168"/>
      <c r="CK48" s="167"/>
      <c r="CL48" s="169"/>
      <c r="CM48" s="170"/>
      <c r="CN48" s="171"/>
      <c r="CO48" s="168"/>
      <c r="CP48" s="168"/>
      <c r="CQ48" s="167"/>
      <c r="CR48" s="168"/>
      <c r="CS48" s="168"/>
      <c r="CT48" s="167"/>
      <c r="CU48" s="172"/>
      <c r="CV48" s="173"/>
      <c r="CW48" s="171"/>
      <c r="CX48" s="168"/>
      <c r="CY48" s="168"/>
      <c r="CZ48" s="167"/>
      <c r="DA48" s="168"/>
      <c r="DB48" s="168"/>
      <c r="DC48" s="167"/>
      <c r="DD48" s="168"/>
      <c r="DE48" s="168"/>
      <c r="DF48" s="167"/>
      <c r="DG48" s="168"/>
      <c r="DH48" s="168"/>
      <c r="DI48" s="167"/>
      <c r="DJ48" s="168"/>
      <c r="DK48" s="168"/>
      <c r="DL48" s="167"/>
      <c r="DM48" s="168"/>
      <c r="DN48" s="168"/>
      <c r="DO48" s="168"/>
      <c r="DP48" s="168"/>
      <c r="DQ48" s="168"/>
      <c r="DR48" s="167"/>
      <c r="DS48" s="168"/>
      <c r="DT48" s="168"/>
      <c r="DU48" s="167"/>
      <c r="DV48" s="168"/>
      <c r="DW48" s="168"/>
      <c r="DX48" s="749"/>
      <c r="DY48" s="168"/>
      <c r="DZ48" s="168"/>
      <c r="EA48" s="167"/>
      <c r="EB48" s="168"/>
      <c r="EC48" s="168"/>
      <c r="ED48" s="167"/>
      <c r="EE48" s="168"/>
      <c r="EF48" s="168"/>
      <c r="EG48" s="749"/>
      <c r="EH48" s="168"/>
      <c r="EI48" s="168"/>
      <c r="EJ48" s="167"/>
      <c r="EK48" s="168"/>
      <c r="EL48" s="168"/>
      <c r="EM48" s="167"/>
      <c r="EN48" s="168"/>
      <c r="EO48" s="168"/>
      <c r="EP48" s="749"/>
      <c r="EQ48" s="168"/>
      <c r="ER48" s="168"/>
      <c r="ES48" s="749"/>
      <c r="ET48" s="168"/>
      <c r="EU48" s="168"/>
      <c r="EV48" s="749"/>
      <c r="EW48" s="168"/>
      <c r="EX48" s="168"/>
      <c r="EY48" s="749"/>
    </row>
    <row r="49" spans="1:155" ht="19.5">
      <c r="A49" s="174">
        <v>4</v>
      </c>
      <c r="B49" s="175" t="s">
        <v>14</v>
      </c>
      <c r="C49" s="176">
        <v>100087443</v>
      </c>
      <c r="D49" s="177" t="s">
        <v>34</v>
      </c>
      <c r="E49" s="116">
        <v>272.416</v>
      </c>
      <c r="F49" s="178">
        <v>175.5</v>
      </c>
      <c r="G49" s="178">
        <v>435.32</v>
      </c>
      <c r="H49" s="116">
        <f t="shared" ref="H49:H56" si="129">(E49+F49)-(G49)</f>
        <v>12.596000000000004</v>
      </c>
      <c r="I49" s="178">
        <v>183.9</v>
      </c>
      <c r="J49" s="178">
        <v>118.8</v>
      </c>
      <c r="K49" s="116">
        <v>169.5</v>
      </c>
      <c r="L49" s="178">
        <v>142.19999999999999</v>
      </c>
      <c r="M49" s="178">
        <v>189.09399999999999</v>
      </c>
      <c r="N49" s="116">
        <f t="shared" ref="N49:N56" si="130">(K49+L49)-(M49)</f>
        <v>122.60599999999999</v>
      </c>
      <c r="O49" s="178">
        <v>157.5</v>
      </c>
      <c r="P49" s="178">
        <v>88.7</v>
      </c>
      <c r="Q49" s="116">
        <f t="shared" ref="Q49:Q56" si="131">(N49+O49)-(P49)</f>
        <v>191.40600000000001</v>
      </c>
      <c r="R49" s="178">
        <v>-2.7</v>
      </c>
      <c r="S49" s="178">
        <v>105.6</v>
      </c>
      <c r="T49" s="116">
        <f t="shared" ref="T49:T56" si="132">(Q49+R49)-(S49)</f>
        <v>83.106000000000023</v>
      </c>
      <c r="U49" s="178">
        <v>155.4</v>
      </c>
      <c r="V49" s="178">
        <v>117.4</v>
      </c>
      <c r="W49" s="116">
        <f t="shared" ref="W49:W56" si="133">(T49+U49)-(V49)</f>
        <v>121.10600000000002</v>
      </c>
      <c r="X49" s="178">
        <v>79.8</v>
      </c>
      <c r="Y49" s="178">
        <v>111.42</v>
      </c>
      <c r="Z49" s="116">
        <f t="shared" ref="Z49:Z56" si="134">(W49+X49)-(Y49)</f>
        <v>89.486000000000004</v>
      </c>
      <c r="AA49" s="178">
        <v>69.8</v>
      </c>
      <c r="AB49" s="178">
        <v>81</v>
      </c>
      <c r="AC49" s="116">
        <f t="shared" ref="AC49:AC56" si="135">(Z49+AA49)-(AB49)</f>
        <v>78.286000000000001</v>
      </c>
      <c r="AD49" s="178">
        <v>90.6</v>
      </c>
      <c r="AE49" s="178">
        <v>19.2</v>
      </c>
      <c r="AF49" s="116">
        <v>149.6</v>
      </c>
      <c r="AG49" s="178">
        <v>111.9</v>
      </c>
      <c r="AH49" s="178">
        <v>129.80000000000001</v>
      </c>
      <c r="AI49" s="116">
        <f t="shared" ref="AI49:AI56" si="136">(AF49+AG49)-(AH49)</f>
        <v>131.69999999999999</v>
      </c>
      <c r="AJ49" s="178">
        <v>63.6</v>
      </c>
      <c r="AK49" s="178">
        <v>27.3</v>
      </c>
      <c r="AL49" s="116">
        <f t="shared" ref="AL49:AL56" si="137">(AI49+AJ49)-(AK49)</f>
        <v>167.99999999999997</v>
      </c>
      <c r="AM49" s="178">
        <v>6.9</v>
      </c>
      <c r="AN49" s="178">
        <v>15.7</v>
      </c>
      <c r="AO49" s="116">
        <f t="shared" ref="AO49:AO56" si="138">(AL49+AM49)-(AN49)</f>
        <v>159.19999999999999</v>
      </c>
      <c r="AP49" s="178">
        <v>0.6</v>
      </c>
      <c r="AQ49" s="178">
        <v>0</v>
      </c>
      <c r="AR49" s="116">
        <v>167.98</v>
      </c>
      <c r="AS49" s="178">
        <v>0</v>
      </c>
      <c r="AT49" s="178">
        <v>35.799999999999997</v>
      </c>
      <c r="AU49" s="116">
        <f t="shared" ref="AU49:AU56" si="139">(AR49+AS49)-(AT49)</f>
        <v>132.18</v>
      </c>
      <c r="AV49" s="178">
        <v>2.4</v>
      </c>
      <c r="AW49" s="178">
        <v>108.18</v>
      </c>
      <c r="AX49" s="116">
        <f t="shared" ref="AX49:AX56" si="140">(AU49+AV49)-(AW49)</f>
        <v>26.400000000000006</v>
      </c>
      <c r="AY49" s="178">
        <v>-0.9</v>
      </c>
      <c r="AZ49" s="178">
        <v>13.2</v>
      </c>
      <c r="BA49" s="116">
        <f t="shared" ref="BA49:BA56" si="141">(AX49+AY49)-(AZ49)</f>
        <v>12.300000000000008</v>
      </c>
      <c r="BB49" s="178">
        <v>317.7</v>
      </c>
      <c r="BC49" s="178">
        <v>183.02</v>
      </c>
      <c r="BD49" s="116">
        <f>(BA49+BB49)-(BC49)</f>
        <v>146.97999999999999</v>
      </c>
      <c r="BE49" s="178">
        <v>-13.207000000000001</v>
      </c>
      <c r="BF49" s="178">
        <v>42.326999999999998</v>
      </c>
      <c r="BG49" s="116">
        <f>(BD49+BE49)-(BF49)</f>
        <v>91.445999999999998</v>
      </c>
      <c r="BH49" s="178">
        <v>0.2</v>
      </c>
      <c r="BI49" s="178">
        <v>64.846000000000004</v>
      </c>
      <c r="BJ49" s="116">
        <f t="shared" ref="BJ49:BJ56" si="142">(BG49+BH49)-(BI49)</f>
        <v>26.799999999999997</v>
      </c>
      <c r="BK49" s="178">
        <v>109.8</v>
      </c>
      <c r="BL49" s="178">
        <v>30.6</v>
      </c>
      <c r="BM49" s="116">
        <f t="shared" ref="BM49:BM56" si="143">(BJ49+BK49)-(BL49)</f>
        <v>106</v>
      </c>
      <c r="BN49" s="178">
        <v>81.599999999999994</v>
      </c>
      <c r="BO49" s="178">
        <v>80.7</v>
      </c>
      <c r="BP49" s="116">
        <f>(BM49+BN49)-(BO49)</f>
        <v>106.89999999999999</v>
      </c>
      <c r="BQ49" s="178">
        <v>342</v>
      </c>
      <c r="BR49" s="178">
        <v>6.7</v>
      </c>
      <c r="BS49" s="116">
        <f t="shared" ref="BS49:BS56" si="144">(BP49+BQ49)-(BR49)</f>
        <v>442.2</v>
      </c>
      <c r="BT49" s="178">
        <v>259.2</v>
      </c>
      <c r="BU49" s="178">
        <v>138.9</v>
      </c>
      <c r="BV49" s="116">
        <f t="shared" ref="BV49:BV56" si="145">(BS49+BT49)-(BU49)</f>
        <v>562.5</v>
      </c>
      <c r="BW49" s="178">
        <v>141.30000000000001</v>
      </c>
      <c r="BX49" s="178">
        <v>336.9</v>
      </c>
      <c r="BY49" s="116">
        <f t="shared" ref="BY49:BY56" si="146">(BV49+BW49)-(BX49)</f>
        <v>366.9</v>
      </c>
      <c r="BZ49" s="178">
        <v>199.30799999999999</v>
      </c>
      <c r="CA49" s="178">
        <v>162.11000000000001</v>
      </c>
      <c r="CB49" s="116">
        <f t="shared" ref="CB49:CB56" si="147">(BY49+BZ49)-(CA49)</f>
        <v>404.09799999999996</v>
      </c>
      <c r="CC49" s="178">
        <v>306.601</v>
      </c>
      <c r="CD49" s="178">
        <v>336.59899999999999</v>
      </c>
      <c r="CE49" s="116">
        <f t="shared" ref="CE49:CE56" si="148">(CB49+CC49)-(CD49)</f>
        <v>374.09999999999997</v>
      </c>
      <c r="CF49" s="178">
        <v>324.3</v>
      </c>
      <c r="CG49" s="178">
        <v>477.3</v>
      </c>
      <c r="CH49" s="116">
        <f t="shared" ref="CH49:CH56" si="149">(CE49+CF49)-(CG49)</f>
        <v>221.09999999999997</v>
      </c>
      <c r="CI49" s="178">
        <v>475.5</v>
      </c>
      <c r="CJ49" s="178">
        <v>487.5</v>
      </c>
      <c r="CK49" s="179">
        <f t="shared" ref="CK49:CK56" si="150">(CH49+CI49)-(CJ49)</f>
        <v>209.09999999999991</v>
      </c>
      <c r="CL49" s="180">
        <v>483.39499999999998</v>
      </c>
      <c r="CM49" s="181">
        <v>227.24700000000001</v>
      </c>
      <c r="CN49" s="116">
        <f>(CK49+CL49)-(CM49)</f>
        <v>465.24799999999988</v>
      </c>
      <c r="CO49" s="178">
        <v>532.20000000000005</v>
      </c>
      <c r="CP49" s="178">
        <v>523.20000000000005</v>
      </c>
      <c r="CQ49" s="116">
        <f t="shared" ref="CQ49:CQ56" si="151">(CN49+CO49)-(CP49)</f>
        <v>474.24799999999982</v>
      </c>
      <c r="CR49" s="178">
        <v>319.8</v>
      </c>
      <c r="CS49" s="178">
        <v>438.25</v>
      </c>
      <c r="CT49" s="179">
        <f t="shared" ref="CT49:CT56" si="152">(CQ49+CR49)-(CS49)</f>
        <v>355.79799999999977</v>
      </c>
      <c r="CU49" s="182">
        <v>461.4</v>
      </c>
      <c r="CV49" s="178">
        <v>157.5</v>
      </c>
      <c r="CW49" s="116">
        <f t="shared" ref="CW49:CW56" si="153">(CT49+CU49)-(CV49)</f>
        <v>659.69799999999975</v>
      </c>
      <c r="CX49" s="178">
        <v>420.60599999999999</v>
      </c>
      <c r="CY49" s="178">
        <v>322.2</v>
      </c>
      <c r="CZ49" s="116">
        <f>(CW49+CX49)-(CY49)</f>
        <v>758.10399999999959</v>
      </c>
      <c r="DA49" s="178">
        <v>161.4</v>
      </c>
      <c r="DB49" s="178">
        <v>419.20600000000002</v>
      </c>
      <c r="DC49" s="116">
        <f t="shared" ref="DC49:DC56" si="154">(CZ49+DA49)-(DB49)</f>
        <v>500.29799999999955</v>
      </c>
      <c r="DD49" s="178">
        <v>159.30000000000001</v>
      </c>
      <c r="DE49" s="178">
        <v>360.8</v>
      </c>
      <c r="DF49" s="116">
        <f t="shared" ref="DF49:DF56" si="155">(DC49+DD49)-(DE49)</f>
        <v>298.79799999999949</v>
      </c>
      <c r="DG49" s="178">
        <v>255.90600000000001</v>
      </c>
      <c r="DH49" s="178">
        <v>223.70599999999999</v>
      </c>
      <c r="DI49" s="116">
        <f t="shared" ref="DI49:DI56" si="156">(DF49+DG49)-(DH49)</f>
        <v>330.99799999999948</v>
      </c>
      <c r="DJ49" s="178">
        <v>198.90299999999999</v>
      </c>
      <c r="DK49" s="178">
        <v>220.90299999999999</v>
      </c>
      <c r="DL49" s="116">
        <f t="shared" ref="DL49:DL56" si="157">(DI49+DJ49)-(DK49)</f>
        <v>308.99799999999948</v>
      </c>
      <c r="DM49" s="178">
        <v>228.6</v>
      </c>
      <c r="DN49" s="178">
        <v>54</v>
      </c>
      <c r="DO49" s="116">
        <f t="shared" ref="DO49:DO56" si="158">(DL49+DM49)-(DN49)</f>
        <v>483.5979999999995</v>
      </c>
      <c r="DP49" s="178">
        <v>105.908</v>
      </c>
      <c r="DQ49" s="178">
        <v>138.30000000000001</v>
      </c>
      <c r="DR49" s="116">
        <f t="shared" ref="DR49:DR56" si="159">(DO49+DP49)-(DQ49)</f>
        <v>451.20599999999951</v>
      </c>
      <c r="DS49" s="178">
        <v>89.4</v>
      </c>
      <c r="DT49" s="178">
        <v>180.00800000000001</v>
      </c>
      <c r="DU49" s="116">
        <f t="shared" ref="DU49:DU56" si="160">(DR49+DS49)-(DT49)</f>
        <v>360.5979999999995</v>
      </c>
      <c r="DV49" s="178">
        <v>47.606000000000002</v>
      </c>
      <c r="DW49" s="178">
        <v>102.569</v>
      </c>
      <c r="DX49" s="750">
        <f t="shared" ref="DX49:DX56" si="161">(DU49+DV49)-(DW49)</f>
        <v>305.63499999999948</v>
      </c>
      <c r="DY49" s="178">
        <v>363.3</v>
      </c>
      <c r="DZ49" s="178">
        <v>334.50200000000001</v>
      </c>
      <c r="EA49" s="799">
        <f t="shared" ref="EA49:EA56" si="162">(DX49+DY49)-(DZ49)</f>
        <v>334.43299999999948</v>
      </c>
      <c r="EB49" s="178">
        <v>134.30000000000001</v>
      </c>
      <c r="EC49" s="178">
        <v>152.01599999999999</v>
      </c>
      <c r="ED49" s="799">
        <f t="shared" ref="ED49:ED56" si="163">(EA49+EB49)-(EC49)</f>
        <v>316.71699999999953</v>
      </c>
      <c r="EE49" s="178">
        <v>234</v>
      </c>
      <c r="EF49" s="819">
        <v>182.7</v>
      </c>
      <c r="EG49" s="750">
        <f t="shared" ref="EG49:EG56" si="164">(ED49+EE49)-(EF49)</f>
        <v>368.01699999999954</v>
      </c>
      <c r="EH49" s="178">
        <v>230</v>
      </c>
      <c r="EI49" s="178">
        <v>400</v>
      </c>
      <c r="EJ49" s="799">
        <f t="shared" ref="EJ49:EJ54" si="165">(EG49+EH49)-(EI49)</f>
        <v>198.0169999999996</v>
      </c>
      <c r="EK49" s="178">
        <v>150</v>
      </c>
      <c r="EL49" s="178">
        <v>200</v>
      </c>
      <c r="EM49" s="799">
        <f t="shared" ref="EM49:EM54" si="166">(EJ49+EK49)-(EL49)</f>
        <v>148.0169999999996</v>
      </c>
      <c r="EN49" s="178">
        <v>150</v>
      </c>
      <c r="EO49" s="178">
        <v>200</v>
      </c>
      <c r="EP49" s="804">
        <f t="shared" ref="EP49:EP54" si="167">(EM49+EN49)-(EO49)</f>
        <v>98.016999999999598</v>
      </c>
      <c r="EQ49" s="178">
        <v>150</v>
      </c>
      <c r="ER49" s="830">
        <v>185</v>
      </c>
      <c r="ES49" s="804">
        <f t="shared" ref="ES49:ES54" si="168">(EP49+EQ49)-(ER49)</f>
        <v>63.016999999999598</v>
      </c>
      <c r="ET49" s="178">
        <v>150</v>
      </c>
      <c r="EU49" s="819">
        <v>160</v>
      </c>
      <c r="EV49" s="750">
        <f t="shared" ref="EV49:EV54" si="169">(ES49+ET49)-(EU49)</f>
        <v>53.016999999999598</v>
      </c>
      <c r="EW49" s="178">
        <v>150</v>
      </c>
      <c r="EX49" s="819">
        <v>160</v>
      </c>
      <c r="EY49" s="750">
        <f t="shared" ref="EY49:EY54" si="170">(EV49+EW49)-(EX49)</f>
        <v>43.016999999999598</v>
      </c>
    </row>
    <row r="50" spans="1:155" ht="19.5">
      <c r="A50" s="183"/>
      <c r="B50" s="184"/>
      <c r="C50" s="185"/>
      <c r="D50" s="186" t="s">
        <v>80</v>
      </c>
      <c r="E50" s="63">
        <v>128.28</v>
      </c>
      <c r="F50" s="64">
        <v>446.8</v>
      </c>
      <c r="G50" s="65">
        <v>281.58</v>
      </c>
      <c r="H50" s="63">
        <f t="shared" si="129"/>
        <v>293.50000000000006</v>
      </c>
      <c r="I50" s="64">
        <v>459.9</v>
      </c>
      <c r="J50" s="65">
        <v>313.3</v>
      </c>
      <c r="K50" s="63">
        <v>348.3</v>
      </c>
      <c r="L50" s="64">
        <v>481.63200000000001</v>
      </c>
      <c r="M50" s="65">
        <v>361.93200000000002</v>
      </c>
      <c r="N50" s="63">
        <f t="shared" si="130"/>
        <v>468</v>
      </c>
      <c r="O50" s="64">
        <v>400.21199999999999</v>
      </c>
      <c r="P50" s="65">
        <v>447.30500000000001</v>
      </c>
      <c r="Q50" s="63">
        <f t="shared" si="131"/>
        <v>420.90699999999998</v>
      </c>
      <c r="R50" s="64">
        <v>287.7</v>
      </c>
      <c r="S50" s="65">
        <v>453.60700000000003</v>
      </c>
      <c r="T50" s="63">
        <f t="shared" si="132"/>
        <v>254.99999999999994</v>
      </c>
      <c r="U50" s="64">
        <v>505.5</v>
      </c>
      <c r="V50" s="65">
        <v>275.39999999999998</v>
      </c>
      <c r="W50" s="63">
        <f t="shared" si="133"/>
        <v>485.1</v>
      </c>
      <c r="X50" s="64">
        <v>477</v>
      </c>
      <c r="Y50" s="65">
        <v>493.8</v>
      </c>
      <c r="Z50" s="63">
        <f t="shared" si="134"/>
        <v>468.3</v>
      </c>
      <c r="AA50" s="64">
        <v>366.5</v>
      </c>
      <c r="AB50" s="65">
        <v>237.6</v>
      </c>
      <c r="AC50" s="63">
        <f t="shared" si="135"/>
        <v>597.19999999999993</v>
      </c>
      <c r="AD50" s="64">
        <v>226.5</v>
      </c>
      <c r="AE50" s="65">
        <v>346.6</v>
      </c>
      <c r="AF50" s="63">
        <f>(AC50+AD50)-(AE50)</f>
        <v>477.09999999999991</v>
      </c>
      <c r="AG50" s="64">
        <v>105.6</v>
      </c>
      <c r="AH50" s="65">
        <v>281.8</v>
      </c>
      <c r="AI50" s="63">
        <f t="shared" si="136"/>
        <v>300.89999999999992</v>
      </c>
      <c r="AJ50" s="64">
        <v>50.4</v>
      </c>
      <c r="AK50" s="65">
        <v>61.32</v>
      </c>
      <c r="AL50" s="63">
        <f t="shared" si="137"/>
        <v>289.9799999999999</v>
      </c>
      <c r="AM50" s="64">
        <v>0</v>
      </c>
      <c r="AN50" s="65">
        <v>0</v>
      </c>
      <c r="AO50" s="63">
        <f t="shared" si="138"/>
        <v>289.9799999999999</v>
      </c>
      <c r="AP50" s="64">
        <v>0.6</v>
      </c>
      <c r="AQ50" s="65">
        <v>0.1</v>
      </c>
      <c r="AR50" s="63">
        <v>282.3</v>
      </c>
      <c r="AS50" s="64">
        <v>102.6</v>
      </c>
      <c r="AT50" s="65">
        <v>0</v>
      </c>
      <c r="AU50" s="63">
        <f t="shared" si="139"/>
        <v>384.9</v>
      </c>
      <c r="AV50" s="64">
        <v>169.2</v>
      </c>
      <c r="AW50" s="65">
        <v>359.82</v>
      </c>
      <c r="AX50" s="63">
        <f t="shared" si="140"/>
        <v>194.27999999999992</v>
      </c>
      <c r="AY50" s="64">
        <v>356.9</v>
      </c>
      <c r="AZ50" s="65">
        <v>232</v>
      </c>
      <c r="BA50" s="63">
        <f t="shared" si="141"/>
        <v>319.17999999999984</v>
      </c>
      <c r="BB50" s="64">
        <v>241.8</v>
      </c>
      <c r="BC50" s="65">
        <v>387.55900000000003</v>
      </c>
      <c r="BD50" s="63">
        <f>(BA50+BB50)-(BC50)</f>
        <v>173.42099999999976</v>
      </c>
      <c r="BE50" s="64">
        <v>484.20699999999999</v>
      </c>
      <c r="BF50" s="65">
        <v>382.47399999999999</v>
      </c>
      <c r="BG50" s="63" t="e">
        <f>(BD50+BE50)-(BF50)-#REF!</f>
        <v>#REF!</v>
      </c>
      <c r="BH50" s="64">
        <v>260.7</v>
      </c>
      <c r="BI50" s="65">
        <v>315.2</v>
      </c>
      <c r="BJ50" s="63" t="e">
        <f t="shared" si="142"/>
        <v>#REF!</v>
      </c>
      <c r="BK50" s="64">
        <v>393</v>
      </c>
      <c r="BL50" s="65">
        <v>264.2</v>
      </c>
      <c r="BM50" s="63" t="e">
        <f t="shared" si="143"/>
        <v>#REF!</v>
      </c>
      <c r="BN50" s="64">
        <v>369.3</v>
      </c>
      <c r="BO50" s="65">
        <v>360.3</v>
      </c>
      <c r="BP50" s="63" t="e">
        <f>(BM50+BN50)-(BO50)</f>
        <v>#REF!</v>
      </c>
      <c r="BQ50" s="64">
        <v>154.80000000000001</v>
      </c>
      <c r="BR50" s="65">
        <v>337.2</v>
      </c>
      <c r="BS50" s="63" t="e">
        <f t="shared" si="144"/>
        <v>#REF!</v>
      </c>
      <c r="BT50" s="64">
        <v>240.3</v>
      </c>
      <c r="BU50" s="65">
        <v>82.1</v>
      </c>
      <c r="BV50" s="63" t="e">
        <f t="shared" si="145"/>
        <v>#REF!</v>
      </c>
      <c r="BW50" s="64">
        <v>302.7</v>
      </c>
      <c r="BX50" s="65">
        <v>95.1</v>
      </c>
      <c r="BY50" s="63" t="e">
        <f t="shared" si="146"/>
        <v>#REF!</v>
      </c>
      <c r="BZ50" s="64">
        <v>102.19199999999999</v>
      </c>
      <c r="CA50" s="65">
        <v>294.49</v>
      </c>
      <c r="CB50" s="63" t="e">
        <f t="shared" si="147"/>
        <v>#REF!</v>
      </c>
      <c r="CC50" s="64">
        <v>9.5990000000000002</v>
      </c>
      <c r="CD50" s="65">
        <v>135.001</v>
      </c>
      <c r="CE50" s="63" t="e">
        <f t="shared" si="148"/>
        <v>#REF!</v>
      </c>
      <c r="CF50" s="64">
        <v>2.1</v>
      </c>
      <c r="CG50" s="65">
        <v>21.6</v>
      </c>
      <c r="CH50" s="63" t="e">
        <f t="shared" si="149"/>
        <v>#REF!</v>
      </c>
      <c r="CI50" s="64">
        <v>0.3</v>
      </c>
      <c r="CJ50" s="65">
        <v>78.3</v>
      </c>
      <c r="CK50" s="69" t="e">
        <f t="shared" si="150"/>
        <v>#REF!</v>
      </c>
      <c r="CL50" s="70">
        <v>0.05</v>
      </c>
      <c r="CM50" s="71">
        <v>0</v>
      </c>
      <c r="CN50" s="187">
        <v>7.7039999999996835</v>
      </c>
      <c r="CO50" s="64">
        <v>24</v>
      </c>
      <c r="CP50" s="65">
        <v>7.8</v>
      </c>
      <c r="CQ50" s="188">
        <f t="shared" si="151"/>
        <v>23.903999999999684</v>
      </c>
      <c r="CR50" s="64">
        <v>24.6</v>
      </c>
      <c r="CS50" s="65">
        <v>0.05</v>
      </c>
      <c r="CT50" s="189">
        <f t="shared" si="152"/>
        <v>48.453999999999688</v>
      </c>
      <c r="CU50" s="81">
        <v>0</v>
      </c>
      <c r="CV50" s="65">
        <v>48.6</v>
      </c>
      <c r="CW50" s="190">
        <f t="shared" si="153"/>
        <v>-0.14600000000031343</v>
      </c>
      <c r="CX50" s="64">
        <v>0</v>
      </c>
      <c r="CY50" s="65">
        <v>0</v>
      </c>
      <c r="CZ50" s="63">
        <v>0</v>
      </c>
      <c r="DA50" s="64">
        <v>101.4</v>
      </c>
      <c r="DB50" s="65">
        <v>0</v>
      </c>
      <c r="DC50" s="190">
        <f t="shared" si="154"/>
        <v>101.4</v>
      </c>
      <c r="DD50" s="64">
        <v>107.1</v>
      </c>
      <c r="DE50" s="65">
        <v>0</v>
      </c>
      <c r="DF50" s="190">
        <f t="shared" si="155"/>
        <v>208.5</v>
      </c>
      <c r="DG50" s="64">
        <v>110.994</v>
      </c>
      <c r="DH50" s="65">
        <v>104.494</v>
      </c>
      <c r="DI50" s="190">
        <f t="shared" si="156"/>
        <v>215.00000000000003</v>
      </c>
      <c r="DJ50" s="64">
        <v>159.297</v>
      </c>
      <c r="DK50" s="65">
        <v>57.497</v>
      </c>
      <c r="DL50" s="190">
        <f t="shared" si="157"/>
        <v>316.8</v>
      </c>
      <c r="DM50" s="64">
        <v>116.4</v>
      </c>
      <c r="DN50" s="65">
        <v>119.4</v>
      </c>
      <c r="DO50" s="188">
        <f t="shared" si="158"/>
        <v>313.80000000000007</v>
      </c>
      <c r="DP50" s="64">
        <v>52.8</v>
      </c>
      <c r="DQ50" s="65">
        <v>161.4</v>
      </c>
      <c r="DR50" s="188">
        <f t="shared" si="159"/>
        <v>205.20000000000007</v>
      </c>
      <c r="DS50" s="64">
        <v>123</v>
      </c>
      <c r="DT50" s="65">
        <v>135.30000000000001</v>
      </c>
      <c r="DU50" s="190">
        <f t="shared" si="160"/>
        <v>192.90000000000003</v>
      </c>
      <c r="DV50" s="64">
        <v>302.23099999999999</v>
      </c>
      <c r="DW50" s="65">
        <v>346.84899999999999</v>
      </c>
      <c r="DX50" s="751">
        <f t="shared" si="161"/>
        <v>148.28200000000004</v>
      </c>
      <c r="DY50" s="64">
        <v>181.50800000000001</v>
      </c>
      <c r="DZ50" s="65">
        <v>152.40600000000001</v>
      </c>
      <c r="EA50" s="800">
        <f t="shared" si="162"/>
        <v>177.38400000000007</v>
      </c>
      <c r="EB50" s="64">
        <f>120+65.7</f>
        <v>185.7</v>
      </c>
      <c r="EC50" s="65">
        <v>350.48399999999998</v>
      </c>
      <c r="ED50" s="800">
        <f t="shared" si="163"/>
        <v>12.60000000000008</v>
      </c>
      <c r="EE50" s="64">
        <v>158.1</v>
      </c>
      <c r="EF50" s="818">
        <v>99.9</v>
      </c>
      <c r="EG50" s="751">
        <f t="shared" si="164"/>
        <v>70.800000000000068</v>
      </c>
      <c r="EH50" s="64">
        <v>190</v>
      </c>
      <c r="EI50" s="818">
        <v>50</v>
      </c>
      <c r="EJ50" s="800">
        <f t="shared" si="165"/>
        <v>210.80000000000007</v>
      </c>
      <c r="EK50" s="64">
        <v>150</v>
      </c>
      <c r="EL50" s="818">
        <v>190</v>
      </c>
      <c r="EM50" s="800">
        <f t="shared" si="166"/>
        <v>170.80000000000007</v>
      </c>
      <c r="EN50" s="64">
        <v>100</v>
      </c>
      <c r="EO50" s="818">
        <v>100</v>
      </c>
      <c r="EP50" s="805">
        <f t="shared" si="167"/>
        <v>170.80000000000007</v>
      </c>
      <c r="EQ50" s="64">
        <v>150</v>
      </c>
      <c r="ER50" s="821">
        <v>185</v>
      </c>
      <c r="ES50" s="805">
        <f t="shared" si="168"/>
        <v>135.80000000000007</v>
      </c>
      <c r="ET50" s="64">
        <v>150</v>
      </c>
      <c r="EU50" s="818">
        <v>150</v>
      </c>
      <c r="EV50" s="751">
        <f t="shared" si="169"/>
        <v>135.80000000000007</v>
      </c>
      <c r="EW50" s="64">
        <v>150</v>
      </c>
      <c r="EX50" s="818">
        <v>150</v>
      </c>
      <c r="EY50" s="751">
        <f t="shared" si="170"/>
        <v>135.80000000000007</v>
      </c>
    </row>
    <row r="51" spans="1:155" ht="19.5">
      <c r="A51" s="183"/>
      <c r="B51" s="184"/>
      <c r="C51" s="185">
        <v>100156449</v>
      </c>
      <c r="D51" s="191" t="s">
        <v>63</v>
      </c>
      <c r="E51" s="63">
        <v>239.44200000000001</v>
      </c>
      <c r="F51" s="64">
        <v>381.45600000000002</v>
      </c>
      <c r="G51" s="65">
        <v>462.83800000000002</v>
      </c>
      <c r="H51" s="63">
        <f t="shared" si="129"/>
        <v>158.06</v>
      </c>
      <c r="I51" s="64">
        <v>285.12</v>
      </c>
      <c r="J51" s="65">
        <v>197.47800000000001</v>
      </c>
      <c r="K51" s="63">
        <f>(H51+I51)-(J51)</f>
        <v>245.702</v>
      </c>
      <c r="L51" s="64">
        <v>486.81</v>
      </c>
      <c r="M51" s="65">
        <v>466.50599999999997</v>
      </c>
      <c r="N51" s="63">
        <f t="shared" si="130"/>
        <v>266.00599999999997</v>
      </c>
      <c r="O51" s="64">
        <v>360.34199999999998</v>
      </c>
      <c r="P51" s="65">
        <v>186.57</v>
      </c>
      <c r="Q51" s="63">
        <f t="shared" si="131"/>
        <v>439.77799999999996</v>
      </c>
      <c r="R51" s="64">
        <v>369.036</v>
      </c>
      <c r="S51" s="65">
        <v>216.072</v>
      </c>
      <c r="T51" s="63">
        <f t="shared" si="132"/>
        <v>592.74199999999996</v>
      </c>
      <c r="U51" s="64">
        <v>313.47000000000003</v>
      </c>
      <c r="V51" s="65">
        <v>468.59399999999999</v>
      </c>
      <c r="W51" s="63">
        <f t="shared" si="133"/>
        <v>437.61799999999999</v>
      </c>
      <c r="X51" s="64">
        <v>179.71199999999999</v>
      </c>
      <c r="Y51" s="65">
        <v>232.74</v>
      </c>
      <c r="Z51" s="63">
        <f t="shared" si="134"/>
        <v>384.58999999999992</v>
      </c>
      <c r="AA51" s="64">
        <v>191.43</v>
      </c>
      <c r="AB51" s="65">
        <v>93.42</v>
      </c>
      <c r="AC51" s="63">
        <f t="shared" si="135"/>
        <v>482.59999999999997</v>
      </c>
      <c r="AD51" s="64">
        <v>205.63</v>
      </c>
      <c r="AE51" s="65">
        <v>198.87</v>
      </c>
      <c r="AF51" s="63">
        <f>(AC51+AD51)-(AE51)</f>
        <v>489.36</v>
      </c>
      <c r="AG51" s="64">
        <v>153.79</v>
      </c>
      <c r="AH51" s="65">
        <v>126.261</v>
      </c>
      <c r="AI51" s="63">
        <f t="shared" si="136"/>
        <v>516.88900000000001</v>
      </c>
      <c r="AJ51" s="65">
        <v>97.2</v>
      </c>
      <c r="AK51" s="65">
        <v>111.996</v>
      </c>
      <c r="AL51" s="63">
        <f t="shared" si="137"/>
        <v>502.09300000000007</v>
      </c>
      <c r="AM51" s="65">
        <v>1.728</v>
      </c>
      <c r="AN51" s="65">
        <v>72.305999999999997</v>
      </c>
      <c r="AO51" s="63">
        <f t="shared" si="138"/>
        <v>431.5150000000001</v>
      </c>
      <c r="AP51" s="65">
        <v>-0.432</v>
      </c>
      <c r="AQ51" s="65">
        <v>85.266000000000005</v>
      </c>
      <c r="AR51" s="63">
        <f>(AO51+AP51)-(AQ51)</f>
        <v>345.81700000000006</v>
      </c>
      <c r="AS51" s="65">
        <v>59.67</v>
      </c>
      <c r="AT51" s="65">
        <v>94.984999999999999</v>
      </c>
      <c r="AU51" s="63">
        <f t="shared" si="139"/>
        <v>310.50200000000007</v>
      </c>
      <c r="AV51" s="65">
        <v>95.241</v>
      </c>
      <c r="AW51" s="65">
        <v>178.363</v>
      </c>
      <c r="AX51" s="63">
        <f t="shared" si="140"/>
        <v>227.38000000000005</v>
      </c>
      <c r="AY51" s="65">
        <v>93.311000000000007</v>
      </c>
      <c r="AZ51" s="65">
        <v>5.6159999999999997</v>
      </c>
      <c r="BA51" s="63">
        <f t="shared" si="141"/>
        <v>315.07500000000005</v>
      </c>
      <c r="BB51" s="65">
        <v>0</v>
      </c>
      <c r="BC51" s="65">
        <v>62.353999999999999</v>
      </c>
      <c r="BD51" s="63" t="e">
        <f>(BA51+BB51)-(BC51)-#REF!</f>
        <v>#REF!</v>
      </c>
      <c r="BE51" s="65">
        <v>92.831000000000003</v>
      </c>
      <c r="BF51" s="65">
        <v>48.816000000000003</v>
      </c>
      <c r="BG51" s="63" t="e">
        <f>(BD51+BE51)-(BF51)</f>
        <v>#REF!</v>
      </c>
      <c r="BH51" s="65">
        <v>131.38800000000001</v>
      </c>
      <c r="BI51" s="65">
        <v>106.712</v>
      </c>
      <c r="BJ51" s="63" t="e">
        <f t="shared" si="142"/>
        <v>#REF!</v>
      </c>
      <c r="BK51" s="65">
        <v>365.95</v>
      </c>
      <c r="BL51" s="65">
        <v>220.86</v>
      </c>
      <c r="BM51" s="63" t="e">
        <f t="shared" si="143"/>
        <v>#REF!</v>
      </c>
      <c r="BN51" s="65">
        <v>292.03199999999998</v>
      </c>
      <c r="BO51" s="65">
        <v>266.05799999999999</v>
      </c>
      <c r="BP51" s="63" t="e">
        <f>(BM51+BN51)-(BO51)</f>
        <v>#REF!</v>
      </c>
      <c r="BQ51" s="65">
        <v>121.392</v>
      </c>
      <c r="BR51" s="65">
        <v>257.31799999999998</v>
      </c>
      <c r="BS51" s="63" t="e">
        <f t="shared" si="144"/>
        <v>#REF!</v>
      </c>
      <c r="BT51" s="65">
        <v>127.872</v>
      </c>
      <c r="BU51" s="65">
        <v>92.125</v>
      </c>
      <c r="BV51" s="63" t="e">
        <f t="shared" si="145"/>
        <v>#REF!</v>
      </c>
      <c r="BW51" s="65">
        <v>190.512</v>
      </c>
      <c r="BX51" s="65">
        <v>207.792</v>
      </c>
      <c r="BY51" s="63" t="e">
        <f t="shared" si="146"/>
        <v>#REF!</v>
      </c>
      <c r="BZ51" s="65">
        <v>259.63200000000001</v>
      </c>
      <c r="CA51" s="65">
        <v>219.024</v>
      </c>
      <c r="CB51" s="63" t="e">
        <f t="shared" si="147"/>
        <v>#REF!</v>
      </c>
      <c r="CC51" s="65">
        <v>261.36</v>
      </c>
      <c r="CD51" s="65">
        <v>303.26400000000001</v>
      </c>
      <c r="CE51" s="63" t="e">
        <f t="shared" si="148"/>
        <v>#REF!</v>
      </c>
      <c r="CF51" s="65">
        <v>323.13600000000002</v>
      </c>
      <c r="CG51" s="65">
        <v>285.95400000000001</v>
      </c>
      <c r="CH51" s="63" t="e">
        <f t="shared" si="149"/>
        <v>#REF!</v>
      </c>
      <c r="CI51" s="65">
        <v>260.49599999999998</v>
      </c>
      <c r="CJ51" s="65">
        <v>313.23</v>
      </c>
      <c r="CK51" s="69" t="e">
        <f t="shared" si="150"/>
        <v>#REF!</v>
      </c>
      <c r="CL51" s="70">
        <v>322.70400000000001</v>
      </c>
      <c r="CM51" s="71">
        <v>160.27199999999999</v>
      </c>
      <c r="CN51" s="63">
        <v>271.68600000000004</v>
      </c>
      <c r="CO51" s="64">
        <v>255.31200000000001</v>
      </c>
      <c r="CP51" s="65">
        <v>327.024</v>
      </c>
      <c r="CQ51" s="63">
        <f t="shared" si="151"/>
        <v>199.97400000000005</v>
      </c>
      <c r="CR51" s="65">
        <v>242.352</v>
      </c>
      <c r="CS51" s="65">
        <v>234.14400000000001</v>
      </c>
      <c r="CT51" s="69">
        <f t="shared" si="152"/>
        <v>208.18200000000002</v>
      </c>
      <c r="CU51" s="81">
        <v>183.6</v>
      </c>
      <c r="CV51" s="65">
        <v>109.35</v>
      </c>
      <c r="CW51" s="63">
        <f t="shared" si="153"/>
        <v>282.43200000000002</v>
      </c>
      <c r="CX51" s="64">
        <v>231.126</v>
      </c>
      <c r="CY51" s="65">
        <v>202.12200000000001</v>
      </c>
      <c r="CZ51" s="63">
        <f>(CW51+CX51)-(CY51)</f>
        <v>311.43599999999998</v>
      </c>
      <c r="DA51" s="65">
        <v>149.904</v>
      </c>
      <c r="DB51" s="65">
        <v>159.846</v>
      </c>
      <c r="DC51" s="63">
        <f t="shared" si="154"/>
        <v>301.49399999999997</v>
      </c>
      <c r="DD51" s="65">
        <v>101.952</v>
      </c>
      <c r="DE51" s="65">
        <v>132.19200000000001</v>
      </c>
      <c r="DF51" s="63">
        <f t="shared" si="155"/>
        <v>271.25399999999996</v>
      </c>
      <c r="DG51" s="65">
        <v>108</v>
      </c>
      <c r="DH51" s="65">
        <v>160.70400000000001</v>
      </c>
      <c r="DI51" s="63">
        <f t="shared" si="156"/>
        <v>218.54999999999995</v>
      </c>
      <c r="DJ51" s="65">
        <v>162.43199999999999</v>
      </c>
      <c r="DK51" s="65">
        <v>116.64</v>
      </c>
      <c r="DL51" s="63">
        <f t="shared" si="157"/>
        <v>264.34199999999998</v>
      </c>
      <c r="DM51" s="65">
        <v>113.616</v>
      </c>
      <c r="DN51" s="65">
        <v>85.59</v>
      </c>
      <c r="DO51" s="63">
        <f t="shared" si="158"/>
        <v>292.36799999999994</v>
      </c>
      <c r="DP51" s="65">
        <v>86.84</v>
      </c>
      <c r="DQ51" s="65">
        <v>101.03400000000001</v>
      </c>
      <c r="DR51" s="63">
        <f t="shared" si="159"/>
        <v>278.17399999999998</v>
      </c>
      <c r="DS51" s="65">
        <v>70.849999999999994</v>
      </c>
      <c r="DT51" s="65">
        <v>132.19999999999999</v>
      </c>
      <c r="DU51" s="63">
        <f t="shared" si="160"/>
        <v>216.82400000000001</v>
      </c>
      <c r="DV51" s="65">
        <v>20.358000000000001</v>
      </c>
      <c r="DW51" s="65">
        <v>124.47</v>
      </c>
      <c r="DX51" s="744">
        <f t="shared" si="161"/>
        <v>112.71200000000002</v>
      </c>
      <c r="DY51" s="65">
        <v>123.55800000000001</v>
      </c>
      <c r="DZ51" s="65">
        <v>177.12799999999999</v>
      </c>
      <c r="EA51" s="801">
        <f t="shared" si="162"/>
        <v>59.142000000000053</v>
      </c>
      <c r="EB51" s="65">
        <v>130.03200000000001</v>
      </c>
      <c r="EC51" s="65">
        <v>154.22399999999999</v>
      </c>
      <c r="ED51" s="801">
        <f t="shared" si="163"/>
        <v>34.950000000000074</v>
      </c>
      <c r="EE51" s="65">
        <v>133.05600000000001</v>
      </c>
      <c r="EF51" s="818">
        <v>104.544</v>
      </c>
      <c r="EG51" s="744">
        <f t="shared" si="164"/>
        <v>63.462000000000089</v>
      </c>
      <c r="EH51" s="65">
        <v>134</v>
      </c>
      <c r="EI51" s="818">
        <v>120</v>
      </c>
      <c r="EJ51" s="801">
        <f t="shared" si="165"/>
        <v>77.462000000000103</v>
      </c>
      <c r="EK51" s="65">
        <v>100</v>
      </c>
      <c r="EL51" s="818">
        <v>115</v>
      </c>
      <c r="EM51" s="801">
        <f t="shared" si="166"/>
        <v>62.462000000000103</v>
      </c>
      <c r="EN51" s="65">
        <v>100</v>
      </c>
      <c r="EO51" s="818">
        <v>80</v>
      </c>
      <c r="EP51" s="806">
        <f t="shared" si="167"/>
        <v>82.462000000000103</v>
      </c>
      <c r="EQ51" s="65">
        <v>80</v>
      </c>
      <c r="ER51" s="818">
        <v>75</v>
      </c>
      <c r="ES51" s="806">
        <f t="shared" si="168"/>
        <v>87.462000000000103</v>
      </c>
      <c r="ET51" s="65">
        <v>80</v>
      </c>
      <c r="EU51" s="818">
        <v>75</v>
      </c>
      <c r="EV51" s="744">
        <f t="shared" si="169"/>
        <v>92.462000000000103</v>
      </c>
      <c r="EW51" s="65">
        <v>70</v>
      </c>
      <c r="EX51" s="818">
        <v>68</v>
      </c>
      <c r="EY51" s="744">
        <f t="shared" si="170"/>
        <v>94.462000000000103</v>
      </c>
    </row>
    <row r="52" spans="1:155" ht="19.5">
      <c r="A52" s="183"/>
      <c r="B52" s="184"/>
      <c r="C52" s="125">
        <v>100142904</v>
      </c>
      <c r="D52" s="62" t="s">
        <v>48</v>
      </c>
      <c r="E52" s="63">
        <v>75.605940000000004</v>
      </c>
      <c r="F52" s="64">
        <v>106.456</v>
      </c>
      <c r="G52" s="65">
        <v>79.906000000000006</v>
      </c>
      <c r="H52" s="63">
        <f t="shared" si="129"/>
        <v>102.15593999999999</v>
      </c>
      <c r="I52" s="64">
        <v>30.3</v>
      </c>
      <c r="J52" s="65">
        <v>39.174999999999997</v>
      </c>
      <c r="K52" s="63">
        <f>(H52+I52)-(J52)</f>
        <v>93.280940000000001</v>
      </c>
      <c r="L52" s="64">
        <v>98.634</v>
      </c>
      <c r="M52" s="65">
        <v>59.253999999999998</v>
      </c>
      <c r="N52" s="63">
        <f t="shared" si="130"/>
        <v>132.66094000000001</v>
      </c>
      <c r="O52" s="64">
        <v>0</v>
      </c>
      <c r="P52" s="65">
        <v>52.756</v>
      </c>
      <c r="Q52" s="63">
        <f t="shared" si="131"/>
        <v>79.904940000000011</v>
      </c>
      <c r="R52" s="64">
        <v>15.1</v>
      </c>
      <c r="S52" s="65">
        <v>32.35</v>
      </c>
      <c r="T52" s="63">
        <f t="shared" si="132"/>
        <v>62.654940000000003</v>
      </c>
      <c r="U52" s="64">
        <v>119.81100000000001</v>
      </c>
      <c r="V52" s="65">
        <v>79.716999999999999</v>
      </c>
      <c r="W52" s="63">
        <f t="shared" si="133"/>
        <v>102.74894000000002</v>
      </c>
      <c r="X52" s="64">
        <v>109.57</v>
      </c>
      <c r="Y52" s="65">
        <v>134.184</v>
      </c>
      <c r="Z52" s="63">
        <f t="shared" si="134"/>
        <v>78.13494</v>
      </c>
      <c r="AA52" s="64">
        <v>80</v>
      </c>
      <c r="AB52" s="65">
        <v>81.150000000000006</v>
      </c>
      <c r="AC52" s="63">
        <f t="shared" si="135"/>
        <v>76.984939999999995</v>
      </c>
      <c r="AD52" s="64">
        <v>69.78</v>
      </c>
      <c r="AE52" s="65">
        <v>84.88</v>
      </c>
      <c r="AF52" s="63">
        <v>62.36</v>
      </c>
      <c r="AG52" s="64">
        <v>73.099999999999994</v>
      </c>
      <c r="AH52" s="65">
        <v>84.204999999999998</v>
      </c>
      <c r="AI52" s="63">
        <f t="shared" si="136"/>
        <v>51.254999999999981</v>
      </c>
      <c r="AJ52" s="64">
        <v>101.65</v>
      </c>
      <c r="AK52" s="65">
        <v>46.075000000000003</v>
      </c>
      <c r="AL52" s="63">
        <f t="shared" si="137"/>
        <v>106.82999999999997</v>
      </c>
      <c r="AM52" s="64">
        <v>3.25</v>
      </c>
      <c r="AN52" s="65">
        <v>36.950000000000003</v>
      </c>
      <c r="AO52" s="63">
        <f t="shared" si="138"/>
        <v>73.129999999999967</v>
      </c>
      <c r="AP52" s="64">
        <v>102.206</v>
      </c>
      <c r="AQ52" s="65">
        <v>27.581</v>
      </c>
      <c r="AR52" s="63">
        <f>(AO52+AP52)-(AQ52)</f>
        <v>147.75499999999997</v>
      </c>
      <c r="AS52" s="64">
        <v>39.875</v>
      </c>
      <c r="AT52" s="65">
        <v>47.5</v>
      </c>
      <c r="AU52" s="63">
        <f t="shared" si="139"/>
        <v>140.12999999999997</v>
      </c>
      <c r="AV52" s="64">
        <v>16</v>
      </c>
      <c r="AW52" s="65">
        <v>62.646999999999998</v>
      </c>
      <c r="AX52" s="63">
        <f t="shared" si="140"/>
        <v>93.482999999999976</v>
      </c>
      <c r="AY52" s="64">
        <v>102.712</v>
      </c>
      <c r="AZ52" s="65">
        <v>80.564999999999998</v>
      </c>
      <c r="BA52" s="63">
        <f t="shared" si="141"/>
        <v>115.63</v>
      </c>
      <c r="BB52" s="64">
        <v>-0.4</v>
      </c>
      <c r="BC52" s="65">
        <v>35.299999999999997</v>
      </c>
      <c r="BD52" s="63">
        <f>(BA52+BB52)-(BC52)</f>
        <v>79.929999999999993</v>
      </c>
      <c r="BE52" s="64">
        <v>17.350000000000001</v>
      </c>
      <c r="BF52" s="65">
        <v>56.875</v>
      </c>
      <c r="BG52" s="63">
        <f>(BD52+BE52)-(BF52)</f>
        <v>40.405000000000001</v>
      </c>
      <c r="BH52" s="64">
        <v>14.862</v>
      </c>
      <c r="BI52" s="65">
        <v>17.312000000000001</v>
      </c>
      <c r="BJ52" s="63">
        <f t="shared" si="142"/>
        <v>37.954999999999998</v>
      </c>
      <c r="BK52" s="64">
        <v>-1</v>
      </c>
      <c r="BL52" s="65">
        <v>17.225000000000001</v>
      </c>
      <c r="BM52" s="63">
        <f t="shared" si="143"/>
        <v>19.729999999999997</v>
      </c>
      <c r="BN52" s="64">
        <v>107.6</v>
      </c>
      <c r="BO52" s="65">
        <v>28.6</v>
      </c>
      <c r="BP52" s="63">
        <v>115.95</v>
      </c>
      <c r="BQ52" s="64">
        <v>51.7</v>
      </c>
      <c r="BR52" s="65">
        <v>43.45</v>
      </c>
      <c r="BS52" s="63">
        <f t="shared" si="144"/>
        <v>124.2</v>
      </c>
      <c r="BT52" s="64">
        <v>23.099</v>
      </c>
      <c r="BU52" s="65">
        <v>35.274999999999999</v>
      </c>
      <c r="BV52" s="63">
        <f t="shared" si="145"/>
        <v>112.024</v>
      </c>
      <c r="BW52" s="64">
        <v>137.81200000000001</v>
      </c>
      <c r="BX52" s="65">
        <v>102.736</v>
      </c>
      <c r="BY52" s="63">
        <f t="shared" si="146"/>
        <v>147.10000000000002</v>
      </c>
      <c r="BZ52" s="64">
        <v>76.2</v>
      </c>
      <c r="CA52" s="65">
        <v>57.024999999999999</v>
      </c>
      <c r="CB52" s="63">
        <f t="shared" si="147"/>
        <v>166.27500000000001</v>
      </c>
      <c r="CC52" s="64">
        <v>131.65299999999999</v>
      </c>
      <c r="CD52" s="65">
        <v>66.052999999999997</v>
      </c>
      <c r="CE52" s="63">
        <f t="shared" si="148"/>
        <v>231.875</v>
      </c>
      <c r="CF52" s="64">
        <v>73.349999999999994</v>
      </c>
      <c r="CG52" s="65">
        <v>91.525000000000006</v>
      </c>
      <c r="CH52" s="63">
        <f t="shared" si="149"/>
        <v>213.70000000000002</v>
      </c>
      <c r="CI52" s="64">
        <v>130</v>
      </c>
      <c r="CJ52" s="65">
        <v>129.6</v>
      </c>
      <c r="CK52" s="69">
        <f t="shared" si="150"/>
        <v>214.10000000000005</v>
      </c>
      <c r="CL52" s="70">
        <v>115.7</v>
      </c>
      <c r="CM52" s="71">
        <v>183.33</v>
      </c>
      <c r="CN52" s="63">
        <f>(CK52+CL52)-(CM52)</f>
        <v>146.47000000000006</v>
      </c>
      <c r="CO52" s="64">
        <v>132.30000000000001</v>
      </c>
      <c r="CP52" s="65">
        <v>132.30000000000001</v>
      </c>
      <c r="CQ52" s="63">
        <f t="shared" si="151"/>
        <v>146.47000000000008</v>
      </c>
      <c r="CR52" s="64">
        <v>147.69999999999999</v>
      </c>
      <c r="CS52" s="65">
        <v>144.9</v>
      </c>
      <c r="CT52" s="69">
        <f t="shared" si="152"/>
        <v>149.27000000000007</v>
      </c>
      <c r="CU52" s="81">
        <v>105.003</v>
      </c>
      <c r="CV52" s="65">
        <v>105.15300000000001</v>
      </c>
      <c r="CW52" s="63">
        <f t="shared" si="153"/>
        <v>149.12000000000006</v>
      </c>
      <c r="CX52" s="64">
        <v>159.22</v>
      </c>
      <c r="CY52" s="65">
        <v>184.262</v>
      </c>
      <c r="CZ52" s="63">
        <f>(CW52+CX52)-(CY52)</f>
        <v>124.07800000000003</v>
      </c>
      <c r="DA52" s="64">
        <v>139.55000000000001</v>
      </c>
      <c r="DB52" s="65">
        <v>141.608</v>
      </c>
      <c r="DC52" s="63">
        <f t="shared" si="154"/>
        <v>122.02000000000004</v>
      </c>
      <c r="DD52" s="64">
        <v>206.8</v>
      </c>
      <c r="DE52" s="65">
        <v>182.2</v>
      </c>
      <c r="DF52" s="63">
        <f t="shared" si="155"/>
        <v>146.62000000000006</v>
      </c>
      <c r="DG52" s="64">
        <v>177.26300000000001</v>
      </c>
      <c r="DH52" s="65">
        <v>116.813</v>
      </c>
      <c r="DI52" s="63">
        <f t="shared" si="156"/>
        <v>207.07000000000005</v>
      </c>
      <c r="DJ52" s="64">
        <v>130.006</v>
      </c>
      <c r="DK52" s="65">
        <v>54.081000000000003</v>
      </c>
      <c r="DL52" s="63">
        <f t="shared" si="157"/>
        <v>282.995</v>
      </c>
      <c r="DM52" s="64">
        <v>81.849999999999994</v>
      </c>
      <c r="DN52" s="65">
        <v>54.975000000000001</v>
      </c>
      <c r="DO52" s="63">
        <f t="shared" si="158"/>
        <v>309.87</v>
      </c>
      <c r="DP52" s="64">
        <v>86.463999999999999</v>
      </c>
      <c r="DQ52" s="65">
        <v>62.831000000000003</v>
      </c>
      <c r="DR52" s="63">
        <f t="shared" si="159"/>
        <v>333.50299999999999</v>
      </c>
      <c r="DS52" s="64">
        <v>0</v>
      </c>
      <c r="DT52" s="65">
        <v>45.258000000000003</v>
      </c>
      <c r="DU52" s="63">
        <f t="shared" si="160"/>
        <v>288.245</v>
      </c>
      <c r="DV52" s="64">
        <v>0</v>
      </c>
      <c r="DW52" s="65">
        <v>58.575000000000003</v>
      </c>
      <c r="DX52" s="744">
        <f t="shared" si="161"/>
        <v>229.67000000000002</v>
      </c>
      <c r="DY52" s="64">
        <v>105.51600000000001</v>
      </c>
      <c r="DZ52" s="65">
        <v>62.165999999999997</v>
      </c>
      <c r="EA52" s="801">
        <f t="shared" si="162"/>
        <v>273.02000000000004</v>
      </c>
      <c r="EB52" s="64">
        <v>50.15</v>
      </c>
      <c r="EC52" s="65">
        <v>79.346999999999994</v>
      </c>
      <c r="ED52" s="801">
        <f t="shared" si="163"/>
        <v>243.82300000000004</v>
      </c>
      <c r="EE52" s="64">
        <v>0</v>
      </c>
      <c r="EF52" s="65">
        <v>56.853000000000002</v>
      </c>
      <c r="EG52" s="744">
        <f t="shared" si="164"/>
        <v>186.97000000000003</v>
      </c>
      <c r="EH52" s="64">
        <v>0</v>
      </c>
      <c r="EI52" s="818">
        <v>72</v>
      </c>
      <c r="EJ52" s="801">
        <f t="shared" si="165"/>
        <v>114.97000000000003</v>
      </c>
      <c r="EK52" s="64">
        <v>50</v>
      </c>
      <c r="EL52" s="818">
        <v>60</v>
      </c>
      <c r="EM52" s="801">
        <f t="shared" si="166"/>
        <v>104.97000000000003</v>
      </c>
      <c r="EN52" s="64">
        <v>80</v>
      </c>
      <c r="EO52" s="818">
        <v>90</v>
      </c>
      <c r="EP52" s="806">
        <f t="shared" si="167"/>
        <v>94.970000000000027</v>
      </c>
      <c r="EQ52" s="64">
        <v>50</v>
      </c>
      <c r="ER52" s="818">
        <v>81</v>
      </c>
      <c r="ES52" s="806">
        <f t="shared" si="168"/>
        <v>63.970000000000027</v>
      </c>
      <c r="ET52" s="64">
        <v>70</v>
      </c>
      <c r="EU52" s="818">
        <v>74</v>
      </c>
      <c r="EV52" s="744">
        <f t="shared" si="169"/>
        <v>59.970000000000027</v>
      </c>
      <c r="EW52" s="64">
        <v>70</v>
      </c>
      <c r="EX52" s="818">
        <v>70</v>
      </c>
      <c r="EY52" s="744">
        <f t="shared" si="170"/>
        <v>59.970000000000027</v>
      </c>
    </row>
    <row r="53" spans="1:155" ht="19.5">
      <c r="A53" s="183"/>
      <c r="B53" s="184"/>
      <c r="C53" s="192">
        <v>100142895</v>
      </c>
      <c r="D53" s="62" t="s">
        <v>35</v>
      </c>
      <c r="E53" s="63">
        <v>0</v>
      </c>
      <c r="F53" s="64">
        <v>0</v>
      </c>
      <c r="G53" s="65">
        <v>0</v>
      </c>
      <c r="H53" s="63">
        <f t="shared" si="129"/>
        <v>0</v>
      </c>
      <c r="I53" s="64">
        <v>0</v>
      </c>
      <c r="J53" s="65">
        <v>0</v>
      </c>
      <c r="K53" s="63">
        <f>(H53+I53)-(J53)</f>
        <v>0</v>
      </c>
      <c r="L53" s="64">
        <v>0</v>
      </c>
      <c r="M53" s="65">
        <v>0</v>
      </c>
      <c r="N53" s="63">
        <f t="shared" si="130"/>
        <v>0</v>
      </c>
      <c r="O53" s="64">
        <v>0</v>
      </c>
      <c r="P53" s="65">
        <v>0</v>
      </c>
      <c r="Q53" s="63">
        <f t="shared" si="131"/>
        <v>0</v>
      </c>
      <c r="R53" s="64">
        <v>0</v>
      </c>
      <c r="S53" s="65">
        <v>0</v>
      </c>
      <c r="T53" s="63">
        <f t="shared" si="132"/>
        <v>0</v>
      </c>
      <c r="U53" s="64">
        <v>0</v>
      </c>
      <c r="V53" s="65">
        <v>0</v>
      </c>
      <c r="W53" s="63">
        <f t="shared" si="133"/>
        <v>0</v>
      </c>
      <c r="X53" s="64">
        <v>0</v>
      </c>
      <c r="Y53" s="65">
        <v>0</v>
      </c>
      <c r="Z53" s="63">
        <f t="shared" si="134"/>
        <v>0</v>
      </c>
      <c r="AA53" s="64">
        <v>0</v>
      </c>
      <c r="AB53" s="65">
        <v>0</v>
      </c>
      <c r="AC53" s="63">
        <f t="shared" si="135"/>
        <v>0</v>
      </c>
      <c r="AD53" s="64">
        <v>0</v>
      </c>
      <c r="AE53" s="65">
        <v>0</v>
      </c>
      <c r="AF53" s="63">
        <f>(AC53+AD53)-(AE53)</f>
        <v>0</v>
      </c>
      <c r="AG53" s="64">
        <v>0.3</v>
      </c>
      <c r="AH53" s="65">
        <v>0</v>
      </c>
      <c r="AI53" s="63">
        <f t="shared" si="136"/>
        <v>0.3</v>
      </c>
      <c r="AJ53" s="64">
        <v>0</v>
      </c>
      <c r="AK53" s="65">
        <v>0</v>
      </c>
      <c r="AL53" s="63">
        <f t="shared" si="137"/>
        <v>0.3</v>
      </c>
      <c r="AM53" s="64">
        <v>7.3090000000000002</v>
      </c>
      <c r="AN53" s="65">
        <v>0</v>
      </c>
      <c r="AO53" s="63">
        <f t="shared" si="138"/>
        <v>7.609</v>
      </c>
      <c r="AP53" s="64">
        <v>90.4</v>
      </c>
      <c r="AQ53" s="65">
        <v>29.033999999999999</v>
      </c>
      <c r="AR53" s="63">
        <f>(AO53+AP53)-(AQ53)</f>
        <v>68.974999999999994</v>
      </c>
      <c r="AS53" s="64">
        <v>101.206</v>
      </c>
      <c r="AT53" s="65">
        <v>80.355999999999995</v>
      </c>
      <c r="AU53" s="63">
        <f t="shared" si="139"/>
        <v>89.824999999999989</v>
      </c>
      <c r="AV53" s="64">
        <v>76.224999999999994</v>
      </c>
      <c r="AW53" s="65">
        <v>76.322999999999993</v>
      </c>
      <c r="AX53" s="63">
        <f t="shared" si="140"/>
        <v>89.72699999999999</v>
      </c>
      <c r="AY53" s="64">
        <v>138.49100000000001</v>
      </c>
      <c r="AZ53" s="65">
        <v>90.962000000000003</v>
      </c>
      <c r="BA53" s="63">
        <f t="shared" si="141"/>
        <v>137.25600000000003</v>
      </c>
      <c r="BB53" s="64">
        <v>102.48099999999999</v>
      </c>
      <c r="BC53" s="65">
        <v>102.712</v>
      </c>
      <c r="BD53" s="63">
        <f>(BA53+BB53)-(BC53)</f>
        <v>137.02500000000003</v>
      </c>
      <c r="BE53" s="64">
        <v>145.10599999999999</v>
      </c>
      <c r="BF53" s="65">
        <v>82.206000000000003</v>
      </c>
      <c r="BG53" s="63">
        <f>(BD53+BE53)-(BF53)</f>
        <v>199.92500000000001</v>
      </c>
      <c r="BH53" s="64">
        <v>-0.29399999999999998</v>
      </c>
      <c r="BI53" s="65">
        <v>70.055999999999997</v>
      </c>
      <c r="BJ53" s="63">
        <f t="shared" si="142"/>
        <v>129.57499999999999</v>
      </c>
      <c r="BK53" s="64">
        <v>136.65</v>
      </c>
      <c r="BL53" s="65">
        <v>85.75</v>
      </c>
      <c r="BM53" s="63">
        <f t="shared" si="143"/>
        <v>180.47500000000002</v>
      </c>
      <c r="BN53" s="64">
        <v>88.15</v>
      </c>
      <c r="BO53" s="65">
        <v>49.75</v>
      </c>
      <c r="BP53" s="63">
        <v>218.6</v>
      </c>
      <c r="BQ53" s="64">
        <v>66.3</v>
      </c>
      <c r="BR53" s="65">
        <v>67.099999999999994</v>
      </c>
      <c r="BS53" s="63">
        <f t="shared" si="144"/>
        <v>217.79999999999998</v>
      </c>
      <c r="BT53" s="64">
        <v>99.528000000000006</v>
      </c>
      <c r="BU53" s="65">
        <v>78.927999999999997</v>
      </c>
      <c r="BV53" s="63">
        <f t="shared" si="145"/>
        <v>238.39999999999998</v>
      </c>
      <c r="BW53" s="64">
        <v>65.055999999999997</v>
      </c>
      <c r="BX53" s="65">
        <v>99.555999999999997</v>
      </c>
      <c r="BY53" s="63">
        <f t="shared" si="146"/>
        <v>203.89999999999998</v>
      </c>
      <c r="BZ53" s="64">
        <v>152.4</v>
      </c>
      <c r="CA53" s="65">
        <v>109.85</v>
      </c>
      <c r="CB53" s="63">
        <f t="shared" si="147"/>
        <v>246.44999999999996</v>
      </c>
      <c r="CC53" s="64">
        <v>109.05</v>
      </c>
      <c r="CD53" s="65">
        <v>137.6</v>
      </c>
      <c r="CE53" s="63">
        <f t="shared" si="148"/>
        <v>217.89999999999995</v>
      </c>
      <c r="CF53" s="64">
        <v>5.25</v>
      </c>
      <c r="CG53" s="65">
        <v>122.4</v>
      </c>
      <c r="CH53" s="63">
        <f t="shared" si="149"/>
        <v>100.74999999999994</v>
      </c>
      <c r="CI53" s="64">
        <v>49.3</v>
      </c>
      <c r="CJ53" s="65">
        <v>69.3</v>
      </c>
      <c r="CK53" s="69">
        <f t="shared" si="150"/>
        <v>80.749999999999957</v>
      </c>
      <c r="CL53" s="70">
        <v>73.55</v>
      </c>
      <c r="CM53" s="71">
        <v>18.899999999999999</v>
      </c>
      <c r="CN53" s="63">
        <f>(CK53+CL53)-(CM53)</f>
        <v>135.39999999999995</v>
      </c>
      <c r="CO53" s="64">
        <v>54.95</v>
      </c>
      <c r="CP53" s="65">
        <v>96.3</v>
      </c>
      <c r="CQ53" s="63">
        <f t="shared" si="151"/>
        <v>94.049999999999969</v>
      </c>
      <c r="CR53" s="64">
        <v>66.3</v>
      </c>
      <c r="CS53" s="65">
        <v>31.4</v>
      </c>
      <c r="CT53" s="69">
        <f t="shared" si="152"/>
        <v>128.94999999999996</v>
      </c>
      <c r="CU53" s="81">
        <v>107.10299999999999</v>
      </c>
      <c r="CV53" s="65">
        <v>50.405999999999999</v>
      </c>
      <c r="CW53" s="63">
        <f t="shared" si="153"/>
        <v>185.64699999999993</v>
      </c>
      <c r="CX53" s="64">
        <v>100.35</v>
      </c>
      <c r="CY53" s="65">
        <v>46.75</v>
      </c>
      <c r="CZ53" s="63">
        <f>(CW53+CX53)-(CY53)</f>
        <v>239.24699999999996</v>
      </c>
      <c r="DA53" s="64">
        <v>94.709000000000003</v>
      </c>
      <c r="DB53" s="65">
        <v>24.443999999999999</v>
      </c>
      <c r="DC53" s="63">
        <f t="shared" si="154"/>
        <v>309.51199999999994</v>
      </c>
      <c r="DD53" s="64">
        <v>99.128</v>
      </c>
      <c r="DE53" s="65">
        <v>150.04</v>
      </c>
      <c r="DF53" s="63">
        <f t="shared" si="155"/>
        <v>258.59999999999991</v>
      </c>
      <c r="DG53" s="64">
        <v>82.8</v>
      </c>
      <c r="DH53" s="65">
        <v>114.2</v>
      </c>
      <c r="DI53" s="63">
        <f t="shared" si="156"/>
        <v>227.19999999999993</v>
      </c>
      <c r="DJ53" s="64">
        <v>120.706</v>
      </c>
      <c r="DK53" s="65">
        <v>127.956</v>
      </c>
      <c r="DL53" s="63">
        <f t="shared" si="157"/>
        <v>219.94999999999993</v>
      </c>
      <c r="DM53" s="64">
        <v>129.80000000000001</v>
      </c>
      <c r="DN53" s="65">
        <v>35.674999999999997</v>
      </c>
      <c r="DO53" s="63">
        <f t="shared" si="158"/>
        <v>314.07499999999993</v>
      </c>
      <c r="DP53" s="64">
        <v>70.8</v>
      </c>
      <c r="DQ53" s="65">
        <v>45.424999999999997</v>
      </c>
      <c r="DR53" s="63">
        <f t="shared" si="159"/>
        <v>339.44999999999993</v>
      </c>
      <c r="DS53" s="64">
        <v>30.9</v>
      </c>
      <c r="DT53" s="65">
        <v>2.7</v>
      </c>
      <c r="DU53" s="63">
        <f>(DR53+DS53)-(DT53)</f>
        <v>367.64999999999992</v>
      </c>
      <c r="DV53" s="64">
        <v>0</v>
      </c>
      <c r="DW53" s="65">
        <v>100.2</v>
      </c>
      <c r="DX53" s="744">
        <f>(DU53+DV53)-(DW53)-(DW55)</f>
        <v>267.44999999999993</v>
      </c>
      <c r="DY53" s="64">
        <v>100</v>
      </c>
      <c r="DZ53" s="65">
        <v>58.075000000000003</v>
      </c>
      <c r="EA53" s="801">
        <f t="shared" si="162"/>
        <v>309.37499999999994</v>
      </c>
      <c r="EB53" s="64">
        <v>0.8</v>
      </c>
      <c r="EC53" s="65">
        <v>15.074999999999999</v>
      </c>
      <c r="ED53" s="801">
        <f>(EA53+EB53)-(EC53)-EC55</f>
        <v>263.59999999999997</v>
      </c>
      <c r="EE53" s="64">
        <v>0</v>
      </c>
      <c r="EF53" s="65">
        <v>65.474999999999994</v>
      </c>
      <c r="EG53" s="744">
        <f>ED53+EE53-EF53-EF55</f>
        <v>135.12499999999997</v>
      </c>
      <c r="EH53" s="64">
        <v>80</v>
      </c>
      <c r="EI53" s="818">
        <v>69</v>
      </c>
      <c r="EJ53" s="801">
        <f>EG53+EH53-EI53-EI55</f>
        <v>146.12499999999997</v>
      </c>
      <c r="EK53" s="64">
        <v>80</v>
      </c>
      <c r="EL53" s="818">
        <v>62</v>
      </c>
      <c r="EM53" s="801">
        <f t="shared" si="166"/>
        <v>164.12499999999997</v>
      </c>
      <c r="EN53" s="64">
        <v>80</v>
      </c>
      <c r="EO53" s="818">
        <v>71</v>
      </c>
      <c r="EP53" s="806">
        <f t="shared" si="167"/>
        <v>173.12499999999997</v>
      </c>
      <c r="EQ53" s="64">
        <v>50</v>
      </c>
      <c r="ER53" s="818">
        <v>94</v>
      </c>
      <c r="ES53" s="806">
        <f t="shared" si="168"/>
        <v>129.12499999999997</v>
      </c>
      <c r="ET53" s="64">
        <v>70</v>
      </c>
      <c r="EU53" s="818">
        <v>83</v>
      </c>
      <c r="EV53" s="744">
        <f t="shared" si="169"/>
        <v>116.12499999999997</v>
      </c>
      <c r="EW53" s="64">
        <v>70</v>
      </c>
      <c r="EX53" s="65">
        <v>83</v>
      </c>
      <c r="EY53" s="744">
        <f t="shared" si="170"/>
        <v>103.12499999999997</v>
      </c>
    </row>
    <row r="54" spans="1:155" ht="19.5">
      <c r="A54" s="183"/>
      <c r="B54" s="184"/>
      <c r="C54" s="125"/>
      <c r="D54" s="62" t="s">
        <v>49</v>
      </c>
      <c r="E54" s="63">
        <v>213.16</v>
      </c>
      <c r="F54" s="64">
        <v>135</v>
      </c>
      <c r="G54" s="65">
        <v>149.52500000000001</v>
      </c>
      <c r="H54" s="63">
        <f t="shared" si="129"/>
        <v>198.63499999999996</v>
      </c>
      <c r="I54" s="64">
        <v>101.35</v>
      </c>
      <c r="J54" s="65">
        <v>172.041</v>
      </c>
      <c r="K54" s="63">
        <f>(H54+I54)-(J54)</f>
        <v>127.94399999999996</v>
      </c>
      <c r="L54" s="64">
        <v>71.564999999999998</v>
      </c>
      <c r="M54" s="65">
        <v>110.215</v>
      </c>
      <c r="N54" s="63">
        <f t="shared" si="130"/>
        <v>89.293999999999954</v>
      </c>
      <c r="O54" s="64">
        <v>130.078</v>
      </c>
      <c r="P54" s="65">
        <v>132.62799999999999</v>
      </c>
      <c r="Q54" s="63">
        <f t="shared" si="131"/>
        <v>86.743999999999971</v>
      </c>
      <c r="R54" s="64">
        <v>186.11099999999999</v>
      </c>
      <c r="S54" s="65">
        <v>103.256</v>
      </c>
      <c r="T54" s="63">
        <f t="shared" si="132"/>
        <v>169.59899999999996</v>
      </c>
      <c r="U54" s="64">
        <v>100.485</v>
      </c>
      <c r="V54" s="65">
        <v>119.026</v>
      </c>
      <c r="W54" s="63">
        <f t="shared" si="133"/>
        <v>151.05799999999994</v>
      </c>
      <c r="X54" s="64">
        <v>95.164000000000001</v>
      </c>
      <c r="Y54" s="65">
        <v>118.72799999999999</v>
      </c>
      <c r="Z54" s="63">
        <f t="shared" si="134"/>
        <v>127.49399999999993</v>
      </c>
      <c r="AA54" s="64">
        <v>73.131</v>
      </c>
      <c r="AB54" s="65">
        <v>119.831</v>
      </c>
      <c r="AC54" s="63">
        <f t="shared" si="135"/>
        <v>80.79399999999994</v>
      </c>
      <c r="AD54" s="64">
        <v>157.41999999999999</v>
      </c>
      <c r="AE54" s="65">
        <v>143.5</v>
      </c>
      <c r="AF54" s="63">
        <v>95.68</v>
      </c>
      <c r="AG54" s="64">
        <v>166.33</v>
      </c>
      <c r="AH54" s="65">
        <v>150.11500000000001</v>
      </c>
      <c r="AI54" s="63">
        <f t="shared" si="136"/>
        <v>111.89499999999998</v>
      </c>
      <c r="AJ54" s="64">
        <v>25.905999999999999</v>
      </c>
      <c r="AK54" s="65">
        <v>95.180999999999997</v>
      </c>
      <c r="AL54" s="63">
        <f t="shared" si="137"/>
        <v>42.61999999999999</v>
      </c>
      <c r="AM54" s="64">
        <v>0.3</v>
      </c>
      <c r="AN54" s="65">
        <v>19.859000000000002</v>
      </c>
      <c r="AO54" s="63">
        <f t="shared" si="138"/>
        <v>23.060999999999986</v>
      </c>
      <c r="AP54" s="64">
        <v>0.2</v>
      </c>
      <c r="AQ54" s="65">
        <v>3.4910000000000001</v>
      </c>
      <c r="AR54" s="63">
        <f>(AO54+AP54)-(AQ54)</f>
        <v>19.769999999999985</v>
      </c>
      <c r="AS54" s="64">
        <v>-15.725</v>
      </c>
      <c r="AT54" s="65">
        <v>0</v>
      </c>
      <c r="AU54" s="63">
        <f t="shared" si="139"/>
        <v>4.0449999999999857</v>
      </c>
      <c r="AV54" s="64">
        <v>0.105</v>
      </c>
      <c r="AW54" s="65">
        <v>2.1800000000000002</v>
      </c>
      <c r="AX54" s="63">
        <f t="shared" si="140"/>
        <v>1.969999999999986</v>
      </c>
      <c r="AY54" s="64">
        <v>0</v>
      </c>
      <c r="AZ54" s="65">
        <v>0</v>
      </c>
      <c r="BA54" s="63">
        <f t="shared" si="141"/>
        <v>1.969999999999986</v>
      </c>
      <c r="BB54" s="64">
        <v>-0.05</v>
      </c>
      <c r="BC54" s="65">
        <v>0</v>
      </c>
      <c r="BD54" s="63">
        <f>(BA54+BB54)-(BC54)</f>
        <v>1.9199999999999859</v>
      </c>
      <c r="BE54" s="64">
        <v>-0.05</v>
      </c>
      <c r="BF54" s="65">
        <v>0</v>
      </c>
      <c r="BG54" s="63">
        <f>(BD54+BE54)-(BF54)</f>
        <v>1.8699999999999859</v>
      </c>
      <c r="BH54" s="64">
        <v>0</v>
      </c>
      <c r="BI54" s="65">
        <v>0</v>
      </c>
      <c r="BJ54" s="63">
        <f t="shared" si="142"/>
        <v>1.8699999999999859</v>
      </c>
      <c r="BK54" s="64">
        <v>1.8</v>
      </c>
      <c r="BL54" s="65">
        <v>0</v>
      </c>
      <c r="BM54" s="63">
        <f t="shared" si="143"/>
        <v>3.6699999999999857</v>
      </c>
      <c r="BN54" s="64">
        <v>0</v>
      </c>
      <c r="BO54" s="65">
        <v>0</v>
      </c>
      <c r="BP54" s="63">
        <f>(BM54+BN54)-(BO54)</f>
        <v>3.6699999999999857</v>
      </c>
      <c r="BQ54" s="64">
        <v>0</v>
      </c>
      <c r="BR54" s="65">
        <v>0</v>
      </c>
      <c r="BS54" s="63">
        <f t="shared" si="144"/>
        <v>3.6699999999999857</v>
      </c>
      <c r="BT54" s="64">
        <v>0</v>
      </c>
      <c r="BU54" s="65">
        <v>0</v>
      </c>
      <c r="BV54" s="63">
        <f t="shared" si="145"/>
        <v>3.6699999999999857</v>
      </c>
      <c r="BW54" s="64">
        <v>0</v>
      </c>
      <c r="BX54" s="65">
        <v>3.6</v>
      </c>
      <c r="BY54" s="63">
        <f t="shared" si="146"/>
        <v>6.9999999999985629E-2</v>
      </c>
      <c r="BZ54" s="64">
        <v>0</v>
      </c>
      <c r="CA54" s="65">
        <v>0</v>
      </c>
      <c r="CB54" s="63">
        <f t="shared" si="147"/>
        <v>6.9999999999985629E-2</v>
      </c>
      <c r="CC54" s="64">
        <v>0</v>
      </c>
      <c r="CD54" s="65">
        <v>0</v>
      </c>
      <c r="CE54" s="63">
        <f t="shared" si="148"/>
        <v>6.9999999999985629E-2</v>
      </c>
      <c r="CF54" s="64">
        <v>192.7</v>
      </c>
      <c r="CG54" s="65">
        <v>0</v>
      </c>
      <c r="CH54" s="63">
        <f t="shared" si="149"/>
        <v>192.76999999999998</v>
      </c>
      <c r="CI54" s="64">
        <v>86.4</v>
      </c>
      <c r="CJ54" s="65">
        <v>56.7</v>
      </c>
      <c r="CK54" s="69">
        <f t="shared" si="150"/>
        <v>222.46999999999997</v>
      </c>
      <c r="CL54" s="70">
        <v>103.7</v>
      </c>
      <c r="CM54" s="71">
        <v>79.400000000000006</v>
      </c>
      <c r="CN54" s="63">
        <f>(CK54+CL54)-(CM54)</f>
        <v>246.76999999999995</v>
      </c>
      <c r="CO54" s="64">
        <v>102.65</v>
      </c>
      <c r="CP54" s="65">
        <v>109.9</v>
      </c>
      <c r="CQ54" s="63">
        <f t="shared" si="151"/>
        <v>239.51999999999995</v>
      </c>
      <c r="CR54" s="64">
        <v>63.05</v>
      </c>
      <c r="CS54" s="65">
        <v>136.5</v>
      </c>
      <c r="CT54" s="69">
        <f t="shared" si="152"/>
        <v>166.06999999999994</v>
      </c>
      <c r="CU54" s="81">
        <v>45.155999999999999</v>
      </c>
      <c r="CV54" s="65">
        <v>38.328000000000003</v>
      </c>
      <c r="CW54" s="63">
        <f t="shared" si="153"/>
        <v>172.89799999999994</v>
      </c>
      <c r="CX54" s="64">
        <v>10.26</v>
      </c>
      <c r="CY54" s="65">
        <v>0.11</v>
      </c>
      <c r="CZ54" s="63">
        <f>(CW54+CX54)-(CY54)</f>
        <v>183.04799999999992</v>
      </c>
      <c r="DA54" s="64">
        <v>22.7</v>
      </c>
      <c r="DB54" s="65">
        <v>100.64</v>
      </c>
      <c r="DC54" s="63">
        <f t="shared" si="154"/>
        <v>105.1079999999999</v>
      </c>
      <c r="DD54" s="64">
        <v>0</v>
      </c>
      <c r="DE54" s="65">
        <v>88.787999999999997</v>
      </c>
      <c r="DF54" s="63">
        <f t="shared" si="155"/>
        <v>16.319999999999908</v>
      </c>
      <c r="DG54" s="64">
        <v>2.95</v>
      </c>
      <c r="DH54" s="65">
        <v>10.5</v>
      </c>
      <c r="DI54" s="63">
        <f t="shared" si="156"/>
        <v>8.7699999999999072</v>
      </c>
      <c r="DJ54" s="64">
        <v>82.15</v>
      </c>
      <c r="DK54" s="65">
        <v>0</v>
      </c>
      <c r="DL54" s="63">
        <f t="shared" si="157"/>
        <v>90.919999999999916</v>
      </c>
      <c r="DM54" s="64">
        <v>109.05</v>
      </c>
      <c r="DN54" s="65">
        <v>35.700000000000003</v>
      </c>
      <c r="DO54" s="63">
        <f t="shared" si="158"/>
        <v>164.26999999999992</v>
      </c>
      <c r="DP54" s="64">
        <v>11.85</v>
      </c>
      <c r="DQ54" s="65">
        <v>5.15</v>
      </c>
      <c r="DR54" s="63">
        <f t="shared" si="159"/>
        <v>170.96999999999991</v>
      </c>
      <c r="DS54" s="64">
        <v>0</v>
      </c>
      <c r="DT54" s="65">
        <v>95.35</v>
      </c>
      <c r="DU54" s="63">
        <f>(DR54+DS54)-(DT54)-DT55</f>
        <v>71.419999999999916</v>
      </c>
      <c r="DV54" s="64">
        <v>0</v>
      </c>
      <c r="DW54" s="65">
        <v>0</v>
      </c>
      <c r="DX54" s="744">
        <f t="shared" si="161"/>
        <v>71.419999999999916</v>
      </c>
      <c r="DY54" s="64">
        <v>0</v>
      </c>
      <c r="DZ54" s="65">
        <v>0</v>
      </c>
      <c r="EA54" s="801">
        <f t="shared" si="162"/>
        <v>71.419999999999916</v>
      </c>
      <c r="EB54" s="64">
        <v>0</v>
      </c>
      <c r="EC54" s="65">
        <v>52.5</v>
      </c>
      <c r="ED54" s="801">
        <f t="shared" si="163"/>
        <v>18.919999999999916</v>
      </c>
      <c r="EE54" s="64">
        <v>0</v>
      </c>
      <c r="EF54" s="65">
        <v>0</v>
      </c>
      <c r="EG54" s="744">
        <f t="shared" si="164"/>
        <v>18.919999999999916</v>
      </c>
      <c r="EH54" s="64">
        <v>0</v>
      </c>
      <c r="EI54" s="65">
        <v>18.899999999999999</v>
      </c>
      <c r="EJ54" s="801">
        <f t="shared" si="165"/>
        <v>1.9999999999917861E-2</v>
      </c>
      <c r="EK54" s="64">
        <v>0</v>
      </c>
      <c r="EL54" s="65">
        <v>0</v>
      </c>
      <c r="EM54" s="801">
        <f t="shared" si="166"/>
        <v>1.9999999999917861E-2</v>
      </c>
      <c r="EN54" s="64">
        <v>0</v>
      </c>
      <c r="EO54" s="65">
        <v>0</v>
      </c>
      <c r="EP54" s="806">
        <f t="shared" si="167"/>
        <v>1.9999999999917861E-2</v>
      </c>
      <c r="EQ54" s="64">
        <v>0</v>
      </c>
      <c r="ER54" s="65">
        <v>0</v>
      </c>
      <c r="ES54" s="806">
        <f t="shared" si="168"/>
        <v>1.9999999999917861E-2</v>
      </c>
      <c r="ET54" s="64">
        <v>0</v>
      </c>
      <c r="EU54" s="65">
        <v>0</v>
      </c>
      <c r="EV54" s="744">
        <f t="shared" si="169"/>
        <v>1.9999999999917861E-2</v>
      </c>
      <c r="EW54" s="64">
        <v>0</v>
      </c>
      <c r="EX54" s="65">
        <v>0</v>
      </c>
      <c r="EY54" s="744">
        <f t="shared" si="170"/>
        <v>1.9999999999917861E-2</v>
      </c>
    </row>
    <row r="55" spans="1:155" ht="19.5">
      <c r="A55" s="183"/>
      <c r="B55" s="184"/>
      <c r="C55" s="193"/>
      <c r="D55" s="62" t="s">
        <v>350</v>
      </c>
      <c r="E55" s="194"/>
      <c r="F55" s="195"/>
      <c r="G55" s="196"/>
      <c r="H55" s="194"/>
      <c r="I55" s="195"/>
      <c r="J55" s="196"/>
      <c r="K55" s="194"/>
      <c r="L55" s="195"/>
      <c r="M55" s="196"/>
      <c r="N55" s="194"/>
      <c r="O55" s="195"/>
      <c r="P55" s="196"/>
      <c r="Q55" s="194"/>
      <c r="R55" s="195"/>
      <c r="S55" s="196"/>
      <c r="T55" s="194"/>
      <c r="U55" s="195"/>
      <c r="V55" s="196"/>
      <c r="W55" s="194"/>
      <c r="X55" s="195"/>
      <c r="Y55" s="196"/>
      <c r="Z55" s="194"/>
      <c r="AA55" s="195"/>
      <c r="AB55" s="196"/>
      <c r="AC55" s="194"/>
      <c r="AD55" s="195"/>
      <c r="AE55" s="196"/>
      <c r="AF55" s="194"/>
      <c r="AG55" s="195"/>
      <c r="AH55" s="196"/>
      <c r="AI55" s="194"/>
      <c r="AJ55" s="195"/>
      <c r="AK55" s="196"/>
      <c r="AL55" s="194"/>
      <c r="AM55" s="195"/>
      <c r="AN55" s="196"/>
      <c r="AO55" s="194"/>
      <c r="AP55" s="195"/>
      <c r="AQ55" s="196"/>
      <c r="AR55" s="194"/>
      <c r="AS55" s="195"/>
      <c r="AT55" s="196"/>
      <c r="AU55" s="194"/>
      <c r="AV55" s="195"/>
      <c r="AW55" s="196"/>
      <c r="AX55" s="194"/>
      <c r="AY55" s="195"/>
      <c r="AZ55" s="196"/>
      <c r="BA55" s="194"/>
      <c r="BB55" s="195"/>
      <c r="BC55" s="196"/>
      <c r="BD55" s="194"/>
      <c r="BE55" s="195"/>
      <c r="BF55" s="196"/>
      <c r="BG55" s="194"/>
      <c r="BH55" s="195"/>
      <c r="BI55" s="196"/>
      <c r="BJ55" s="194"/>
      <c r="BK55" s="195"/>
      <c r="BL55" s="196"/>
      <c r="BM55" s="194"/>
      <c r="BN55" s="195"/>
      <c r="BO55" s="196"/>
      <c r="BP55" s="194"/>
      <c r="BQ55" s="195"/>
      <c r="BR55" s="196"/>
      <c r="BS55" s="194"/>
      <c r="BT55" s="195"/>
      <c r="BU55" s="196"/>
      <c r="BV55" s="194"/>
      <c r="BW55" s="195"/>
      <c r="BX55" s="196"/>
      <c r="BY55" s="194"/>
      <c r="BZ55" s="195"/>
      <c r="CA55" s="196"/>
      <c r="CB55" s="194"/>
      <c r="CC55" s="195"/>
      <c r="CD55" s="196"/>
      <c r="CE55" s="194"/>
      <c r="CF55" s="195"/>
      <c r="CG55" s="196"/>
      <c r="CH55" s="194"/>
      <c r="CI55" s="195"/>
      <c r="CJ55" s="196"/>
      <c r="CK55" s="197"/>
      <c r="CL55" s="198"/>
      <c r="CM55" s="199"/>
      <c r="CN55" s="194">
        <v>0</v>
      </c>
      <c r="CO55" s="195"/>
      <c r="CP55" s="196"/>
      <c r="CQ55" s="194"/>
      <c r="CR55" s="195"/>
      <c r="CS55" s="196"/>
      <c r="CT55" s="197"/>
      <c r="CU55" s="200"/>
      <c r="CV55" s="196"/>
      <c r="CW55" s="194"/>
      <c r="CX55" s="195"/>
      <c r="CY55" s="196"/>
      <c r="CZ55" s="194"/>
      <c r="DA55" s="195"/>
      <c r="DB55" s="196"/>
      <c r="DC55" s="194"/>
      <c r="DD55" s="195"/>
      <c r="DE55" s="196"/>
      <c r="DF55" s="194"/>
      <c r="DG55" s="195"/>
      <c r="DH55" s="196"/>
      <c r="DI55" s="194"/>
      <c r="DJ55" s="195"/>
      <c r="DK55" s="196"/>
      <c r="DL55" s="194"/>
      <c r="DM55" s="195"/>
      <c r="DN55" s="196"/>
      <c r="DO55" s="194"/>
      <c r="DP55" s="195">
        <v>0</v>
      </c>
      <c r="DQ55" s="196">
        <v>0</v>
      </c>
      <c r="DR55" s="194">
        <v>0</v>
      </c>
      <c r="DS55" s="195">
        <v>0</v>
      </c>
      <c r="DT55" s="196">
        <v>4.2</v>
      </c>
      <c r="DU55" s="194">
        <v>0</v>
      </c>
      <c r="DV55" s="195">
        <v>0</v>
      </c>
      <c r="DW55" s="196">
        <v>0</v>
      </c>
      <c r="DX55" s="752">
        <v>0</v>
      </c>
      <c r="DY55" s="195">
        <v>0</v>
      </c>
      <c r="DZ55" s="196">
        <v>0</v>
      </c>
      <c r="EA55" s="802">
        <v>0</v>
      </c>
      <c r="EB55" s="195">
        <v>0</v>
      </c>
      <c r="EC55" s="196">
        <v>31.5</v>
      </c>
      <c r="ED55" s="802">
        <v>0</v>
      </c>
      <c r="EE55" s="195">
        <v>0</v>
      </c>
      <c r="EF55" s="196">
        <v>63</v>
      </c>
      <c r="EG55" s="752">
        <v>0</v>
      </c>
      <c r="EH55" s="195">
        <v>0</v>
      </c>
      <c r="EI55" s="196">
        <v>0</v>
      </c>
      <c r="EJ55" s="802">
        <v>0</v>
      </c>
      <c r="EK55" s="195">
        <v>0</v>
      </c>
      <c r="EL55" s="196">
        <v>0</v>
      </c>
      <c r="EM55" s="802">
        <v>0</v>
      </c>
      <c r="EN55" s="195">
        <v>0</v>
      </c>
      <c r="EO55" s="196">
        <v>0</v>
      </c>
      <c r="EP55" s="807">
        <v>0</v>
      </c>
      <c r="EQ55" s="195">
        <v>0</v>
      </c>
      <c r="ER55" s="196">
        <v>0</v>
      </c>
      <c r="ES55" s="807">
        <v>0</v>
      </c>
      <c r="ET55" s="195">
        <v>0</v>
      </c>
      <c r="EU55" s="196">
        <v>0</v>
      </c>
      <c r="EV55" s="752">
        <v>0</v>
      </c>
      <c r="EW55" s="195">
        <v>0</v>
      </c>
      <c r="EX55" s="196">
        <v>0</v>
      </c>
      <c r="EY55" s="752">
        <v>0</v>
      </c>
    </row>
    <row r="56" spans="1:155" ht="20.25" thickBot="1">
      <c r="A56" s="201"/>
      <c r="B56" s="184"/>
      <c r="C56" s="202">
        <v>100144400</v>
      </c>
      <c r="D56" s="203" t="s">
        <v>36</v>
      </c>
      <c r="E56" s="94">
        <v>471.5</v>
      </c>
      <c r="F56" s="93">
        <v>307.3</v>
      </c>
      <c r="G56" s="95">
        <v>400</v>
      </c>
      <c r="H56" s="94">
        <f t="shared" si="129"/>
        <v>378.79999999999995</v>
      </c>
      <c r="I56" s="93">
        <v>370.15</v>
      </c>
      <c r="J56" s="95">
        <v>380.35</v>
      </c>
      <c r="K56" s="94">
        <f>(H56+I56)-(J56)</f>
        <v>368.59999999999991</v>
      </c>
      <c r="L56" s="93">
        <v>285.8</v>
      </c>
      <c r="M56" s="95">
        <v>300</v>
      </c>
      <c r="N56" s="94">
        <f t="shared" si="130"/>
        <v>354.39999999999986</v>
      </c>
      <c r="O56" s="93">
        <v>264.60899999999998</v>
      </c>
      <c r="P56" s="95">
        <v>320</v>
      </c>
      <c r="Q56" s="94">
        <f t="shared" si="131"/>
        <v>299.00899999999979</v>
      </c>
      <c r="R56" s="93">
        <v>319.62</v>
      </c>
      <c r="S56" s="95">
        <v>320.02</v>
      </c>
      <c r="T56" s="94">
        <f t="shared" si="132"/>
        <v>298.60899999999981</v>
      </c>
      <c r="U56" s="93">
        <v>255.7</v>
      </c>
      <c r="V56" s="95">
        <v>240</v>
      </c>
      <c r="W56" s="94">
        <f t="shared" si="133"/>
        <v>314.30899999999974</v>
      </c>
      <c r="X56" s="93">
        <v>248.23</v>
      </c>
      <c r="Y56" s="95">
        <v>250.03</v>
      </c>
      <c r="Z56" s="94">
        <f t="shared" si="134"/>
        <v>312.50899999999979</v>
      </c>
      <c r="AA56" s="93">
        <v>180.15</v>
      </c>
      <c r="AB56" s="95">
        <v>200.35</v>
      </c>
      <c r="AC56" s="94">
        <f t="shared" si="135"/>
        <v>292.30899999999974</v>
      </c>
      <c r="AD56" s="93">
        <v>83.01</v>
      </c>
      <c r="AE56" s="95">
        <v>200</v>
      </c>
      <c r="AF56" s="94">
        <f>(AC56+AD56)-(AE56)</f>
        <v>175.31899999999973</v>
      </c>
      <c r="AG56" s="93">
        <v>202.9</v>
      </c>
      <c r="AH56" s="95">
        <v>120</v>
      </c>
      <c r="AI56" s="94">
        <f t="shared" si="136"/>
        <v>258.21899999999971</v>
      </c>
      <c r="AJ56" s="93">
        <v>80.3</v>
      </c>
      <c r="AK56" s="95">
        <v>0</v>
      </c>
      <c r="AL56" s="94">
        <f t="shared" si="137"/>
        <v>338.51899999999972</v>
      </c>
      <c r="AM56" s="93">
        <v>-0.125</v>
      </c>
      <c r="AN56" s="95">
        <v>-137.773</v>
      </c>
      <c r="AO56" s="94">
        <f t="shared" si="138"/>
        <v>476.16699999999969</v>
      </c>
      <c r="AP56" s="93">
        <v>-0.2</v>
      </c>
      <c r="AQ56" s="95">
        <v>-83.506</v>
      </c>
      <c r="AR56" s="94">
        <f>(AO56+AP56)-(AQ56)</f>
        <v>559.47299999999973</v>
      </c>
      <c r="AS56" s="93">
        <v>-0.6</v>
      </c>
      <c r="AT56" s="95">
        <v>67.506</v>
      </c>
      <c r="AU56" s="94">
        <f t="shared" si="139"/>
        <v>491.36699999999973</v>
      </c>
      <c r="AV56" s="93">
        <v>-6.9</v>
      </c>
      <c r="AW56" s="95">
        <v>60</v>
      </c>
      <c r="AX56" s="94">
        <f t="shared" si="140"/>
        <v>424.46699999999976</v>
      </c>
      <c r="AY56" s="93">
        <v>1.873</v>
      </c>
      <c r="AZ56" s="95">
        <v>219.773</v>
      </c>
      <c r="BA56" s="94">
        <f t="shared" si="141"/>
        <v>206.56699999999975</v>
      </c>
      <c r="BB56" s="93">
        <v>124.16800000000001</v>
      </c>
      <c r="BC56" s="95">
        <v>268.02100000000002</v>
      </c>
      <c r="BD56" s="94">
        <f>(BA56+BB56)-(BC56)</f>
        <v>62.713999999999771</v>
      </c>
      <c r="BE56" s="93">
        <v>273.2</v>
      </c>
      <c r="BF56" s="95">
        <v>270</v>
      </c>
      <c r="BG56" s="94">
        <f>(BD56+BE56)-(BF56)</f>
        <v>65.91399999999976</v>
      </c>
      <c r="BH56" s="93">
        <v>355.7</v>
      </c>
      <c r="BI56" s="95">
        <v>300</v>
      </c>
      <c r="BJ56" s="94">
        <f t="shared" si="142"/>
        <v>121.61399999999975</v>
      </c>
      <c r="BK56" s="93">
        <v>292.2</v>
      </c>
      <c r="BL56" s="95">
        <v>340</v>
      </c>
      <c r="BM56" s="94">
        <f t="shared" si="143"/>
        <v>73.813999999999737</v>
      </c>
      <c r="BN56" s="93">
        <v>284.8</v>
      </c>
      <c r="BO56" s="95">
        <v>300</v>
      </c>
      <c r="BP56" s="94">
        <v>58.3</v>
      </c>
      <c r="BQ56" s="93">
        <v>300.3</v>
      </c>
      <c r="BR56" s="95">
        <v>300</v>
      </c>
      <c r="BS56" s="94">
        <f t="shared" si="144"/>
        <v>58.600000000000023</v>
      </c>
      <c r="BT56" s="93">
        <v>330</v>
      </c>
      <c r="BU56" s="95">
        <v>300</v>
      </c>
      <c r="BV56" s="94">
        <f t="shared" si="145"/>
        <v>88.600000000000023</v>
      </c>
      <c r="BW56" s="93">
        <v>287.3</v>
      </c>
      <c r="BX56" s="95">
        <v>300</v>
      </c>
      <c r="BY56" s="94">
        <f t="shared" si="146"/>
        <v>75.900000000000034</v>
      </c>
      <c r="BZ56" s="93">
        <v>328.1</v>
      </c>
      <c r="CA56" s="95">
        <v>300</v>
      </c>
      <c r="CB56" s="94">
        <f t="shared" si="147"/>
        <v>104.00000000000006</v>
      </c>
      <c r="CC56" s="93">
        <v>397.9</v>
      </c>
      <c r="CD56" s="95">
        <v>280</v>
      </c>
      <c r="CE56" s="94">
        <f t="shared" si="148"/>
        <v>221.90000000000003</v>
      </c>
      <c r="CF56" s="93">
        <v>378.3</v>
      </c>
      <c r="CG56" s="95">
        <v>240</v>
      </c>
      <c r="CH56" s="94">
        <f t="shared" si="149"/>
        <v>360.20000000000005</v>
      </c>
      <c r="CI56" s="93">
        <v>393.6</v>
      </c>
      <c r="CJ56" s="95">
        <v>500</v>
      </c>
      <c r="CK56" s="96">
        <f t="shared" si="150"/>
        <v>253.80000000000007</v>
      </c>
      <c r="CL56" s="97">
        <v>378.3</v>
      </c>
      <c r="CM56" s="98">
        <f>340-80</f>
        <v>260</v>
      </c>
      <c r="CN56" s="94">
        <f>(CK56+CL56)-(CM56)</f>
        <v>372.10000000000014</v>
      </c>
      <c r="CO56" s="93">
        <v>394.39</v>
      </c>
      <c r="CP56" s="95">
        <v>520.69000000000005</v>
      </c>
      <c r="CQ56" s="94">
        <f t="shared" si="151"/>
        <v>245.80000000000007</v>
      </c>
      <c r="CR56" s="93">
        <v>348.6</v>
      </c>
      <c r="CS56" s="95">
        <v>400</v>
      </c>
      <c r="CT56" s="96">
        <f t="shared" si="152"/>
        <v>194.40000000000009</v>
      </c>
      <c r="CU56" s="99">
        <v>306.39999999999998</v>
      </c>
      <c r="CV56" s="95">
        <v>360</v>
      </c>
      <c r="CW56" s="94">
        <f t="shared" si="153"/>
        <v>140.80000000000007</v>
      </c>
      <c r="CX56" s="93">
        <v>300.39999999999998</v>
      </c>
      <c r="CY56" s="95">
        <v>120</v>
      </c>
      <c r="CZ56" s="94">
        <f>(CW56+CX56)-(CY56)</f>
        <v>321.20000000000005</v>
      </c>
      <c r="DA56" s="93">
        <v>253.1</v>
      </c>
      <c r="DB56" s="95">
        <v>200</v>
      </c>
      <c r="DC56" s="94">
        <f t="shared" si="154"/>
        <v>374.30000000000007</v>
      </c>
      <c r="DD56" s="93">
        <v>150.4</v>
      </c>
      <c r="DE56" s="95">
        <v>80</v>
      </c>
      <c r="DF56" s="94">
        <f t="shared" si="155"/>
        <v>444.70000000000005</v>
      </c>
      <c r="DG56" s="93">
        <v>100.375</v>
      </c>
      <c r="DH56" s="95">
        <v>80.075000000000003</v>
      </c>
      <c r="DI56" s="94">
        <f t="shared" si="156"/>
        <v>465.00000000000006</v>
      </c>
      <c r="DJ56" s="93">
        <v>106</v>
      </c>
      <c r="DK56" s="95">
        <v>320</v>
      </c>
      <c r="DL56" s="94">
        <f t="shared" si="157"/>
        <v>251</v>
      </c>
      <c r="DM56" s="93">
        <v>165.7</v>
      </c>
      <c r="DN56" s="95">
        <v>68</v>
      </c>
      <c r="DO56" s="94">
        <f t="shared" si="158"/>
        <v>348.7</v>
      </c>
      <c r="DP56" s="93">
        <v>101.4</v>
      </c>
      <c r="DQ56" s="95">
        <v>80</v>
      </c>
      <c r="DR56" s="94">
        <f t="shared" si="159"/>
        <v>370.1</v>
      </c>
      <c r="DS56" s="93">
        <v>50.895000000000003</v>
      </c>
      <c r="DT56" s="95">
        <v>152.79499999999999</v>
      </c>
      <c r="DU56" s="94">
        <f t="shared" si="160"/>
        <v>268.20000000000005</v>
      </c>
      <c r="DV56" s="93">
        <v>0</v>
      </c>
      <c r="DW56" s="95">
        <v>80</v>
      </c>
      <c r="DX56" s="745">
        <f t="shared" si="161"/>
        <v>188.20000000000005</v>
      </c>
      <c r="DY56" s="93">
        <v>101.10899999999999</v>
      </c>
      <c r="DZ56" s="95">
        <v>80.009</v>
      </c>
      <c r="EA56" s="803">
        <f t="shared" si="162"/>
        <v>209.3</v>
      </c>
      <c r="EB56" s="93">
        <v>80</v>
      </c>
      <c r="EC56" s="95">
        <v>100</v>
      </c>
      <c r="ED56" s="803">
        <f t="shared" si="163"/>
        <v>189.3</v>
      </c>
      <c r="EE56" s="93">
        <v>0</v>
      </c>
      <c r="EF56" s="95">
        <f>80+80</f>
        <v>160</v>
      </c>
      <c r="EG56" s="745">
        <f t="shared" si="164"/>
        <v>29.300000000000011</v>
      </c>
      <c r="EH56" s="93">
        <v>120</v>
      </c>
      <c r="EI56" s="95">
        <v>80</v>
      </c>
      <c r="EJ56" s="803">
        <f t="shared" ref="EJ56" si="171">(EG56+EH56)-(EI56)</f>
        <v>69.300000000000011</v>
      </c>
      <c r="EK56" s="93">
        <v>120</v>
      </c>
      <c r="EL56" s="820">
        <v>120</v>
      </c>
      <c r="EM56" s="803">
        <f t="shared" ref="EM56" si="172">(EJ56+EK56)-(EL56)</f>
        <v>69.300000000000011</v>
      </c>
      <c r="EN56" s="93">
        <v>120</v>
      </c>
      <c r="EO56" s="820">
        <v>120</v>
      </c>
      <c r="EP56" s="808">
        <f t="shared" ref="EP56" si="173">(EM56+EN56)-(EO56)</f>
        <v>69.300000000000011</v>
      </c>
      <c r="EQ56" s="93">
        <v>80</v>
      </c>
      <c r="ER56" s="820">
        <v>80</v>
      </c>
      <c r="ES56" s="808">
        <f t="shared" ref="ES56" si="174">(EP56+EQ56)-(ER56)</f>
        <v>69.300000000000011</v>
      </c>
      <c r="ET56" s="93">
        <v>80</v>
      </c>
      <c r="EU56" s="95">
        <v>100</v>
      </c>
      <c r="EV56" s="745">
        <f t="shared" ref="EV56" si="175">(ES56+ET56)-(EU56)</f>
        <v>49.300000000000011</v>
      </c>
      <c r="EW56" s="93">
        <v>80</v>
      </c>
      <c r="EX56" s="820">
        <v>80</v>
      </c>
      <c r="EY56" s="745">
        <f t="shared" ref="EY56" si="176">(EV56+EW56)-(EX56)</f>
        <v>49.300000000000011</v>
      </c>
    </row>
    <row r="57" spans="1:155" s="20" customFormat="1" ht="20.25" thickBot="1">
      <c r="A57" s="204"/>
      <c r="B57" s="205"/>
      <c r="C57" s="101"/>
      <c r="D57" s="206" t="s">
        <v>50</v>
      </c>
      <c r="E57" s="103">
        <v>1400.3839399999999</v>
      </c>
      <c r="F57" s="105">
        <f t="shared" ref="F57:AK57" si="177">SUM(F49:F56)</f>
        <v>1552.5119999999999</v>
      </c>
      <c r="G57" s="105">
        <f t="shared" si="177"/>
        <v>1809.1690000000001</v>
      </c>
      <c r="H57" s="103">
        <f t="shared" si="177"/>
        <v>1143.74694</v>
      </c>
      <c r="I57" s="105">
        <f t="shared" si="177"/>
        <v>1430.7199999999998</v>
      </c>
      <c r="J57" s="105">
        <f t="shared" si="177"/>
        <v>1221.1439999999998</v>
      </c>
      <c r="K57" s="103">
        <f t="shared" si="177"/>
        <v>1353.3269399999999</v>
      </c>
      <c r="L57" s="105">
        <f t="shared" si="177"/>
        <v>1566.6410000000001</v>
      </c>
      <c r="M57" s="105">
        <f t="shared" si="177"/>
        <v>1487.001</v>
      </c>
      <c r="N57" s="103">
        <f t="shared" si="177"/>
        <v>1432.9669399999998</v>
      </c>
      <c r="O57" s="105">
        <f t="shared" si="177"/>
        <v>1312.741</v>
      </c>
      <c r="P57" s="105">
        <f t="shared" si="177"/>
        <v>1227.9590000000001</v>
      </c>
      <c r="Q57" s="103">
        <f t="shared" si="177"/>
        <v>1517.7489399999995</v>
      </c>
      <c r="R57" s="105">
        <f t="shared" si="177"/>
        <v>1174.8670000000002</v>
      </c>
      <c r="S57" s="105">
        <f t="shared" si="177"/>
        <v>1230.905</v>
      </c>
      <c r="T57" s="103">
        <f t="shared" si="177"/>
        <v>1461.7109399999999</v>
      </c>
      <c r="U57" s="105">
        <f t="shared" si="177"/>
        <v>1450.366</v>
      </c>
      <c r="V57" s="105">
        <f t="shared" si="177"/>
        <v>1300.1369999999999</v>
      </c>
      <c r="W57" s="103">
        <f t="shared" si="177"/>
        <v>1611.9399399999998</v>
      </c>
      <c r="X57" s="105">
        <f t="shared" si="177"/>
        <v>1189.4759999999999</v>
      </c>
      <c r="Y57" s="105">
        <f t="shared" si="177"/>
        <v>1340.902</v>
      </c>
      <c r="Z57" s="103">
        <f t="shared" si="177"/>
        <v>1460.5139399999998</v>
      </c>
      <c r="AA57" s="105">
        <f t="shared" si="177"/>
        <v>961.01099999999997</v>
      </c>
      <c r="AB57" s="105">
        <f t="shared" si="177"/>
        <v>813.35100000000011</v>
      </c>
      <c r="AC57" s="103">
        <f t="shared" si="177"/>
        <v>1608.1739399999994</v>
      </c>
      <c r="AD57" s="105">
        <f t="shared" si="177"/>
        <v>832.93999999999994</v>
      </c>
      <c r="AE57" s="105">
        <f t="shared" si="177"/>
        <v>993.05000000000007</v>
      </c>
      <c r="AF57" s="103">
        <f t="shared" si="177"/>
        <v>1449.4189999999996</v>
      </c>
      <c r="AG57" s="105">
        <f t="shared" si="177"/>
        <v>813.92</v>
      </c>
      <c r="AH57" s="105">
        <f t="shared" si="177"/>
        <v>892.18100000000004</v>
      </c>
      <c r="AI57" s="103">
        <f t="shared" si="177"/>
        <v>1371.1579999999994</v>
      </c>
      <c r="AJ57" s="105">
        <f t="shared" si="177"/>
        <v>419.05600000000004</v>
      </c>
      <c r="AK57" s="105">
        <f t="shared" si="177"/>
        <v>341.87199999999996</v>
      </c>
      <c r="AL57" s="103">
        <f t="shared" ref="AL57:CW57" si="178">SUM(AL49:AL56)</f>
        <v>1448.3419999999996</v>
      </c>
      <c r="AM57" s="105">
        <f t="shared" si="178"/>
        <v>19.362000000000002</v>
      </c>
      <c r="AN57" s="105">
        <f t="shared" si="178"/>
        <v>7.0420000000000016</v>
      </c>
      <c r="AO57" s="103">
        <f t="shared" si="178"/>
        <v>1460.6619999999998</v>
      </c>
      <c r="AP57" s="105">
        <f t="shared" si="178"/>
        <v>193.37400000000002</v>
      </c>
      <c r="AQ57" s="105">
        <f t="shared" si="178"/>
        <v>61.966000000000008</v>
      </c>
      <c r="AR57" s="103">
        <f t="shared" si="178"/>
        <v>1592.0699999999997</v>
      </c>
      <c r="AS57" s="105">
        <f t="shared" si="178"/>
        <v>287.02599999999995</v>
      </c>
      <c r="AT57" s="105">
        <f t="shared" si="178"/>
        <v>326.14699999999993</v>
      </c>
      <c r="AU57" s="103">
        <f t="shared" si="178"/>
        <v>1552.9489999999998</v>
      </c>
      <c r="AV57" s="105">
        <f t="shared" si="178"/>
        <v>352.27100000000007</v>
      </c>
      <c r="AW57" s="105">
        <f t="shared" si="178"/>
        <v>847.51300000000003</v>
      </c>
      <c r="AX57" s="103">
        <f t="shared" si="178"/>
        <v>1057.7069999999997</v>
      </c>
      <c r="AY57" s="105">
        <f t="shared" si="178"/>
        <v>692.38700000000006</v>
      </c>
      <c r="AZ57" s="105">
        <f t="shared" si="178"/>
        <v>642.11599999999999</v>
      </c>
      <c r="BA57" s="103">
        <f t="shared" si="178"/>
        <v>1107.9779999999996</v>
      </c>
      <c r="BB57" s="105">
        <f t="shared" si="178"/>
        <v>785.69900000000007</v>
      </c>
      <c r="BC57" s="105">
        <f t="shared" si="178"/>
        <v>1038.9660000000001</v>
      </c>
      <c r="BD57" s="103" t="e">
        <f t="shared" si="178"/>
        <v>#REF!</v>
      </c>
      <c r="BE57" s="105">
        <f t="shared" si="178"/>
        <v>999.43700000000013</v>
      </c>
      <c r="BF57" s="105">
        <f t="shared" si="178"/>
        <v>882.69799999999998</v>
      </c>
      <c r="BG57" s="103" t="e">
        <f t="shared" si="178"/>
        <v>#REF!</v>
      </c>
      <c r="BH57" s="105">
        <f t="shared" si="178"/>
        <v>762.55600000000004</v>
      </c>
      <c r="BI57" s="105">
        <f t="shared" si="178"/>
        <v>874.12599999999998</v>
      </c>
      <c r="BJ57" s="103" t="e">
        <f t="shared" si="178"/>
        <v>#REF!</v>
      </c>
      <c r="BK57" s="105">
        <f t="shared" si="178"/>
        <v>1298.3999999999999</v>
      </c>
      <c r="BL57" s="105">
        <f t="shared" si="178"/>
        <v>958.6350000000001</v>
      </c>
      <c r="BM57" s="103" t="e">
        <f t="shared" si="178"/>
        <v>#REF!</v>
      </c>
      <c r="BN57" s="105">
        <f t="shared" si="178"/>
        <v>1223.482</v>
      </c>
      <c r="BO57" s="105">
        <f t="shared" si="178"/>
        <v>1085.4079999999999</v>
      </c>
      <c r="BP57" s="103" t="e">
        <f t="shared" si="178"/>
        <v>#REF!</v>
      </c>
      <c r="BQ57" s="105">
        <f t="shared" si="178"/>
        <v>1036.492</v>
      </c>
      <c r="BR57" s="105">
        <f t="shared" si="178"/>
        <v>1011.768</v>
      </c>
      <c r="BS57" s="103" t="e">
        <f t="shared" si="178"/>
        <v>#REF!</v>
      </c>
      <c r="BT57" s="105">
        <f t="shared" si="178"/>
        <v>1079.999</v>
      </c>
      <c r="BU57" s="105">
        <f t="shared" si="178"/>
        <v>727.32799999999997</v>
      </c>
      <c r="BV57" s="103" t="e">
        <f t="shared" si="178"/>
        <v>#REF!</v>
      </c>
      <c r="BW57" s="105">
        <f t="shared" si="178"/>
        <v>1124.68</v>
      </c>
      <c r="BX57" s="105">
        <f t="shared" si="178"/>
        <v>1145.6840000000002</v>
      </c>
      <c r="BY57" s="103" t="e">
        <f t="shared" si="178"/>
        <v>#REF!</v>
      </c>
      <c r="BZ57" s="105">
        <f t="shared" si="178"/>
        <v>1117.8320000000001</v>
      </c>
      <c r="CA57" s="105">
        <f t="shared" si="178"/>
        <v>1142.499</v>
      </c>
      <c r="CB57" s="103" t="e">
        <f t="shared" si="178"/>
        <v>#REF!</v>
      </c>
      <c r="CC57" s="105">
        <f t="shared" si="178"/>
        <v>1216.163</v>
      </c>
      <c r="CD57" s="105">
        <f t="shared" si="178"/>
        <v>1258.5170000000001</v>
      </c>
      <c r="CE57" s="103" t="e">
        <f t="shared" si="178"/>
        <v>#REF!</v>
      </c>
      <c r="CF57" s="105">
        <f t="shared" si="178"/>
        <v>1299.136</v>
      </c>
      <c r="CG57" s="105">
        <f t="shared" si="178"/>
        <v>1238.779</v>
      </c>
      <c r="CH57" s="103" t="e">
        <f t="shared" si="178"/>
        <v>#REF!</v>
      </c>
      <c r="CI57" s="105">
        <f t="shared" si="178"/>
        <v>1395.596</v>
      </c>
      <c r="CJ57" s="105">
        <f t="shared" si="178"/>
        <v>1634.63</v>
      </c>
      <c r="CK57" s="106" t="e">
        <f t="shared" si="178"/>
        <v>#REF!</v>
      </c>
      <c r="CL57" s="107">
        <f t="shared" si="178"/>
        <v>1477.3989999999999</v>
      </c>
      <c r="CM57" s="108">
        <f t="shared" si="178"/>
        <v>929.149</v>
      </c>
      <c r="CN57" s="103">
        <f t="shared" si="178"/>
        <v>1645.3779999999997</v>
      </c>
      <c r="CO57" s="109">
        <f t="shared" si="178"/>
        <v>1495.8020000000001</v>
      </c>
      <c r="CP57" s="105">
        <f t="shared" si="178"/>
        <v>1717.2140000000002</v>
      </c>
      <c r="CQ57" s="103">
        <f t="shared" si="178"/>
        <v>1423.9659999999994</v>
      </c>
      <c r="CR57" s="105">
        <f t="shared" si="178"/>
        <v>1212.402</v>
      </c>
      <c r="CS57" s="105">
        <f t="shared" si="178"/>
        <v>1385.2439999999999</v>
      </c>
      <c r="CT57" s="106">
        <f t="shared" si="178"/>
        <v>1251.1239999999996</v>
      </c>
      <c r="CU57" s="104">
        <f t="shared" si="178"/>
        <v>1208.6619999999998</v>
      </c>
      <c r="CV57" s="105">
        <f t="shared" si="178"/>
        <v>869.33699999999999</v>
      </c>
      <c r="CW57" s="103">
        <f t="shared" si="178"/>
        <v>1590.4489999999996</v>
      </c>
      <c r="CX57" s="109">
        <f t="shared" ref="CX57:EG57" si="179">SUM(CX49:CX56)</f>
        <v>1221.962</v>
      </c>
      <c r="CY57" s="105">
        <f t="shared" si="179"/>
        <v>875.44400000000007</v>
      </c>
      <c r="CZ57" s="103">
        <f t="shared" si="179"/>
        <v>1937.1129999999994</v>
      </c>
      <c r="DA57" s="105">
        <f t="shared" si="179"/>
        <v>922.76300000000003</v>
      </c>
      <c r="DB57" s="105">
        <f t="shared" si="179"/>
        <v>1045.7440000000001</v>
      </c>
      <c r="DC57" s="103">
        <f t="shared" si="179"/>
        <v>1814.1319999999996</v>
      </c>
      <c r="DD57" s="105">
        <f t="shared" si="179"/>
        <v>824.68000000000006</v>
      </c>
      <c r="DE57" s="105">
        <f t="shared" si="179"/>
        <v>994.02</v>
      </c>
      <c r="DF57" s="103">
        <f t="shared" si="179"/>
        <v>1644.7919999999995</v>
      </c>
      <c r="DG57" s="105">
        <f t="shared" si="179"/>
        <v>838.28800000000001</v>
      </c>
      <c r="DH57" s="105">
        <f t="shared" si="179"/>
        <v>810.49200000000008</v>
      </c>
      <c r="DI57" s="103">
        <f t="shared" si="179"/>
        <v>1672.5879999999993</v>
      </c>
      <c r="DJ57" s="105">
        <f t="shared" si="179"/>
        <v>959.49399999999991</v>
      </c>
      <c r="DK57" s="105">
        <f t="shared" si="179"/>
        <v>897.077</v>
      </c>
      <c r="DL57" s="103">
        <f t="shared" si="179"/>
        <v>1735.0049999999994</v>
      </c>
      <c r="DM57" s="105">
        <f t="shared" si="179"/>
        <v>945.01600000000008</v>
      </c>
      <c r="DN57" s="105">
        <f t="shared" si="179"/>
        <v>453.34000000000003</v>
      </c>
      <c r="DO57" s="103">
        <f t="shared" si="179"/>
        <v>2226.6809999999991</v>
      </c>
      <c r="DP57" s="105">
        <f t="shared" si="179"/>
        <v>516.06200000000001</v>
      </c>
      <c r="DQ57" s="105">
        <f t="shared" si="179"/>
        <v>594.1400000000001</v>
      </c>
      <c r="DR57" s="103">
        <f t="shared" si="179"/>
        <v>2148.6029999999992</v>
      </c>
      <c r="DS57" s="105">
        <f t="shared" si="179"/>
        <v>365.04499999999996</v>
      </c>
      <c r="DT57" s="105">
        <f t="shared" si="179"/>
        <v>747.81099999999992</v>
      </c>
      <c r="DU57" s="103">
        <f t="shared" si="179"/>
        <v>1765.8369999999993</v>
      </c>
      <c r="DV57" s="105">
        <f t="shared" si="179"/>
        <v>370.19499999999999</v>
      </c>
      <c r="DW57" s="105">
        <f t="shared" si="179"/>
        <v>812.66300000000012</v>
      </c>
      <c r="DX57" s="746">
        <f t="shared" si="179"/>
        <v>1323.3689999999992</v>
      </c>
      <c r="DY57" s="105">
        <f t="shared" si="179"/>
        <v>974.99099999999999</v>
      </c>
      <c r="DZ57" s="105">
        <f t="shared" si="179"/>
        <v>864.28600000000006</v>
      </c>
      <c r="EA57" s="103">
        <f t="shared" si="179"/>
        <v>1434.0739999999994</v>
      </c>
      <c r="EB57" s="105">
        <f t="shared" si="179"/>
        <v>580.98199999999997</v>
      </c>
      <c r="EC57" s="105">
        <f t="shared" si="179"/>
        <v>935.14599999999996</v>
      </c>
      <c r="ED57" s="103">
        <f t="shared" si="179"/>
        <v>1079.9099999999996</v>
      </c>
      <c r="EE57" s="105">
        <f t="shared" si="179"/>
        <v>525.15600000000006</v>
      </c>
      <c r="EF57" s="105">
        <f t="shared" si="179"/>
        <v>732.47199999999998</v>
      </c>
      <c r="EG57" s="746">
        <f t="shared" si="179"/>
        <v>872.59399999999982</v>
      </c>
      <c r="EH57" s="105">
        <f t="shared" ref="EH57:EJ57" si="180">SUM(EH49:EH56)</f>
        <v>754</v>
      </c>
      <c r="EI57" s="105">
        <f t="shared" si="180"/>
        <v>809.9</v>
      </c>
      <c r="EJ57" s="103">
        <f t="shared" si="180"/>
        <v>816.69399999999973</v>
      </c>
      <c r="EK57" s="105">
        <f t="shared" ref="EK57:EM57" si="181">SUM(EK49:EK56)</f>
        <v>650</v>
      </c>
      <c r="EL57" s="105">
        <f t="shared" si="181"/>
        <v>747</v>
      </c>
      <c r="EM57" s="103">
        <f t="shared" si="181"/>
        <v>719.69399999999973</v>
      </c>
      <c r="EN57" s="105">
        <f t="shared" ref="EN57:EP57" si="182">SUM(EN49:EN56)</f>
        <v>630</v>
      </c>
      <c r="EO57" s="105">
        <f t="shared" si="182"/>
        <v>661</v>
      </c>
      <c r="EP57" s="746">
        <f t="shared" si="182"/>
        <v>688.69399999999973</v>
      </c>
      <c r="EQ57" s="105">
        <f t="shared" ref="EQ57:ES57" si="183">SUM(EQ49:EQ56)</f>
        <v>560</v>
      </c>
      <c r="ER57" s="105">
        <f t="shared" si="183"/>
        <v>700</v>
      </c>
      <c r="ES57" s="746">
        <f t="shared" si="183"/>
        <v>548.69399999999973</v>
      </c>
      <c r="ET57" s="105">
        <f t="shared" ref="ET57:EV57" si="184">SUM(ET49:ET56)</f>
        <v>600</v>
      </c>
      <c r="EU57" s="105">
        <f t="shared" si="184"/>
        <v>642</v>
      </c>
      <c r="EV57" s="746">
        <f t="shared" si="184"/>
        <v>506.69399999999973</v>
      </c>
      <c r="EW57" s="105">
        <f t="shared" ref="EW57:EY57" si="185">SUM(EW49:EW56)</f>
        <v>590</v>
      </c>
      <c r="EX57" s="105">
        <f t="shared" si="185"/>
        <v>611</v>
      </c>
      <c r="EY57" s="746">
        <f t="shared" si="185"/>
        <v>485.69399999999973</v>
      </c>
    </row>
    <row r="58" spans="1:155" s="783" customFormat="1" ht="20.25" thickBot="1">
      <c r="D58" s="784" t="s">
        <v>1</v>
      </c>
      <c r="E58" s="785"/>
      <c r="F58" s="786" t="s">
        <v>279</v>
      </c>
      <c r="G58" s="787"/>
      <c r="H58" s="785"/>
      <c r="I58" s="786" t="s">
        <v>280</v>
      </c>
      <c r="J58" s="787"/>
      <c r="K58" s="785"/>
      <c r="L58" s="786" t="s">
        <v>279</v>
      </c>
      <c r="M58" s="787"/>
      <c r="N58" s="785"/>
      <c r="O58" s="786" t="s">
        <v>279</v>
      </c>
      <c r="P58" s="787"/>
      <c r="Q58" s="785"/>
      <c r="R58" s="786" t="s">
        <v>281</v>
      </c>
      <c r="S58" s="787"/>
      <c r="T58" s="785"/>
      <c r="U58" s="786" t="s">
        <v>282</v>
      </c>
      <c r="V58" s="787"/>
      <c r="W58" s="785"/>
      <c r="X58" s="786" t="s">
        <v>283</v>
      </c>
      <c r="Y58" s="787"/>
      <c r="Z58" s="785"/>
      <c r="AA58" s="786" t="s">
        <v>280</v>
      </c>
      <c r="AB58" s="787"/>
      <c r="AC58" s="785"/>
      <c r="AD58" s="786" t="s">
        <v>281</v>
      </c>
      <c r="AE58" s="787"/>
      <c r="AF58" s="785"/>
      <c r="AG58" s="786" t="s">
        <v>279</v>
      </c>
      <c r="AH58" s="787"/>
      <c r="AI58" s="785"/>
      <c r="AJ58" s="786" t="s">
        <v>284</v>
      </c>
      <c r="AK58" s="787"/>
      <c r="AL58" s="785"/>
      <c r="AM58" s="788" t="s">
        <v>280</v>
      </c>
      <c r="AN58" s="789"/>
      <c r="AO58" s="790"/>
      <c r="AP58" s="788" t="s">
        <v>280</v>
      </c>
      <c r="AQ58" s="789"/>
      <c r="AR58" s="790"/>
      <c r="AS58" s="788" t="s">
        <v>280</v>
      </c>
      <c r="AT58" s="789"/>
      <c r="AU58" s="790"/>
      <c r="AV58" s="788" t="s">
        <v>279</v>
      </c>
      <c r="AW58" s="789"/>
      <c r="AX58" s="790"/>
      <c r="AY58" s="788" t="s">
        <v>285</v>
      </c>
      <c r="AZ58" s="789"/>
      <c r="BA58" s="790"/>
      <c r="BB58" s="788" t="s">
        <v>279</v>
      </c>
      <c r="BC58" s="789"/>
      <c r="BD58" s="790"/>
      <c r="BE58" s="788" t="s">
        <v>279</v>
      </c>
      <c r="BF58" s="789"/>
      <c r="BG58" s="790"/>
      <c r="BH58" s="788" t="s">
        <v>285</v>
      </c>
      <c r="BI58" s="789"/>
      <c r="BJ58" s="790"/>
      <c r="BK58" s="788" t="s">
        <v>351</v>
      </c>
      <c r="BL58" s="789"/>
      <c r="BM58" s="790"/>
      <c r="BN58" s="788" t="s">
        <v>283</v>
      </c>
      <c r="BO58" s="789"/>
      <c r="BP58" s="790"/>
      <c r="BQ58" s="788" t="str">
        <f>BQ10</f>
        <v>21 days</v>
      </c>
      <c r="BR58" s="789"/>
      <c r="BS58" s="790"/>
      <c r="BT58" s="788" t="str">
        <f>BT10</f>
        <v>26 days</v>
      </c>
      <c r="BU58" s="789"/>
      <c r="BV58" s="790"/>
      <c r="BW58" s="788" t="str">
        <f>BW10</f>
        <v>22 days</v>
      </c>
      <c r="BX58" s="789"/>
      <c r="BY58" s="790"/>
      <c r="BZ58" s="788" t="str">
        <f>BZ10</f>
        <v>24 days</v>
      </c>
      <c r="CA58" s="789"/>
      <c r="CB58" s="790"/>
      <c r="CC58" s="788" t="str">
        <f>CC10</f>
        <v>25 days</v>
      </c>
      <c r="CD58" s="789"/>
      <c r="CE58" s="790"/>
      <c r="CF58" s="788" t="str">
        <f>CF10</f>
        <v>26 days</v>
      </c>
      <c r="CG58" s="789"/>
      <c r="CH58" s="790"/>
      <c r="CI58" s="788" t="str">
        <f>CI10</f>
        <v>23 days</v>
      </c>
      <c r="CJ58" s="789"/>
      <c r="CK58" s="789"/>
      <c r="CL58" s="838" t="str">
        <f>CM10</f>
        <v>25 days</v>
      </c>
      <c r="CM58" s="839"/>
      <c r="CN58" s="840"/>
      <c r="CO58" s="832" t="str">
        <f>CP10</f>
        <v>25 days</v>
      </c>
      <c r="CP58" s="832"/>
      <c r="CQ58" s="833"/>
      <c r="CR58" s="831" t="str">
        <f>CS10</f>
        <v>23 days</v>
      </c>
      <c r="CS58" s="832"/>
      <c r="CT58" s="832"/>
      <c r="CU58" s="831" t="str">
        <f>CV10</f>
        <v>21 days</v>
      </c>
      <c r="CV58" s="832"/>
      <c r="CW58" s="833"/>
      <c r="CX58" s="832" t="str">
        <f>CY10</f>
        <v>24 days</v>
      </c>
      <c r="CY58" s="832"/>
      <c r="CZ58" s="833"/>
      <c r="DA58" s="831" t="str">
        <f>DB10</f>
        <v>20 days</v>
      </c>
      <c r="DB58" s="832"/>
      <c r="DC58" s="833"/>
      <c r="DD58" s="831" t="str">
        <f>DE10</f>
        <v>25 days</v>
      </c>
      <c r="DE58" s="832"/>
      <c r="DF58" s="833"/>
      <c r="DG58" s="831" t="str">
        <f>DH10</f>
        <v>22 days</v>
      </c>
      <c r="DH58" s="832"/>
      <c r="DI58" s="833"/>
      <c r="DJ58" s="831" t="str">
        <f>DK10</f>
        <v>24 days</v>
      </c>
      <c r="DK58" s="832"/>
      <c r="DL58" s="833"/>
      <c r="DM58" s="831" t="str">
        <f>DN10</f>
        <v>24 days</v>
      </c>
      <c r="DN58" s="832"/>
      <c r="DO58" s="833"/>
      <c r="DP58" s="831" t="str">
        <f>DQ10</f>
        <v>24 days</v>
      </c>
      <c r="DQ58" s="832"/>
      <c r="DR58" s="833"/>
      <c r="DS58" s="831" t="str">
        <f>DT10</f>
        <v>25 days</v>
      </c>
      <c r="DT58" s="832"/>
      <c r="DU58" s="833"/>
      <c r="DV58" s="831" t="str">
        <f>DW10</f>
        <v>25 days</v>
      </c>
      <c r="DW58" s="832"/>
      <c r="DX58" s="833"/>
      <c r="DY58" s="831" t="str">
        <f>DZ10</f>
        <v>22 days</v>
      </c>
      <c r="DZ58" s="832"/>
      <c r="EA58" s="833"/>
      <c r="EB58" s="831" t="str">
        <f>EC10</f>
        <v>21 days</v>
      </c>
      <c r="EC58" s="832"/>
      <c r="ED58" s="833"/>
      <c r="EE58" s="815" t="str">
        <f>EF10</f>
        <v>20 days</v>
      </c>
      <c r="EF58" s="813"/>
      <c r="EG58" s="791"/>
      <c r="EH58" s="815" t="str">
        <f>EI10</f>
        <v>24 days</v>
      </c>
      <c r="EI58" s="813"/>
      <c r="EJ58" s="814"/>
      <c r="EK58" s="815" t="str">
        <f>EL10</f>
        <v>21 days</v>
      </c>
      <c r="EL58" s="813"/>
      <c r="EM58" s="814"/>
      <c r="EN58" s="815" t="str">
        <f>EO10</f>
        <v>25 days</v>
      </c>
      <c r="EO58" s="813"/>
      <c r="EP58" s="791"/>
      <c r="EQ58" s="815" t="str">
        <f>ER10</f>
        <v>21 days</v>
      </c>
      <c r="ER58" s="813"/>
      <c r="ES58" s="791"/>
      <c r="ET58" s="815" t="str">
        <f>EU10</f>
        <v>25 days</v>
      </c>
      <c r="EU58" s="813"/>
      <c r="EV58" s="791"/>
      <c r="EW58" s="815" t="str">
        <f>EX10</f>
        <v>23 days</v>
      </c>
      <c r="EX58" s="813"/>
      <c r="EY58" s="791"/>
    </row>
    <row r="59" spans="1:155" s="20" customFormat="1" ht="19.5" hidden="1">
      <c r="A59" s="110">
        <v>5</v>
      </c>
      <c r="B59" s="211" t="s">
        <v>52</v>
      </c>
      <c r="C59" s="781">
        <v>100258096</v>
      </c>
      <c r="D59" s="782" t="s">
        <v>125</v>
      </c>
      <c r="E59" s="219">
        <v>86.292000000000002</v>
      </c>
      <c r="F59" s="64">
        <v>77.641000000000005</v>
      </c>
      <c r="G59" s="65">
        <v>113.971</v>
      </c>
      <c r="H59" s="187">
        <f>(E59+F59)-(G59)</f>
        <v>49.961999999999989</v>
      </c>
      <c r="I59" s="64">
        <v>55.627000000000002</v>
      </c>
      <c r="J59" s="65">
        <v>100.56699999999999</v>
      </c>
      <c r="K59" s="187">
        <f t="shared" ref="K59:K66" si="186">(H59+I59)-(J59)</f>
        <v>5.0220000000000056</v>
      </c>
      <c r="L59" s="64">
        <v>78.025000000000006</v>
      </c>
      <c r="M59" s="65">
        <v>82.855000000000004</v>
      </c>
      <c r="N59" s="187">
        <f t="shared" ref="N59:N66" si="187">(K59+L59)-(M59)</f>
        <v>0.19200000000000728</v>
      </c>
      <c r="O59" s="64">
        <v>90.866</v>
      </c>
      <c r="P59" s="65">
        <v>76.165999999999997</v>
      </c>
      <c r="Q59" s="187">
        <f t="shared" ref="Q59:Q66" si="188">(N59+O59)-(P59)</f>
        <v>14.89200000000001</v>
      </c>
      <c r="R59" s="64">
        <v>57.709000000000003</v>
      </c>
      <c r="S59" s="64">
        <v>21.379000000000001</v>
      </c>
      <c r="T59" s="187">
        <f t="shared" ref="T59:T66" si="189">(Q59+R59)-(S59)</f>
        <v>51.222000000000008</v>
      </c>
      <c r="U59" s="64">
        <v>51.45</v>
      </c>
      <c r="V59" s="65">
        <v>60.48</v>
      </c>
      <c r="W59" s="187">
        <f t="shared" ref="W59:W66" si="190">(T59+U59)-(V59)</f>
        <v>42.192000000000014</v>
      </c>
      <c r="X59" s="64">
        <v>57.96</v>
      </c>
      <c r="Y59" s="65">
        <v>83.16</v>
      </c>
      <c r="Z59" s="187">
        <f t="shared" ref="Z59:Z68" si="191">(W59+X59)-(Y59)</f>
        <v>16.992000000000019</v>
      </c>
      <c r="AA59" s="64">
        <v>56.28</v>
      </c>
      <c r="AB59" s="65">
        <v>41.58</v>
      </c>
      <c r="AC59" s="187">
        <f t="shared" ref="AC59:AC68" si="192">(Z59+AA59)-(AB59)</f>
        <v>31.692000000000021</v>
      </c>
      <c r="AD59" s="64">
        <v>45.78</v>
      </c>
      <c r="AE59" s="65">
        <v>25.064</v>
      </c>
      <c r="AF59" s="187">
        <f t="shared" ref="AF59:AF68" si="193">(AC59+AD59)-(AE59)</f>
        <v>52.408000000000023</v>
      </c>
      <c r="AG59" s="64">
        <v>-0.13600000000000001</v>
      </c>
      <c r="AH59" s="65">
        <v>18.899999999999999</v>
      </c>
      <c r="AI59" s="187">
        <f t="shared" ref="AI59:AI68" si="194">(AF59+AG59)-(AH59)</f>
        <v>33.372000000000021</v>
      </c>
      <c r="AJ59" s="64">
        <v>0</v>
      </c>
      <c r="AK59" s="65">
        <v>16.259</v>
      </c>
      <c r="AL59" s="187">
        <f t="shared" ref="AL59:AL68" si="195">(AI59+AJ59)-(AK59)</f>
        <v>17.113000000000021</v>
      </c>
      <c r="AM59" s="64">
        <v>0</v>
      </c>
      <c r="AN59" s="65">
        <v>0</v>
      </c>
      <c r="AO59" s="187">
        <f t="shared" ref="AO59:AO68" si="196">(AL59+AM59)-(AN59)</f>
        <v>17.113000000000021</v>
      </c>
      <c r="AP59" s="64">
        <v>0</v>
      </c>
      <c r="AQ59" s="65">
        <v>0</v>
      </c>
      <c r="AR59" s="187">
        <f t="shared" ref="AR59:AR68" si="197">(AO59+AP59)-(AQ59)</f>
        <v>17.113000000000021</v>
      </c>
      <c r="AS59" s="64">
        <v>0</v>
      </c>
      <c r="AT59" s="65">
        <v>0</v>
      </c>
      <c r="AU59" s="187">
        <f>(AR59+AS59)-(AT59)</f>
        <v>17.113000000000021</v>
      </c>
      <c r="AV59" s="64">
        <v>0</v>
      </c>
      <c r="AW59" s="65">
        <v>0</v>
      </c>
      <c r="AX59" s="187">
        <f t="shared" ref="AX59:AX68" si="198">(AU59+AV59)-(AW59)</f>
        <v>17.113000000000021</v>
      </c>
      <c r="AY59" s="64">
        <v>0</v>
      </c>
      <c r="AZ59" s="65">
        <v>0</v>
      </c>
      <c r="BA59" s="187">
        <f t="shared" ref="BA59:BA68" si="199">(AX59+AY59)-(AZ59)</f>
        <v>17.113000000000021</v>
      </c>
      <c r="BB59" s="64">
        <v>0</v>
      </c>
      <c r="BC59" s="65">
        <v>0</v>
      </c>
      <c r="BD59" s="187">
        <v>17.010000000000002</v>
      </c>
      <c r="BE59" s="64">
        <v>0</v>
      </c>
      <c r="BF59" s="65">
        <v>0</v>
      </c>
      <c r="BG59" s="187">
        <v>17.010000000000002</v>
      </c>
      <c r="BH59" s="64">
        <v>0</v>
      </c>
      <c r="BI59" s="65">
        <v>0</v>
      </c>
      <c r="BJ59" s="187">
        <f t="shared" ref="BJ59:BJ68" si="200">(BG59+BH59)-(BI59)</f>
        <v>17.010000000000002</v>
      </c>
      <c r="BK59" s="64">
        <v>0</v>
      </c>
      <c r="BL59" s="65">
        <v>0</v>
      </c>
      <c r="BM59" s="187">
        <f t="shared" ref="BM59:BM68" si="201">(BJ59+BK59)-(BL59)</f>
        <v>17.010000000000002</v>
      </c>
      <c r="BN59" s="64">
        <v>0</v>
      </c>
      <c r="BO59" s="65">
        <v>0</v>
      </c>
      <c r="BP59" s="187">
        <f t="shared" ref="BP59:BP68" si="202">(BM59+BN59)-(BO59)</f>
        <v>17.010000000000002</v>
      </c>
      <c r="BQ59" s="64">
        <v>0</v>
      </c>
      <c r="BR59" s="65">
        <v>0</v>
      </c>
      <c r="BS59" s="187">
        <f t="shared" ref="BS59:BS68" si="203">(BP59+BQ59)-(BR59)</f>
        <v>17.010000000000002</v>
      </c>
      <c r="BT59" s="64">
        <v>0</v>
      </c>
      <c r="BU59" s="65">
        <v>0</v>
      </c>
      <c r="BV59" s="187">
        <f t="shared" ref="BV59:BV68" si="204">(BS59+BT59)-(BU59)</f>
        <v>17.010000000000002</v>
      </c>
      <c r="BW59" s="64">
        <v>0</v>
      </c>
      <c r="BX59" s="65">
        <v>0</v>
      </c>
      <c r="BY59" s="187">
        <f t="shared" ref="BY59:BY68" si="205">(BV59+BW59)-(BX59)</f>
        <v>17.010000000000002</v>
      </c>
      <c r="BZ59" s="64">
        <v>0</v>
      </c>
      <c r="CA59" s="65">
        <v>0</v>
      </c>
      <c r="CB59" s="187">
        <f t="shared" ref="CB59:CB68" si="206">(BY59+BZ59)-(CA59)</f>
        <v>17.010000000000002</v>
      </c>
      <c r="CC59" s="64">
        <v>0</v>
      </c>
      <c r="CD59" s="65">
        <v>0</v>
      </c>
      <c r="CE59" s="187">
        <f t="shared" ref="CE59:CE79" si="207">(CB59+CC59)-(CD59)</f>
        <v>17.010000000000002</v>
      </c>
      <c r="CF59" s="64">
        <v>0</v>
      </c>
      <c r="CG59" s="65">
        <v>0</v>
      </c>
      <c r="CH59" s="187">
        <f t="shared" ref="CH59:CH79" si="208">(CE59+CF59)-(CG59)</f>
        <v>17.010000000000002</v>
      </c>
      <c r="CI59" s="64">
        <v>0</v>
      </c>
      <c r="CJ59" s="65">
        <v>0</v>
      </c>
      <c r="CK59" s="220">
        <f t="shared" ref="CK59:CK80" si="209">(CH59+CI59)-(CJ59)</f>
        <v>17.010000000000002</v>
      </c>
      <c r="CL59" s="70">
        <v>0</v>
      </c>
      <c r="CM59" s="71">
        <v>0</v>
      </c>
      <c r="CN59" s="187">
        <f t="shared" ref="CN59:CN80" si="210">(CK59+CL59)-(CM59)</f>
        <v>17.010000000000002</v>
      </c>
      <c r="CO59" s="64">
        <v>0</v>
      </c>
      <c r="CP59" s="65">
        <v>0</v>
      </c>
      <c r="CQ59" s="187">
        <f t="shared" ref="CQ59:CQ81" si="211">(CN59+CO59)-(CP59)</f>
        <v>17.010000000000002</v>
      </c>
      <c r="CR59" s="64">
        <v>0</v>
      </c>
      <c r="CS59" s="65">
        <v>0</v>
      </c>
      <c r="CT59" s="220">
        <f t="shared" ref="CT59:CT83" si="212">(CQ59+CR59)-(CS59)</f>
        <v>17.010000000000002</v>
      </c>
      <c r="CU59" s="81">
        <v>-3.2000000000000001E-2</v>
      </c>
      <c r="CV59" s="65">
        <v>0</v>
      </c>
      <c r="CW59" s="187">
        <f t="shared" ref="CW59:CW83" si="213">(CT59+CU59)-(CV59)</f>
        <v>16.978000000000002</v>
      </c>
      <c r="CX59" s="64">
        <v>0</v>
      </c>
      <c r="CY59" s="65">
        <v>0</v>
      </c>
      <c r="CZ59" s="187">
        <f t="shared" ref="CZ59:CZ83" si="214">(CW59+CX59)-(CY59)</f>
        <v>16.978000000000002</v>
      </c>
      <c r="DA59" s="64">
        <v>0</v>
      </c>
      <c r="DB59" s="65">
        <v>0</v>
      </c>
      <c r="DC59" s="187">
        <f t="shared" ref="DC59:DC83" si="215">(CZ59+DA59)-(DB59)</f>
        <v>16.978000000000002</v>
      </c>
      <c r="DD59" s="64">
        <v>0</v>
      </c>
      <c r="DE59" s="65">
        <v>0</v>
      </c>
      <c r="DF59" s="187">
        <f t="shared" ref="DF59:DF83" si="216">(DC59+DD59)-(DE59)</f>
        <v>16.978000000000002</v>
      </c>
      <c r="DG59" s="64">
        <v>0</v>
      </c>
      <c r="DH59" s="65">
        <v>1.47</v>
      </c>
      <c r="DI59" s="187">
        <f t="shared" ref="DI59:DI83" si="217">(DF59+DG59)-(DH59)</f>
        <v>15.508000000000001</v>
      </c>
      <c r="DJ59" s="64">
        <v>0</v>
      </c>
      <c r="DK59" s="65">
        <v>0</v>
      </c>
      <c r="DL59" s="187">
        <f t="shared" ref="DL59:DL103" si="218">(DI59+DJ59)-(DK59)</f>
        <v>15.508000000000001</v>
      </c>
      <c r="DM59" s="64">
        <v>0</v>
      </c>
      <c r="DN59" s="65">
        <v>0</v>
      </c>
      <c r="DO59" s="187">
        <f t="shared" ref="DO59:DO84" si="219">(DL59+DM59)-(DN59)</f>
        <v>15.508000000000001</v>
      </c>
      <c r="DP59" s="64">
        <v>0</v>
      </c>
      <c r="DQ59" s="65">
        <v>0</v>
      </c>
      <c r="DR59" s="187">
        <f t="shared" ref="DR59:DR103" si="220">(DO59+DP59)-(DQ59)</f>
        <v>15.508000000000001</v>
      </c>
      <c r="DS59" s="64">
        <v>0</v>
      </c>
      <c r="DT59" s="65">
        <v>0</v>
      </c>
      <c r="DU59" s="187">
        <f t="shared" ref="DU59:DU103" si="221">(DR59+DS59)-(DT59)</f>
        <v>15.508000000000001</v>
      </c>
      <c r="DV59" s="64">
        <v>0</v>
      </c>
      <c r="DW59" s="65">
        <v>0</v>
      </c>
      <c r="DX59" s="753">
        <f t="shared" ref="DX59:DX103" si="222">(DU59+DV59)-(DW59)</f>
        <v>15.508000000000001</v>
      </c>
      <c r="DY59" s="64">
        <v>0</v>
      </c>
      <c r="DZ59" s="65">
        <v>0</v>
      </c>
      <c r="EA59" s="187">
        <f t="shared" ref="EA59:EA103" si="223">(DX59+DY59)-(DZ59)</f>
        <v>15.508000000000001</v>
      </c>
      <c r="EB59" s="64">
        <v>0</v>
      </c>
      <c r="EC59" s="65">
        <v>0</v>
      </c>
      <c r="ED59" s="187">
        <f t="shared" ref="ED59:ED103" si="224">(EA59+EB59)-(EC59)</f>
        <v>15.508000000000001</v>
      </c>
      <c r="EE59" s="64">
        <v>0</v>
      </c>
      <c r="EF59" s="65">
        <v>0</v>
      </c>
      <c r="EG59" s="753">
        <f t="shared" ref="EG59:EG103" si="225">(ED59+EE59)-(EF59)</f>
        <v>15.508000000000001</v>
      </c>
      <c r="EH59" s="64">
        <v>0</v>
      </c>
      <c r="EI59" s="65">
        <v>0</v>
      </c>
      <c r="EJ59" s="187">
        <f t="shared" ref="EJ59:EJ103" si="226">(EG59+EH59)-(EI59)</f>
        <v>15.508000000000001</v>
      </c>
      <c r="EK59" s="64">
        <v>0</v>
      </c>
      <c r="EL59" s="65">
        <v>0</v>
      </c>
      <c r="EM59" s="187">
        <f t="shared" ref="EM59:EM103" si="227">(EJ59+EK59)-(EL59)</f>
        <v>15.508000000000001</v>
      </c>
      <c r="EN59" s="64">
        <v>0</v>
      </c>
      <c r="EO59" s="65">
        <v>0</v>
      </c>
      <c r="EP59" s="753">
        <f t="shared" ref="EP59:EP103" si="228">(EM59+EN59)-(EO59)</f>
        <v>15.508000000000001</v>
      </c>
      <c r="EQ59" s="64">
        <v>0</v>
      </c>
      <c r="ER59" s="65">
        <v>0</v>
      </c>
      <c r="ES59" s="753">
        <f t="shared" ref="ES59:ES85" si="229">(EP59+EQ59)-(ER59)</f>
        <v>15.508000000000001</v>
      </c>
      <c r="ET59" s="64">
        <v>0</v>
      </c>
      <c r="EU59" s="65">
        <v>0</v>
      </c>
      <c r="EV59" s="753">
        <f t="shared" ref="EV59:EV85" si="230">(ES59+ET59)-(EU59)</f>
        <v>15.508000000000001</v>
      </c>
      <c r="EW59" s="64">
        <v>0</v>
      </c>
      <c r="EX59" s="65">
        <v>0</v>
      </c>
      <c r="EY59" s="753">
        <f t="shared" ref="EY59:EY84" si="231">(EV59+EW59)-(EX59)</f>
        <v>15.508000000000001</v>
      </c>
    </row>
    <row r="60" spans="1:155" s="20" customFormat="1" ht="19.5" hidden="1" collapsed="1">
      <c r="A60" s="59"/>
      <c r="B60" s="209"/>
      <c r="C60" s="207">
        <v>100258107</v>
      </c>
      <c r="D60" s="208" t="s">
        <v>126</v>
      </c>
      <c r="E60" s="66">
        <v>146.19399999999999</v>
      </c>
      <c r="F60" s="64">
        <v>54.814</v>
      </c>
      <c r="G60" s="65">
        <v>133.47900000000001</v>
      </c>
      <c r="H60" s="63">
        <f>(E60+F60)-(G60)</f>
        <v>67.528999999999968</v>
      </c>
      <c r="I60" s="64">
        <v>21.352</v>
      </c>
      <c r="J60" s="65">
        <v>88.846999999999994</v>
      </c>
      <c r="K60" s="63">
        <f t="shared" si="186"/>
        <v>3.3999999999977604E-2</v>
      </c>
      <c r="L60" s="64">
        <v>82.195999999999998</v>
      </c>
      <c r="M60" s="65">
        <v>69.176000000000002</v>
      </c>
      <c r="N60" s="63">
        <f t="shared" si="187"/>
        <v>13.053999999999974</v>
      </c>
      <c r="O60" s="64">
        <v>67.194000000000003</v>
      </c>
      <c r="P60" s="65">
        <v>80.213999999999999</v>
      </c>
      <c r="Q60" s="63">
        <f t="shared" si="188"/>
        <v>3.3999999999977604E-2</v>
      </c>
      <c r="R60" s="64">
        <v>84.391000000000005</v>
      </c>
      <c r="S60" s="64">
        <v>21.390999999999998</v>
      </c>
      <c r="T60" s="63">
        <f t="shared" si="189"/>
        <v>63.033999999999985</v>
      </c>
      <c r="U60" s="64">
        <v>59.64</v>
      </c>
      <c r="V60" s="65">
        <v>60.48</v>
      </c>
      <c r="W60" s="63">
        <f t="shared" si="190"/>
        <v>62.193999999999981</v>
      </c>
      <c r="X60" s="64">
        <v>54.6</v>
      </c>
      <c r="Y60" s="65">
        <v>83.16</v>
      </c>
      <c r="Z60" s="63">
        <f t="shared" si="191"/>
        <v>33.633999999999986</v>
      </c>
      <c r="AA60" s="64">
        <v>31.71</v>
      </c>
      <c r="AB60" s="65">
        <v>42.84</v>
      </c>
      <c r="AC60" s="63">
        <f t="shared" si="192"/>
        <v>22.503999999999991</v>
      </c>
      <c r="AD60" s="64">
        <v>22.68</v>
      </c>
      <c r="AE60" s="65">
        <v>25.045999999999999</v>
      </c>
      <c r="AF60" s="63">
        <f t="shared" si="193"/>
        <v>20.137999999999991</v>
      </c>
      <c r="AG60" s="64">
        <v>-0.154</v>
      </c>
      <c r="AH60" s="65">
        <v>18.899999999999999</v>
      </c>
      <c r="AI60" s="63">
        <f t="shared" si="194"/>
        <v>1.0839999999999925</v>
      </c>
      <c r="AJ60" s="64">
        <v>15.33</v>
      </c>
      <c r="AK60" s="65">
        <v>16.239000000000001</v>
      </c>
      <c r="AL60" s="63">
        <f t="shared" si="195"/>
        <v>0.17499999999999361</v>
      </c>
      <c r="AM60" s="64">
        <v>0</v>
      </c>
      <c r="AN60" s="65">
        <v>0</v>
      </c>
      <c r="AO60" s="63">
        <f t="shared" si="196"/>
        <v>0.17499999999999361</v>
      </c>
      <c r="AP60" s="64">
        <v>1.47</v>
      </c>
      <c r="AQ60" s="65">
        <v>0</v>
      </c>
      <c r="AR60" s="63">
        <f t="shared" si="197"/>
        <v>1.6449999999999936</v>
      </c>
      <c r="AS60" s="64">
        <v>11.724</v>
      </c>
      <c r="AT60" s="65">
        <v>0</v>
      </c>
      <c r="AU60" s="63">
        <f>(AR60+AS60)-(AT60)-0.105</f>
        <v>13.263999999999994</v>
      </c>
      <c r="AV60" s="64">
        <v>0</v>
      </c>
      <c r="AW60" s="65">
        <v>0</v>
      </c>
      <c r="AX60" s="63">
        <f t="shared" si="198"/>
        <v>13.263999999999994</v>
      </c>
      <c r="AY60" s="64">
        <v>0</v>
      </c>
      <c r="AZ60" s="65">
        <v>0</v>
      </c>
      <c r="BA60" s="63">
        <f t="shared" si="199"/>
        <v>13.263999999999994</v>
      </c>
      <c r="BB60" s="64">
        <v>0</v>
      </c>
      <c r="BC60" s="65">
        <v>0</v>
      </c>
      <c r="BD60" s="63">
        <v>13.23</v>
      </c>
      <c r="BE60" s="64">
        <v>0</v>
      </c>
      <c r="BF60" s="65">
        <v>0</v>
      </c>
      <c r="BG60" s="63">
        <v>13.23</v>
      </c>
      <c r="BH60" s="64">
        <v>0</v>
      </c>
      <c r="BI60" s="65">
        <v>0</v>
      </c>
      <c r="BJ60" s="63">
        <f t="shared" si="200"/>
        <v>13.23</v>
      </c>
      <c r="BK60" s="64">
        <v>0</v>
      </c>
      <c r="BL60" s="65">
        <v>0</v>
      </c>
      <c r="BM60" s="63">
        <f t="shared" si="201"/>
        <v>13.23</v>
      </c>
      <c r="BN60" s="64">
        <v>0</v>
      </c>
      <c r="BO60" s="65">
        <v>0</v>
      </c>
      <c r="BP60" s="63">
        <f t="shared" si="202"/>
        <v>13.23</v>
      </c>
      <c r="BQ60" s="64">
        <v>0</v>
      </c>
      <c r="BR60" s="65">
        <v>0</v>
      </c>
      <c r="BS60" s="63">
        <f t="shared" si="203"/>
        <v>13.23</v>
      </c>
      <c r="BT60" s="64">
        <v>0</v>
      </c>
      <c r="BU60" s="65">
        <v>0</v>
      </c>
      <c r="BV60" s="63">
        <f t="shared" si="204"/>
        <v>13.23</v>
      </c>
      <c r="BW60" s="64">
        <v>0</v>
      </c>
      <c r="BX60" s="65">
        <v>0</v>
      </c>
      <c r="BY60" s="63">
        <f t="shared" si="205"/>
        <v>13.23</v>
      </c>
      <c r="BZ60" s="64">
        <v>0</v>
      </c>
      <c r="CA60" s="65">
        <v>0</v>
      </c>
      <c r="CB60" s="63">
        <f t="shared" si="206"/>
        <v>13.23</v>
      </c>
      <c r="CC60" s="64">
        <v>0</v>
      </c>
      <c r="CD60" s="65">
        <v>0</v>
      </c>
      <c r="CE60" s="63">
        <f t="shared" si="207"/>
        <v>13.23</v>
      </c>
      <c r="CF60" s="64">
        <v>0</v>
      </c>
      <c r="CG60" s="65">
        <v>0</v>
      </c>
      <c r="CH60" s="63">
        <f t="shared" si="208"/>
        <v>13.23</v>
      </c>
      <c r="CI60" s="64">
        <v>0</v>
      </c>
      <c r="CJ60" s="65">
        <v>0</v>
      </c>
      <c r="CK60" s="69">
        <f t="shared" si="209"/>
        <v>13.23</v>
      </c>
      <c r="CL60" s="70">
        <v>0</v>
      </c>
      <c r="CM60" s="71">
        <v>0</v>
      </c>
      <c r="CN60" s="63">
        <f t="shared" si="210"/>
        <v>13.23</v>
      </c>
      <c r="CO60" s="64">
        <v>0</v>
      </c>
      <c r="CP60" s="65">
        <v>0</v>
      </c>
      <c r="CQ60" s="63">
        <f t="shared" si="211"/>
        <v>13.23</v>
      </c>
      <c r="CR60" s="64">
        <v>0</v>
      </c>
      <c r="CS60" s="65">
        <v>0</v>
      </c>
      <c r="CT60" s="69">
        <f t="shared" si="212"/>
        <v>13.23</v>
      </c>
      <c r="CU60" s="81">
        <v>0</v>
      </c>
      <c r="CV60" s="65">
        <v>0</v>
      </c>
      <c r="CW60" s="63">
        <f t="shared" si="213"/>
        <v>13.23</v>
      </c>
      <c r="CX60" s="64">
        <v>0</v>
      </c>
      <c r="CY60" s="65">
        <v>0</v>
      </c>
      <c r="CZ60" s="63">
        <f t="shared" si="214"/>
        <v>13.23</v>
      </c>
      <c r="DA60" s="64">
        <v>0</v>
      </c>
      <c r="DB60" s="65">
        <v>0</v>
      </c>
      <c r="DC60" s="63">
        <f t="shared" si="215"/>
        <v>13.23</v>
      </c>
      <c r="DD60" s="64">
        <v>0</v>
      </c>
      <c r="DE60" s="65">
        <v>0</v>
      </c>
      <c r="DF60" s="63">
        <f t="shared" si="216"/>
        <v>13.23</v>
      </c>
      <c r="DG60" s="64">
        <v>0</v>
      </c>
      <c r="DH60" s="65">
        <v>0</v>
      </c>
      <c r="DI60" s="63">
        <f t="shared" si="217"/>
        <v>13.23</v>
      </c>
      <c r="DJ60" s="64">
        <v>0</v>
      </c>
      <c r="DK60" s="65">
        <v>0</v>
      </c>
      <c r="DL60" s="63">
        <f t="shared" si="218"/>
        <v>13.23</v>
      </c>
      <c r="DM60" s="64">
        <v>0</v>
      </c>
      <c r="DN60" s="65">
        <v>0</v>
      </c>
      <c r="DO60" s="63">
        <f t="shared" si="219"/>
        <v>13.23</v>
      </c>
      <c r="DP60" s="64">
        <v>0</v>
      </c>
      <c r="DQ60" s="65">
        <v>0</v>
      </c>
      <c r="DR60" s="63">
        <f t="shared" si="220"/>
        <v>13.23</v>
      </c>
      <c r="DS60" s="64">
        <v>0</v>
      </c>
      <c r="DT60" s="65">
        <v>0</v>
      </c>
      <c r="DU60" s="63">
        <f t="shared" si="221"/>
        <v>13.23</v>
      </c>
      <c r="DV60" s="64">
        <v>0</v>
      </c>
      <c r="DW60" s="65">
        <v>0</v>
      </c>
      <c r="DX60" s="744">
        <f t="shared" si="222"/>
        <v>13.23</v>
      </c>
      <c r="DY60" s="64">
        <v>0</v>
      </c>
      <c r="DZ60" s="65">
        <v>0</v>
      </c>
      <c r="EA60" s="63">
        <f t="shared" si="223"/>
        <v>13.23</v>
      </c>
      <c r="EB60" s="64">
        <v>0</v>
      </c>
      <c r="EC60" s="65">
        <v>0</v>
      </c>
      <c r="ED60" s="63">
        <f t="shared" si="224"/>
        <v>13.23</v>
      </c>
      <c r="EE60" s="64">
        <v>0</v>
      </c>
      <c r="EF60" s="65">
        <v>0</v>
      </c>
      <c r="EG60" s="744">
        <f t="shared" si="225"/>
        <v>13.23</v>
      </c>
      <c r="EH60" s="64">
        <v>0</v>
      </c>
      <c r="EI60" s="65">
        <v>0</v>
      </c>
      <c r="EJ60" s="63">
        <f t="shared" si="226"/>
        <v>13.23</v>
      </c>
      <c r="EK60" s="64">
        <v>0</v>
      </c>
      <c r="EL60" s="65">
        <v>0</v>
      </c>
      <c r="EM60" s="63">
        <f t="shared" si="227"/>
        <v>13.23</v>
      </c>
      <c r="EN60" s="64">
        <v>0</v>
      </c>
      <c r="EO60" s="65">
        <v>0</v>
      </c>
      <c r="EP60" s="744">
        <f t="shared" si="228"/>
        <v>13.23</v>
      </c>
      <c r="EQ60" s="64">
        <v>0</v>
      </c>
      <c r="ER60" s="65">
        <v>0</v>
      </c>
      <c r="ES60" s="744">
        <f t="shared" si="229"/>
        <v>13.23</v>
      </c>
      <c r="ET60" s="64">
        <v>0</v>
      </c>
      <c r="EU60" s="65">
        <v>0</v>
      </c>
      <c r="EV60" s="744">
        <f t="shared" si="230"/>
        <v>13.23</v>
      </c>
      <c r="EW60" s="64">
        <v>0</v>
      </c>
      <c r="EX60" s="65">
        <v>0</v>
      </c>
      <c r="EY60" s="744">
        <f t="shared" si="231"/>
        <v>13.23</v>
      </c>
    </row>
    <row r="61" spans="1:155" s="20" customFormat="1" ht="19.5" hidden="1" collapsed="1">
      <c r="A61" s="210"/>
      <c r="B61" s="211"/>
      <c r="C61" s="212">
        <v>100250476</v>
      </c>
      <c r="D61" s="208" t="s">
        <v>83</v>
      </c>
      <c r="E61" s="66">
        <v>139.39099999999999</v>
      </c>
      <c r="F61" s="65">
        <v>217.82300000000001</v>
      </c>
      <c r="G61" s="65">
        <v>313.74700000000001</v>
      </c>
      <c r="H61" s="63">
        <f>(E61+F61)-(G61)</f>
        <v>43.466999999999985</v>
      </c>
      <c r="I61" s="65">
        <v>276.99</v>
      </c>
      <c r="J61" s="65">
        <v>308.66899999999998</v>
      </c>
      <c r="K61" s="63">
        <f t="shared" si="186"/>
        <v>11.788000000000011</v>
      </c>
      <c r="L61" s="65">
        <v>348.16199999999998</v>
      </c>
      <c r="M61" s="65">
        <v>358.10899999999998</v>
      </c>
      <c r="N61" s="63">
        <f t="shared" si="187"/>
        <v>1.8410000000000082</v>
      </c>
      <c r="O61" s="65">
        <v>221.428</v>
      </c>
      <c r="P61" s="65">
        <v>181.738</v>
      </c>
      <c r="Q61" s="63">
        <f t="shared" si="188"/>
        <v>41.531000000000006</v>
      </c>
      <c r="R61" s="65">
        <v>143.72800000000001</v>
      </c>
      <c r="S61" s="65">
        <v>14.997999999999999</v>
      </c>
      <c r="T61" s="63">
        <f t="shared" si="189"/>
        <v>170.26100000000002</v>
      </c>
      <c r="U61" s="65">
        <v>96.2</v>
      </c>
      <c r="V61" s="65">
        <v>189.02</v>
      </c>
      <c r="W61" s="63">
        <f t="shared" si="190"/>
        <v>77.441000000000003</v>
      </c>
      <c r="X61" s="65">
        <v>105</v>
      </c>
      <c r="Y61" s="65">
        <v>162.33000000000001</v>
      </c>
      <c r="Z61" s="63">
        <f t="shared" si="191"/>
        <v>20.11099999999999</v>
      </c>
      <c r="AA61" s="65">
        <v>107.31</v>
      </c>
      <c r="AB61" s="65">
        <v>71.796000000000006</v>
      </c>
      <c r="AC61" s="63">
        <f t="shared" si="192"/>
        <v>55.624999999999986</v>
      </c>
      <c r="AD61" s="65">
        <v>109.596</v>
      </c>
      <c r="AE61" s="65">
        <v>154.07499999999999</v>
      </c>
      <c r="AF61" s="63">
        <f t="shared" si="193"/>
        <v>11.146000000000015</v>
      </c>
      <c r="AG61" s="65">
        <v>20.725000000000001</v>
      </c>
      <c r="AH61" s="65">
        <v>28.98</v>
      </c>
      <c r="AI61" s="63">
        <f t="shared" si="194"/>
        <v>2.891000000000016</v>
      </c>
      <c r="AJ61" s="65">
        <v>18.27</v>
      </c>
      <c r="AK61" s="65">
        <v>21.062999999999999</v>
      </c>
      <c r="AL61" s="63">
        <f t="shared" si="195"/>
        <v>9.800000000001674E-2</v>
      </c>
      <c r="AM61" s="213">
        <v>0</v>
      </c>
      <c r="AN61" s="65">
        <v>0</v>
      </c>
      <c r="AO61" s="63">
        <f t="shared" si="196"/>
        <v>9.800000000001674E-2</v>
      </c>
      <c r="AP61" s="65">
        <v>-2.4E-2</v>
      </c>
      <c r="AQ61" s="65">
        <v>-2.4E-2</v>
      </c>
      <c r="AR61" s="63">
        <f t="shared" si="197"/>
        <v>9.800000000001674E-2</v>
      </c>
      <c r="AS61" s="64">
        <v>14.763</v>
      </c>
      <c r="AT61" s="65">
        <v>0</v>
      </c>
      <c r="AU61" s="63">
        <f t="shared" ref="AU61:AU68" si="232">(AR61+AS61)-(AT61)</f>
        <v>14.861000000000017</v>
      </c>
      <c r="AV61" s="64">
        <v>9.24</v>
      </c>
      <c r="AW61" s="65">
        <v>0</v>
      </c>
      <c r="AX61" s="63">
        <f t="shared" si="198"/>
        <v>24.101000000000017</v>
      </c>
      <c r="AY61" s="65">
        <v>0</v>
      </c>
      <c r="AZ61" s="65">
        <v>0</v>
      </c>
      <c r="BA61" s="63">
        <f t="shared" si="199"/>
        <v>24.101000000000017</v>
      </c>
      <c r="BB61" s="65">
        <v>0</v>
      </c>
      <c r="BC61" s="65">
        <v>0</v>
      </c>
      <c r="BD61" s="63">
        <v>24.15</v>
      </c>
      <c r="BE61" s="65">
        <v>0</v>
      </c>
      <c r="BF61" s="65">
        <v>0</v>
      </c>
      <c r="BG61" s="63">
        <v>24.15</v>
      </c>
      <c r="BH61" s="65">
        <v>0</v>
      </c>
      <c r="BI61" s="65">
        <v>0</v>
      </c>
      <c r="BJ61" s="63">
        <f t="shared" si="200"/>
        <v>24.15</v>
      </c>
      <c r="BK61" s="65">
        <v>0</v>
      </c>
      <c r="BL61" s="65">
        <v>0</v>
      </c>
      <c r="BM61" s="63">
        <f t="shared" si="201"/>
        <v>24.15</v>
      </c>
      <c r="BN61" s="65">
        <v>0</v>
      </c>
      <c r="BO61" s="65">
        <v>0</v>
      </c>
      <c r="BP61" s="63">
        <f t="shared" si="202"/>
        <v>24.15</v>
      </c>
      <c r="BQ61" s="65">
        <v>0</v>
      </c>
      <c r="BR61" s="65">
        <v>0</v>
      </c>
      <c r="BS61" s="63">
        <f t="shared" si="203"/>
        <v>24.15</v>
      </c>
      <c r="BT61" s="65">
        <v>0</v>
      </c>
      <c r="BU61" s="65">
        <v>0</v>
      </c>
      <c r="BV61" s="63">
        <f t="shared" si="204"/>
        <v>24.15</v>
      </c>
      <c r="BW61" s="65">
        <v>0</v>
      </c>
      <c r="BX61" s="65">
        <v>-1.05</v>
      </c>
      <c r="BY61" s="63">
        <f t="shared" si="205"/>
        <v>25.2</v>
      </c>
      <c r="BZ61" s="65">
        <v>0</v>
      </c>
      <c r="CA61" s="65">
        <v>0</v>
      </c>
      <c r="CB61" s="63">
        <f t="shared" si="206"/>
        <v>25.2</v>
      </c>
      <c r="CC61" s="65">
        <v>0</v>
      </c>
      <c r="CD61" s="65">
        <v>0</v>
      </c>
      <c r="CE61" s="63">
        <f t="shared" si="207"/>
        <v>25.2</v>
      </c>
      <c r="CF61" s="65">
        <v>0</v>
      </c>
      <c r="CG61" s="65">
        <v>0</v>
      </c>
      <c r="CH61" s="63">
        <f t="shared" si="208"/>
        <v>25.2</v>
      </c>
      <c r="CI61" s="65">
        <v>0</v>
      </c>
      <c r="CJ61" s="65">
        <v>0</v>
      </c>
      <c r="CK61" s="69">
        <f t="shared" si="209"/>
        <v>25.2</v>
      </c>
      <c r="CL61" s="70">
        <v>0</v>
      </c>
      <c r="CM61" s="71">
        <v>0</v>
      </c>
      <c r="CN61" s="63">
        <f t="shared" si="210"/>
        <v>25.2</v>
      </c>
      <c r="CO61" s="64">
        <v>0</v>
      </c>
      <c r="CP61" s="65">
        <v>0</v>
      </c>
      <c r="CQ61" s="63">
        <f t="shared" si="211"/>
        <v>25.2</v>
      </c>
      <c r="CR61" s="65">
        <v>0</v>
      </c>
      <c r="CS61" s="65">
        <v>0</v>
      </c>
      <c r="CT61" s="69">
        <f t="shared" si="212"/>
        <v>25.2</v>
      </c>
      <c r="CU61" s="81">
        <v>0</v>
      </c>
      <c r="CV61" s="65">
        <v>0</v>
      </c>
      <c r="CW61" s="63">
        <f t="shared" si="213"/>
        <v>25.2</v>
      </c>
      <c r="CX61" s="64">
        <v>0</v>
      </c>
      <c r="CY61" s="65">
        <v>0</v>
      </c>
      <c r="CZ61" s="63">
        <f t="shared" si="214"/>
        <v>25.2</v>
      </c>
      <c r="DA61" s="65">
        <v>0</v>
      </c>
      <c r="DB61" s="65">
        <v>0</v>
      </c>
      <c r="DC61" s="63">
        <f t="shared" si="215"/>
        <v>25.2</v>
      </c>
      <c r="DD61" s="65">
        <v>0</v>
      </c>
      <c r="DE61" s="65">
        <v>0</v>
      </c>
      <c r="DF61" s="63">
        <f t="shared" si="216"/>
        <v>25.2</v>
      </c>
      <c r="DG61" s="65">
        <v>0</v>
      </c>
      <c r="DH61" s="65">
        <v>0</v>
      </c>
      <c r="DI61" s="63">
        <f t="shared" si="217"/>
        <v>25.2</v>
      </c>
      <c r="DJ61" s="65">
        <v>0</v>
      </c>
      <c r="DK61" s="65">
        <v>0</v>
      </c>
      <c r="DL61" s="63">
        <f t="shared" si="218"/>
        <v>25.2</v>
      </c>
      <c r="DM61" s="65">
        <v>0</v>
      </c>
      <c r="DN61" s="65">
        <v>0</v>
      </c>
      <c r="DO61" s="63">
        <f t="shared" si="219"/>
        <v>25.2</v>
      </c>
      <c r="DP61" s="65">
        <v>0</v>
      </c>
      <c r="DQ61" s="65">
        <v>0</v>
      </c>
      <c r="DR61" s="63">
        <f t="shared" si="220"/>
        <v>25.2</v>
      </c>
      <c r="DS61" s="65">
        <v>0</v>
      </c>
      <c r="DT61" s="65">
        <v>0</v>
      </c>
      <c r="DU61" s="63">
        <f t="shared" si="221"/>
        <v>25.2</v>
      </c>
      <c r="DV61" s="65">
        <v>0</v>
      </c>
      <c r="DW61" s="65">
        <v>0</v>
      </c>
      <c r="DX61" s="744">
        <f t="shared" si="222"/>
        <v>25.2</v>
      </c>
      <c r="DY61" s="65">
        <v>0</v>
      </c>
      <c r="DZ61" s="65">
        <v>0</v>
      </c>
      <c r="EA61" s="63">
        <f t="shared" si="223"/>
        <v>25.2</v>
      </c>
      <c r="EB61" s="65">
        <v>0</v>
      </c>
      <c r="EC61" s="65">
        <v>0</v>
      </c>
      <c r="ED61" s="63">
        <f t="shared" si="224"/>
        <v>25.2</v>
      </c>
      <c r="EE61" s="65">
        <v>0</v>
      </c>
      <c r="EF61" s="65">
        <v>0</v>
      </c>
      <c r="EG61" s="744">
        <f t="shared" si="225"/>
        <v>25.2</v>
      </c>
      <c r="EH61" s="65">
        <v>0</v>
      </c>
      <c r="EI61" s="65">
        <v>0</v>
      </c>
      <c r="EJ61" s="63">
        <f t="shared" si="226"/>
        <v>25.2</v>
      </c>
      <c r="EK61" s="65">
        <v>0</v>
      </c>
      <c r="EL61" s="65">
        <v>0</v>
      </c>
      <c r="EM61" s="63">
        <f t="shared" si="227"/>
        <v>25.2</v>
      </c>
      <c r="EN61" s="65">
        <v>0</v>
      </c>
      <c r="EO61" s="65">
        <v>0</v>
      </c>
      <c r="EP61" s="744">
        <f t="shared" si="228"/>
        <v>25.2</v>
      </c>
      <c r="EQ61" s="65">
        <v>0</v>
      </c>
      <c r="ER61" s="65">
        <v>0</v>
      </c>
      <c r="ES61" s="744">
        <f t="shared" si="229"/>
        <v>25.2</v>
      </c>
      <c r="ET61" s="65">
        <v>0</v>
      </c>
      <c r="EU61" s="65">
        <v>0</v>
      </c>
      <c r="EV61" s="744">
        <f t="shared" si="230"/>
        <v>25.2</v>
      </c>
      <c r="EW61" s="65">
        <v>0</v>
      </c>
      <c r="EX61" s="65">
        <v>0</v>
      </c>
      <c r="EY61" s="744">
        <f t="shared" si="231"/>
        <v>25.2</v>
      </c>
    </row>
    <row r="62" spans="1:155" s="792" customFormat="1" ht="19.5" hidden="1" collapsed="1">
      <c r="A62" s="201"/>
      <c r="B62" s="209"/>
      <c r="C62" s="207">
        <v>100383824</v>
      </c>
      <c r="D62" s="208" t="s">
        <v>129</v>
      </c>
      <c r="E62" s="63">
        <v>81.621000000000095</v>
      </c>
      <c r="F62" s="64">
        <v>452.65300000000002</v>
      </c>
      <c r="G62" s="115">
        <v>463.08600000000001</v>
      </c>
      <c r="H62" s="63">
        <f>(E62+F62)-(G62)</f>
        <v>71.188000000000102</v>
      </c>
      <c r="I62" s="64">
        <v>557.90599999999995</v>
      </c>
      <c r="J62" s="115">
        <v>530.41700000000003</v>
      </c>
      <c r="K62" s="63">
        <f t="shared" si="186"/>
        <v>98.677000000000021</v>
      </c>
      <c r="L62" s="64">
        <v>547.95799999999997</v>
      </c>
      <c r="M62" s="115">
        <v>619.95799999999997</v>
      </c>
      <c r="N62" s="63">
        <f t="shared" si="187"/>
        <v>26.677000000000021</v>
      </c>
      <c r="O62" s="64">
        <v>351.32400000000001</v>
      </c>
      <c r="P62" s="115">
        <v>330.99599999999998</v>
      </c>
      <c r="Q62" s="63">
        <f t="shared" si="188"/>
        <v>47.005000000000052</v>
      </c>
      <c r="R62" s="64">
        <v>342.62200000000001</v>
      </c>
      <c r="S62" s="115">
        <v>304.77999999999997</v>
      </c>
      <c r="T62" s="63">
        <f t="shared" si="189"/>
        <v>84.847000000000094</v>
      </c>
      <c r="U62" s="64">
        <v>211</v>
      </c>
      <c r="V62" s="115">
        <v>280.21600000000001</v>
      </c>
      <c r="W62" s="63">
        <f t="shared" si="190"/>
        <v>15.631000000000085</v>
      </c>
      <c r="X62" s="64">
        <v>314.26900000000001</v>
      </c>
      <c r="Y62" s="115">
        <v>311.49700000000001</v>
      </c>
      <c r="Z62" s="63">
        <f t="shared" si="191"/>
        <v>18.403000000000077</v>
      </c>
      <c r="AA62" s="64">
        <v>203.32300000000001</v>
      </c>
      <c r="AB62" s="115">
        <v>215.93199999999999</v>
      </c>
      <c r="AC62" s="63">
        <f t="shared" si="192"/>
        <v>5.7940000000000964</v>
      </c>
      <c r="AD62" s="64">
        <v>0</v>
      </c>
      <c r="AE62" s="115">
        <v>-0.14000000000000001</v>
      </c>
      <c r="AF62" s="63">
        <f t="shared" si="193"/>
        <v>5.9340000000000961</v>
      </c>
      <c r="AG62" s="64">
        <v>0</v>
      </c>
      <c r="AH62" s="115">
        <v>0.42599999999999999</v>
      </c>
      <c r="AI62" s="63">
        <f t="shared" si="194"/>
        <v>5.5080000000000959</v>
      </c>
      <c r="AJ62" s="64">
        <v>-0.218</v>
      </c>
      <c r="AK62" s="115">
        <v>-2.5000000000000001E-2</v>
      </c>
      <c r="AL62" s="63">
        <f t="shared" si="195"/>
        <v>5.3150000000000963</v>
      </c>
      <c r="AM62" s="64">
        <v>0</v>
      </c>
      <c r="AN62" s="115">
        <v>0</v>
      </c>
      <c r="AO62" s="63">
        <f t="shared" si="196"/>
        <v>5.3150000000000963</v>
      </c>
      <c r="AP62" s="64">
        <v>0</v>
      </c>
      <c r="AQ62" s="115">
        <v>0</v>
      </c>
      <c r="AR62" s="63">
        <f t="shared" si="197"/>
        <v>5.3150000000000963</v>
      </c>
      <c r="AS62" s="64">
        <v>0</v>
      </c>
      <c r="AT62" s="115">
        <v>0</v>
      </c>
      <c r="AU62" s="63">
        <f t="shared" si="232"/>
        <v>5.3150000000000963</v>
      </c>
      <c r="AV62" s="64">
        <v>0</v>
      </c>
      <c r="AW62" s="115">
        <v>0</v>
      </c>
      <c r="AX62" s="63">
        <f t="shared" si="198"/>
        <v>5.3150000000000963</v>
      </c>
      <c r="AY62" s="64">
        <v>-4.2999999999999997E-2</v>
      </c>
      <c r="AZ62" s="115">
        <v>0</v>
      </c>
      <c r="BA62" s="63">
        <f t="shared" si="199"/>
        <v>5.2720000000000962</v>
      </c>
      <c r="BB62" s="64">
        <v>0</v>
      </c>
      <c r="BC62" s="115">
        <v>0</v>
      </c>
      <c r="BD62" s="63">
        <v>5.2830000000000004</v>
      </c>
      <c r="BE62" s="64">
        <v>-0.01</v>
      </c>
      <c r="BF62" s="115">
        <v>0</v>
      </c>
      <c r="BG62" s="63">
        <v>5.2729999999999997</v>
      </c>
      <c r="BH62" s="64">
        <v>0</v>
      </c>
      <c r="BI62" s="115">
        <v>0</v>
      </c>
      <c r="BJ62" s="63">
        <f t="shared" si="200"/>
        <v>5.2729999999999997</v>
      </c>
      <c r="BK62" s="64">
        <v>0</v>
      </c>
      <c r="BL62" s="115">
        <v>0</v>
      </c>
      <c r="BM62" s="63">
        <f t="shared" si="201"/>
        <v>5.2729999999999997</v>
      </c>
      <c r="BN62" s="64">
        <v>0</v>
      </c>
      <c r="BO62" s="115">
        <v>0</v>
      </c>
      <c r="BP62" s="63">
        <f t="shared" si="202"/>
        <v>5.2729999999999997</v>
      </c>
      <c r="BQ62" s="64">
        <v>0</v>
      </c>
      <c r="BR62" s="115">
        <v>0</v>
      </c>
      <c r="BS62" s="63">
        <f t="shared" si="203"/>
        <v>5.2729999999999997</v>
      </c>
      <c r="BT62" s="64">
        <v>0</v>
      </c>
      <c r="BU62" s="115">
        <v>0</v>
      </c>
      <c r="BV62" s="63">
        <f t="shared" si="204"/>
        <v>5.2729999999999997</v>
      </c>
      <c r="BW62" s="64">
        <v>0</v>
      </c>
      <c r="BX62" s="115">
        <v>0</v>
      </c>
      <c r="BY62" s="63">
        <f t="shared" si="205"/>
        <v>5.2729999999999997</v>
      </c>
      <c r="BZ62" s="64">
        <v>0</v>
      </c>
      <c r="CA62" s="115">
        <v>0</v>
      </c>
      <c r="CB62" s="63">
        <f t="shared" si="206"/>
        <v>5.2729999999999997</v>
      </c>
      <c r="CC62" s="64">
        <v>0</v>
      </c>
      <c r="CD62" s="115">
        <v>0</v>
      </c>
      <c r="CE62" s="63">
        <f t="shared" si="207"/>
        <v>5.2729999999999997</v>
      </c>
      <c r="CF62" s="64">
        <v>0</v>
      </c>
      <c r="CG62" s="115">
        <v>0</v>
      </c>
      <c r="CH62" s="63">
        <f t="shared" si="208"/>
        <v>5.2729999999999997</v>
      </c>
      <c r="CI62" s="64">
        <v>0</v>
      </c>
      <c r="CJ62" s="115">
        <v>0</v>
      </c>
      <c r="CK62" s="69">
        <f t="shared" si="209"/>
        <v>5.2729999999999997</v>
      </c>
      <c r="CL62" s="70">
        <v>0</v>
      </c>
      <c r="CM62" s="118">
        <v>0</v>
      </c>
      <c r="CN62" s="63">
        <f t="shared" si="210"/>
        <v>5.2729999999999997</v>
      </c>
      <c r="CO62" s="64">
        <v>0</v>
      </c>
      <c r="CP62" s="115">
        <v>0</v>
      </c>
      <c r="CQ62" s="63">
        <f t="shared" si="211"/>
        <v>5.2729999999999997</v>
      </c>
      <c r="CR62" s="64">
        <v>0</v>
      </c>
      <c r="CS62" s="115">
        <v>0</v>
      </c>
      <c r="CT62" s="69">
        <f t="shared" si="212"/>
        <v>5.2729999999999997</v>
      </c>
      <c r="CU62" s="81">
        <v>-3.2000000000000001E-2</v>
      </c>
      <c r="CV62" s="115">
        <v>0</v>
      </c>
      <c r="CW62" s="63">
        <f t="shared" si="213"/>
        <v>5.2409999999999997</v>
      </c>
      <c r="CX62" s="64">
        <v>0</v>
      </c>
      <c r="CY62" s="115">
        <v>0</v>
      </c>
      <c r="CZ62" s="63">
        <f t="shared" si="214"/>
        <v>5.2409999999999997</v>
      </c>
      <c r="DA62" s="64">
        <v>0</v>
      </c>
      <c r="DB62" s="115">
        <v>0</v>
      </c>
      <c r="DC62" s="63">
        <f t="shared" si="215"/>
        <v>5.2409999999999997</v>
      </c>
      <c r="DD62" s="64">
        <v>0</v>
      </c>
      <c r="DE62" s="115">
        <v>0</v>
      </c>
      <c r="DF62" s="63">
        <f t="shared" si="216"/>
        <v>5.2409999999999997</v>
      </c>
      <c r="DG62" s="64">
        <v>0</v>
      </c>
      <c r="DH62" s="115">
        <v>1.512</v>
      </c>
      <c r="DI62" s="63">
        <f t="shared" si="217"/>
        <v>3.7289999999999996</v>
      </c>
      <c r="DJ62" s="64">
        <v>0</v>
      </c>
      <c r="DK62" s="115">
        <v>0</v>
      </c>
      <c r="DL62" s="63">
        <f t="shared" si="218"/>
        <v>3.7289999999999996</v>
      </c>
      <c r="DM62" s="64">
        <v>0</v>
      </c>
      <c r="DN62" s="115">
        <v>0</v>
      </c>
      <c r="DO62" s="63">
        <f t="shared" si="219"/>
        <v>3.7289999999999996</v>
      </c>
      <c r="DP62" s="64">
        <v>0</v>
      </c>
      <c r="DQ62" s="115">
        <v>0</v>
      </c>
      <c r="DR62" s="63">
        <f t="shared" si="220"/>
        <v>3.7289999999999996</v>
      </c>
      <c r="DS62" s="64">
        <v>0</v>
      </c>
      <c r="DT62" s="115">
        <v>0</v>
      </c>
      <c r="DU62" s="63">
        <f t="shared" si="221"/>
        <v>3.7289999999999996</v>
      </c>
      <c r="DV62" s="64">
        <v>0</v>
      </c>
      <c r="DW62" s="115">
        <v>0</v>
      </c>
      <c r="DX62" s="744">
        <f t="shared" si="222"/>
        <v>3.7289999999999996</v>
      </c>
      <c r="DY62" s="64">
        <v>0</v>
      </c>
      <c r="DZ62" s="115">
        <v>1.008</v>
      </c>
      <c r="EA62" s="63">
        <f t="shared" si="223"/>
        <v>2.7209999999999996</v>
      </c>
      <c r="EB62" s="64">
        <v>0</v>
      </c>
      <c r="EC62" s="115">
        <v>0</v>
      </c>
      <c r="ED62" s="63">
        <f t="shared" si="224"/>
        <v>2.7209999999999996</v>
      </c>
      <c r="EE62" s="64">
        <v>0</v>
      </c>
      <c r="EF62" s="115">
        <v>0</v>
      </c>
      <c r="EG62" s="744">
        <f t="shared" si="225"/>
        <v>2.7209999999999996</v>
      </c>
      <c r="EH62" s="64">
        <v>0</v>
      </c>
      <c r="EI62" s="115">
        <v>0</v>
      </c>
      <c r="EJ62" s="63">
        <f t="shared" si="226"/>
        <v>2.7209999999999996</v>
      </c>
      <c r="EK62" s="64">
        <v>0</v>
      </c>
      <c r="EL62" s="115">
        <v>0</v>
      </c>
      <c r="EM62" s="63">
        <f t="shared" si="227"/>
        <v>2.7209999999999996</v>
      </c>
      <c r="EN62" s="64">
        <v>0</v>
      </c>
      <c r="EO62" s="115">
        <v>0</v>
      </c>
      <c r="EP62" s="744">
        <f t="shared" si="228"/>
        <v>2.7209999999999996</v>
      </c>
      <c r="EQ62" s="64">
        <v>0</v>
      </c>
      <c r="ER62" s="115">
        <v>0</v>
      </c>
      <c r="ES62" s="744">
        <f t="shared" si="229"/>
        <v>2.7209999999999996</v>
      </c>
      <c r="ET62" s="64">
        <v>0</v>
      </c>
      <c r="EU62" s="115">
        <v>0</v>
      </c>
      <c r="EV62" s="744">
        <f t="shared" si="230"/>
        <v>2.7209999999999996</v>
      </c>
      <c r="EW62" s="64">
        <v>0</v>
      </c>
      <c r="EX62" s="115">
        <v>0</v>
      </c>
      <c r="EY62" s="744">
        <f t="shared" si="231"/>
        <v>2.7209999999999996</v>
      </c>
    </row>
    <row r="63" spans="1:155" ht="19.5" collapsed="1">
      <c r="A63" s="217"/>
      <c r="B63" s="780" t="s">
        <v>52</v>
      </c>
      <c r="C63" s="228">
        <v>100458604</v>
      </c>
      <c r="D63" s="138" t="s">
        <v>352</v>
      </c>
      <c r="E63" s="218"/>
      <c r="F63" s="78"/>
      <c r="G63" s="79"/>
      <c r="H63" s="218"/>
      <c r="I63" s="78">
        <v>0</v>
      </c>
      <c r="J63" s="79">
        <v>0</v>
      </c>
      <c r="K63" s="218">
        <f t="shared" si="186"/>
        <v>0</v>
      </c>
      <c r="L63" s="78">
        <v>0</v>
      </c>
      <c r="M63" s="79">
        <v>0</v>
      </c>
      <c r="N63" s="218">
        <f t="shared" si="187"/>
        <v>0</v>
      </c>
      <c r="O63" s="78">
        <v>1.19</v>
      </c>
      <c r="P63" s="79">
        <v>1.19</v>
      </c>
      <c r="Q63" s="218">
        <f t="shared" si="188"/>
        <v>0</v>
      </c>
      <c r="R63" s="78">
        <v>1.28</v>
      </c>
      <c r="S63" s="79">
        <v>1.28</v>
      </c>
      <c r="T63" s="218">
        <f t="shared" si="189"/>
        <v>0</v>
      </c>
      <c r="U63" s="78">
        <v>0.105</v>
      </c>
      <c r="V63" s="79">
        <v>0.105</v>
      </c>
      <c r="W63" s="218">
        <f t="shared" si="190"/>
        <v>0</v>
      </c>
      <c r="X63" s="78">
        <v>3.0409999999999999</v>
      </c>
      <c r="Y63" s="79">
        <v>3.0409999999999999</v>
      </c>
      <c r="Z63" s="218">
        <f t="shared" si="191"/>
        <v>0</v>
      </c>
      <c r="AA63" s="67">
        <v>8.09</v>
      </c>
      <c r="AB63" s="68">
        <v>1.05</v>
      </c>
      <c r="AC63" s="219">
        <f t="shared" si="192"/>
        <v>7.04</v>
      </c>
      <c r="AD63" s="67">
        <v>26.497</v>
      </c>
      <c r="AE63" s="67">
        <v>9.9060000000000006</v>
      </c>
      <c r="AF63" s="219">
        <f t="shared" si="193"/>
        <v>23.631</v>
      </c>
      <c r="AG63" s="67">
        <v>107.336</v>
      </c>
      <c r="AH63" s="67">
        <v>81.900000000000006</v>
      </c>
      <c r="AI63" s="219">
        <f t="shared" si="194"/>
        <v>49.066999999999979</v>
      </c>
      <c r="AJ63" s="67">
        <v>47.527999999999999</v>
      </c>
      <c r="AK63" s="67">
        <v>92.679000000000002</v>
      </c>
      <c r="AL63" s="219">
        <f t="shared" si="195"/>
        <v>3.9159999999999684</v>
      </c>
      <c r="AM63" s="67">
        <v>35.700000000000003</v>
      </c>
      <c r="AN63" s="67">
        <v>8.82</v>
      </c>
      <c r="AO63" s="219">
        <f t="shared" si="196"/>
        <v>30.795999999999971</v>
      </c>
      <c r="AP63" s="64">
        <v>257.17700000000002</v>
      </c>
      <c r="AQ63" s="67">
        <v>267.89</v>
      </c>
      <c r="AR63" s="219">
        <f t="shared" si="197"/>
        <v>20.083000000000027</v>
      </c>
      <c r="AS63" s="67">
        <v>296.63499999999999</v>
      </c>
      <c r="AT63" s="67">
        <v>303.7</v>
      </c>
      <c r="AU63" s="219">
        <f t="shared" si="232"/>
        <v>13.018000000000029</v>
      </c>
      <c r="AV63" s="67">
        <v>149.1</v>
      </c>
      <c r="AW63" s="67">
        <v>153.08699999999999</v>
      </c>
      <c r="AX63" s="219">
        <f t="shared" si="198"/>
        <v>9.0310000000000343</v>
      </c>
      <c r="AY63" s="67">
        <v>243.30500000000001</v>
      </c>
      <c r="AZ63" s="67">
        <v>232.93299999999999</v>
      </c>
      <c r="BA63" s="219">
        <f t="shared" si="199"/>
        <v>19.403000000000048</v>
      </c>
      <c r="BB63" s="67">
        <v>320.93</v>
      </c>
      <c r="BC63" s="67">
        <v>288.87</v>
      </c>
      <c r="BD63" s="219">
        <v>51.462000000000003</v>
      </c>
      <c r="BE63" s="67">
        <v>489.50700000000001</v>
      </c>
      <c r="BF63" s="67">
        <v>491.74599999999998</v>
      </c>
      <c r="BG63" s="219">
        <f t="shared" ref="BG63:BG68" si="233">(BD63+BE63)-(BF63)</f>
        <v>49.22300000000007</v>
      </c>
      <c r="BH63" s="67">
        <v>495.11</v>
      </c>
      <c r="BI63" s="67">
        <v>497.7</v>
      </c>
      <c r="BJ63" s="219">
        <f t="shared" si="200"/>
        <v>46.633000000000095</v>
      </c>
      <c r="BK63" s="67">
        <v>597.12699999999995</v>
      </c>
      <c r="BL63" s="67">
        <v>602.05100000000004</v>
      </c>
      <c r="BM63" s="219">
        <f t="shared" si="201"/>
        <v>41.708999999999946</v>
      </c>
      <c r="BN63" s="67">
        <v>650.04499999999996</v>
      </c>
      <c r="BO63" s="67">
        <v>604.76900000000001</v>
      </c>
      <c r="BP63" s="219">
        <f t="shared" si="202"/>
        <v>86.9849999999999</v>
      </c>
      <c r="BQ63" s="64">
        <v>481.26799999999997</v>
      </c>
      <c r="BR63" s="64">
        <v>502.74</v>
      </c>
      <c r="BS63" s="219">
        <f t="shared" si="203"/>
        <v>65.51299999999992</v>
      </c>
      <c r="BT63" s="67">
        <v>384.02800000000002</v>
      </c>
      <c r="BU63" s="67">
        <v>362.46</v>
      </c>
      <c r="BV63" s="219">
        <f t="shared" si="204"/>
        <v>87.08099999999996</v>
      </c>
      <c r="BW63" s="67">
        <v>367.24200000000002</v>
      </c>
      <c r="BX63" s="67">
        <v>113.142</v>
      </c>
      <c r="BY63" s="219">
        <f t="shared" si="205"/>
        <v>341.18099999999998</v>
      </c>
      <c r="BZ63" s="67">
        <v>331.26</v>
      </c>
      <c r="CA63" s="67">
        <v>189.02</v>
      </c>
      <c r="CB63" s="219">
        <f t="shared" si="206"/>
        <v>483.42100000000005</v>
      </c>
      <c r="CC63" s="67">
        <v>405.78300000000002</v>
      </c>
      <c r="CD63" s="67">
        <v>435.67399999999998</v>
      </c>
      <c r="CE63" s="219">
        <f t="shared" si="207"/>
        <v>453.53000000000009</v>
      </c>
      <c r="CF63" s="67">
        <v>253.89</v>
      </c>
      <c r="CG63" s="64">
        <v>548.1</v>
      </c>
      <c r="CH63" s="219">
        <f t="shared" si="208"/>
        <v>159.32000000000005</v>
      </c>
      <c r="CI63" s="67">
        <v>224.12100000000001</v>
      </c>
      <c r="CJ63" s="64">
        <v>283.44600000000003</v>
      </c>
      <c r="CK63" s="220">
        <f t="shared" si="209"/>
        <v>99.995000000000005</v>
      </c>
      <c r="CL63" s="70">
        <v>211.56</v>
      </c>
      <c r="CM63" s="221">
        <v>134.69999999999999</v>
      </c>
      <c r="CN63" s="187">
        <f t="shared" si="210"/>
        <v>176.85500000000002</v>
      </c>
      <c r="CO63" s="64">
        <v>278.88</v>
      </c>
      <c r="CP63" s="67">
        <v>170.1</v>
      </c>
      <c r="CQ63" s="219">
        <f t="shared" si="211"/>
        <v>285.63499999999999</v>
      </c>
      <c r="CR63" s="67">
        <v>237.71</v>
      </c>
      <c r="CS63" s="67">
        <f>320.4-40.331</f>
        <v>280.06899999999996</v>
      </c>
      <c r="CT63" s="222">
        <f t="shared" si="212"/>
        <v>243.27600000000007</v>
      </c>
      <c r="CU63" s="73">
        <v>224.12799999999999</v>
      </c>
      <c r="CV63" s="67">
        <v>36.823</v>
      </c>
      <c r="CW63" s="219">
        <f t="shared" si="213"/>
        <v>430.58100000000007</v>
      </c>
      <c r="CX63" s="67">
        <v>133.71100000000001</v>
      </c>
      <c r="CY63" s="67">
        <v>234.36</v>
      </c>
      <c r="CZ63" s="219">
        <f t="shared" si="214"/>
        <v>329.93200000000013</v>
      </c>
      <c r="DA63" s="67">
        <v>151.666</v>
      </c>
      <c r="DB63" s="67">
        <v>155.59</v>
      </c>
      <c r="DC63" s="219">
        <f t="shared" si="215"/>
        <v>326.00800000000015</v>
      </c>
      <c r="DD63" s="67">
        <v>234.93799999999999</v>
      </c>
      <c r="DE63" s="67">
        <v>233.678</v>
      </c>
      <c r="DF63" s="219">
        <f t="shared" si="216"/>
        <v>327.26800000000014</v>
      </c>
      <c r="DG63" s="67">
        <v>224.572</v>
      </c>
      <c r="DH63" s="64">
        <f>321.3-113.4</f>
        <v>207.9</v>
      </c>
      <c r="DI63" s="219">
        <f t="shared" si="217"/>
        <v>343.94000000000017</v>
      </c>
      <c r="DJ63" s="67">
        <v>80.992000000000004</v>
      </c>
      <c r="DK63" s="64">
        <v>379.88200000000001</v>
      </c>
      <c r="DL63" s="187">
        <f t="shared" si="218"/>
        <v>45.050000000000182</v>
      </c>
      <c r="DM63" s="64">
        <v>211.465</v>
      </c>
      <c r="DN63" s="64">
        <v>90.72</v>
      </c>
      <c r="DO63" s="187">
        <f t="shared" si="219"/>
        <v>165.79500000000021</v>
      </c>
      <c r="DP63" s="67">
        <v>258.37</v>
      </c>
      <c r="DQ63" s="67">
        <v>295.31200000000001</v>
      </c>
      <c r="DR63" s="219">
        <f t="shared" si="220"/>
        <v>128.85300000000018</v>
      </c>
      <c r="DS63" s="67">
        <v>178.5</v>
      </c>
      <c r="DT63" s="67">
        <v>219.24</v>
      </c>
      <c r="DU63" s="219">
        <f t="shared" si="221"/>
        <v>88.11300000000017</v>
      </c>
      <c r="DV63" s="67">
        <v>156.6</v>
      </c>
      <c r="DW63" s="64">
        <v>132.30000000000001</v>
      </c>
      <c r="DX63" s="753">
        <f t="shared" si="222"/>
        <v>112.41300000000015</v>
      </c>
      <c r="DY63" s="64">
        <v>161.56</v>
      </c>
      <c r="DZ63" s="64">
        <v>75.599999999999994</v>
      </c>
      <c r="EA63" s="219">
        <f t="shared" si="223"/>
        <v>198.37300000000019</v>
      </c>
      <c r="EB63" s="64">
        <v>13.44</v>
      </c>
      <c r="EC63" s="64">
        <v>64.259999999999991</v>
      </c>
      <c r="ED63" s="187">
        <f t="shared" si="224"/>
        <v>147.5530000000002</v>
      </c>
      <c r="EE63" s="64">
        <v>0.05</v>
      </c>
      <c r="EF63" s="821">
        <v>109.996</v>
      </c>
      <c r="EG63" s="778">
        <f t="shared" si="225"/>
        <v>37.607000000000212</v>
      </c>
      <c r="EH63" s="64">
        <v>53</v>
      </c>
      <c r="EI63" s="64">
        <v>18.899999999999999</v>
      </c>
      <c r="EJ63" s="187">
        <f t="shared" si="226"/>
        <v>71.707000000000221</v>
      </c>
      <c r="EK63" s="64">
        <v>63</v>
      </c>
      <c r="EL63" s="821">
        <v>7.6</v>
      </c>
      <c r="EM63" s="219">
        <f t="shared" si="227"/>
        <v>127.10700000000023</v>
      </c>
      <c r="EN63" s="64">
        <v>63</v>
      </c>
      <c r="EO63" s="822">
        <v>64.3</v>
      </c>
      <c r="EP63" s="753">
        <f t="shared" si="228"/>
        <v>125.80700000000023</v>
      </c>
      <c r="EQ63" s="64">
        <v>63</v>
      </c>
      <c r="ER63" s="67">
        <v>90</v>
      </c>
      <c r="ES63" s="753">
        <f t="shared" si="229"/>
        <v>98.807000000000244</v>
      </c>
      <c r="ET63" s="64">
        <v>63</v>
      </c>
      <c r="EU63" s="67">
        <v>90</v>
      </c>
      <c r="EV63" s="753">
        <f t="shared" si="230"/>
        <v>71.807000000000244</v>
      </c>
      <c r="EW63" s="64">
        <v>8</v>
      </c>
      <c r="EX63" s="822">
        <v>79.8</v>
      </c>
      <c r="EY63" s="753">
        <f t="shared" si="231"/>
        <v>7.0000000002465868E-3</v>
      </c>
    </row>
    <row r="64" spans="1:155" ht="19.5" hidden="1">
      <c r="A64" s="217"/>
      <c r="B64" s="184"/>
      <c r="C64" s="207">
        <v>100458766</v>
      </c>
      <c r="D64" s="208" t="s">
        <v>353</v>
      </c>
      <c r="E64" s="218"/>
      <c r="F64" s="78"/>
      <c r="G64" s="79"/>
      <c r="H64" s="218"/>
      <c r="I64" s="78">
        <v>0</v>
      </c>
      <c r="J64" s="79">
        <v>0</v>
      </c>
      <c r="K64" s="77">
        <f t="shared" si="186"/>
        <v>0</v>
      </c>
      <c r="L64" s="78">
        <v>0</v>
      </c>
      <c r="M64" s="79">
        <v>0</v>
      </c>
      <c r="N64" s="77">
        <f t="shared" si="187"/>
        <v>0</v>
      </c>
      <c r="O64" s="78">
        <v>1.363</v>
      </c>
      <c r="P64" s="79">
        <v>1.363</v>
      </c>
      <c r="Q64" s="218">
        <f t="shared" si="188"/>
        <v>0</v>
      </c>
      <c r="R64" s="78">
        <v>0.50600000000000001</v>
      </c>
      <c r="S64" s="79">
        <v>0.50600000000000001</v>
      </c>
      <c r="T64" s="218">
        <f t="shared" si="189"/>
        <v>0</v>
      </c>
      <c r="U64" s="78">
        <v>1.4890000000000001</v>
      </c>
      <c r="V64" s="79">
        <v>1.4890000000000001</v>
      </c>
      <c r="W64" s="218">
        <f t="shared" si="190"/>
        <v>0</v>
      </c>
      <c r="X64" s="78">
        <v>1.7210000000000001</v>
      </c>
      <c r="Y64" s="79">
        <v>1.3169999999999999</v>
      </c>
      <c r="Z64" s="218">
        <f t="shared" si="191"/>
        <v>0.40400000000000014</v>
      </c>
      <c r="AA64" s="67">
        <v>46.368000000000002</v>
      </c>
      <c r="AB64" s="68">
        <v>20.059999999999999</v>
      </c>
      <c r="AC64" s="219">
        <f t="shared" si="192"/>
        <v>26.712000000000007</v>
      </c>
      <c r="AD64" s="67">
        <v>306.26900000000001</v>
      </c>
      <c r="AE64" s="67">
        <v>256.404</v>
      </c>
      <c r="AF64" s="219">
        <f t="shared" si="193"/>
        <v>76.576999999999998</v>
      </c>
      <c r="AG64" s="67">
        <v>382.56700000000001</v>
      </c>
      <c r="AH64" s="67">
        <v>400.428</v>
      </c>
      <c r="AI64" s="219">
        <f t="shared" si="194"/>
        <v>58.716000000000008</v>
      </c>
      <c r="AJ64" s="67">
        <v>270.536</v>
      </c>
      <c r="AK64" s="67">
        <v>320.07499999999999</v>
      </c>
      <c r="AL64" s="219">
        <f t="shared" si="195"/>
        <v>9.1770000000000209</v>
      </c>
      <c r="AM64" s="67">
        <v>266.41199999999998</v>
      </c>
      <c r="AN64" s="67">
        <v>229.29499999999999</v>
      </c>
      <c r="AO64" s="219">
        <f t="shared" si="196"/>
        <v>46.294000000000011</v>
      </c>
      <c r="AP64" s="64">
        <v>503.38299999999998</v>
      </c>
      <c r="AQ64" s="67">
        <v>536.899</v>
      </c>
      <c r="AR64" s="219">
        <f t="shared" si="197"/>
        <v>12.77800000000002</v>
      </c>
      <c r="AS64" s="67">
        <v>642.16999999999996</v>
      </c>
      <c r="AT64" s="67">
        <v>623.95100000000002</v>
      </c>
      <c r="AU64" s="219">
        <f t="shared" si="232"/>
        <v>30.996999999999957</v>
      </c>
      <c r="AV64" s="67">
        <v>381.78</v>
      </c>
      <c r="AW64" s="67">
        <v>395.892</v>
      </c>
      <c r="AX64" s="219">
        <f t="shared" si="198"/>
        <v>16.884999999999934</v>
      </c>
      <c r="AY64" s="67">
        <v>649.31100000000004</v>
      </c>
      <c r="AZ64" s="67">
        <v>647.29600000000005</v>
      </c>
      <c r="BA64" s="219">
        <f t="shared" si="199"/>
        <v>18.899999999999864</v>
      </c>
      <c r="BB64" s="67">
        <v>791.96799999999996</v>
      </c>
      <c r="BC64" s="67">
        <v>782.14</v>
      </c>
      <c r="BD64" s="219">
        <v>28.728000000000002</v>
      </c>
      <c r="BE64" s="67">
        <v>513.35900000000004</v>
      </c>
      <c r="BF64" s="67">
        <v>514.27</v>
      </c>
      <c r="BG64" s="219">
        <f t="shared" si="233"/>
        <v>27.817000000000007</v>
      </c>
      <c r="BH64" s="67">
        <v>-0.42299999999999999</v>
      </c>
      <c r="BI64" s="67">
        <v>2.577</v>
      </c>
      <c r="BJ64" s="219">
        <f t="shared" si="200"/>
        <v>24.817000000000007</v>
      </c>
      <c r="BK64" s="67">
        <v>0</v>
      </c>
      <c r="BL64" s="67">
        <v>-2.5999999999999999E-2</v>
      </c>
      <c r="BM64" s="219">
        <f t="shared" si="201"/>
        <v>24.843000000000007</v>
      </c>
      <c r="BN64" s="67">
        <v>0</v>
      </c>
      <c r="BO64" s="67">
        <v>-1E-3</v>
      </c>
      <c r="BP64" s="219">
        <f t="shared" si="202"/>
        <v>24.844000000000008</v>
      </c>
      <c r="BQ64" s="67">
        <v>0</v>
      </c>
      <c r="BR64" s="67">
        <v>0</v>
      </c>
      <c r="BS64" s="219">
        <f t="shared" si="203"/>
        <v>24.844000000000008</v>
      </c>
      <c r="BT64" s="67">
        <v>0</v>
      </c>
      <c r="BU64" s="67">
        <v>0.6</v>
      </c>
      <c r="BV64" s="219">
        <f t="shared" si="204"/>
        <v>24.244000000000007</v>
      </c>
      <c r="BW64" s="67">
        <v>0</v>
      </c>
      <c r="BX64" s="67">
        <v>0</v>
      </c>
      <c r="BY64" s="219">
        <f t="shared" si="205"/>
        <v>24.244000000000007</v>
      </c>
      <c r="BZ64" s="67">
        <v>0</v>
      </c>
      <c r="CA64" s="67">
        <v>0</v>
      </c>
      <c r="CB64" s="219">
        <f t="shared" si="206"/>
        <v>24.244000000000007</v>
      </c>
      <c r="CC64" s="67">
        <v>0</v>
      </c>
      <c r="CD64" s="67">
        <v>1.46</v>
      </c>
      <c r="CE64" s="219">
        <f t="shared" si="207"/>
        <v>22.784000000000006</v>
      </c>
      <c r="CF64" s="67">
        <v>0</v>
      </c>
      <c r="CG64" s="64">
        <v>0</v>
      </c>
      <c r="CH64" s="219">
        <f t="shared" si="208"/>
        <v>22.784000000000006</v>
      </c>
      <c r="CI64" s="67">
        <v>0</v>
      </c>
      <c r="CJ64" s="64">
        <v>0</v>
      </c>
      <c r="CK64" s="220">
        <f t="shared" si="209"/>
        <v>22.784000000000006</v>
      </c>
      <c r="CL64" s="70">
        <v>0</v>
      </c>
      <c r="CM64" s="221">
        <v>0</v>
      </c>
      <c r="CN64" s="187">
        <f t="shared" si="210"/>
        <v>22.784000000000006</v>
      </c>
      <c r="CO64" s="64">
        <v>0</v>
      </c>
      <c r="CP64" s="67">
        <v>1.46</v>
      </c>
      <c r="CQ64" s="219">
        <f t="shared" si="211"/>
        <v>21.324000000000005</v>
      </c>
      <c r="CR64" s="67">
        <v>0</v>
      </c>
      <c r="CS64" s="67">
        <v>-7.7880000000000003</v>
      </c>
      <c r="CT64" s="222">
        <f t="shared" si="212"/>
        <v>29.112000000000005</v>
      </c>
      <c r="CU64" s="73">
        <v>-3.2000000000000001E-2</v>
      </c>
      <c r="CV64" s="67">
        <v>0</v>
      </c>
      <c r="CW64" s="219">
        <f t="shared" si="213"/>
        <v>29.080000000000005</v>
      </c>
      <c r="CX64" s="67">
        <v>0</v>
      </c>
      <c r="CY64" s="67">
        <v>0</v>
      </c>
      <c r="CZ64" s="219">
        <f t="shared" si="214"/>
        <v>29.080000000000005</v>
      </c>
      <c r="DA64" s="67">
        <v>0</v>
      </c>
      <c r="DB64" s="67">
        <v>0</v>
      </c>
      <c r="DC64" s="219">
        <f t="shared" si="215"/>
        <v>29.080000000000005</v>
      </c>
      <c r="DD64" s="67">
        <v>0</v>
      </c>
      <c r="DE64" s="67">
        <v>0</v>
      </c>
      <c r="DF64" s="219">
        <f t="shared" si="216"/>
        <v>29.080000000000005</v>
      </c>
      <c r="DG64" s="67">
        <v>0</v>
      </c>
      <c r="DH64" s="67">
        <v>1.512</v>
      </c>
      <c r="DI64" s="219">
        <f t="shared" si="217"/>
        <v>27.568000000000005</v>
      </c>
      <c r="DJ64" s="67">
        <v>0</v>
      </c>
      <c r="DK64" s="67">
        <v>2.3079999999999998</v>
      </c>
      <c r="DL64" s="219">
        <f t="shared" si="218"/>
        <v>25.260000000000005</v>
      </c>
      <c r="DM64" s="67">
        <v>0</v>
      </c>
      <c r="DN64" s="67">
        <v>0</v>
      </c>
      <c r="DO64" s="187">
        <v>25.233000000000001</v>
      </c>
      <c r="DP64" s="67">
        <v>0</v>
      </c>
      <c r="DQ64" s="67">
        <v>0</v>
      </c>
      <c r="DR64" s="219">
        <f t="shared" si="220"/>
        <v>25.233000000000001</v>
      </c>
      <c r="DS64" s="67">
        <v>0</v>
      </c>
      <c r="DT64" s="67">
        <v>0</v>
      </c>
      <c r="DU64" s="219">
        <f t="shared" si="221"/>
        <v>25.233000000000001</v>
      </c>
      <c r="DV64" s="67">
        <v>0</v>
      </c>
      <c r="DW64" s="67">
        <v>0</v>
      </c>
      <c r="DX64" s="753">
        <f t="shared" si="222"/>
        <v>25.233000000000001</v>
      </c>
      <c r="DY64" s="64">
        <v>0</v>
      </c>
      <c r="DZ64" s="64">
        <v>0</v>
      </c>
      <c r="EA64" s="219">
        <f t="shared" si="223"/>
        <v>25.233000000000001</v>
      </c>
      <c r="EB64" s="64">
        <v>0</v>
      </c>
      <c r="EC64" s="64">
        <v>0</v>
      </c>
      <c r="ED64" s="187">
        <f t="shared" si="224"/>
        <v>25.233000000000001</v>
      </c>
      <c r="EE64" s="64">
        <v>0</v>
      </c>
      <c r="EF64" s="64">
        <v>0</v>
      </c>
      <c r="EG64" s="778">
        <f t="shared" si="225"/>
        <v>25.233000000000001</v>
      </c>
      <c r="EH64" s="64">
        <v>0</v>
      </c>
      <c r="EI64" s="64">
        <v>0</v>
      </c>
      <c r="EJ64" s="187">
        <f t="shared" si="226"/>
        <v>25.233000000000001</v>
      </c>
      <c r="EK64" s="64">
        <v>0</v>
      </c>
      <c r="EL64" s="64">
        <v>0</v>
      </c>
      <c r="EM64" s="219">
        <f t="shared" si="227"/>
        <v>25.233000000000001</v>
      </c>
      <c r="EN64" s="64">
        <v>0</v>
      </c>
      <c r="EO64" s="67">
        <v>0</v>
      </c>
      <c r="EP64" s="753">
        <f t="shared" si="228"/>
        <v>25.233000000000001</v>
      </c>
      <c r="EQ64" s="64">
        <v>0</v>
      </c>
      <c r="ER64" s="67">
        <v>0</v>
      </c>
      <c r="ES64" s="753">
        <f t="shared" si="229"/>
        <v>25.233000000000001</v>
      </c>
      <c r="ET64" s="64">
        <v>0</v>
      </c>
      <c r="EU64" s="67">
        <v>0</v>
      </c>
      <c r="EV64" s="753">
        <f t="shared" si="230"/>
        <v>25.233000000000001</v>
      </c>
      <c r="EW64" s="64">
        <v>0</v>
      </c>
      <c r="EX64" s="67">
        <v>0</v>
      </c>
      <c r="EY64" s="753">
        <f t="shared" si="231"/>
        <v>25.233000000000001</v>
      </c>
    </row>
    <row r="65" spans="1:155" ht="19.5" hidden="1">
      <c r="A65" s="217"/>
      <c r="B65" s="211"/>
      <c r="C65" s="207">
        <v>100458709</v>
      </c>
      <c r="D65" s="208" t="s">
        <v>354</v>
      </c>
      <c r="E65" s="218"/>
      <c r="F65" s="78"/>
      <c r="G65" s="79"/>
      <c r="H65" s="218"/>
      <c r="I65" s="78">
        <v>0</v>
      </c>
      <c r="J65" s="79">
        <v>0</v>
      </c>
      <c r="K65" s="77">
        <f t="shared" si="186"/>
        <v>0</v>
      </c>
      <c r="L65" s="78">
        <v>0</v>
      </c>
      <c r="M65" s="79">
        <v>0</v>
      </c>
      <c r="N65" s="77">
        <f t="shared" si="187"/>
        <v>0</v>
      </c>
      <c r="O65" s="78">
        <v>1.143</v>
      </c>
      <c r="P65" s="79">
        <v>1.143</v>
      </c>
      <c r="Q65" s="218">
        <f t="shared" si="188"/>
        <v>0</v>
      </c>
      <c r="R65" s="78">
        <v>1.1739999999999999</v>
      </c>
      <c r="S65" s="79">
        <v>1.1739999999999999</v>
      </c>
      <c r="T65" s="218">
        <f t="shared" si="189"/>
        <v>0</v>
      </c>
      <c r="U65" s="78">
        <v>0.13200000000000001</v>
      </c>
      <c r="V65" s="79">
        <v>0.13200000000000001</v>
      </c>
      <c r="W65" s="218">
        <f t="shared" si="190"/>
        <v>0</v>
      </c>
      <c r="X65" s="78">
        <v>1.6040000000000001</v>
      </c>
      <c r="Y65" s="79">
        <v>1.6040000000000001</v>
      </c>
      <c r="Z65" s="218">
        <f t="shared" si="191"/>
        <v>0</v>
      </c>
      <c r="AA65" s="67">
        <v>23.47</v>
      </c>
      <c r="AB65" s="68">
        <v>0.96</v>
      </c>
      <c r="AC65" s="219">
        <f t="shared" si="192"/>
        <v>22.509999999999998</v>
      </c>
      <c r="AD65" s="67">
        <v>21.21</v>
      </c>
      <c r="AE65" s="67">
        <v>11.337999999999999</v>
      </c>
      <c r="AF65" s="219">
        <f t="shared" si="193"/>
        <v>32.381999999999998</v>
      </c>
      <c r="AG65" s="67">
        <v>68.67</v>
      </c>
      <c r="AH65" s="67">
        <v>69.3</v>
      </c>
      <c r="AI65" s="219">
        <f t="shared" si="194"/>
        <v>31.751999999999995</v>
      </c>
      <c r="AJ65" s="67">
        <v>48.914000000000001</v>
      </c>
      <c r="AK65" s="67">
        <v>49.14</v>
      </c>
      <c r="AL65" s="219">
        <f t="shared" si="195"/>
        <v>31.525999999999996</v>
      </c>
      <c r="AM65" s="67">
        <v>0.21</v>
      </c>
      <c r="AN65" s="67">
        <v>23.94</v>
      </c>
      <c r="AO65" s="219">
        <f t="shared" si="196"/>
        <v>7.7959999999999958</v>
      </c>
      <c r="AP65" s="64">
        <v>115.819</v>
      </c>
      <c r="AQ65" s="67">
        <v>101.64</v>
      </c>
      <c r="AR65" s="219">
        <f t="shared" si="197"/>
        <v>21.974999999999994</v>
      </c>
      <c r="AS65" s="67">
        <v>128.72999999999999</v>
      </c>
      <c r="AT65" s="67">
        <v>146.18</v>
      </c>
      <c r="AU65" s="219">
        <f t="shared" si="232"/>
        <v>4.5249999999999773</v>
      </c>
      <c r="AV65" s="67">
        <v>108.15</v>
      </c>
      <c r="AW65" s="67">
        <v>103.32</v>
      </c>
      <c r="AX65" s="219">
        <f t="shared" si="198"/>
        <v>9.3549999999999898</v>
      </c>
      <c r="AY65" s="67">
        <v>150.03800000000001</v>
      </c>
      <c r="AZ65" s="67">
        <v>109.458</v>
      </c>
      <c r="BA65" s="219">
        <f t="shared" si="199"/>
        <v>49.935000000000002</v>
      </c>
      <c r="BB65" s="67">
        <v>146.70699999999999</v>
      </c>
      <c r="BC65" s="67">
        <v>174.17</v>
      </c>
      <c r="BD65" s="219">
        <v>22.47</v>
      </c>
      <c r="BE65" s="67">
        <v>152.27199999999999</v>
      </c>
      <c r="BF65" s="67">
        <v>124.55200000000001</v>
      </c>
      <c r="BG65" s="219">
        <f t="shared" si="233"/>
        <v>50.189999999999984</v>
      </c>
      <c r="BH65" s="67">
        <v>132.72</v>
      </c>
      <c r="BI65" s="67">
        <v>139.86000000000001</v>
      </c>
      <c r="BJ65" s="219">
        <f t="shared" si="200"/>
        <v>43.049999999999955</v>
      </c>
      <c r="BK65" s="67">
        <v>132.72</v>
      </c>
      <c r="BL65" s="67">
        <v>52.94</v>
      </c>
      <c r="BM65" s="219">
        <f t="shared" si="201"/>
        <v>122.82999999999996</v>
      </c>
      <c r="BN65" s="67">
        <v>62.023000000000003</v>
      </c>
      <c r="BO65" s="67">
        <v>98.28</v>
      </c>
      <c r="BP65" s="219">
        <f t="shared" si="202"/>
        <v>86.572999999999951</v>
      </c>
      <c r="BQ65" s="64">
        <v>0</v>
      </c>
      <c r="BR65" s="67">
        <v>30.24</v>
      </c>
      <c r="BS65" s="219">
        <f t="shared" si="203"/>
        <v>56.332999999999956</v>
      </c>
      <c r="BT65" s="67">
        <v>53.34</v>
      </c>
      <c r="BU65" s="67">
        <v>0</v>
      </c>
      <c r="BV65" s="219">
        <f t="shared" si="204"/>
        <v>109.67299999999996</v>
      </c>
      <c r="BW65" s="67">
        <v>44.487000000000002</v>
      </c>
      <c r="BX65" s="67">
        <v>15.087</v>
      </c>
      <c r="BY65" s="219">
        <f t="shared" si="205"/>
        <v>139.07299999999998</v>
      </c>
      <c r="BZ65" s="67">
        <v>0</v>
      </c>
      <c r="CA65" s="67">
        <v>113.4</v>
      </c>
      <c r="CB65" s="219">
        <f t="shared" si="206"/>
        <v>25.672999999999973</v>
      </c>
      <c r="CC65" s="67">
        <v>24.582000000000001</v>
      </c>
      <c r="CD65" s="67">
        <v>14.922000000000001</v>
      </c>
      <c r="CE65" s="219">
        <f t="shared" si="207"/>
        <v>35.33299999999997</v>
      </c>
      <c r="CF65" s="67">
        <v>93.87</v>
      </c>
      <c r="CG65" s="115">
        <v>100.042</v>
      </c>
      <c r="CH65" s="219">
        <f t="shared" si="208"/>
        <v>29.160999999999973</v>
      </c>
      <c r="CI65" s="67">
        <v>95.905000000000001</v>
      </c>
      <c r="CJ65" s="64">
        <v>90.305000000000007</v>
      </c>
      <c r="CK65" s="220">
        <f t="shared" si="209"/>
        <v>34.760999999999967</v>
      </c>
      <c r="CL65" s="70">
        <v>28.14</v>
      </c>
      <c r="CM65" s="221">
        <v>34.893000000000001</v>
      </c>
      <c r="CN65" s="187">
        <f t="shared" si="210"/>
        <v>28.007999999999967</v>
      </c>
      <c r="CO65" s="64">
        <v>9.1</v>
      </c>
      <c r="CP65" s="67">
        <v>0</v>
      </c>
      <c r="CQ65" s="219">
        <f t="shared" si="211"/>
        <v>37.107999999999969</v>
      </c>
      <c r="CR65" s="67">
        <v>0</v>
      </c>
      <c r="CS65" s="67">
        <v>0</v>
      </c>
      <c r="CT65" s="222">
        <f t="shared" si="212"/>
        <v>37.107999999999969</v>
      </c>
      <c r="CU65" s="73">
        <v>0</v>
      </c>
      <c r="CV65" s="67">
        <v>-0.125</v>
      </c>
      <c r="CW65" s="219">
        <f t="shared" si="213"/>
        <v>37.232999999999969</v>
      </c>
      <c r="CX65" s="67">
        <v>0</v>
      </c>
      <c r="CY65" s="67">
        <v>0</v>
      </c>
      <c r="CZ65" s="219">
        <f t="shared" si="214"/>
        <v>37.232999999999969</v>
      </c>
      <c r="DA65" s="67">
        <v>0</v>
      </c>
      <c r="DB65" s="67">
        <v>0</v>
      </c>
      <c r="DC65" s="219">
        <f t="shared" si="215"/>
        <v>37.232999999999969</v>
      </c>
      <c r="DD65" s="67">
        <v>0</v>
      </c>
      <c r="DE65" s="67">
        <v>0</v>
      </c>
      <c r="DF65" s="219">
        <f t="shared" si="216"/>
        <v>37.232999999999969</v>
      </c>
      <c r="DG65" s="67">
        <v>0</v>
      </c>
      <c r="DH65" s="67">
        <v>0</v>
      </c>
      <c r="DI65" s="219">
        <f t="shared" si="217"/>
        <v>37.232999999999969</v>
      </c>
      <c r="DJ65" s="67">
        <v>0</v>
      </c>
      <c r="DK65" s="67">
        <v>0</v>
      </c>
      <c r="DL65" s="219">
        <f t="shared" si="218"/>
        <v>37.232999999999969</v>
      </c>
      <c r="DM65" s="67">
        <v>0</v>
      </c>
      <c r="DN65" s="67">
        <v>0</v>
      </c>
      <c r="DO65" s="187">
        <v>37.137</v>
      </c>
      <c r="DP65" s="67">
        <v>0</v>
      </c>
      <c r="DQ65" s="67">
        <v>0</v>
      </c>
      <c r="DR65" s="219">
        <f t="shared" si="220"/>
        <v>37.137</v>
      </c>
      <c r="DS65" s="67">
        <v>0</v>
      </c>
      <c r="DT65" s="67">
        <v>0</v>
      </c>
      <c r="DU65" s="219">
        <f t="shared" si="221"/>
        <v>37.137</v>
      </c>
      <c r="DV65" s="67">
        <v>0</v>
      </c>
      <c r="DW65" s="67">
        <v>0</v>
      </c>
      <c r="DX65" s="753">
        <f t="shared" si="222"/>
        <v>37.137</v>
      </c>
      <c r="DY65" s="64">
        <v>0</v>
      </c>
      <c r="DZ65" s="64">
        <v>0</v>
      </c>
      <c r="EA65" s="219">
        <f t="shared" si="223"/>
        <v>37.137</v>
      </c>
      <c r="EB65" s="64">
        <v>0</v>
      </c>
      <c r="EC65" s="64">
        <v>-7.28</v>
      </c>
      <c r="ED65" s="187">
        <f t="shared" si="224"/>
        <v>44.417000000000002</v>
      </c>
      <c r="EE65" s="64">
        <v>0</v>
      </c>
      <c r="EF65" s="64">
        <v>0</v>
      </c>
      <c r="EG65" s="778">
        <f t="shared" si="225"/>
        <v>44.417000000000002</v>
      </c>
      <c r="EH65" s="64">
        <v>0</v>
      </c>
      <c r="EI65" s="64">
        <v>0</v>
      </c>
      <c r="EJ65" s="187">
        <f t="shared" si="226"/>
        <v>44.417000000000002</v>
      </c>
      <c r="EK65" s="64">
        <v>0</v>
      </c>
      <c r="EL65" s="64">
        <v>0</v>
      </c>
      <c r="EM65" s="219">
        <f t="shared" si="227"/>
        <v>44.417000000000002</v>
      </c>
      <c r="EN65" s="64">
        <v>0</v>
      </c>
      <c r="EO65" s="67">
        <v>0</v>
      </c>
      <c r="EP65" s="753">
        <f t="shared" si="228"/>
        <v>44.417000000000002</v>
      </c>
      <c r="EQ65" s="64">
        <v>0</v>
      </c>
      <c r="ER65" s="67">
        <v>0</v>
      </c>
      <c r="ES65" s="753">
        <f t="shared" si="229"/>
        <v>44.417000000000002</v>
      </c>
      <c r="ET65" s="64">
        <v>0</v>
      </c>
      <c r="EU65" s="67">
        <v>0</v>
      </c>
      <c r="EV65" s="753">
        <f t="shared" si="230"/>
        <v>44.417000000000002</v>
      </c>
      <c r="EW65" s="64">
        <v>0</v>
      </c>
      <c r="EX65" s="67">
        <v>0</v>
      </c>
      <c r="EY65" s="753">
        <f t="shared" si="231"/>
        <v>44.417000000000002</v>
      </c>
    </row>
    <row r="66" spans="1:155" ht="19.5" hidden="1">
      <c r="A66" s="217"/>
      <c r="B66" s="184"/>
      <c r="C66" s="223">
        <v>100458769</v>
      </c>
      <c r="D66" s="208" t="s">
        <v>355</v>
      </c>
      <c r="E66" s="218"/>
      <c r="F66" s="78"/>
      <c r="G66" s="79"/>
      <c r="H66" s="218"/>
      <c r="I66" s="78">
        <v>0</v>
      </c>
      <c r="J66" s="79">
        <v>0</v>
      </c>
      <c r="K66" s="77">
        <f t="shared" si="186"/>
        <v>0</v>
      </c>
      <c r="L66" s="78">
        <v>0</v>
      </c>
      <c r="M66" s="79">
        <v>0</v>
      </c>
      <c r="N66" s="77">
        <f t="shared" si="187"/>
        <v>0</v>
      </c>
      <c r="O66" s="78">
        <v>1.143</v>
      </c>
      <c r="P66" s="79">
        <v>1.143</v>
      </c>
      <c r="Q66" s="218">
        <f t="shared" si="188"/>
        <v>0</v>
      </c>
      <c r="R66" s="78">
        <v>1.18</v>
      </c>
      <c r="S66" s="79">
        <v>1.18</v>
      </c>
      <c r="T66" s="218">
        <f t="shared" si="189"/>
        <v>0</v>
      </c>
      <c r="U66" s="78">
        <v>0.13200000000000001</v>
      </c>
      <c r="V66" s="79">
        <v>0.13200000000000001</v>
      </c>
      <c r="W66" s="218">
        <f t="shared" si="190"/>
        <v>0</v>
      </c>
      <c r="X66" s="78">
        <v>1.617</v>
      </c>
      <c r="Y66" s="79">
        <v>1.617</v>
      </c>
      <c r="Z66" s="218">
        <f t="shared" si="191"/>
        <v>0</v>
      </c>
      <c r="AA66" s="67">
        <v>3.52</v>
      </c>
      <c r="AB66" s="68">
        <v>0.96</v>
      </c>
      <c r="AC66" s="219">
        <f t="shared" si="192"/>
        <v>2.56</v>
      </c>
      <c r="AD66" s="67">
        <v>46.62</v>
      </c>
      <c r="AE66" s="67">
        <v>11.34</v>
      </c>
      <c r="AF66" s="219">
        <f t="shared" si="193"/>
        <v>37.840000000000003</v>
      </c>
      <c r="AG66" s="67">
        <v>52.679000000000002</v>
      </c>
      <c r="AH66" s="67">
        <v>69.3</v>
      </c>
      <c r="AI66" s="219">
        <f t="shared" si="194"/>
        <v>21.219000000000008</v>
      </c>
      <c r="AJ66" s="67">
        <v>35.909999999999997</v>
      </c>
      <c r="AK66" s="67">
        <v>49.14</v>
      </c>
      <c r="AL66" s="219">
        <f t="shared" si="195"/>
        <v>7.9890000000000043</v>
      </c>
      <c r="AM66" s="67">
        <v>30.463999999999999</v>
      </c>
      <c r="AN66" s="67">
        <v>15.12</v>
      </c>
      <c r="AO66" s="219">
        <f t="shared" si="196"/>
        <v>23.333000000000006</v>
      </c>
      <c r="AP66" s="64">
        <v>116.718</v>
      </c>
      <c r="AQ66" s="67">
        <v>137.13</v>
      </c>
      <c r="AR66" s="219">
        <f t="shared" si="197"/>
        <v>2.9210000000000207</v>
      </c>
      <c r="AS66" s="67">
        <v>137.29</v>
      </c>
      <c r="AT66" s="67">
        <v>124.76</v>
      </c>
      <c r="AU66" s="219">
        <f t="shared" si="232"/>
        <v>15.451000000000008</v>
      </c>
      <c r="AV66" s="67">
        <v>76.650000000000006</v>
      </c>
      <c r="AW66" s="67">
        <v>83.16</v>
      </c>
      <c r="AX66" s="219">
        <f t="shared" si="198"/>
        <v>8.9410000000000167</v>
      </c>
      <c r="AY66" s="67">
        <v>148.74199999999999</v>
      </c>
      <c r="AZ66" s="67">
        <v>132.172</v>
      </c>
      <c r="BA66" s="219">
        <f t="shared" si="199"/>
        <v>25.510999999999996</v>
      </c>
      <c r="BB66" s="67">
        <v>156.19399999999999</v>
      </c>
      <c r="BC66" s="67">
        <v>140.755</v>
      </c>
      <c r="BD66" s="219">
        <v>40.950000000000003</v>
      </c>
      <c r="BE66" s="67">
        <v>171.03399999999999</v>
      </c>
      <c r="BF66" s="67">
        <v>181.32400000000001</v>
      </c>
      <c r="BG66" s="219">
        <f t="shared" si="233"/>
        <v>30.659999999999968</v>
      </c>
      <c r="BH66" s="67">
        <v>162.33000000000001</v>
      </c>
      <c r="BI66" s="67">
        <v>124.74</v>
      </c>
      <c r="BJ66" s="219">
        <f t="shared" si="200"/>
        <v>68.249999999999986</v>
      </c>
      <c r="BK66" s="67">
        <v>106.28</v>
      </c>
      <c r="BL66" s="67">
        <v>52.94</v>
      </c>
      <c r="BM66" s="219">
        <f t="shared" si="201"/>
        <v>121.58999999999997</v>
      </c>
      <c r="BN66" s="64">
        <v>13.914999999999999</v>
      </c>
      <c r="BO66" s="67">
        <v>79.38</v>
      </c>
      <c r="BP66" s="219">
        <f t="shared" si="202"/>
        <v>56.124999999999972</v>
      </c>
      <c r="BQ66" s="64">
        <v>0</v>
      </c>
      <c r="BR66" s="67">
        <v>30.24</v>
      </c>
      <c r="BS66" s="219">
        <f t="shared" si="203"/>
        <v>25.884999999999973</v>
      </c>
      <c r="BT66" s="67">
        <v>40.136000000000003</v>
      </c>
      <c r="BU66" s="67">
        <v>0</v>
      </c>
      <c r="BV66" s="219">
        <f t="shared" si="204"/>
        <v>66.020999999999972</v>
      </c>
      <c r="BW66" s="64">
        <v>5.6260000000000003</v>
      </c>
      <c r="BX66" s="67">
        <v>15.076000000000001</v>
      </c>
      <c r="BY66" s="219">
        <f t="shared" si="205"/>
        <v>56.570999999999977</v>
      </c>
      <c r="BZ66" s="67">
        <v>76.44</v>
      </c>
      <c r="CA66" s="67">
        <v>71.819999999999993</v>
      </c>
      <c r="CB66" s="219">
        <f t="shared" si="206"/>
        <v>61.190999999999974</v>
      </c>
      <c r="CC66" s="67">
        <v>115.62</v>
      </c>
      <c r="CD66" s="67">
        <v>86.71</v>
      </c>
      <c r="CE66" s="219">
        <f t="shared" si="207"/>
        <v>90.100999999999985</v>
      </c>
      <c r="CF66" s="67">
        <v>42.21</v>
      </c>
      <c r="CG66" s="64">
        <v>122.021</v>
      </c>
      <c r="CH66" s="219">
        <f t="shared" si="208"/>
        <v>10.289999999999978</v>
      </c>
      <c r="CI66" s="67">
        <v>55.445</v>
      </c>
      <c r="CJ66" s="64">
        <v>52.924999999999997</v>
      </c>
      <c r="CK66" s="220">
        <f t="shared" si="209"/>
        <v>12.809999999999988</v>
      </c>
      <c r="CL66" s="70">
        <v>47.25</v>
      </c>
      <c r="CM66" s="221">
        <v>22.02</v>
      </c>
      <c r="CN66" s="187">
        <f t="shared" si="210"/>
        <v>38.039999999999992</v>
      </c>
      <c r="CO66" s="64">
        <v>0.98</v>
      </c>
      <c r="CP66" s="67">
        <v>0</v>
      </c>
      <c r="CQ66" s="219">
        <f t="shared" si="211"/>
        <v>39.019999999999989</v>
      </c>
      <c r="CR66" s="67">
        <v>0</v>
      </c>
      <c r="CS66" s="67">
        <v>0</v>
      </c>
      <c r="CT66" s="222">
        <f t="shared" si="212"/>
        <v>39.019999999999989</v>
      </c>
      <c r="CU66" s="73">
        <v>0</v>
      </c>
      <c r="CV66" s="67">
        <v>-0.153</v>
      </c>
      <c r="CW66" s="219">
        <f t="shared" si="213"/>
        <v>39.172999999999988</v>
      </c>
      <c r="CX66" s="67">
        <v>0</v>
      </c>
      <c r="CY66" s="67">
        <v>0</v>
      </c>
      <c r="CZ66" s="219">
        <f t="shared" si="214"/>
        <v>39.172999999999988</v>
      </c>
      <c r="DA66" s="67">
        <v>0</v>
      </c>
      <c r="DB66" s="67">
        <v>0</v>
      </c>
      <c r="DC66" s="219">
        <f t="shared" si="215"/>
        <v>39.172999999999988</v>
      </c>
      <c r="DD66" s="67">
        <v>0</v>
      </c>
      <c r="DE66" s="67">
        <v>0</v>
      </c>
      <c r="DF66" s="219">
        <f t="shared" si="216"/>
        <v>39.172999999999988</v>
      </c>
      <c r="DG66" s="67">
        <v>0</v>
      </c>
      <c r="DH66" s="67">
        <v>0</v>
      </c>
      <c r="DI66" s="219">
        <f t="shared" si="217"/>
        <v>39.172999999999988</v>
      </c>
      <c r="DJ66" s="67">
        <v>0</v>
      </c>
      <c r="DK66" s="67">
        <v>0</v>
      </c>
      <c r="DL66" s="219">
        <f t="shared" si="218"/>
        <v>39.172999999999988</v>
      </c>
      <c r="DM66" s="67">
        <v>0</v>
      </c>
      <c r="DN66" s="67">
        <v>0</v>
      </c>
      <c r="DO66" s="187">
        <v>39.020000000000003</v>
      </c>
      <c r="DP66" s="67">
        <v>0</v>
      </c>
      <c r="DQ66" s="67">
        <v>0</v>
      </c>
      <c r="DR66" s="219">
        <f t="shared" si="220"/>
        <v>39.020000000000003</v>
      </c>
      <c r="DS66" s="67">
        <v>0</v>
      </c>
      <c r="DT66" s="67">
        <v>0</v>
      </c>
      <c r="DU66" s="219">
        <f t="shared" si="221"/>
        <v>39.020000000000003</v>
      </c>
      <c r="DV66" s="67">
        <v>0</v>
      </c>
      <c r="DW66" s="67">
        <v>0</v>
      </c>
      <c r="DX66" s="753">
        <f t="shared" si="222"/>
        <v>39.020000000000003</v>
      </c>
      <c r="DY66" s="64">
        <v>0</v>
      </c>
      <c r="DZ66" s="64">
        <v>0</v>
      </c>
      <c r="EA66" s="219">
        <f t="shared" si="223"/>
        <v>39.020000000000003</v>
      </c>
      <c r="EB66" s="64">
        <v>0</v>
      </c>
      <c r="EC66" s="64">
        <v>-6.48</v>
      </c>
      <c r="ED66" s="187">
        <f t="shared" si="224"/>
        <v>45.5</v>
      </c>
      <c r="EE66" s="64">
        <v>0</v>
      </c>
      <c r="EF66" s="64">
        <v>0</v>
      </c>
      <c r="EG66" s="778">
        <f t="shared" si="225"/>
        <v>45.5</v>
      </c>
      <c r="EH66" s="64">
        <v>0</v>
      </c>
      <c r="EI66" s="64">
        <v>0</v>
      </c>
      <c r="EJ66" s="187">
        <f t="shared" si="226"/>
        <v>45.5</v>
      </c>
      <c r="EK66" s="64">
        <v>0</v>
      </c>
      <c r="EL66" s="64">
        <v>0</v>
      </c>
      <c r="EM66" s="219">
        <f t="shared" si="227"/>
        <v>45.5</v>
      </c>
      <c r="EN66" s="64">
        <v>0</v>
      </c>
      <c r="EO66" s="67">
        <v>0</v>
      </c>
      <c r="EP66" s="753">
        <f t="shared" si="228"/>
        <v>45.5</v>
      </c>
      <c r="EQ66" s="64">
        <v>0</v>
      </c>
      <c r="ER66" s="67">
        <v>0</v>
      </c>
      <c r="ES66" s="753">
        <f t="shared" si="229"/>
        <v>45.5</v>
      </c>
      <c r="ET66" s="64">
        <v>0</v>
      </c>
      <c r="EU66" s="67">
        <v>0</v>
      </c>
      <c r="EV66" s="753">
        <f t="shared" si="230"/>
        <v>45.5</v>
      </c>
      <c r="EW66" s="64">
        <v>0</v>
      </c>
      <c r="EX66" s="67">
        <v>0</v>
      </c>
      <c r="EY66" s="753">
        <f t="shared" si="231"/>
        <v>45.5</v>
      </c>
    </row>
    <row r="67" spans="1:155" ht="19.5">
      <c r="A67" s="217" t="s">
        <v>356</v>
      </c>
      <c r="B67" s="184"/>
      <c r="C67" s="223" t="s">
        <v>357</v>
      </c>
      <c r="D67" s="224" t="s">
        <v>358</v>
      </c>
      <c r="E67" s="218"/>
      <c r="F67" s="78"/>
      <c r="G67" s="79"/>
      <c r="H67" s="218"/>
      <c r="I67" s="78"/>
      <c r="J67" s="79"/>
      <c r="K67" s="218"/>
      <c r="L67" s="78"/>
      <c r="M67" s="79"/>
      <c r="N67" s="218"/>
      <c r="O67" s="78"/>
      <c r="P67" s="79"/>
      <c r="Q67" s="218"/>
      <c r="R67" s="78"/>
      <c r="S67" s="79"/>
      <c r="T67" s="218"/>
      <c r="U67" s="78"/>
      <c r="V67" s="79"/>
      <c r="W67" s="218"/>
      <c r="X67" s="78">
        <v>0</v>
      </c>
      <c r="Y67" s="79">
        <v>0</v>
      </c>
      <c r="Z67" s="218">
        <f t="shared" si="191"/>
        <v>0</v>
      </c>
      <c r="AA67" s="67">
        <v>0</v>
      </c>
      <c r="AB67" s="68">
        <v>0</v>
      </c>
      <c r="AC67" s="219">
        <f t="shared" si="192"/>
        <v>0</v>
      </c>
      <c r="AD67" s="67">
        <v>0.13500000000000001</v>
      </c>
      <c r="AE67" s="68">
        <v>0.13500000000000001</v>
      </c>
      <c r="AF67" s="219">
        <f t="shared" si="193"/>
        <v>0</v>
      </c>
      <c r="AG67" s="78">
        <v>0.995</v>
      </c>
      <c r="AH67" s="78">
        <v>0.995</v>
      </c>
      <c r="AI67" s="218">
        <f t="shared" si="194"/>
        <v>0</v>
      </c>
      <c r="AJ67" s="78">
        <v>0.34699999999999998</v>
      </c>
      <c r="AK67" s="78">
        <v>0.34699999999999998</v>
      </c>
      <c r="AL67" s="218">
        <f t="shared" si="195"/>
        <v>0</v>
      </c>
      <c r="AM67" s="78">
        <v>0.2</v>
      </c>
      <c r="AN67" s="78">
        <v>0.2</v>
      </c>
      <c r="AO67" s="218">
        <f t="shared" si="196"/>
        <v>0</v>
      </c>
      <c r="AP67" s="78">
        <v>0.88100000000000001</v>
      </c>
      <c r="AQ67" s="78">
        <v>0.88100000000000001</v>
      </c>
      <c r="AR67" s="218">
        <f t="shared" si="197"/>
        <v>0</v>
      </c>
      <c r="AS67" s="78">
        <v>0.247</v>
      </c>
      <c r="AT67" s="78">
        <v>0.247</v>
      </c>
      <c r="AU67" s="218">
        <f t="shared" si="232"/>
        <v>0</v>
      </c>
      <c r="AV67" s="78">
        <v>0.69799999999999995</v>
      </c>
      <c r="AW67" s="78">
        <v>0.69799999999999995</v>
      </c>
      <c r="AX67" s="218">
        <f t="shared" si="198"/>
        <v>0</v>
      </c>
      <c r="AY67" s="78">
        <v>0.499</v>
      </c>
      <c r="AZ67" s="78">
        <v>0.499</v>
      </c>
      <c r="BA67" s="225">
        <f t="shared" si="199"/>
        <v>0</v>
      </c>
      <c r="BB67" s="226">
        <v>0.22900000000000001</v>
      </c>
      <c r="BC67" s="226">
        <v>1.9E-2</v>
      </c>
      <c r="BD67" s="225">
        <v>0.21</v>
      </c>
      <c r="BE67" s="227">
        <v>0.82399999999999995</v>
      </c>
      <c r="BF67" s="227">
        <v>1.034</v>
      </c>
      <c r="BG67" s="225">
        <f t="shared" si="233"/>
        <v>0</v>
      </c>
      <c r="BH67" s="64">
        <v>4.6900000000000004</v>
      </c>
      <c r="BI67" s="64">
        <v>0.92400000000000004</v>
      </c>
      <c r="BJ67" s="187">
        <f t="shared" si="200"/>
        <v>3.7660000000000005</v>
      </c>
      <c r="BK67" s="64">
        <v>61.33</v>
      </c>
      <c r="BL67" s="64">
        <v>7.3040000000000003</v>
      </c>
      <c r="BM67" s="187">
        <f t="shared" si="201"/>
        <v>57.792000000000002</v>
      </c>
      <c r="BN67" s="64">
        <v>116.884</v>
      </c>
      <c r="BO67" s="64">
        <v>105.032</v>
      </c>
      <c r="BP67" s="187">
        <f t="shared" si="202"/>
        <v>69.643999999999991</v>
      </c>
      <c r="BQ67" s="64">
        <v>63.119</v>
      </c>
      <c r="BR67" s="64">
        <v>103.068</v>
      </c>
      <c r="BS67" s="187">
        <f t="shared" si="203"/>
        <v>29.694999999999979</v>
      </c>
      <c r="BT67" s="64">
        <v>121.322</v>
      </c>
      <c r="BU67" s="64">
        <v>40.823999999999998</v>
      </c>
      <c r="BV67" s="187">
        <f t="shared" si="204"/>
        <v>110.193</v>
      </c>
      <c r="BW67" s="64">
        <v>29.707000000000001</v>
      </c>
      <c r="BX67" s="64">
        <f>81.648+0.28</f>
        <v>81.927999999999997</v>
      </c>
      <c r="BY67" s="187">
        <f t="shared" si="205"/>
        <v>57.972000000000008</v>
      </c>
      <c r="BZ67" s="64">
        <v>34.091999999999999</v>
      </c>
      <c r="CA67" s="64">
        <v>63.298999999999999</v>
      </c>
      <c r="CB67" s="187">
        <f t="shared" si="206"/>
        <v>28.765000000000008</v>
      </c>
      <c r="CC67" s="64">
        <v>80.453000000000003</v>
      </c>
      <c r="CD67" s="64">
        <f>59.441-1.1</f>
        <v>58.341000000000001</v>
      </c>
      <c r="CE67" s="187">
        <f t="shared" si="207"/>
        <v>50.877000000000017</v>
      </c>
      <c r="CF67" s="64">
        <v>75.605999999999995</v>
      </c>
      <c r="CG67" s="64">
        <v>58.988</v>
      </c>
      <c r="CH67" s="187">
        <f t="shared" si="208"/>
        <v>67.495000000000005</v>
      </c>
      <c r="CI67" s="64">
        <v>55.031999999999996</v>
      </c>
      <c r="CJ67" s="64">
        <v>97.775999999999996</v>
      </c>
      <c r="CK67" s="220">
        <f t="shared" si="209"/>
        <v>24.751000000000005</v>
      </c>
      <c r="CL67" s="70">
        <v>96.768000000000001</v>
      </c>
      <c r="CM67" s="221">
        <v>100.072</v>
      </c>
      <c r="CN67" s="187">
        <f t="shared" si="210"/>
        <v>21.447000000000003</v>
      </c>
      <c r="CO67" s="64">
        <v>122.47499999999999</v>
      </c>
      <c r="CP67" s="64">
        <v>54.472000000000001</v>
      </c>
      <c r="CQ67" s="187">
        <f t="shared" si="211"/>
        <v>89.449999999999989</v>
      </c>
      <c r="CR67" s="64">
        <v>56.665999999999997</v>
      </c>
      <c r="CS67" s="64">
        <v>145.08099999999999</v>
      </c>
      <c r="CT67" s="220">
        <f t="shared" si="212"/>
        <v>1.0349999999999966</v>
      </c>
      <c r="CU67" s="81">
        <v>76.355999999999995</v>
      </c>
      <c r="CV67" s="64">
        <v>51.895000000000003</v>
      </c>
      <c r="CW67" s="187">
        <f t="shared" si="213"/>
        <v>25.495999999999988</v>
      </c>
      <c r="CX67" s="64">
        <v>52.807000000000002</v>
      </c>
      <c r="CY67" s="64">
        <v>9.1340000000000003</v>
      </c>
      <c r="CZ67" s="187">
        <f t="shared" si="214"/>
        <v>69.168999999999997</v>
      </c>
      <c r="DA67" s="64">
        <v>112.64400000000001</v>
      </c>
      <c r="DB67" s="64">
        <v>132.46100000000001</v>
      </c>
      <c r="DC67" s="187">
        <f t="shared" si="215"/>
        <v>49.351999999999975</v>
      </c>
      <c r="DD67" s="64">
        <v>53.762</v>
      </c>
      <c r="DE67" s="64">
        <v>58.978000000000002</v>
      </c>
      <c r="DF67" s="187">
        <f t="shared" si="216"/>
        <v>44.135999999999974</v>
      </c>
      <c r="DG67" s="64">
        <v>31.202999999999999</v>
      </c>
      <c r="DH67" s="64">
        <v>21.617999999999999</v>
      </c>
      <c r="DI67" s="187">
        <f t="shared" si="217"/>
        <v>53.720999999999975</v>
      </c>
      <c r="DJ67" s="64">
        <v>0</v>
      </c>
      <c r="DK67" s="64">
        <v>9.0739999999999998</v>
      </c>
      <c r="DL67" s="187">
        <f t="shared" si="218"/>
        <v>44.646999999999977</v>
      </c>
      <c r="DM67" s="64">
        <v>48.381999999999998</v>
      </c>
      <c r="DN67" s="64">
        <v>0</v>
      </c>
      <c r="DO67" s="187">
        <v>93.001999999999995</v>
      </c>
      <c r="DP67" s="67">
        <v>41.595999999999997</v>
      </c>
      <c r="DQ67" s="67">
        <v>90.75</v>
      </c>
      <c r="DR67" s="219">
        <f t="shared" si="220"/>
        <v>43.847999999999985</v>
      </c>
      <c r="DS67" s="67">
        <v>26.712</v>
      </c>
      <c r="DT67" s="67">
        <v>54.432000000000002</v>
      </c>
      <c r="DU67" s="219">
        <f t="shared" si="221"/>
        <v>16.127999999999986</v>
      </c>
      <c r="DV67" s="67">
        <v>37.295999999999999</v>
      </c>
      <c r="DW67" s="67">
        <v>36.287999999999997</v>
      </c>
      <c r="DX67" s="753">
        <f t="shared" si="222"/>
        <v>17.135999999999989</v>
      </c>
      <c r="DY67" s="64">
        <v>49.093000000000004</v>
      </c>
      <c r="DZ67" s="64">
        <v>19.609000000000002</v>
      </c>
      <c r="EA67" s="187">
        <f t="shared" si="223"/>
        <v>46.619999999999983</v>
      </c>
      <c r="EB67" s="64">
        <v>0.01</v>
      </c>
      <c r="EC67" s="64">
        <v>36.298000000000002</v>
      </c>
      <c r="ED67" s="187">
        <f t="shared" si="224"/>
        <v>10.331999999999979</v>
      </c>
      <c r="EE67" s="64">
        <v>55.600999999999999</v>
      </c>
      <c r="EF67" s="821">
        <v>18.305</v>
      </c>
      <c r="EG67" s="778">
        <f t="shared" si="225"/>
        <v>47.627999999999979</v>
      </c>
      <c r="EH67" s="64">
        <v>0</v>
      </c>
      <c r="EI67" s="821">
        <v>22.68</v>
      </c>
      <c r="EJ67" s="187">
        <f t="shared" si="226"/>
        <v>24.947999999999979</v>
      </c>
      <c r="EK67" s="64">
        <v>35</v>
      </c>
      <c r="EL67" s="821">
        <v>18</v>
      </c>
      <c r="EM67" s="187">
        <f t="shared" si="227"/>
        <v>41.947999999999979</v>
      </c>
      <c r="EN67" s="64">
        <v>50</v>
      </c>
      <c r="EO67" s="821">
        <v>12</v>
      </c>
      <c r="EP67" s="753">
        <f t="shared" si="228"/>
        <v>79.947999999999979</v>
      </c>
      <c r="EQ67" s="64">
        <v>41.5</v>
      </c>
      <c r="ER67" s="821">
        <v>40</v>
      </c>
      <c r="ES67" s="753">
        <f t="shared" si="229"/>
        <v>81.447999999999979</v>
      </c>
      <c r="ET67" s="64">
        <v>30.5</v>
      </c>
      <c r="EU67" s="64">
        <v>25</v>
      </c>
      <c r="EV67" s="753">
        <f t="shared" si="230"/>
        <v>86.947999999999979</v>
      </c>
      <c r="EW67" s="64">
        <v>52</v>
      </c>
      <c r="EX67" s="821">
        <v>4</v>
      </c>
      <c r="EY67" s="753">
        <f t="shared" si="231"/>
        <v>134.94799999999998</v>
      </c>
    </row>
    <row r="68" spans="1:155" ht="19.5">
      <c r="A68" s="217"/>
      <c r="B68" s="184"/>
      <c r="C68" s="228" t="s">
        <v>359</v>
      </c>
      <c r="D68" s="224" t="s">
        <v>360</v>
      </c>
      <c r="E68" s="218"/>
      <c r="F68" s="78"/>
      <c r="G68" s="79"/>
      <c r="H68" s="218"/>
      <c r="I68" s="78"/>
      <c r="J68" s="79"/>
      <c r="K68" s="218"/>
      <c r="L68" s="78"/>
      <c r="M68" s="79"/>
      <c r="N68" s="218"/>
      <c r="O68" s="78"/>
      <c r="P68" s="79"/>
      <c r="Q68" s="218"/>
      <c r="R68" s="78"/>
      <c r="S68" s="79"/>
      <c r="T68" s="218"/>
      <c r="U68" s="78"/>
      <c r="V68" s="79"/>
      <c r="W68" s="218"/>
      <c r="X68" s="78">
        <v>0</v>
      </c>
      <c r="Y68" s="79">
        <v>0</v>
      </c>
      <c r="Z68" s="218">
        <f t="shared" si="191"/>
        <v>0</v>
      </c>
      <c r="AA68" s="67">
        <v>0</v>
      </c>
      <c r="AB68" s="68">
        <v>0</v>
      </c>
      <c r="AC68" s="219">
        <f t="shared" si="192"/>
        <v>0</v>
      </c>
      <c r="AD68" s="67">
        <v>0.13500000000000001</v>
      </c>
      <c r="AE68" s="68">
        <v>0.13500000000000001</v>
      </c>
      <c r="AF68" s="219">
        <f t="shared" si="193"/>
        <v>0</v>
      </c>
      <c r="AG68" s="78">
        <v>0.88200000000000001</v>
      </c>
      <c r="AH68" s="78">
        <v>0.88200000000000001</v>
      </c>
      <c r="AI68" s="218">
        <f t="shared" si="194"/>
        <v>0</v>
      </c>
      <c r="AJ68" s="78">
        <v>0.54500000000000004</v>
      </c>
      <c r="AK68" s="78">
        <v>0.54500000000000004</v>
      </c>
      <c r="AL68" s="218">
        <f t="shared" si="195"/>
        <v>0</v>
      </c>
      <c r="AM68" s="78">
        <v>0.2</v>
      </c>
      <c r="AN68" s="78">
        <v>0.2</v>
      </c>
      <c r="AO68" s="218">
        <f t="shared" si="196"/>
        <v>0</v>
      </c>
      <c r="AP68" s="78">
        <v>1.9119999999999999</v>
      </c>
      <c r="AQ68" s="78">
        <v>1.9119999999999999</v>
      </c>
      <c r="AR68" s="218">
        <f t="shared" si="197"/>
        <v>0</v>
      </c>
      <c r="AS68" s="78">
        <v>0.25</v>
      </c>
      <c r="AT68" s="78">
        <v>0.25</v>
      </c>
      <c r="AU68" s="218">
        <f t="shared" si="232"/>
        <v>0</v>
      </c>
      <c r="AV68" s="78">
        <v>0.69799999999999995</v>
      </c>
      <c r="AW68" s="78">
        <v>0.69799999999999995</v>
      </c>
      <c r="AX68" s="218">
        <f t="shared" si="198"/>
        <v>0</v>
      </c>
      <c r="AY68" s="78">
        <v>1.1160000000000001</v>
      </c>
      <c r="AZ68" s="78">
        <v>1.1160000000000001</v>
      </c>
      <c r="BA68" s="225">
        <f t="shared" si="199"/>
        <v>0</v>
      </c>
      <c r="BB68" s="226">
        <v>0.379</v>
      </c>
      <c r="BC68" s="226">
        <v>1.9E-2</v>
      </c>
      <c r="BD68" s="225">
        <v>0.36</v>
      </c>
      <c r="BE68" s="227">
        <v>1.274</v>
      </c>
      <c r="BF68" s="227">
        <v>1.6339999999999999</v>
      </c>
      <c r="BG68" s="225">
        <f t="shared" si="233"/>
        <v>0</v>
      </c>
      <c r="BH68" s="64">
        <v>6.1239999999999997</v>
      </c>
      <c r="BI68" s="64">
        <v>1.1060000000000001</v>
      </c>
      <c r="BJ68" s="187">
        <f t="shared" si="200"/>
        <v>5.0179999999999998</v>
      </c>
      <c r="BK68" s="64">
        <v>71.872</v>
      </c>
      <c r="BL68" s="64">
        <v>9.3650000000000002</v>
      </c>
      <c r="BM68" s="187">
        <f t="shared" si="201"/>
        <v>67.525000000000006</v>
      </c>
      <c r="BN68" s="64">
        <v>118.833</v>
      </c>
      <c r="BO68" s="64">
        <v>117.83499999999999</v>
      </c>
      <c r="BP68" s="187">
        <f t="shared" si="202"/>
        <v>68.52300000000001</v>
      </c>
      <c r="BQ68" s="64">
        <v>171.66900000000001</v>
      </c>
      <c r="BR68" s="64">
        <v>173.58199999999999</v>
      </c>
      <c r="BS68" s="187">
        <f t="shared" si="203"/>
        <v>66.610000000000014</v>
      </c>
      <c r="BT68" s="64">
        <v>120.28700000000001</v>
      </c>
      <c r="BU68" s="64">
        <v>49.896000000000001</v>
      </c>
      <c r="BV68" s="187">
        <f t="shared" si="204"/>
        <v>137.00100000000003</v>
      </c>
      <c r="BW68" s="64">
        <v>108.53700000000001</v>
      </c>
      <c r="BX68" s="64">
        <f>214.452+0.28</f>
        <v>214.732</v>
      </c>
      <c r="BY68" s="187">
        <f t="shared" si="205"/>
        <v>30.80600000000004</v>
      </c>
      <c r="BZ68" s="64">
        <v>80.887</v>
      </c>
      <c r="CA68" s="64">
        <v>81.933000000000007</v>
      </c>
      <c r="CB68" s="187">
        <f t="shared" si="206"/>
        <v>29.760000000000034</v>
      </c>
      <c r="CC68" s="64">
        <v>32.503</v>
      </c>
      <c r="CD68" s="64">
        <f>47.626</f>
        <v>47.625999999999998</v>
      </c>
      <c r="CE68" s="187">
        <f t="shared" si="207"/>
        <v>14.637000000000036</v>
      </c>
      <c r="CF68" s="64">
        <v>41.228000000000002</v>
      </c>
      <c r="CG68" s="64">
        <v>47.533999999999999</v>
      </c>
      <c r="CH68" s="187">
        <f t="shared" si="208"/>
        <v>8.3310000000000386</v>
      </c>
      <c r="CI68" s="64">
        <v>156.77000000000001</v>
      </c>
      <c r="CJ68" s="64">
        <v>113.4</v>
      </c>
      <c r="CK68" s="220">
        <f t="shared" si="209"/>
        <v>51.70100000000005</v>
      </c>
      <c r="CL68" s="70">
        <v>184.90899999999999</v>
      </c>
      <c r="CM68" s="221">
        <v>101.682</v>
      </c>
      <c r="CN68" s="187">
        <f t="shared" si="210"/>
        <v>134.92800000000005</v>
      </c>
      <c r="CO68" s="64">
        <v>131.08000000000001</v>
      </c>
      <c r="CP68" s="64">
        <v>54.472000000000001</v>
      </c>
      <c r="CQ68" s="187">
        <f t="shared" si="211"/>
        <v>211.53600000000003</v>
      </c>
      <c r="CR68" s="64">
        <v>152.83099999999999</v>
      </c>
      <c r="CS68" s="64">
        <v>229.88300000000001</v>
      </c>
      <c r="CT68" s="220">
        <f t="shared" si="212"/>
        <v>134.48400000000001</v>
      </c>
      <c r="CU68" s="81">
        <v>131</v>
      </c>
      <c r="CV68" s="64">
        <v>143.80600000000001</v>
      </c>
      <c r="CW68" s="187">
        <f t="shared" si="213"/>
        <v>121.67800000000003</v>
      </c>
      <c r="CX68" s="64">
        <v>146.964</v>
      </c>
      <c r="CY68" s="64">
        <v>167.89400000000001</v>
      </c>
      <c r="CZ68" s="187">
        <f t="shared" si="214"/>
        <v>100.74800000000005</v>
      </c>
      <c r="DA68" s="64">
        <v>28.652999999999999</v>
      </c>
      <c r="DB68" s="64">
        <v>82.123000000000005</v>
      </c>
      <c r="DC68" s="187">
        <f t="shared" si="215"/>
        <v>47.278000000000034</v>
      </c>
      <c r="DD68" s="64">
        <v>74.347999999999999</v>
      </c>
      <c r="DE68" s="64">
        <v>31.762</v>
      </c>
      <c r="DF68" s="187">
        <f t="shared" si="216"/>
        <v>89.864000000000033</v>
      </c>
      <c r="DG68" s="64">
        <v>73.626000000000005</v>
      </c>
      <c r="DH68" s="64">
        <v>44.999000000000002</v>
      </c>
      <c r="DI68" s="187">
        <f t="shared" si="217"/>
        <v>118.49100000000004</v>
      </c>
      <c r="DJ68" s="64">
        <v>0</v>
      </c>
      <c r="DK68" s="64">
        <v>49.898000000000003</v>
      </c>
      <c r="DL68" s="187">
        <f t="shared" si="218"/>
        <v>68.593000000000046</v>
      </c>
      <c r="DM68" s="64">
        <v>88.703999999999994</v>
      </c>
      <c r="DN68" s="64">
        <v>0</v>
      </c>
      <c r="DO68" s="187">
        <v>158.18299999999999</v>
      </c>
      <c r="DP68" s="67">
        <v>73.772999999999996</v>
      </c>
      <c r="DQ68" s="67">
        <v>81.647999999999996</v>
      </c>
      <c r="DR68" s="219">
        <f t="shared" si="220"/>
        <v>150.30799999999999</v>
      </c>
      <c r="DS68" s="67">
        <v>69.3</v>
      </c>
      <c r="DT68" s="67">
        <v>81.647999999999996</v>
      </c>
      <c r="DU68" s="219">
        <f t="shared" si="221"/>
        <v>137.96</v>
      </c>
      <c r="DV68" s="67">
        <v>20.916</v>
      </c>
      <c r="DW68" s="67">
        <v>60.48</v>
      </c>
      <c r="DX68" s="753">
        <f t="shared" si="222"/>
        <v>98.396000000000015</v>
      </c>
      <c r="DY68" s="64">
        <v>34.320999999999998</v>
      </c>
      <c r="DZ68" s="64">
        <v>38.604999999999997</v>
      </c>
      <c r="EA68" s="187">
        <f t="shared" si="223"/>
        <v>94.112000000000023</v>
      </c>
      <c r="EB68" s="64">
        <v>12.106</v>
      </c>
      <c r="EC68" s="64">
        <v>54.442</v>
      </c>
      <c r="ED68" s="187">
        <f t="shared" si="224"/>
        <v>51.776000000000018</v>
      </c>
      <c r="EE68" s="64">
        <v>24.25</v>
      </c>
      <c r="EF68" s="821">
        <v>36.597999999999999</v>
      </c>
      <c r="EG68" s="778">
        <f t="shared" si="225"/>
        <v>39.428000000000011</v>
      </c>
      <c r="EH68" s="64">
        <v>63</v>
      </c>
      <c r="EI68" s="821">
        <v>22.68</v>
      </c>
      <c r="EJ68" s="187">
        <f t="shared" si="226"/>
        <v>79.748000000000019</v>
      </c>
      <c r="EK68" s="64">
        <v>41</v>
      </c>
      <c r="EL68" s="821">
        <v>32</v>
      </c>
      <c r="EM68" s="187">
        <f t="shared" si="227"/>
        <v>88.748000000000019</v>
      </c>
      <c r="EN68" s="64">
        <v>89</v>
      </c>
      <c r="EO68" s="821">
        <v>12</v>
      </c>
      <c r="EP68" s="753">
        <f t="shared" si="228"/>
        <v>165.74800000000002</v>
      </c>
      <c r="EQ68" s="64">
        <v>59</v>
      </c>
      <c r="ER68" s="64">
        <v>80</v>
      </c>
      <c r="ES68" s="753">
        <f t="shared" si="229"/>
        <v>144.74800000000002</v>
      </c>
      <c r="ET68" s="64">
        <v>89</v>
      </c>
      <c r="EU68" s="821">
        <v>80</v>
      </c>
      <c r="EV68" s="753">
        <f t="shared" si="230"/>
        <v>153.74800000000002</v>
      </c>
      <c r="EW68" s="64">
        <v>57</v>
      </c>
      <c r="EX68" s="821">
        <v>20</v>
      </c>
      <c r="EY68" s="753">
        <f t="shared" si="231"/>
        <v>190.74800000000002</v>
      </c>
    </row>
    <row r="69" spans="1:155" s="20" customFormat="1" ht="21.75" customHeight="1">
      <c r="A69" s="184"/>
      <c r="B69" s="184"/>
      <c r="C69" s="229">
        <v>100529313</v>
      </c>
      <c r="D69" s="224" t="s">
        <v>361</v>
      </c>
      <c r="E69" s="230"/>
      <c r="F69" s="231"/>
      <c r="G69" s="232"/>
      <c r="H69" s="230"/>
      <c r="I69" s="233"/>
      <c r="J69" s="234"/>
      <c r="K69" s="80"/>
      <c r="L69" s="233"/>
      <c r="M69" s="234"/>
      <c r="N69" s="80"/>
      <c r="O69" s="233"/>
      <c r="P69" s="234"/>
      <c r="Q69" s="80"/>
      <c r="R69" s="233"/>
      <c r="S69" s="234"/>
      <c r="T69" s="80"/>
      <c r="U69" s="233"/>
      <c r="V69" s="234"/>
      <c r="W69" s="80"/>
      <c r="X69" s="233"/>
      <c r="Y69" s="234"/>
      <c r="Z69" s="80"/>
      <c r="AA69" s="233"/>
      <c r="AB69" s="234"/>
      <c r="AC69" s="80"/>
      <c r="AD69" s="233"/>
      <c r="AE69" s="234"/>
      <c r="AF69" s="80"/>
      <c r="AG69" s="233"/>
      <c r="AH69" s="234"/>
      <c r="AI69" s="80"/>
      <c r="AJ69" s="235"/>
      <c r="AK69" s="236"/>
      <c r="AL69" s="80"/>
      <c r="AM69" s="233"/>
      <c r="AN69" s="234"/>
      <c r="AO69" s="80"/>
      <c r="AP69" s="233"/>
      <c r="AQ69" s="234"/>
      <c r="AR69" s="80"/>
      <c r="AS69" s="233"/>
      <c r="AT69" s="234"/>
      <c r="AU69" s="80"/>
      <c r="AV69" s="233"/>
      <c r="AW69" s="234"/>
      <c r="AX69" s="80"/>
      <c r="AY69" s="233"/>
      <c r="AZ69" s="234"/>
      <c r="BA69" s="80"/>
      <c r="BB69" s="233"/>
      <c r="BC69" s="234"/>
      <c r="BD69" s="80"/>
      <c r="BE69" s="233"/>
      <c r="BF69" s="234"/>
      <c r="BG69" s="80"/>
      <c r="BH69" s="233"/>
      <c r="BI69" s="234"/>
      <c r="BJ69" s="80"/>
      <c r="BK69" s="233"/>
      <c r="BL69" s="234"/>
      <c r="BM69" s="80"/>
      <c r="BN69" s="233"/>
      <c r="BO69" s="234"/>
      <c r="BP69" s="80"/>
      <c r="BQ69" s="233"/>
      <c r="BR69" s="236"/>
      <c r="BS69" s="80"/>
      <c r="BT69" s="233"/>
      <c r="BU69" s="234"/>
      <c r="BV69" s="80"/>
      <c r="BW69" s="233">
        <v>0</v>
      </c>
      <c r="BX69" s="234">
        <v>0</v>
      </c>
      <c r="BY69" s="80">
        <v>0</v>
      </c>
      <c r="BZ69" s="233">
        <v>0</v>
      </c>
      <c r="CA69" s="234">
        <v>0</v>
      </c>
      <c r="CB69" s="80">
        <v>0</v>
      </c>
      <c r="CC69" s="233">
        <v>0</v>
      </c>
      <c r="CD69" s="234">
        <v>0</v>
      </c>
      <c r="CE69" s="80">
        <f t="shared" si="207"/>
        <v>0</v>
      </c>
      <c r="CF69" s="233">
        <v>40.018000000000001</v>
      </c>
      <c r="CG69" s="234">
        <v>4.29</v>
      </c>
      <c r="CH69" s="80">
        <f t="shared" si="208"/>
        <v>35.728000000000002</v>
      </c>
      <c r="CI69" s="233">
        <v>145.73099999999999</v>
      </c>
      <c r="CJ69" s="234">
        <v>117.941</v>
      </c>
      <c r="CK69" s="237">
        <f t="shared" si="209"/>
        <v>63.518000000000001</v>
      </c>
      <c r="CL69" s="238">
        <v>136.03100000000001</v>
      </c>
      <c r="CM69" s="239">
        <v>136.536</v>
      </c>
      <c r="CN69" s="80">
        <f t="shared" si="210"/>
        <v>63.013000000000005</v>
      </c>
      <c r="CO69" s="233">
        <v>209.65100000000001</v>
      </c>
      <c r="CP69" s="234">
        <v>196.63</v>
      </c>
      <c r="CQ69" s="80">
        <f t="shared" si="211"/>
        <v>76.033999999999992</v>
      </c>
      <c r="CR69" s="233">
        <v>204.33799999999999</v>
      </c>
      <c r="CS69" s="234">
        <v>178.732</v>
      </c>
      <c r="CT69" s="237">
        <f t="shared" si="212"/>
        <v>101.63999999999996</v>
      </c>
      <c r="CU69" s="240">
        <v>221.822</v>
      </c>
      <c r="CV69" s="234">
        <v>166.36199999999999</v>
      </c>
      <c r="CW69" s="80">
        <f t="shared" si="213"/>
        <v>157.1</v>
      </c>
      <c r="CX69" s="233">
        <v>192.34</v>
      </c>
      <c r="CY69" s="234">
        <v>226.8</v>
      </c>
      <c r="CZ69" s="80">
        <f t="shared" si="214"/>
        <v>122.63999999999999</v>
      </c>
      <c r="DA69" s="233">
        <v>179.67099999999999</v>
      </c>
      <c r="DB69" s="234">
        <v>196.59</v>
      </c>
      <c r="DC69" s="80">
        <f t="shared" si="215"/>
        <v>105.72099999999998</v>
      </c>
      <c r="DD69" s="233">
        <v>176.05199999999999</v>
      </c>
      <c r="DE69" s="234">
        <v>221.29300000000001</v>
      </c>
      <c r="DF69" s="80">
        <f t="shared" si="216"/>
        <v>60.479999999999961</v>
      </c>
      <c r="DG69" s="233">
        <v>171.92</v>
      </c>
      <c r="DH69" s="234">
        <v>60.48</v>
      </c>
      <c r="DI69" s="187">
        <f t="shared" si="217"/>
        <v>171.91999999999996</v>
      </c>
      <c r="DJ69" s="233">
        <v>169.458</v>
      </c>
      <c r="DK69" s="234">
        <v>78.626000000000005</v>
      </c>
      <c r="DL69" s="80">
        <f t="shared" si="218"/>
        <v>262.75199999999995</v>
      </c>
      <c r="DM69" s="233">
        <v>251.23599999999999</v>
      </c>
      <c r="DN69" s="234">
        <v>190.56200000000001</v>
      </c>
      <c r="DO69" s="187">
        <f t="shared" si="219"/>
        <v>323.42599999999993</v>
      </c>
      <c r="DP69" s="233">
        <v>133.87200000000001</v>
      </c>
      <c r="DQ69" s="234">
        <v>272.74599999999998</v>
      </c>
      <c r="DR69" s="80">
        <f t="shared" si="220"/>
        <v>184.55199999999996</v>
      </c>
      <c r="DS69" s="233">
        <v>165.863</v>
      </c>
      <c r="DT69" s="234">
        <v>231.77199999999999</v>
      </c>
      <c r="DU69" s="80">
        <f t="shared" si="221"/>
        <v>118.64299999999997</v>
      </c>
      <c r="DV69" s="233">
        <v>107.544</v>
      </c>
      <c r="DW69" s="234">
        <v>0.39500000000000002</v>
      </c>
      <c r="DX69" s="753">
        <f t="shared" si="222"/>
        <v>225.79199999999994</v>
      </c>
      <c r="DY69" s="233">
        <v>95.013000000000005</v>
      </c>
      <c r="DZ69" s="234">
        <v>3.9569999999999999</v>
      </c>
      <c r="EA69" s="187">
        <f t="shared" si="223"/>
        <v>316.84799999999996</v>
      </c>
      <c r="EB69" s="233">
        <v>9.1449999999999996</v>
      </c>
      <c r="EC69" s="234">
        <v>75.66</v>
      </c>
      <c r="ED69" s="187">
        <f t="shared" si="224"/>
        <v>250.33299999999994</v>
      </c>
      <c r="EE69" s="233">
        <v>0</v>
      </c>
      <c r="EF69" s="823">
        <v>133.10599999999999</v>
      </c>
      <c r="EG69" s="778">
        <f t="shared" si="225"/>
        <v>117.22699999999995</v>
      </c>
      <c r="EH69" s="233">
        <v>92</v>
      </c>
      <c r="EI69" s="823">
        <f>90.72+21.168</f>
        <v>111.88800000000001</v>
      </c>
      <c r="EJ69" s="187">
        <f t="shared" si="226"/>
        <v>97.338999999999942</v>
      </c>
      <c r="EK69" s="233">
        <v>87.5</v>
      </c>
      <c r="EL69" s="823">
        <v>36.287999999999997</v>
      </c>
      <c r="EM69" s="187">
        <f>(EJ69+EK69)-(EL69)</f>
        <v>148.55099999999993</v>
      </c>
      <c r="EN69" s="233">
        <v>117</v>
      </c>
      <c r="EO69" s="823">
        <f>18.144+33.264</f>
        <v>51.408000000000001</v>
      </c>
      <c r="EP69" s="753">
        <f t="shared" si="228"/>
        <v>214.14299999999992</v>
      </c>
      <c r="EQ69" s="233">
        <v>110.5</v>
      </c>
      <c r="ER69" s="234">
        <v>90</v>
      </c>
      <c r="ES69" s="753">
        <f t="shared" si="229"/>
        <v>234.64299999999992</v>
      </c>
      <c r="ET69" s="233">
        <v>91</v>
      </c>
      <c r="EU69" s="234">
        <v>90</v>
      </c>
      <c r="EV69" s="753">
        <f t="shared" si="230"/>
        <v>235.64299999999992</v>
      </c>
      <c r="EW69" s="233">
        <v>50</v>
      </c>
      <c r="EX69" s="234">
        <v>50</v>
      </c>
      <c r="EY69" s="753">
        <f t="shared" si="231"/>
        <v>235.64299999999992</v>
      </c>
    </row>
    <row r="70" spans="1:155" s="20" customFormat="1" ht="19.5">
      <c r="A70" s="184"/>
      <c r="B70" s="184"/>
      <c r="C70" s="229">
        <v>100529451</v>
      </c>
      <c r="D70" s="224" t="s">
        <v>362</v>
      </c>
      <c r="E70" s="230"/>
      <c r="F70" s="231"/>
      <c r="G70" s="232"/>
      <c r="H70" s="230"/>
      <c r="I70" s="233"/>
      <c r="J70" s="234"/>
      <c r="K70" s="80"/>
      <c r="L70" s="233"/>
      <c r="M70" s="234"/>
      <c r="N70" s="80"/>
      <c r="O70" s="233"/>
      <c r="P70" s="234"/>
      <c r="Q70" s="80"/>
      <c r="R70" s="233"/>
      <c r="S70" s="234"/>
      <c r="T70" s="80"/>
      <c r="U70" s="233"/>
      <c r="V70" s="234"/>
      <c r="W70" s="80"/>
      <c r="X70" s="233"/>
      <c r="Y70" s="234"/>
      <c r="Z70" s="80"/>
      <c r="AA70" s="233"/>
      <c r="AB70" s="234"/>
      <c r="AC70" s="80"/>
      <c r="AD70" s="233"/>
      <c r="AE70" s="234"/>
      <c r="AF70" s="80"/>
      <c r="AG70" s="233"/>
      <c r="AH70" s="234"/>
      <c r="AI70" s="80"/>
      <c r="AJ70" s="235"/>
      <c r="AK70" s="236"/>
      <c r="AL70" s="80"/>
      <c r="AM70" s="233"/>
      <c r="AN70" s="234"/>
      <c r="AO70" s="80"/>
      <c r="AP70" s="233"/>
      <c r="AQ70" s="234"/>
      <c r="AR70" s="80"/>
      <c r="AS70" s="233"/>
      <c r="AT70" s="234"/>
      <c r="AU70" s="80"/>
      <c r="AV70" s="233"/>
      <c r="AW70" s="234"/>
      <c r="AX70" s="80"/>
      <c r="AY70" s="233"/>
      <c r="AZ70" s="234"/>
      <c r="BA70" s="80"/>
      <c r="BB70" s="233"/>
      <c r="BC70" s="234"/>
      <c r="BD70" s="80"/>
      <c r="BE70" s="233"/>
      <c r="BF70" s="234"/>
      <c r="BG70" s="80"/>
      <c r="BH70" s="233"/>
      <c r="BI70" s="234"/>
      <c r="BJ70" s="80"/>
      <c r="BK70" s="233"/>
      <c r="BL70" s="234"/>
      <c r="BM70" s="80"/>
      <c r="BN70" s="233"/>
      <c r="BO70" s="234"/>
      <c r="BP70" s="80"/>
      <c r="BQ70" s="233"/>
      <c r="BR70" s="236"/>
      <c r="BS70" s="80"/>
      <c r="BT70" s="233"/>
      <c r="BU70" s="234"/>
      <c r="BV70" s="80"/>
      <c r="BW70" s="233">
        <v>0</v>
      </c>
      <c r="BX70" s="234">
        <v>0</v>
      </c>
      <c r="BY70" s="80">
        <v>0</v>
      </c>
      <c r="BZ70" s="233">
        <v>0</v>
      </c>
      <c r="CA70" s="234">
        <v>0</v>
      </c>
      <c r="CB70" s="80">
        <v>0</v>
      </c>
      <c r="CC70" s="233">
        <v>0</v>
      </c>
      <c r="CD70" s="234">
        <v>0</v>
      </c>
      <c r="CE70" s="80">
        <f t="shared" si="207"/>
        <v>0</v>
      </c>
      <c r="CF70" s="233">
        <v>30.765000000000001</v>
      </c>
      <c r="CG70" s="234">
        <v>4.266</v>
      </c>
      <c r="CH70" s="80">
        <f t="shared" si="208"/>
        <v>26.499000000000002</v>
      </c>
      <c r="CI70" s="233">
        <v>39.915999999999997</v>
      </c>
      <c r="CJ70" s="234">
        <v>60.484999999999999</v>
      </c>
      <c r="CK70" s="237">
        <f t="shared" si="209"/>
        <v>5.9299999999999926</v>
      </c>
      <c r="CL70" s="238">
        <v>161.76599999999999</v>
      </c>
      <c r="CM70" s="239">
        <v>106.32599999999999</v>
      </c>
      <c r="CN70" s="80">
        <f t="shared" si="210"/>
        <v>61.369999999999976</v>
      </c>
      <c r="CO70" s="233">
        <v>285.40800000000002</v>
      </c>
      <c r="CP70" s="234">
        <v>245.429</v>
      </c>
      <c r="CQ70" s="80">
        <f t="shared" si="211"/>
        <v>101.34900000000002</v>
      </c>
      <c r="CR70" s="233">
        <v>204.12200000000001</v>
      </c>
      <c r="CS70" s="234">
        <v>219.374</v>
      </c>
      <c r="CT70" s="237">
        <f t="shared" si="212"/>
        <v>86.097000000000008</v>
      </c>
      <c r="CU70" s="240">
        <v>206.352</v>
      </c>
      <c r="CV70" s="234">
        <v>149.12899999999999</v>
      </c>
      <c r="CW70" s="80">
        <f t="shared" si="213"/>
        <v>143.32000000000002</v>
      </c>
      <c r="CX70" s="233">
        <v>198.017</v>
      </c>
      <c r="CY70" s="234">
        <v>244.94399999999999</v>
      </c>
      <c r="CZ70" s="80">
        <f t="shared" si="214"/>
        <v>96.393000000000001</v>
      </c>
      <c r="DA70" s="233">
        <v>166.69499999999999</v>
      </c>
      <c r="DB70" s="234">
        <v>196.59</v>
      </c>
      <c r="DC70" s="80">
        <f t="shared" si="215"/>
        <v>66.497999999999962</v>
      </c>
      <c r="DD70" s="233">
        <v>240.916</v>
      </c>
      <c r="DE70" s="234">
        <v>219.886</v>
      </c>
      <c r="DF70" s="80">
        <f t="shared" si="216"/>
        <v>87.527999999999992</v>
      </c>
      <c r="DG70" s="233">
        <v>183.96</v>
      </c>
      <c r="DH70" s="234">
        <v>60.48</v>
      </c>
      <c r="DI70" s="187">
        <f t="shared" si="217"/>
        <v>211.00800000000001</v>
      </c>
      <c r="DJ70" s="233">
        <v>111.05</v>
      </c>
      <c r="DK70" s="234">
        <v>78.626000000000005</v>
      </c>
      <c r="DL70" s="80">
        <f t="shared" si="218"/>
        <v>243.43199999999999</v>
      </c>
      <c r="DM70" s="233">
        <v>216.79400000000001</v>
      </c>
      <c r="DN70" s="234">
        <v>190.56200000000001</v>
      </c>
      <c r="DO70" s="187">
        <f t="shared" si="219"/>
        <v>269.66399999999999</v>
      </c>
      <c r="DP70" s="233">
        <v>208.988</v>
      </c>
      <c r="DQ70" s="234">
        <v>273.44099999999997</v>
      </c>
      <c r="DR70" s="80">
        <f t="shared" si="220"/>
        <v>205.21100000000001</v>
      </c>
      <c r="DS70" s="233">
        <v>182.17099999999999</v>
      </c>
      <c r="DT70" s="234">
        <v>231.672</v>
      </c>
      <c r="DU70" s="80">
        <f t="shared" si="221"/>
        <v>155.71</v>
      </c>
      <c r="DV70" s="233">
        <v>104.749</v>
      </c>
      <c r="DW70" s="234">
        <v>0.39500000000000002</v>
      </c>
      <c r="DX70" s="753">
        <f t="shared" si="222"/>
        <v>260.06400000000002</v>
      </c>
      <c r="DY70" s="233">
        <v>131.81299999999999</v>
      </c>
      <c r="DZ70" s="234">
        <v>4.9729999999999999</v>
      </c>
      <c r="EA70" s="187">
        <f>(DX70+DY70)-(DZ70)</f>
        <v>386.904</v>
      </c>
      <c r="EB70" s="233">
        <v>3.2650000000000001</v>
      </c>
      <c r="EC70" s="234">
        <v>75.66</v>
      </c>
      <c r="ED70" s="187">
        <f t="shared" si="224"/>
        <v>314.50900000000001</v>
      </c>
      <c r="EE70" s="233">
        <v>18.268000000000001</v>
      </c>
      <c r="EF70" s="823">
        <v>134.02000000000001</v>
      </c>
      <c r="EG70" s="778">
        <f t="shared" si="225"/>
        <v>198.75700000000003</v>
      </c>
      <c r="EH70" s="233">
        <v>15</v>
      </c>
      <c r="EI70" s="823">
        <f>87.696+21.168</f>
        <v>108.864</v>
      </c>
      <c r="EJ70" s="187">
        <f t="shared" si="226"/>
        <v>104.89300000000003</v>
      </c>
      <c r="EK70" s="233">
        <v>86.5</v>
      </c>
      <c r="EL70" s="823">
        <v>36.287999999999997</v>
      </c>
      <c r="EM70" s="187">
        <f t="shared" ref="EM70" si="234">(EJ70+EK70)-(EL70)</f>
        <v>155.10500000000002</v>
      </c>
      <c r="EN70" s="233">
        <v>117</v>
      </c>
      <c r="EO70" s="823">
        <f>15.12+33.264</f>
        <v>48.384</v>
      </c>
      <c r="EP70" s="753">
        <f t="shared" si="228"/>
        <v>223.721</v>
      </c>
      <c r="EQ70" s="233">
        <v>110.5</v>
      </c>
      <c r="ER70" s="234">
        <v>90</v>
      </c>
      <c r="ES70" s="753">
        <f t="shared" si="229"/>
        <v>244.221</v>
      </c>
      <c r="ET70" s="233">
        <v>91</v>
      </c>
      <c r="EU70" s="234">
        <v>90</v>
      </c>
      <c r="EV70" s="753">
        <f t="shared" si="230"/>
        <v>245.221</v>
      </c>
      <c r="EW70" s="233">
        <v>45.6</v>
      </c>
      <c r="EX70" s="234">
        <v>50</v>
      </c>
      <c r="EY70" s="753">
        <f t="shared" si="231"/>
        <v>240.82100000000003</v>
      </c>
    </row>
    <row r="71" spans="1:155" ht="19.5">
      <c r="A71" s="217"/>
      <c r="B71" s="184"/>
      <c r="C71" s="229">
        <v>100528363</v>
      </c>
      <c r="D71" s="224" t="s">
        <v>363</v>
      </c>
      <c r="E71" s="241"/>
      <c r="F71" s="242"/>
      <c r="G71" s="243"/>
      <c r="H71" s="241"/>
      <c r="I71" s="244"/>
      <c r="J71" s="245"/>
      <c r="K71" s="246"/>
      <c r="L71" s="244"/>
      <c r="M71" s="245"/>
      <c r="N71" s="246"/>
      <c r="O71" s="244"/>
      <c r="P71" s="245"/>
      <c r="Q71" s="246"/>
      <c r="R71" s="244"/>
      <c r="S71" s="245"/>
      <c r="T71" s="246"/>
      <c r="U71" s="244"/>
      <c r="V71" s="245"/>
      <c r="W71" s="246"/>
      <c r="X71" s="244"/>
      <c r="Y71" s="245"/>
      <c r="Z71" s="246"/>
      <c r="AA71" s="244"/>
      <c r="AB71" s="245"/>
      <c r="AC71" s="246"/>
      <c r="AD71" s="244"/>
      <c r="AE71" s="245"/>
      <c r="AF71" s="246"/>
      <c r="AG71" s="244"/>
      <c r="AH71" s="245"/>
      <c r="AI71" s="246"/>
      <c r="AJ71" s="247"/>
      <c r="AK71" s="248"/>
      <c r="AL71" s="246"/>
      <c r="AM71" s="244"/>
      <c r="AN71" s="245"/>
      <c r="AO71" s="246"/>
      <c r="AP71" s="244"/>
      <c r="AQ71" s="245"/>
      <c r="AR71" s="246"/>
      <c r="AS71" s="244"/>
      <c r="AT71" s="245"/>
      <c r="AU71" s="246"/>
      <c r="AV71" s="244"/>
      <c r="AW71" s="245"/>
      <c r="AX71" s="246"/>
      <c r="AY71" s="244"/>
      <c r="AZ71" s="245"/>
      <c r="BA71" s="246"/>
      <c r="BB71" s="244"/>
      <c r="BC71" s="245"/>
      <c r="BD71" s="246"/>
      <c r="BE71" s="244"/>
      <c r="BF71" s="245"/>
      <c r="BG71" s="246"/>
      <c r="BH71" s="244"/>
      <c r="BI71" s="245"/>
      <c r="BJ71" s="246"/>
      <c r="BK71" s="244"/>
      <c r="BL71" s="245"/>
      <c r="BM71" s="246"/>
      <c r="BN71" s="244"/>
      <c r="BO71" s="245"/>
      <c r="BP71" s="246"/>
      <c r="BQ71" s="247"/>
      <c r="BR71" s="248"/>
      <c r="BS71" s="246"/>
      <c r="BT71" s="244"/>
      <c r="BU71" s="245"/>
      <c r="BV71" s="246"/>
      <c r="BW71" s="233">
        <v>0</v>
      </c>
      <c r="BX71" s="234">
        <v>0</v>
      </c>
      <c r="BY71" s="80">
        <v>0</v>
      </c>
      <c r="BZ71" s="233">
        <v>0</v>
      </c>
      <c r="CA71" s="234">
        <v>0</v>
      </c>
      <c r="CB71" s="80">
        <v>0</v>
      </c>
      <c r="CC71" s="233">
        <v>7.2290000000000001</v>
      </c>
      <c r="CD71" s="234">
        <v>0</v>
      </c>
      <c r="CE71" s="80">
        <f t="shared" si="207"/>
        <v>7.2290000000000001</v>
      </c>
      <c r="CF71" s="233">
        <v>133.51400000000001</v>
      </c>
      <c r="CG71" s="234">
        <v>48.837000000000003</v>
      </c>
      <c r="CH71" s="80">
        <f t="shared" si="208"/>
        <v>91.90600000000002</v>
      </c>
      <c r="CI71" s="233">
        <v>228.75</v>
      </c>
      <c r="CJ71" s="234">
        <v>241.92</v>
      </c>
      <c r="CK71" s="237">
        <f t="shared" si="209"/>
        <v>78.736000000000018</v>
      </c>
      <c r="CL71" s="238">
        <v>238.827</v>
      </c>
      <c r="CM71" s="239">
        <v>193.792</v>
      </c>
      <c r="CN71" s="80">
        <f t="shared" si="210"/>
        <v>123.77099999999999</v>
      </c>
      <c r="CO71" s="233">
        <v>229.37799999999999</v>
      </c>
      <c r="CP71" s="234">
        <v>287.27999999999997</v>
      </c>
      <c r="CQ71" s="80">
        <f t="shared" si="211"/>
        <v>65.869000000000028</v>
      </c>
      <c r="CR71" s="233">
        <v>206.48</v>
      </c>
      <c r="CS71" s="234">
        <v>220.613</v>
      </c>
      <c r="CT71" s="237">
        <v>71.736000000000004</v>
      </c>
      <c r="CU71" s="240">
        <v>218.983</v>
      </c>
      <c r="CV71" s="234">
        <v>199.38800000000001</v>
      </c>
      <c r="CW71" s="80">
        <f t="shared" si="213"/>
        <v>91.330999999999989</v>
      </c>
      <c r="CX71" s="233">
        <v>239.13</v>
      </c>
      <c r="CY71" s="234">
        <v>169.34899999999999</v>
      </c>
      <c r="CZ71" s="80">
        <f t="shared" si="214"/>
        <v>161.11200000000002</v>
      </c>
      <c r="DA71" s="233">
        <v>222.38</v>
      </c>
      <c r="DB71" s="234">
        <v>275.214</v>
      </c>
      <c r="DC71" s="80">
        <f t="shared" si="215"/>
        <v>108.27800000000002</v>
      </c>
      <c r="DD71" s="233">
        <v>294.03100000000001</v>
      </c>
      <c r="DE71" s="234">
        <v>314.94900000000001</v>
      </c>
      <c r="DF71" s="80">
        <f t="shared" si="216"/>
        <v>87.360000000000014</v>
      </c>
      <c r="DG71" s="233">
        <v>215.54400000000001</v>
      </c>
      <c r="DH71" s="234">
        <v>254.01599999999999</v>
      </c>
      <c r="DI71" s="80">
        <f t="shared" si="217"/>
        <v>48.888000000000005</v>
      </c>
      <c r="DJ71" s="233">
        <v>131.714</v>
      </c>
      <c r="DK71" s="234">
        <v>18.146000000000001</v>
      </c>
      <c r="DL71" s="80">
        <f t="shared" si="218"/>
        <v>162.45600000000002</v>
      </c>
      <c r="DM71" s="233">
        <v>171.65600000000001</v>
      </c>
      <c r="DN71" s="234">
        <f>60.48+145.152</f>
        <v>205.63199999999998</v>
      </c>
      <c r="DO71" s="80">
        <f t="shared" si="219"/>
        <v>128.48000000000005</v>
      </c>
      <c r="DP71" s="233">
        <v>109.242</v>
      </c>
      <c r="DQ71" s="234">
        <v>194.042</v>
      </c>
      <c r="DR71" s="80">
        <f t="shared" si="220"/>
        <v>43.680000000000035</v>
      </c>
      <c r="DS71" s="233">
        <v>205.61199999999999</v>
      </c>
      <c r="DT71" s="234">
        <v>184.108</v>
      </c>
      <c r="DU71" s="80">
        <f t="shared" si="221"/>
        <v>65.184000000000026</v>
      </c>
      <c r="DV71" s="233">
        <v>150.36000000000001</v>
      </c>
      <c r="DW71" s="234">
        <v>130.03200000000001</v>
      </c>
      <c r="DX71" s="754">
        <f t="shared" si="222"/>
        <v>85.512000000000029</v>
      </c>
      <c r="DY71" s="233">
        <v>129.43700000000001</v>
      </c>
      <c r="DZ71" s="234">
        <v>178.93</v>
      </c>
      <c r="EA71" s="80">
        <f t="shared" ref="EA71:EA72" si="235">(DX71+DY71)-(DZ71)</f>
        <v>36.019000000000034</v>
      </c>
      <c r="EB71" s="233">
        <v>180.21</v>
      </c>
      <c r="EC71" s="234">
        <v>163.292</v>
      </c>
      <c r="ED71" s="80">
        <f t="shared" si="224"/>
        <v>52.93700000000004</v>
      </c>
      <c r="EE71" s="233">
        <v>178.262</v>
      </c>
      <c r="EF71" s="823">
        <v>218.078</v>
      </c>
      <c r="EG71" s="779">
        <f t="shared" si="225"/>
        <v>13.121000000000038</v>
      </c>
      <c r="EH71" s="233">
        <v>169</v>
      </c>
      <c r="EI71" s="823">
        <f>66.528+51.408</f>
        <v>117.93600000000001</v>
      </c>
      <c r="EJ71" s="80">
        <f t="shared" si="226"/>
        <v>64.185000000000031</v>
      </c>
      <c r="EK71" s="233">
        <v>118.5</v>
      </c>
      <c r="EL71" s="823">
        <v>50</v>
      </c>
      <c r="EM71" s="80">
        <f t="shared" si="227"/>
        <v>132.68500000000003</v>
      </c>
      <c r="EN71" s="233">
        <v>134</v>
      </c>
      <c r="EO71" s="823">
        <f>21.168+65</f>
        <v>86.168000000000006</v>
      </c>
      <c r="EP71" s="754">
        <f t="shared" si="228"/>
        <v>180.51700000000005</v>
      </c>
      <c r="EQ71" s="233">
        <v>100</v>
      </c>
      <c r="ER71" s="234">
        <v>78</v>
      </c>
      <c r="ES71" s="754">
        <f t="shared" si="229"/>
        <v>202.51700000000005</v>
      </c>
      <c r="ET71" s="233">
        <v>115.5</v>
      </c>
      <c r="EU71" s="234">
        <v>84</v>
      </c>
      <c r="EV71" s="754">
        <f t="shared" si="230"/>
        <v>234.01700000000005</v>
      </c>
      <c r="EW71" s="233">
        <v>23.5</v>
      </c>
      <c r="EX71" s="234">
        <v>20</v>
      </c>
      <c r="EY71" s="754">
        <f t="shared" si="231"/>
        <v>237.51700000000005</v>
      </c>
    </row>
    <row r="72" spans="1:155" ht="19.5">
      <c r="A72" s="217"/>
      <c r="B72" s="184"/>
      <c r="C72" s="229">
        <v>100528523</v>
      </c>
      <c r="D72" s="224" t="s">
        <v>364</v>
      </c>
      <c r="E72" s="249"/>
      <c r="F72" s="250"/>
      <c r="G72" s="251"/>
      <c r="H72" s="249"/>
      <c r="I72" s="252"/>
      <c r="J72" s="253"/>
      <c r="K72" s="254"/>
      <c r="L72" s="252"/>
      <c r="M72" s="253"/>
      <c r="N72" s="254"/>
      <c r="O72" s="252"/>
      <c r="P72" s="253"/>
      <c r="Q72" s="254"/>
      <c r="R72" s="252"/>
      <c r="S72" s="253"/>
      <c r="T72" s="254"/>
      <c r="U72" s="252"/>
      <c r="V72" s="253"/>
      <c r="W72" s="254"/>
      <c r="X72" s="252"/>
      <c r="Y72" s="253"/>
      <c r="Z72" s="254"/>
      <c r="AA72" s="252"/>
      <c r="AB72" s="253"/>
      <c r="AC72" s="254"/>
      <c r="AD72" s="252"/>
      <c r="AE72" s="253"/>
      <c r="AF72" s="254"/>
      <c r="AG72" s="252"/>
      <c r="AH72" s="253"/>
      <c r="AI72" s="254"/>
      <c r="AJ72" s="255"/>
      <c r="AK72" s="256"/>
      <c r="AL72" s="254"/>
      <c r="AM72" s="252"/>
      <c r="AN72" s="253"/>
      <c r="AO72" s="254"/>
      <c r="AP72" s="252"/>
      <c r="AQ72" s="253"/>
      <c r="AR72" s="254"/>
      <c r="AS72" s="252"/>
      <c r="AT72" s="253"/>
      <c r="AU72" s="254"/>
      <c r="AV72" s="252"/>
      <c r="AW72" s="253"/>
      <c r="AX72" s="254"/>
      <c r="AY72" s="252"/>
      <c r="AZ72" s="253"/>
      <c r="BA72" s="254"/>
      <c r="BB72" s="252"/>
      <c r="BC72" s="253"/>
      <c r="BD72" s="254"/>
      <c r="BE72" s="252"/>
      <c r="BF72" s="253"/>
      <c r="BG72" s="254"/>
      <c r="BH72" s="252"/>
      <c r="BI72" s="253"/>
      <c r="BJ72" s="254"/>
      <c r="BK72" s="252"/>
      <c r="BL72" s="253"/>
      <c r="BM72" s="254"/>
      <c r="BN72" s="252"/>
      <c r="BO72" s="253"/>
      <c r="BP72" s="254"/>
      <c r="BQ72" s="255"/>
      <c r="BR72" s="256"/>
      <c r="BS72" s="254"/>
      <c r="BT72" s="252"/>
      <c r="BU72" s="253"/>
      <c r="BV72" s="254"/>
      <c r="BW72" s="257">
        <v>0</v>
      </c>
      <c r="BX72" s="213">
        <v>0</v>
      </c>
      <c r="BY72" s="258">
        <v>0</v>
      </c>
      <c r="BZ72" s="257">
        <v>0</v>
      </c>
      <c r="CA72" s="213">
        <v>0</v>
      </c>
      <c r="CB72" s="258">
        <v>0</v>
      </c>
      <c r="CC72" s="233">
        <v>2.63</v>
      </c>
      <c r="CD72" s="234">
        <v>0</v>
      </c>
      <c r="CE72" s="80">
        <f t="shared" si="207"/>
        <v>2.63</v>
      </c>
      <c r="CF72" s="233">
        <v>140.179</v>
      </c>
      <c r="CG72" s="234">
        <v>48.837000000000003</v>
      </c>
      <c r="CH72" s="80">
        <f t="shared" si="208"/>
        <v>93.971999999999994</v>
      </c>
      <c r="CI72" s="233">
        <v>214.505</v>
      </c>
      <c r="CJ72" s="234">
        <v>241.92</v>
      </c>
      <c r="CK72" s="237">
        <f t="shared" si="209"/>
        <v>66.556999999999988</v>
      </c>
      <c r="CL72" s="238">
        <v>237.042</v>
      </c>
      <c r="CM72" s="239">
        <v>193.792</v>
      </c>
      <c r="CN72" s="80">
        <f t="shared" si="210"/>
        <v>109.80699999999999</v>
      </c>
      <c r="CO72" s="233">
        <v>236.37899999999999</v>
      </c>
      <c r="CP72" s="234">
        <v>293.32799999999997</v>
      </c>
      <c r="CQ72" s="80">
        <f t="shared" si="211"/>
        <v>52.858000000000004</v>
      </c>
      <c r="CR72" s="233">
        <v>208.874</v>
      </c>
      <c r="CS72" s="234">
        <v>199.572</v>
      </c>
      <c r="CT72" s="237">
        <f t="shared" si="212"/>
        <v>62.159999999999968</v>
      </c>
      <c r="CU72" s="240">
        <v>215.208</v>
      </c>
      <c r="CV72" s="234">
        <v>197.39400000000001</v>
      </c>
      <c r="CW72" s="80">
        <f t="shared" si="213"/>
        <v>79.973999999999933</v>
      </c>
      <c r="CX72" s="233">
        <v>234.863</v>
      </c>
      <c r="CY72" s="234">
        <v>166.32499999999999</v>
      </c>
      <c r="CZ72" s="80">
        <f t="shared" si="214"/>
        <v>148.51199999999994</v>
      </c>
      <c r="DA72" s="233">
        <v>232.654</v>
      </c>
      <c r="DB72" s="234">
        <v>275.214</v>
      </c>
      <c r="DC72" s="80">
        <f t="shared" si="215"/>
        <v>105.95199999999994</v>
      </c>
      <c r="DD72" s="233">
        <v>309.27300000000002</v>
      </c>
      <c r="DE72" s="234">
        <v>337.77699999999999</v>
      </c>
      <c r="DF72" s="80">
        <f t="shared" si="216"/>
        <v>77.447999999999979</v>
      </c>
      <c r="DG72" s="233">
        <v>240.24</v>
      </c>
      <c r="DH72" s="234">
        <v>247.96799999999999</v>
      </c>
      <c r="DI72" s="80">
        <f t="shared" si="217"/>
        <v>69.72</v>
      </c>
      <c r="DJ72" s="233">
        <v>184.285</v>
      </c>
      <c r="DK72" s="234">
        <v>36.29</v>
      </c>
      <c r="DL72" s="80">
        <f t="shared" si="218"/>
        <v>217.715</v>
      </c>
      <c r="DM72" s="233">
        <v>159.828</v>
      </c>
      <c r="DN72" s="234">
        <f>60.48+114.912</f>
        <v>175.392</v>
      </c>
      <c r="DO72" s="80">
        <f t="shared" si="219"/>
        <v>202.15100000000001</v>
      </c>
      <c r="DP72" s="233">
        <v>99.299000000000007</v>
      </c>
      <c r="DQ72" s="234">
        <v>269.779</v>
      </c>
      <c r="DR72" s="80">
        <f t="shared" si="220"/>
        <v>31.671000000000049</v>
      </c>
      <c r="DS72" s="233">
        <v>165.292</v>
      </c>
      <c r="DT72" s="234">
        <v>156.892</v>
      </c>
      <c r="DU72" s="80">
        <f t="shared" si="221"/>
        <v>40.071000000000055</v>
      </c>
      <c r="DV72" s="233">
        <v>138.40100000000001</v>
      </c>
      <c r="DW72" s="234">
        <v>102.816</v>
      </c>
      <c r="DX72" s="754">
        <f t="shared" si="222"/>
        <v>75.656000000000063</v>
      </c>
      <c r="DY72" s="233">
        <v>131.26400000000001</v>
      </c>
      <c r="DZ72" s="234">
        <v>157.762</v>
      </c>
      <c r="EA72" s="80">
        <f t="shared" si="235"/>
        <v>49.158000000000072</v>
      </c>
      <c r="EB72" s="233">
        <v>180.56700000000001</v>
      </c>
      <c r="EC72" s="234">
        <v>172.02799999999999</v>
      </c>
      <c r="ED72" s="80">
        <f t="shared" si="224"/>
        <v>57.697000000000088</v>
      </c>
      <c r="EE72" s="233">
        <v>179.38200000000001</v>
      </c>
      <c r="EF72" s="823">
        <v>212.03</v>
      </c>
      <c r="EG72" s="754">
        <f t="shared" si="225"/>
        <v>25.049000000000092</v>
      </c>
      <c r="EH72" s="233">
        <v>135</v>
      </c>
      <c r="EI72" s="823">
        <f>60.48+51.408</f>
        <v>111.88800000000001</v>
      </c>
      <c r="EJ72" s="80">
        <f t="shared" si="226"/>
        <v>48.161000000000087</v>
      </c>
      <c r="EK72" s="233">
        <v>110</v>
      </c>
      <c r="EL72" s="823">
        <v>50</v>
      </c>
      <c r="EM72" s="80">
        <f t="shared" si="227"/>
        <v>108.16100000000009</v>
      </c>
      <c r="EN72" s="233">
        <v>164</v>
      </c>
      <c r="EO72" s="823">
        <f>21.168+65</f>
        <v>86.168000000000006</v>
      </c>
      <c r="EP72" s="754">
        <f t="shared" si="228"/>
        <v>185.99300000000005</v>
      </c>
      <c r="EQ72" s="233">
        <v>100</v>
      </c>
      <c r="ER72" s="234">
        <v>78</v>
      </c>
      <c r="ES72" s="754">
        <f t="shared" si="229"/>
        <v>207.99300000000005</v>
      </c>
      <c r="ET72" s="233">
        <v>115.5</v>
      </c>
      <c r="EU72" s="234">
        <v>84</v>
      </c>
      <c r="EV72" s="754">
        <f t="shared" si="230"/>
        <v>239.49300000000005</v>
      </c>
      <c r="EW72" s="233">
        <v>23.5</v>
      </c>
      <c r="EX72" s="234">
        <v>20</v>
      </c>
      <c r="EY72" s="754">
        <f t="shared" si="231"/>
        <v>242.99300000000005</v>
      </c>
    </row>
    <row r="73" spans="1:155" s="20" customFormat="1" ht="19.5" hidden="1" customHeight="1">
      <c r="A73" s="184"/>
      <c r="B73" s="184"/>
      <c r="C73" s="207">
        <v>100257685</v>
      </c>
      <c r="D73" s="208" t="s">
        <v>365</v>
      </c>
      <c r="E73" s="187">
        <v>102.884</v>
      </c>
      <c r="F73" s="64">
        <v>103.38</v>
      </c>
      <c r="G73" s="65">
        <v>116.932</v>
      </c>
      <c r="H73" s="187">
        <f>(E73+F73)-(G73)</f>
        <v>89.332000000000008</v>
      </c>
      <c r="I73" s="64">
        <v>-0.125</v>
      </c>
      <c r="J73" s="65">
        <v>87.623000000000005</v>
      </c>
      <c r="K73" s="187">
        <f>(H73+I73)-(J73)</f>
        <v>1.5840000000000032</v>
      </c>
      <c r="L73" s="64">
        <v>81.983999999999995</v>
      </c>
      <c r="M73" s="65">
        <v>81.647999999999996</v>
      </c>
      <c r="N73" s="187">
        <f>(K73+L73)-(M73)</f>
        <v>1.9200000000000017</v>
      </c>
      <c r="O73" s="64">
        <v>80.454999999999998</v>
      </c>
      <c r="P73" s="65">
        <v>55.255000000000003</v>
      </c>
      <c r="Q73" s="187">
        <f>(N73+O73)-(P73)</f>
        <v>27.119999999999997</v>
      </c>
      <c r="R73" s="64">
        <v>32.518999999999998</v>
      </c>
      <c r="S73" s="65">
        <v>48.384</v>
      </c>
      <c r="T73" s="187">
        <f>(Q73+R73)-(S73)</f>
        <v>11.254999999999995</v>
      </c>
      <c r="U73" s="64">
        <v>0.67200000000000004</v>
      </c>
      <c r="V73" s="65">
        <v>9.0719999999999992</v>
      </c>
      <c r="W73" s="187">
        <f>(T73+U73)-(V73)</f>
        <v>2.8549999999999969</v>
      </c>
      <c r="X73" s="64">
        <v>0</v>
      </c>
      <c r="Y73" s="65">
        <v>0</v>
      </c>
      <c r="Z73" s="187">
        <f>(W73+X73)-(Y73)</f>
        <v>2.8549999999999969</v>
      </c>
      <c r="AA73" s="64">
        <v>0</v>
      </c>
      <c r="AB73" s="65">
        <v>0</v>
      </c>
      <c r="AC73" s="187">
        <f>(Z73+AA73)-(AB73)</f>
        <v>2.8549999999999969</v>
      </c>
      <c r="AD73" s="64">
        <v>-1.4999999999999999E-2</v>
      </c>
      <c r="AE73" s="65">
        <v>-1.2999999999999999E-2</v>
      </c>
      <c r="AF73" s="187">
        <f>(AC73+AD73)-(AE73)</f>
        <v>2.8529999999999966</v>
      </c>
      <c r="AG73" s="64">
        <v>0</v>
      </c>
      <c r="AH73" s="65">
        <v>0</v>
      </c>
      <c r="AI73" s="187">
        <f>(AF73+AG73)-(AH73)</f>
        <v>2.8529999999999966</v>
      </c>
      <c r="AJ73" s="64">
        <v>0</v>
      </c>
      <c r="AK73" s="65">
        <v>-0.373</v>
      </c>
      <c r="AL73" s="187">
        <f>(AI73+AJ73)-(AK73)</f>
        <v>3.2259999999999964</v>
      </c>
      <c r="AM73" s="64">
        <v>0</v>
      </c>
      <c r="AN73" s="65">
        <v>0</v>
      </c>
      <c r="AO73" s="187">
        <f>(AL73+AM73)-(AN73)</f>
        <v>3.2259999999999964</v>
      </c>
      <c r="AP73" s="64">
        <v>0</v>
      </c>
      <c r="AQ73" s="65">
        <v>0</v>
      </c>
      <c r="AR73" s="187">
        <f>(AO73+AP73)-(AQ73)</f>
        <v>3.2259999999999964</v>
      </c>
      <c r="AS73" s="64">
        <v>0</v>
      </c>
      <c r="AT73" s="65">
        <v>0</v>
      </c>
      <c r="AU73" s="187">
        <f>(AR73+AS73)-(AT73)-0.373</f>
        <v>2.8529999999999962</v>
      </c>
      <c r="AV73" s="64">
        <v>0</v>
      </c>
      <c r="AW73" s="65">
        <v>0</v>
      </c>
      <c r="AX73" s="187">
        <f>(AU73+AV73)-(AW73)</f>
        <v>2.8529999999999962</v>
      </c>
      <c r="AY73" s="64">
        <v>0</v>
      </c>
      <c r="AZ73" s="65">
        <v>-7.8959999999999999</v>
      </c>
      <c r="BA73" s="187">
        <f t="shared" ref="BA73:BA79" si="236">(AX73+AY73)-(AZ73)</f>
        <v>10.748999999999995</v>
      </c>
      <c r="BB73" s="64">
        <v>0</v>
      </c>
      <c r="BC73" s="65">
        <v>0</v>
      </c>
      <c r="BD73" s="187">
        <v>10.75</v>
      </c>
      <c r="BE73" s="64">
        <v>0</v>
      </c>
      <c r="BF73" s="65">
        <v>0</v>
      </c>
      <c r="BG73" s="187">
        <f t="shared" ref="BG73:BG79" si="237">(BD73+BE73)-(BF73)</f>
        <v>10.75</v>
      </c>
      <c r="BH73" s="64">
        <v>0</v>
      </c>
      <c r="BI73" s="65">
        <v>0</v>
      </c>
      <c r="BJ73" s="187">
        <f t="shared" ref="BJ73:BJ79" si="238">(BG73+BH73)-(BI73)</f>
        <v>10.75</v>
      </c>
      <c r="BK73" s="64">
        <v>0</v>
      </c>
      <c r="BL73" s="65">
        <v>0</v>
      </c>
      <c r="BM73" s="187">
        <f t="shared" ref="BM73:BM79" si="239">(BJ73+BK73)-(BL73)</f>
        <v>10.75</v>
      </c>
      <c r="BN73" s="64">
        <v>0</v>
      </c>
      <c r="BO73" s="65">
        <v>0</v>
      </c>
      <c r="BP73" s="187">
        <f t="shared" ref="BP73:BP79" si="240">(BM73+BN73)-(BO73)</f>
        <v>10.75</v>
      </c>
      <c r="BQ73" s="64">
        <v>0</v>
      </c>
      <c r="BR73" s="65">
        <v>0</v>
      </c>
      <c r="BS73" s="187">
        <f t="shared" ref="BS73:BS79" si="241">(BP73+BQ73)-(BR73)</f>
        <v>10.75</v>
      </c>
      <c r="BT73" s="64">
        <v>0</v>
      </c>
      <c r="BU73" s="65">
        <v>0</v>
      </c>
      <c r="BV73" s="187">
        <f t="shared" ref="BV73:BV79" si="242">(BS73+BT73)-(BU73)</f>
        <v>10.75</v>
      </c>
      <c r="BW73" s="64">
        <v>0</v>
      </c>
      <c r="BX73" s="65">
        <v>0</v>
      </c>
      <c r="BY73" s="187">
        <f t="shared" ref="BY73:BY79" si="243">(BV73+BW73)-(BX73)</f>
        <v>10.75</v>
      </c>
      <c r="BZ73" s="64">
        <v>0</v>
      </c>
      <c r="CA73" s="65">
        <v>0</v>
      </c>
      <c r="CB73" s="187">
        <f t="shared" ref="CB73:CB79" si="244">(BY73+BZ73)-(CA73)</f>
        <v>10.75</v>
      </c>
      <c r="CC73" s="64">
        <v>0</v>
      </c>
      <c r="CD73" s="65">
        <v>0</v>
      </c>
      <c r="CE73" s="187">
        <f t="shared" si="207"/>
        <v>10.75</v>
      </c>
      <c r="CF73" s="64">
        <v>0</v>
      </c>
      <c r="CG73" s="65">
        <v>0</v>
      </c>
      <c r="CH73" s="187">
        <f t="shared" si="208"/>
        <v>10.75</v>
      </c>
      <c r="CI73" s="64">
        <v>0</v>
      </c>
      <c r="CJ73" s="65">
        <v>0</v>
      </c>
      <c r="CK73" s="220">
        <f t="shared" si="209"/>
        <v>10.75</v>
      </c>
      <c r="CL73" s="70">
        <v>0</v>
      </c>
      <c r="CM73" s="71">
        <v>0</v>
      </c>
      <c r="CN73" s="187">
        <f t="shared" si="210"/>
        <v>10.75</v>
      </c>
      <c r="CO73" s="64">
        <v>0</v>
      </c>
      <c r="CP73" s="65">
        <v>0</v>
      </c>
      <c r="CQ73" s="187">
        <f t="shared" si="211"/>
        <v>10.75</v>
      </c>
      <c r="CR73" s="64">
        <v>0</v>
      </c>
      <c r="CS73" s="65">
        <v>0</v>
      </c>
      <c r="CT73" s="220">
        <f t="shared" si="212"/>
        <v>10.75</v>
      </c>
      <c r="CU73" s="81">
        <v>0</v>
      </c>
      <c r="CV73" s="65">
        <v>0</v>
      </c>
      <c r="CW73" s="187">
        <f t="shared" si="213"/>
        <v>10.75</v>
      </c>
      <c r="CX73" s="64">
        <v>0</v>
      </c>
      <c r="CY73" s="65">
        <v>0</v>
      </c>
      <c r="CZ73" s="187">
        <f t="shared" si="214"/>
        <v>10.75</v>
      </c>
      <c r="DA73" s="64">
        <v>0</v>
      </c>
      <c r="DB73" s="65">
        <v>0</v>
      </c>
      <c r="DC73" s="187">
        <f t="shared" si="215"/>
        <v>10.75</v>
      </c>
      <c r="DD73" s="64">
        <v>0</v>
      </c>
      <c r="DE73" s="65">
        <v>0</v>
      </c>
      <c r="DF73" s="80">
        <f t="shared" si="216"/>
        <v>10.75</v>
      </c>
      <c r="DG73" s="64">
        <v>0</v>
      </c>
      <c r="DH73" s="65">
        <v>0</v>
      </c>
      <c r="DI73" s="80">
        <f t="shared" si="217"/>
        <v>10.75</v>
      </c>
      <c r="DJ73" s="64">
        <v>0</v>
      </c>
      <c r="DK73" s="65">
        <v>0</v>
      </c>
      <c r="DL73" s="80">
        <f t="shared" si="218"/>
        <v>10.75</v>
      </c>
      <c r="DM73" s="64">
        <v>0</v>
      </c>
      <c r="DN73" s="65">
        <v>0</v>
      </c>
      <c r="DO73" s="80">
        <f t="shared" si="219"/>
        <v>10.75</v>
      </c>
      <c r="DP73" s="64">
        <v>0</v>
      </c>
      <c r="DQ73" s="65">
        <v>0</v>
      </c>
      <c r="DR73" s="80">
        <f t="shared" si="220"/>
        <v>10.75</v>
      </c>
      <c r="DS73" s="64">
        <v>0</v>
      </c>
      <c r="DT73" s="65">
        <v>0</v>
      </c>
      <c r="DU73" s="80">
        <f t="shared" si="221"/>
        <v>10.75</v>
      </c>
      <c r="DV73" s="64">
        <v>0</v>
      </c>
      <c r="DW73" s="65">
        <v>0</v>
      </c>
      <c r="DX73" s="754">
        <f t="shared" si="222"/>
        <v>10.75</v>
      </c>
      <c r="DY73" s="64">
        <v>-1E-3</v>
      </c>
      <c r="DZ73" s="65">
        <v>0</v>
      </c>
      <c r="EA73" s="80">
        <f t="shared" si="223"/>
        <v>10.749000000000001</v>
      </c>
      <c r="EB73" s="64">
        <v>0</v>
      </c>
      <c r="EC73" s="65">
        <v>0</v>
      </c>
      <c r="ED73" s="80">
        <f t="shared" si="224"/>
        <v>10.749000000000001</v>
      </c>
      <c r="EE73" s="64">
        <v>0</v>
      </c>
      <c r="EF73" s="65">
        <v>0</v>
      </c>
      <c r="EG73" s="754">
        <f t="shared" si="225"/>
        <v>10.749000000000001</v>
      </c>
      <c r="EH73" s="64">
        <v>0</v>
      </c>
      <c r="EI73" s="65">
        <v>0</v>
      </c>
      <c r="EJ73" s="80">
        <f t="shared" si="226"/>
        <v>10.749000000000001</v>
      </c>
      <c r="EK73" s="64">
        <v>0</v>
      </c>
      <c r="EL73" s="65">
        <v>0</v>
      </c>
      <c r="EM73" s="80">
        <f t="shared" si="227"/>
        <v>10.749000000000001</v>
      </c>
      <c r="EN73" s="64">
        <v>0</v>
      </c>
      <c r="EO73" s="65">
        <v>0</v>
      </c>
      <c r="EP73" s="754">
        <f t="shared" si="228"/>
        <v>10.749000000000001</v>
      </c>
      <c r="EQ73" s="64">
        <v>0</v>
      </c>
      <c r="ER73" s="65">
        <v>0</v>
      </c>
      <c r="ES73" s="754">
        <f t="shared" si="229"/>
        <v>10.749000000000001</v>
      </c>
      <c r="ET73" s="64">
        <v>0</v>
      </c>
      <c r="EU73" s="65">
        <v>0</v>
      </c>
      <c r="EV73" s="754">
        <f t="shared" si="230"/>
        <v>10.749000000000001</v>
      </c>
      <c r="EW73" s="64">
        <v>0</v>
      </c>
      <c r="EX73" s="65">
        <v>0</v>
      </c>
      <c r="EY73" s="754">
        <f t="shared" si="231"/>
        <v>10.749000000000001</v>
      </c>
    </row>
    <row r="74" spans="1:155" s="20" customFormat="1" ht="19.5" hidden="1" customHeight="1">
      <c r="A74" s="184"/>
      <c r="B74" s="184"/>
      <c r="C74" s="207">
        <v>100257700</v>
      </c>
      <c r="D74" s="208" t="s">
        <v>366</v>
      </c>
      <c r="E74" s="63">
        <v>77.448999999999998</v>
      </c>
      <c r="F74" s="64">
        <v>44.325000000000003</v>
      </c>
      <c r="G74" s="65">
        <v>116.932</v>
      </c>
      <c r="H74" s="63">
        <f>(E74+F74)-(G74)</f>
        <v>4.8419999999999987</v>
      </c>
      <c r="I74" s="64">
        <v>98.447999999999993</v>
      </c>
      <c r="J74" s="65">
        <v>87.620999999999995</v>
      </c>
      <c r="K74" s="63">
        <f>(H74+I74)-(J74)</f>
        <v>15.668999999999997</v>
      </c>
      <c r="L74" s="64">
        <v>73.659000000000006</v>
      </c>
      <c r="M74" s="65">
        <v>81.647999999999996</v>
      </c>
      <c r="N74" s="63">
        <f>(K74+L74)-(M74)</f>
        <v>7.6800000000000068</v>
      </c>
      <c r="O74" s="64">
        <v>48.872</v>
      </c>
      <c r="P74" s="65">
        <v>55.256</v>
      </c>
      <c r="Q74" s="63">
        <f>(N74+O74)-(P74)</f>
        <v>1.2960000000000065</v>
      </c>
      <c r="R74" s="64">
        <v>58.893000000000001</v>
      </c>
      <c r="S74" s="65">
        <v>48.384</v>
      </c>
      <c r="T74" s="63">
        <f>(Q74+R74)-(S74)</f>
        <v>11.805000000000007</v>
      </c>
      <c r="U74" s="64">
        <v>0.33600000000000002</v>
      </c>
      <c r="V74" s="65">
        <v>9.0719999999999992</v>
      </c>
      <c r="W74" s="63">
        <f>(T74+U74)-(V74)</f>
        <v>3.0690000000000079</v>
      </c>
      <c r="X74" s="64">
        <v>0</v>
      </c>
      <c r="Y74" s="65">
        <v>0</v>
      </c>
      <c r="Z74" s="63">
        <f>(W74+X74)-(Y74)</f>
        <v>3.0690000000000079</v>
      </c>
      <c r="AA74" s="64">
        <v>0</v>
      </c>
      <c r="AB74" s="65">
        <v>0</v>
      </c>
      <c r="AC74" s="63">
        <f>(Z74+AA74)-(AB74)</f>
        <v>3.0690000000000079</v>
      </c>
      <c r="AD74" s="64">
        <v>-1.9E-2</v>
      </c>
      <c r="AE74" s="65">
        <v>-1.7999999999999999E-2</v>
      </c>
      <c r="AF74" s="63">
        <f>(AC74+AD74)-(AE74)</f>
        <v>3.0680000000000076</v>
      </c>
      <c r="AG74" s="64">
        <v>0</v>
      </c>
      <c r="AH74" s="65">
        <v>0</v>
      </c>
      <c r="AI74" s="63">
        <f>(AF74+AG74)-(AH74)</f>
        <v>3.0680000000000076</v>
      </c>
      <c r="AJ74" s="64">
        <v>0</v>
      </c>
      <c r="AK74" s="65">
        <v>-0.36399999999999999</v>
      </c>
      <c r="AL74" s="63">
        <f>(AI74+AJ74)-(AK74)</f>
        <v>3.4320000000000075</v>
      </c>
      <c r="AM74" s="64">
        <v>0</v>
      </c>
      <c r="AN74" s="65">
        <v>0</v>
      </c>
      <c r="AO74" s="63">
        <f>(AL74+AM74)-(AN74)</f>
        <v>3.4320000000000075</v>
      </c>
      <c r="AP74" s="64">
        <v>0</v>
      </c>
      <c r="AQ74" s="65">
        <v>0</v>
      </c>
      <c r="AR74" s="63">
        <f>(AO74+AP74)-(AQ74)</f>
        <v>3.4320000000000075</v>
      </c>
      <c r="AS74" s="64">
        <v>0</v>
      </c>
      <c r="AT74" s="65">
        <v>0</v>
      </c>
      <c r="AU74" s="63">
        <f>(AR74+AS74)-(AT74)-0.364</f>
        <v>3.0680000000000076</v>
      </c>
      <c r="AV74" s="64">
        <v>0</v>
      </c>
      <c r="AW74" s="65">
        <v>0</v>
      </c>
      <c r="AX74" s="63">
        <f>(AU74+AV74)-(AW74)</f>
        <v>3.0680000000000076</v>
      </c>
      <c r="AY74" s="64">
        <v>-4.7E-2</v>
      </c>
      <c r="AZ74" s="65">
        <v>-6.0960000000000001</v>
      </c>
      <c r="BA74" s="63">
        <f t="shared" si="236"/>
        <v>9.117000000000008</v>
      </c>
      <c r="BB74" s="64">
        <v>-3.2000000000000001E-2</v>
      </c>
      <c r="BC74" s="65">
        <v>0</v>
      </c>
      <c r="BD74" s="63">
        <v>9.0399999999999991</v>
      </c>
      <c r="BE74" s="64">
        <v>-0.13600000000000001</v>
      </c>
      <c r="BF74" s="65">
        <v>1.512</v>
      </c>
      <c r="BG74" s="63">
        <f t="shared" si="237"/>
        <v>7.3919999999999995</v>
      </c>
      <c r="BH74" s="64">
        <v>0</v>
      </c>
      <c r="BI74" s="65">
        <v>0</v>
      </c>
      <c r="BJ74" s="63">
        <f t="shared" si="238"/>
        <v>7.3919999999999995</v>
      </c>
      <c r="BK74" s="64">
        <v>0</v>
      </c>
      <c r="BL74" s="65">
        <v>0</v>
      </c>
      <c r="BM74" s="63">
        <f t="shared" si="239"/>
        <v>7.3919999999999995</v>
      </c>
      <c r="BN74" s="64">
        <v>0</v>
      </c>
      <c r="BO74" s="65">
        <v>0</v>
      </c>
      <c r="BP74" s="63">
        <f t="shared" si="240"/>
        <v>7.3919999999999995</v>
      </c>
      <c r="BQ74" s="64">
        <v>0</v>
      </c>
      <c r="BR74" s="65">
        <v>0</v>
      </c>
      <c r="BS74" s="63">
        <f t="shared" si="241"/>
        <v>7.3919999999999995</v>
      </c>
      <c r="BT74" s="64">
        <v>0</v>
      </c>
      <c r="BU74" s="65">
        <v>0</v>
      </c>
      <c r="BV74" s="63">
        <f t="shared" si="242"/>
        <v>7.3919999999999995</v>
      </c>
      <c r="BW74" s="64">
        <v>0</v>
      </c>
      <c r="BX74" s="65">
        <v>0</v>
      </c>
      <c r="BY74" s="63">
        <f t="shared" si="243"/>
        <v>7.3919999999999995</v>
      </c>
      <c r="BZ74" s="64">
        <v>0</v>
      </c>
      <c r="CA74" s="65">
        <v>0</v>
      </c>
      <c r="CB74" s="63">
        <f t="shared" si="244"/>
        <v>7.3919999999999995</v>
      </c>
      <c r="CC74" s="64">
        <v>0</v>
      </c>
      <c r="CD74" s="65">
        <v>0</v>
      </c>
      <c r="CE74" s="63">
        <f t="shared" si="207"/>
        <v>7.3919999999999995</v>
      </c>
      <c r="CF74" s="64">
        <v>0</v>
      </c>
      <c r="CG74" s="65">
        <v>0</v>
      </c>
      <c r="CH74" s="63">
        <f t="shared" si="208"/>
        <v>7.3919999999999995</v>
      </c>
      <c r="CI74" s="64">
        <v>0</v>
      </c>
      <c r="CJ74" s="65">
        <v>0</v>
      </c>
      <c r="CK74" s="69">
        <f t="shared" si="209"/>
        <v>7.3919999999999995</v>
      </c>
      <c r="CL74" s="70">
        <v>0</v>
      </c>
      <c r="CM74" s="71">
        <v>0</v>
      </c>
      <c r="CN74" s="63">
        <f t="shared" si="210"/>
        <v>7.3919999999999995</v>
      </c>
      <c r="CO74" s="64">
        <v>0</v>
      </c>
      <c r="CP74" s="65">
        <v>0</v>
      </c>
      <c r="CQ74" s="63">
        <f t="shared" si="211"/>
        <v>7.3919999999999995</v>
      </c>
      <c r="CR74" s="64">
        <v>0</v>
      </c>
      <c r="CS74" s="65">
        <v>0</v>
      </c>
      <c r="CT74" s="69">
        <f t="shared" si="212"/>
        <v>7.3919999999999995</v>
      </c>
      <c r="CU74" s="81">
        <v>0</v>
      </c>
      <c r="CV74" s="65">
        <v>0</v>
      </c>
      <c r="CW74" s="63">
        <f t="shared" si="213"/>
        <v>7.3919999999999995</v>
      </c>
      <c r="CX74" s="64">
        <v>0</v>
      </c>
      <c r="CY74" s="65">
        <v>0</v>
      </c>
      <c r="CZ74" s="63">
        <f t="shared" si="214"/>
        <v>7.3919999999999995</v>
      </c>
      <c r="DA74" s="64">
        <v>0</v>
      </c>
      <c r="DB74" s="65">
        <v>0</v>
      </c>
      <c r="DC74" s="63">
        <f t="shared" si="215"/>
        <v>7.3919999999999995</v>
      </c>
      <c r="DD74" s="64">
        <v>0</v>
      </c>
      <c r="DE74" s="65">
        <v>0</v>
      </c>
      <c r="DF74" s="80">
        <f t="shared" si="216"/>
        <v>7.3919999999999995</v>
      </c>
      <c r="DG74" s="64">
        <v>0</v>
      </c>
      <c r="DH74" s="65">
        <v>0</v>
      </c>
      <c r="DI74" s="80">
        <f t="shared" si="217"/>
        <v>7.3919999999999995</v>
      </c>
      <c r="DJ74" s="64">
        <v>0</v>
      </c>
      <c r="DK74" s="65">
        <v>0</v>
      </c>
      <c r="DL74" s="80">
        <f t="shared" si="218"/>
        <v>7.3919999999999995</v>
      </c>
      <c r="DM74" s="64">
        <v>0</v>
      </c>
      <c r="DN74" s="65">
        <v>0</v>
      </c>
      <c r="DO74" s="80">
        <f t="shared" si="219"/>
        <v>7.3919999999999995</v>
      </c>
      <c r="DP74" s="64">
        <v>0</v>
      </c>
      <c r="DQ74" s="65">
        <v>0</v>
      </c>
      <c r="DR74" s="80">
        <f t="shared" si="220"/>
        <v>7.3919999999999995</v>
      </c>
      <c r="DS74" s="64">
        <v>0</v>
      </c>
      <c r="DT74" s="65">
        <v>0</v>
      </c>
      <c r="DU74" s="80">
        <f t="shared" si="221"/>
        <v>7.3919999999999995</v>
      </c>
      <c r="DV74" s="64">
        <v>0</v>
      </c>
      <c r="DW74" s="65">
        <v>0</v>
      </c>
      <c r="DX74" s="754">
        <f t="shared" si="222"/>
        <v>7.3919999999999995</v>
      </c>
      <c r="DY74" s="64">
        <v>0</v>
      </c>
      <c r="DZ74" s="65">
        <v>0</v>
      </c>
      <c r="EA74" s="80">
        <f t="shared" si="223"/>
        <v>7.3919999999999995</v>
      </c>
      <c r="EB74" s="64">
        <v>0</v>
      </c>
      <c r="EC74" s="65">
        <v>0</v>
      </c>
      <c r="ED74" s="80">
        <f t="shared" si="224"/>
        <v>7.3919999999999995</v>
      </c>
      <c r="EE74" s="64">
        <v>0</v>
      </c>
      <c r="EF74" s="65">
        <v>0</v>
      </c>
      <c r="EG74" s="754">
        <f t="shared" si="225"/>
        <v>7.3919999999999995</v>
      </c>
      <c r="EH74" s="64">
        <v>0</v>
      </c>
      <c r="EI74" s="65">
        <v>0</v>
      </c>
      <c r="EJ74" s="80">
        <f t="shared" si="226"/>
        <v>7.3919999999999995</v>
      </c>
      <c r="EK74" s="64">
        <v>0</v>
      </c>
      <c r="EL74" s="65">
        <v>0</v>
      </c>
      <c r="EM74" s="80">
        <f t="shared" si="227"/>
        <v>7.3919999999999995</v>
      </c>
      <c r="EN74" s="64">
        <v>0</v>
      </c>
      <c r="EO74" s="65">
        <v>0</v>
      </c>
      <c r="EP74" s="754">
        <f t="shared" si="228"/>
        <v>7.3919999999999995</v>
      </c>
      <c r="EQ74" s="64">
        <v>0</v>
      </c>
      <c r="ER74" s="65">
        <v>0</v>
      </c>
      <c r="ES74" s="754">
        <f t="shared" si="229"/>
        <v>7.3919999999999995</v>
      </c>
      <c r="ET74" s="64">
        <v>0</v>
      </c>
      <c r="EU74" s="65">
        <v>0</v>
      </c>
      <c r="EV74" s="754">
        <f t="shared" si="230"/>
        <v>7.3919999999999995</v>
      </c>
      <c r="EW74" s="64">
        <v>0</v>
      </c>
      <c r="EX74" s="65">
        <v>0</v>
      </c>
      <c r="EY74" s="754">
        <f t="shared" si="231"/>
        <v>7.3919999999999995</v>
      </c>
    </row>
    <row r="75" spans="1:155" ht="19.5">
      <c r="A75" s="217"/>
      <c r="B75" s="184"/>
      <c r="C75" s="229">
        <v>100489654</v>
      </c>
      <c r="D75" s="259" t="s">
        <v>367</v>
      </c>
      <c r="E75" s="63"/>
      <c r="F75" s="64"/>
      <c r="G75" s="65"/>
      <c r="H75" s="63"/>
      <c r="I75" s="64"/>
      <c r="J75" s="196"/>
      <c r="K75" s="63"/>
      <c r="L75" s="64"/>
      <c r="M75" s="65"/>
      <c r="N75" s="63"/>
      <c r="O75" s="64"/>
      <c r="P75" s="196"/>
      <c r="Q75" s="63"/>
      <c r="R75" s="64"/>
      <c r="S75" s="65"/>
      <c r="T75" s="63"/>
      <c r="U75" s="64"/>
      <c r="V75" s="65"/>
      <c r="W75" s="63"/>
      <c r="X75" s="64"/>
      <c r="Y75" s="65"/>
      <c r="Z75" s="63"/>
      <c r="AA75" s="64"/>
      <c r="AB75" s="65"/>
      <c r="AC75" s="63"/>
      <c r="AD75" s="64"/>
      <c r="AE75" s="65"/>
      <c r="AF75" s="63"/>
      <c r="AG75" s="64"/>
      <c r="AH75" s="65"/>
      <c r="AI75" s="63"/>
      <c r="AJ75" s="64"/>
      <c r="AK75" s="65"/>
      <c r="AL75" s="63"/>
      <c r="AM75" s="64"/>
      <c r="AN75" s="65"/>
      <c r="AO75" s="63"/>
      <c r="AP75" s="64"/>
      <c r="AQ75" s="65">
        <v>18</v>
      </c>
      <c r="AR75" s="63"/>
      <c r="AS75" s="67">
        <v>0</v>
      </c>
      <c r="AT75" s="65">
        <v>0</v>
      </c>
      <c r="AU75" s="63">
        <v>0</v>
      </c>
      <c r="AV75" s="67">
        <v>0</v>
      </c>
      <c r="AW75" s="65">
        <v>0</v>
      </c>
      <c r="AX75" s="63">
        <f>AV75-AW75</f>
        <v>0</v>
      </c>
      <c r="AY75" s="67">
        <v>0</v>
      </c>
      <c r="AZ75" s="65">
        <v>0</v>
      </c>
      <c r="BA75" s="63">
        <f t="shared" si="236"/>
        <v>0</v>
      </c>
      <c r="BB75" s="67">
        <v>29.988</v>
      </c>
      <c r="BC75" s="65">
        <v>21.167999999999999</v>
      </c>
      <c r="BD75" s="63">
        <v>8.82</v>
      </c>
      <c r="BE75" s="64">
        <v>154.64400000000001</v>
      </c>
      <c r="BF75" s="65">
        <v>148.17599999999999</v>
      </c>
      <c r="BG75" s="63">
        <f t="shared" si="237"/>
        <v>15.288000000000011</v>
      </c>
      <c r="BH75" s="64">
        <v>136.75</v>
      </c>
      <c r="BI75" s="65">
        <v>140.5</v>
      </c>
      <c r="BJ75" s="63">
        <f t="shared" si="238"/>
        <v>11.538000000000011</v>
      </c>
      <c r="BK75" s="64">
        <v>345.82299999999998</v>
      </c>
      <c r="BL75" s="65">
        <v>248.72399999999999</v>
      </c>
      <c r="BM75" s="63">
        <f t="shared" si="239"/>
        <v>108.637</v>
      </c>
      <c r="BN75" s="64">
        <v>455.97800000000001</v>
      </c>
      <c r="BO75" s="65">
        <v>423.36</v>
      </c>
      <c r="BP75" s="63">
        <f t="shared" si="240"/>
        <v>141.255</v>
      </c>
      <c r="BQ75" s="64">
        <v>400.96600000000001</v>
      </c>
      <c r="BR75" s="65">
        <v>402.19200000000001</v>
      </c>
      <c r="BS75" s="63">
        <f t="shared" si="241"/>
        <v>140.029</v>
      </c>
      <c r="BT75" s="64">
        <v>265.18400000000003</v>
      </c>
      <c r="BU75" s="65">
        <v>257.74</v>
      </c>
      <c r="BV75" s="63">
        <f t="shared" si="242"/>
        <v>147.47300000000001</v>
      </c>
      <c r="BW75" s="64">
        <v>315.25200000000001</v>
      </c>
      <c r="BX75" s="65">
        <v>328.10399999999998</v>
      </c>
      <c r="BY75" s="63">
        <f t="shared" si="243"/>
        <v>134.62100000000004</v>
      </c>
      <c r="BZ75" s="64">
        <v>2.3519999999999999</v>
      </c>
      <c r="CA75" s="65">
        <v>0.58799999999999997</v>
      </c>
      <c r="CB75" s="63">
        <f t="shared" si="244"/>
        <v>136.38500000000005</v>
      </c>
      <c r="CC75" s="64">
        <v>65.855999999999995</v>
      </c>
      <c r="CD75" s="65">
        <v>0.19600000000000001</v>
      </c>
      <c r="CE75" s="63">
        <f t="shared" si="207"/>
        <v>202.04500000000004</v>
      </c>
      <c r="CF75" s="64">
        <v>362.012</v>
      </c>
      <c r="CG75" s="65">
        <v>461.923</v>
      </c>
      <c r="CH75" s="63">
        <f t="shared" si="208"/>
        <v>102.13400000000001</v>
      </c>
      <c r="CI75" s="64">
        <v>260.48399999999998</v>
      </c>
      <c r="CJ75" s="65">
        <v>290.52100000000002</v>
      </c>
      <c r="CK75" s="69">
        <f t="shared" si="209"/>
        <v>72.09699999999998</v>
      </c>
      <c r="CL75" s="70">
        <v>479.22</v>
      </c>
      <c r="CM75" s="71">
        <v>211.68</v>
      </c>
      <c r="CN75" s="63">
        <f t="shared" si="210"/>
        <v>339.637</v>
      </c>
      <c r="CO75" s="64">
        <v>549.78</v>
      </c>
      <c r="CP75" s="65">
        <v>475.46499999999997</v>
      </c>
      <c r="CQ75" s="63">
        <f t="shared" si="211"/>
        <v>413.95199999999994</v>
      </c>
      <c r="CR75" s="64">
        <v>253.428</v>
      </c>
      <c r="CS75" s="65">
        <v>338.68799999999999</v>
      </c>
      <c r="CT75" s="69">
        <f t="shared" si="212"/>
        <v>328.69199999999989</v>
      </c>
      <c r="CU75" s="81">
        <v>189.92400000000001</v>
      </c>
      <c r="CV75" s="65">
        <v>148.17599999999999</v>
      </c>
      <c r="CW75" s="63">
        <f t="shared" si="213"/>
        <v>370.43999999999988</v>
      </c>
      <c r="CX75" s="64">
        <v>170.12799999999999</v>
      </c>
      <c r="CY75" s="65">
        <v>0</v>
      </c>
      <c r="CZ75" s="63">
        <f t="shared" si="214"/>
        <v>540.56799999999987</v>
      </c>
      <c r="DA75" s="64">
        <v>214.21600000000001</v>
      </c>
      <c r="DB75" s="65">
        <v>211.876</v>
      </c>
      <c r="DC75" s="63">
        <f t="shared" si="215"/>
        <v>542.9079999999999</v>
      </c>
      <c r="DD75" s="64">
        <v>254.75299999999999</v>
      </c>
      <c r="DE75" s="65">
        <v>317.52</v>
      </c>
      <c r="DF75" s="80">
        <f t="shared" si="216"/>
        <v>480.14099999999985</v>
      </c>
      <c r="DG75" s="64">
        <v>76.98</v>
      </c>
      <c r="DH75" s="65">
        <v>211.68</v>
      </c>
      <c r="DI75" s="80">
        <f t="shared" si="217"/>
        <v>345.44099999999986</v>
      </c>
      <c r="DJ75" s="64">
        <v>8.0150000000000006</v>
      </c>
      <c r="DK75" s="65">
        <v>211.68</v>
      </c>
      <c r="DL75" s="80">
        <f t="shared" si="218"/>
        <v>141.77599999999984</v>
      </c>
      <c r="DM75" s="64">
        <v>14.112</v>
      </c>
      <c r="DN75" s="65">
        <v>105.84</v>
      </c>
      <c r="DO75" s="80">
        <f t="shared" si="219"/>
        <v>50.047999999999831</v>
      </c>
      <c r="DP75" s="64">
        <v>219.042</v>
      </c>
      <c r="DQ75" s="65">
        <v>233.10400000000001</v>
      </c>
      <c r="DR75" s="80">
        <f t="shared" si="220"/>
        <v>35.985999999999791</v>
      </c>
      <c r="DS75" s="64">
        <v>50.795999999999999</v>
      </c>
      <c r="DT75" s="65">
        <v>77.44</v>
      </c>
      <c r="DU75" s="80">
        <f t="shared" si="221"/>
        <v>9.3419999999997856</v>
      </c>
      <c r="DV75" s="65">
        <v>121.078</v>
      </c>
      <c r="DW75" s="65">
        <v>0</v>
      </c>
      <c r="DX75" s="754">
        <f t="shared" si="222"/>
        <v>130.41999999999979</v>
      </c>
      <c r="DY75" s="64">
        <v>0</v>
      </c>
      <c r="DZ75" s="65">
        <v>7.056</v>
      </c>
      <c r="EA75" s="80">
        <f t="shared" si="223"/>
        <v>123.36399999999979</v>
      </c>
      <c r="EB75" s="64">
        <v>0</v>
      </c>
      <c r="EC75" s="65">
        <v>0</v>
      </c>
      <c r="ED75" s="80">
        <f t="shared" si="224"/>
        <v>123.36399999999979</v>
      </c>
      <c r="EE75" s="64">
        <v>0</v>
      </c>
      <c r="EF75" s="65">
        <v>3.528</v>
      </c>
      <c r="EG75" s="754">
        <f t="shared" si="225"/>
        <v>119.83599999999979</v>
      </c>
      <c r="EH75" s="64">
        <v>0</v>
      </c>
      <c r="EI75" s="65">
        <v>0</v>
      </c>
      <c r="EJ75" s="80">
        <f t="shared" si="226"/>
        <v>119.83599999999979</v>
      </c>
      <c r="EK75" s="64">
        <v>0</v>
      </c>
      <c r="EL75" s="65">
        <v>0</v>
      </c>
      <c r="EM75" s="80">
        <f t="shared" si="227"/>
        <v>119.83599999999979</v>
      </c>
      <c r="EN75" s="64">
        <v>0</v>
      </c>
      <c r="EO75" s="65">
        <v>0</v>
      </c>
      <c r="EP75" s="754">
        <f t="shared" si="228"/>
        <v>119.83599999999979</v>
      </c>
      <c r="EQ75" s="64">
        <v>0</v>
      </c>
      <c r="ER75" s="65">
        <v>0</v>
      </c>
      <c r="ES75" s="754">
        <f t="shared" si="229"/>
        <v>119.83599999999979</v>
      </c>
      <c r="ET75" s="64">
        <v>0</v>
      </c>
      <c r="EU75" s="65">
        <v>0</v>
      </c>
      <c r="EV75" s="754">
        <f t="shared" si="230"/>
        <v>119.83599999999979</v>
      </c>
      <c r="EW75" s="64">
        <v>0</v>
      </c>
      <c r="EX75" s="65">
        <v>0</v>
      </c>
      <c r="EY75" s="754">
        <f t="shared" si="231"/>
        <v>119.83599999999979</v>
      </c>
    </row>
    <row r="76" spans="1:155" ht="19.5">
      <c r="A76" s="217"/>
      <c r="B76" s="184"/>
      <c r="C76" s="229">
        <v>100439849</v>
      </c>
      <c r="D76" s="208" t="s">
        <v>368</v>
      </c>
      <c r="E76" s="77">
        <v>3.3000000000001299E-2</v>
      </c>
      <c r="F76" s="78">
        <v>0.97299999999999998</v>
      </c>
      <c r="G76" s="79">
        <v>0.97299999999999998</v>
      </c>
      <c r="H76" s="77">
        <f>(E76+F76)-(G76)</f>
        <v>3.3000000000001362E-2</v>
      </c>
      <c r="I76" s="78">
        <v>0.69199999999999995</v>
      </c>
      <c r="J76" s="79">
        <v>0.69199999999999995</v>
      </c>
      <c r="K76" s="77">
        <f>(H76+I76)-(J76)</f>
        <v>3.3000000000001362E-2</v>
      </c>
      <c r="L76" s="78">
        <v>0.76600000000000001</v>
      </c>
      <c r="M76" s="79">
        <v>0.76600000000000001</v>
      </c>
      <c r="N76" s="77">
        <f>(K76+L76)-(M76)</f>
        <v>3.3000000000001362E-2</v>
      </c>
      <c r="O76" s="64">
        <v>33.249000000000002</v>
      </c>
      <c r="P76" s="65">
        <v>16.785</v>
      </c>
      <c r="Q76" s="63">
        <f>(N76+O76)-(P76)</f>
        <v>16.497000000000003</v>
      </c>
      <c r="R76" s="64">
        <v>162.89400000000001</v>
      </c>
      <c r="S76" s="65">
        <v>105.94199999999999</v>
      </c>
      <c r="T76" s="63">
        <f>(Q76+R76)-(S76)</f>
        <v>73.449000000000026</v>
      </c>
      <c r="U76" s="64">
        <v>253.88800000000001</v>
      </c>
      <c r="V76" s="65">
        <v>285.096</v>
      </c>
      <c r="W76" s="63">
        <f>(T76+U76)-(V76)</f>
        <v>42.241000000000042</v>
      </c>
      <c r="X76" s="67">
        <v>243.203</v>
      </c>
      <c r="Y76" s="65">
        <v>239.73599999999999</v>
      </c>
      <c r="Z76" s="63">
        <f>(W76+X76)-(Y76)</f>
        <v>45.708000000000084</v>
      </c>
      <c r="AA76" s="67">
        <v>211.31800000000001</v>
      </c>
      <c r="AB76" s="65">
        <v>211.68</v>
      </c>
      <c r="AC76" s="63">
        <f>(Z76+AA76)-(AB76)</f>
        <v>45.34600000000006</v>
      </c>
      <c r="AD76" s="67">
        <v>223.39099999999999</v>
      </c>
      <c r="AE76" s="65">
        <v>128.28299999999999</v>
      </c>
      <c r="AF76" s="63">
        <f>(AC76+AD76)-(AE76)</f>
        <v>140.45400000000009</v>
      </c>
      <c r="AG76" s="67">
        <v>120.866</v>
      </c>
      <c r="AH76" s="65">
        <v>202.85</v>
      </c>
      <c r="AI76" s="63">
        <f>(AF76+AG76)-(AH76)</f>
        <v>58.470000000000113</v>
      </c>
      <c r="AJ76" s="67">
        <v>88.025999999999996</v>
      </c>
      <c r="AK76" s="65">
        <v>122.759</v>
      </c>
      <c r="AL76" s="63">
        <f>(AI76+AJ76)-(AK76)</f>
        <v>23.737000000000094</v>
      </c>
      <c r="AM76" s="260">
        <v>94.24</v>
      </c>
      <c r="AN76" s="65">
        <v>85.513000000000005</v>
      </c>
      <c r="AO76" s="63">
        <f>(AL76+AM76)-(AN76)</f>
        <v>32.464000000000084</v>
      </c>
      <c r="AP76" s="64">
        <v>222.60599999999999</v>
      </c>
      <c r="AQ76" s="65">
        <v>226.97399999999999</v>
      </c>
      <c r="AR76" s="63">
        <f>(AO76+AP76)-(AQ76)</f>
        <v>28.096000000000089</v>
      </c>
      <c r="AS76" s="67">
        <v>241.637</v>
      </c>
      <c r="AT76" s="65">
        <v>237.82</v>
      </c>
      <c r="AU76" s="63">
        <f>(AR76+AS76)-(AT76)</f>
        <v>31.913000000000068</v>
      </c>
      <c r="AV76" s="67">
        <v>122.911</v>
      </c>
      <c r="AW76" s="65">
        <v>148.17599999999999</v>
      </c>
      <c r="AX76" s="63">
        <f>(AU76+AV76)-(AW76)</f>
        <v>6.6480000000000814</v>
      </c>
      <c r="AY76" s="67">
        <v>143.869</v>
      </c>
      <c r="AZ76" s="65">
        <v>139.79599999999999</v>
      </c>
      <c r="BA76" s="63">
        <f t="shared" si="236"/>
        <v>10.721000000000089</v>
      </c>
      <c r="BB76" s="67">
        <v>249.303</v>
      </c>
      <c r="BC76" s="65">
        <v>238.06299999999999</v>
      </c>
      <c r="BD76" s="63">
        <v>21.928000000000001</v>
      </c>
      <c r="BE76" s="67">
        <v>287.42200000000003</v>
      </c>
      <c r="BF76" s="65">
        <v>251.00299999999999</v>
      </c>
      <c r="BG76" s="63">
        <f t="shared" si="237"/>
        <v>58.347000000000037</v>
      </c>
      <c r="BH76" s="67">
        <v>264.96100000000001</v>
      </c>
      <c r="BI76" s="65">
        <v>253.03299999999999</v>
      </c>
      <c r="BJ76" s="63">
        <f t="shared" si="238"/>
        <v>70.275000000000063</v>
      </c>
      <c r="BK76" s="67">
        <v>251.892</v>
      </c>
      <c r="BL76" s="65">
        <v>243.04</v>
      </c>
      <c r="BM76" s="63">
        <f t="shared" si="239"/>
        <v>79.127000000000038</v>
      </c>
      <c r="BN76" s="64">
        <v>253.095</v>
      </c>
      <c r="BO76" s="65">
        <v>266.11200000000002</v>
      </c>
      <c r="BP76" s="63">
        <f t="shared" si="240"/>
        <v>66.110000000000014</v>
      </c>
      <c r="BQ76" s="67">
        <v>162.25200000000001</v>
      </c>
      <c r="BR76" s="65">
        <v>181.46</v>
      </c>
      <c r="BS76" s="63">
        <f t="shared" si="241"/>
        <v>46.902000000000015</v>
      </c>
      <c r="BT76" s="67">
        <v>126.839</v>
      </c>
      <c r="BU76" s="65">
        <v>30.34</v>
      </c>
      <c r="BV76" s="63">
        <f t="shared" si="242"/>
        <v>143.40100000000001</v>
      </c>
      <c r="BW76" s="67">
        <v>69.396000000000001</v>
      </c>
      <c r="BX76" s="65">
        <v>-9.6000000000000002E-2</v>
      </c>
      <c r="BY76" s="63">
        <f t="shared" si="243"/>
        <v>212.89300000000003</v>
      </c>
      <c r="BZ76" s="67">
        <v>39.984000000000002</v>
      </c>
      <c r="CA76" s="65">
        <v>72.575999999999993</v>
      </c>
      <c r="CB76" s="63">
        <f t="shared" si="244"/>
        <v>180.30100000000004</v>
      </c>
      <c r="CC76" s="64">
        <v>70.947999999999993</v>
      </c>
      <c r="CD76" s="65">
        <v>129.80600000000001</v>
      </c>
      <c r="CE76" s="63">
        <f t="shared" si="207"/>
        <v>121.44300000000001</v>
      </c>
      <c r="CF76" s="64">
        <v>64.343999999999994</v>
      </c>
      <c r="CG76" s="65">
        <v>128.52000000000001</v>
      </c>
      <c r="CH76" s="63">
        <f t="shared" si="208"/>
        <v>57.266999999999996</v>
      </c>
      <c r="CI76" s="64">
        <v>45.863999999999997</v>
      </c>
      <c r="CJ76" s="65">
        <v>57.456000000000003</v>
      </c>
      <c r="CK76" s="69">
        <f t="shared" si="209"/>
        <v>45.674999999999997</v>
      </c>
      <c r="CL76" s="70">
        <v>25.236000000000001</v>
      </c>
      <c r="CM76" s="71">
        <v>28.388999999999999</v>
      </c>
      <c r="CN76" s="63">
        <f t="shared" si="210"/>
        <v>42.522000000000006</v>
      </c>
      <c r="CO76" s="64">
        <v>1.768</v>
      </c>
      <c r="CP76" s="65">
        <v>6.3650000000000002</v>
      </c>
      <c r="CQ76" s="63">
        <f t="shared" si="211"/>
        <v>37.925000000000004</v>
      </c>
      <c r="CR76" s="64">
        <v>0</v>
      </c>
      <c r="CS76" s="65">
        <v>0</v>
      </c>
      <c r="CT76" s="69">
        <f t="shared" si="212"/>
        <v>37.925000000000004</v>
      </c>
      <c r="CU76" s="81">
        <v>0</v>
      </c>
      <c r="CV76" s="65">
        <v>-0.129</v>
      </c>
      <c r="CW76" s="63">
        <f t="shared" si="213"/>
        <v>38.054000000000002</v>
      </c>
      <c r="CX76" s="64">
        <v>0</v>
      </c>
      <c r="CY76" s="65">
        <v>0</v>
      </c>
      <c r="CZ76" s="63">
        <f t="shared" si="214"/>
        <v>38.054000000000002</v>
      </c>
      <c r="DA76" s="64">
        <v>0</v>
      </c>
      <c r="DB76" s="65">
        <v>0</v>
      </c>
      <c r="DC76" s="63">
        <f t="shared" si="215"/>
        <v>38.054000000000002</v>
      </c>
      <c r="DD76" s="64">
        <v>0</v>
      </c>
      <c r="DE76" s="65">
        <v>0</v>
      </c>
      <c r="DF76" s="80">
        <f t="shared" si="216"/>
        <v>38.054000000000002</v>
      </c>
      <c r="DG76" s="64">
        <v>0</v>
      </c>
      <c r="DH76" s="65">
        <v>0</v>
      </c>
      <c r="DI76" s="80">
        <f t="shared" si="217"/>
        <v>38.054000000000002</v>
      </c>
      <c r="DJ76" s="64">
        <v>0</v>
      </c>
      <c r="DK76" s="65">
        <v>0</v>
      </c>
      <c r="DL76" s="80">
        <f t="shared" si="218"/>
        <v>38.054000000000002</v>
      </c>
      <c r="DM76" s="64">
        <v>0</v>
      </c>
      <c r="DN76" s="65">
        <v>0</v>
      </c>
      <c r="DO76" s="80">
        <v>37.924999999999997</v>
      </c>
      <c r="DP76" s="64">
        <v>0</v>
      </c>
      <c r="DQ76" s="65">
        <v>2E-3</v>
      </c>
      <c r="DR76" s="80">
        <f t="shared" si="220"/>
        <v>37.922999999999995</v>
      </c>
      <c r="DS76" s="64">
        <v>0</v>
      </c>
      <c r="DT76" s="65">
        <v>0</v>
      </c>
      <c r="DU76" s="80">
        <f t="shared" si="221"/>
        <v>37.922999999999995</v>
      </c>
      <c r="DV76" s="64">
        <v>0</v>
      </c>
      <c r="DW76" s="65">
        <v>4.2999999999999997E-2</v>
      </c>
      <c r="DX76" s="754">
        <f t="shared" si="222"/>
        <v>37.879999999999995</v>
      </c>
      <c r="DY76" s="64">
        <v>0</v>
      </c>
      <c r="DZ76" s="65">
        <v>0</v>
      </c>
      <c r="EA76" s="80">
        <f t="shared" si="223"/>
        <v>37.879999999999995</v>
      </c>
      <c r="EB76" s="64">
        <v>0</v>
      </c>
      <c r="EC76" s="65">
        <v>-9.218</v>
      </c>
      <c r="ED76" s="80">
        <f t="shared" si="224"/>
        <v>47.097999999999999</v>
      </c>
      <c r="EE76" s="64">
        <v>0</v>
      </c>
      <c r="EF76" s="818">
        <v>1.512</v>
      </c>
      <c r="EG76" s="754">
        <f t="shared" si="225"/>
        <v>45.585999999999999</v>
      </c>
      <c r="EH76" s="64">
        <v>0</v>
      </c>
      <c r="EI76" s="65">
        <v>0</v>
      </c>
      <c r="EJ76" s="80">
        <f t="shared" si="226"/>
        <v>45.585999999999999</v>
      </c>
      <c r="EK76" s="64">
        <v>0</v>
      </c>
      <c r="EL76" s="65">
        <v>0</v>
      </c>
      <c r="EM76" s="80">
        <f t="shared" si="227"/>
        <v>45.585999999999999</v>
      </c>
      <c r="EN76" s="64">
        <v>0</v>
      </c>
      <c r="EO76" s="65">
        <v>0</v>
      </c>
      <c r="EP76" s="754">
        <f t="shared" si="228"/>
        <v>45.585999999999999</v>
      </c>
      <c r="EQ76" s="64">
        <v>0</v>
      </c>
      <c r="ER76" s="65">
        <v>0</v>
      </c>
      <c r="ES76" s="754">
        <f t="shared" si="229"/>
        <v>45.585999999999999</v>
      </c>
      <c r="ET76" s="64">
        <v>0</v>
      </c>
      <c r="EU76" s="65">
        <v>0</v>
      </c>
      <c r="EV76" s="754">
        <f t="shared" si="230"/>
        <v>45.585999999999999</v>
      </c>
      <c r="EW76" s="64">
        <v>0</v>
      </c>
      <c r="EX76" s="65">
        <v>0</v>
      </c>
      <c r="EY76" s="754">
        <f t="shared" si="231"/>
        <v>45.585999999999999</v>
      </c>
    </row>
    <row r="77" spans="1:155" ht="19.5">
      <c r="A77" s="217"/>
      <c r="B77" s="184"/>
      <c r="C77" s="229">
        <v>100439874</v>
      </c>
      <c r="D77" s="208" t="s">
        <v>369</v>
      </c>
      <c r="E77" s="77">
        <v>3.3000000000001299E-2</v>
      </c>
      <c r="F77" s="78">
        <v>0.96499999999999997</v>
      </c>
      <c r="G77" s="79">
        <v>0.96499999999999997</v>
      </c>
      <c r="H77" s="77">
        <f>(E77+F77)-(G77)</f>
        <v>3.3000000000001251E-2</v>
      </c>
      <c r="I77" s="78">
        <v>0.69199999999999995</v>
      </c>
      <c r="J77" s="79">
        <v>0.69199999999999995</v>
      </c>
      <c r="K77" s="77">
        <f>(H77+I77)-(J77)</f>
        <v>3.3000000000001251E-2</v>
      </c>
      <c r="L77" s="78">
        <v>0.76900000000000002</v>
      </c>
      <c r="M77" s="79">
        <v>0.76900000000000002</v>
      </c>
      <c r="N77" s="77">
        <f>(K77+L77)-(M77)</f>
        <v>3.3000000000001251E-2</v>
      </c>
      <c r="O77" s="64">
        <v>25.475000000000001</v>
      </c>
      <c r="P77" s="65">
        <v>16.795000000000002</v>
      </c>
      <c r="Q77" s="63">
        <f>(N77+O77)-(P77)</f>
        <v>8.713000000000001</v>
      </c>
      <c r="R77" s="64">
        <v>177.50899999999999</v>
      </c>
      <c r="S77" s="65">
        <v>105.88500000000001</v>
      </c>
      <c r="T77" s="63">
        <f>(Q77+R77)-(S77)</f>
        <v>80.336999999999975</v>
      </c>
      <c r="U77" s="64">
        <v>238.53200000000001</v>
      </c>
      <c r="V77" s="65">
        <v>279.38400000000001</v>
      </c>
      <c r="W77" s="63">
        <f>(T77+U77)-(V77)</f>
        <v>39.484999999999957</v>
      </c>
      <c r="X77" s="67">
        <v>228.2</v>
      </c>
      <c r="Y77" s="65">
        <v>236.108</v>
      </c>
      <c r="Z77" s="63">
        <f>(W77+X77)-(Y77)</f>
        <v>31.576999999999941</v>
      </c>
      <c r="AA77" s="67">
        <v>218.95</v>
      </c>
      <c r="AB77" s="65">
        <v>208.65600000000001</v>
      </c>
      <c r="AC77" s="63">
        <f>(Z77+AA77)-(AB77)</f>
        <v>41.870999999999924</v>
      </c>
      <c r="AD77" s="67">
        <v>219.57900000000001</v>
      </c>
      <c r="AE77" s="65">
        <v>128.50299999999999</v>
      </c>
      <c r="AF77" s="63">
        <f>(AC77+AD77)-(AE77)</f>
        <v>132.94699999999995</v>
      </c>
      <c r="AG77" s="67">
        <v>131.58000000000001</v>
      </c>
      <c r="AH77" s="65">
        <v>202.64400000000001</v>
      </c>
      <c r="AI77" s="63">
        <f>(AF77+AG77)-(AH77)</f>
        <v>61.882999999999925</v>
      </c>
      <c r="AJ77" s="67">
        <v>84.448999999999998</v>
      </c>
      <c r="AK77" s="65">
        <v>115.709</v>
      </c>
      <c r="AL77" s="63">
        <f>(AI77+AJ77)-(AK77)</f>
        <v>30.622999999999934</v>
      </c>
      <c r="AM77" s="260">
        <v>118.639</v>
      </c>
      <c r="AN77" s="65">
        <v>101.494</v>
      </c>
      <c r="AO77" s="63">
        <f>(AL77+AM77)-(AN77)</f>
        <v>47.767999999999944</v>
      </c>
      <c r="AP77" s="64">
        <v>240.93600000000001</v>
      </c>
      <c r="AQ77" s="65">
        <v>249.84</v>
      </c>
      <c r="AR77" s="63">
        <f>(AO77+AP77)-(AQ77)</f>
        <v>38.863999999999947</v>
      </c>
      <c r="AS77" s="67">
        <v>243.68299999999999</v>
      </c>
      <c r="AT77" s="65">
        <v>238.99600000000001</v>
      </c>
      <c r="AU77" s="63">
        <f>(AR77+AS77)-(AT77)</f>
        <v>43.550999999999902</v>
      </c>
      <c r="AV77" s="67">
        <v>122.304</v>
      </c>
      <c r="AW77" s="65">
        <v>148.17599999999999</v>
      </c>
      <c r="AX77" s="63">
        <f>(AU77+AV77)-(AW77)</f>
        <v>17.678999999999917</v>
      </c>
      <c r="AY77" s="67">
        <v>148.50899999999999</v>
      </c>
      <c r="AZ77" s="65">
        <v>135.14400000000001</v>
      </c>
      <c r="BA77" s="63">
        <f t="shared" si="236"/>
        <v>31.043999999999897</v>
      </c>
      <c r="BB77" s="67">
        <v>250.53299999999999</v>
      </c>
      <c r="BC77" s="65">
        <v>248.143</v>
      </c>
      <c r="BD77" s="63">
        <v>33.401000000000003</v>
      </c>
      <c r="BE77" s="67">
        <v>276.82499999999999</v>
      </c>
      <c r="BF77" s="65">
        <v>251.38900000000001</v>
      </c>
      <c r="BG77" s="63">
        <f t="shared" si="237"/>
        <v>58.836999999999989</v>
      </c>
      <c r="BH77" s="67">
        <v>262.44099999999997</v>
      </c>
      <c r="BI77" s="65">
        <v>219.76900000000001</v>
      </c>
      <c r="BJ77" s="63">
        <f t="shared" si="238"/>
        <v>101.50899999999996</v>
      </c>
      <c r="BK77" s="67">
        <v>227.768</v>
      </c>
      <c r="BL77" s="65">
        <v>243.04</v>
      </c>
      <c r="BM77" s="63">
        <f t="shared" si="239"/>
        <v>86.236999999999938</v>
      </c>
      <c r="BN77" s="64">
        <v>267.62400000000002</v>
      </c>
      <c r="BO77" s="65">
        <v>269.13600000000002</v>
      </c>
      <c r="BP77" s="63">
        <f t="shared" si="240"/>
        <v>84.724999999999966</v>
      </c>
      <c r="BQ77" s="64">
        <v>173.483</v>
      </c>
      <c r="BR77" s="65">
        <v>181.46</v>
      </c>
      <c r="BS77" s="63">
        <f t="shared" si="241"/>
        <v>76.747999999999962</v>
      </c>
      <c r="BT77" s="67">
        <v>124.26600000000001</v>
      </c>
      <c r="BU77" s="65">
        <v>42.436</v>
      </c>
      <c r="BV77" s="63">
        <f t="shared" si="242"/>
        <v>158.57799999999995</v>
      </c>
      <c r="BW77" s="67">
        <v>94.171000000000006</v>
      </c>
      <c r="BX77" s="65">
        <v>-7.6999999999999999E-2</v>
      </c>
      <c r="BY77" s="63">
        <f t="shared" si="243"/>
        <v>252.82599999999996</v>
      </c>
      <c r="BZ77" s="67">
        <v>59.808</v>
      </c>
      <c r="CA77" s="65">
        <v>60.48</v>
      </c>
      <c r="CB77" s="63">
        <f t="shared" si="244"/>
        <v>252.15399999999997</v>
      </c>
      <c r="CC77" s="64">
        <v>43.561999999999998</v>
      </c>
      <c r="CD77" s="65">
        <v>132.77000000000001</v>
      </c>
      <c r="CE77" s="63">
        <f t="shared" si="207"/>
        <v>162.94599999999994</v>
      </c>
      <c r="CF77" s="64">
        <v>51.072000000000003</v>
      </c>
      <c r="CG77" s="65">
        <v>128.52000000000001</v>
      </c>
      <c r="CH77" s="63">
        <f t="shared" si="208"/>
        <v>85.497999999999934</v>
      </c>
      <c r="CI77" s="64">
        <v>27.216000000000001</v>
      </c>
      <c r="CJ77" s="65">
        <v>57.456000000000003</v>
      </c>
      <c r="CK77" s="69">
        <f t="shared" si="209"/>
        <v>55.257999999999939</v>
      </c>
      <c r="CL77" s="70">
        <v>25.69</v>
      </c>
      <c r="CM77" s="71">
        <v>27.175999999999998</v>
      </c>
      <c r="CN77" s="63">
        <f t="shared" si="210"/>
        <v>53.771999999999935</v>
      </c>
      <c r="CO77" s="64">
        <v>0</v>
      </c>
      <c r="CP77" s="65">
        <v>6.3650000000000002</v>
      </c>
      <c r="CQ77" s="63">
        <f t="shared" si="211"/>
        <v>47.406999999999933</v>
      </c>
      <c r="CR77" s="64">
        <v>0</v>
      </c>
      <c r="CS77" s="65">
        <v>0</v>
      </c>
      <c r="CT77" s="69">
        <f t="shared" si="212"/>
        <v>47.406999999999933</v>
      </c>
      <c r="CU77" s="81">
        <v>0</v>
      </c>
      <c r="CV77" s="65">
        <v>-0.221</v>
      </c>
      <c r="CW77" s="63">
        <f t="shared" si="213"/>
        <v>47.627999999999929</v>
      </c>
      <c r="CX77" s="64">
        <v>0</v>
      </c>
      <c r="CY77" s="65">
        <v>0</v>
      </c>
      <c r="CZ77" s="63">
        <f t="shared" si="214"/>
        <v>47.627999999999929</v>
      </c>
      <c r="DA77" s="64">
        <v>0</v>
      </c>
      <c r="DB77" s="65">
        <v>0</v>
      </c>
      <c r="DC77" s="63">
        <f t="shared" si="215"/>
        <v>47.627999999999929</v>
      </c>
      <c r="DD77" s="64">
        <v>0</v>
      </c>
      <c r="DE77" s="65">
        <v>0</v>
      </c>
      <c r="DF77" s="80">
        <f t="shared" si="216"/>
        <v>47.627999999999929</v>
      </c>
      <c r="DG77" s="64">
        <v>0</v>
      </c>
      <c r="DH77" s="65">
        <v>0</v>
      </c>
      <c r="DI77" s="80">
        <f t="shared" si="217"/>
        <v>47.627999999999929</v>
      </c>
      <c r="DJ77" s="64">
        <v>0</v>
      </c>
      <c r="DK77" s="65">
        <v>0</v>
      </c>
      <c r="DL77" s="80">
        <f t="shared" si="218"/>
        <v>47.627999999999929</v>
      </c>
      <c r="DM77" s="64">
        <v>0</v>
      </c>
      <c r="DN77" s="65">
        <v>0</v>
      </c>
      <c r="DO77" s="80">
        <v>47.406999999999996</v>
      </c>
      <c r="DP77" s="64">
        <v>0</v>
      </c>
      <c r="DQ77" s="65">
        <v>2E-3</v>
      </c>
      <c r="DR77" s="80">
        <f t="shared" si="220"/>
        <v>47.404999999999994</v>
      </c>
      <c r="DS77" s="64">
        <v>0</v>
      </c>
      <c r="DT77" s="65">
        <v>0</v>
      </c>
      <c r="DU77" s="80">
        <f t="shared" si="221"/>
        <v>47.404999999999994</v>
      </c>
      <c r="DV77" s="64">
        <v>0</v>
      </c>
      <c r="DW77" s="65">
        <v>4.2999999999999997E-2</v>
      </c>
      <c r="DX77" s="754">
        <f t="shared" si="222"/>
        <v>47.361999999999995</v>
      </c>
      <c r="DY77" s="64">
        <v>0</v>
      </c>
      <c r="DZ77" s="65">
        <v>0</v>
      </c>
      <c r="EA77" s="80">
        <f t="shared" si="223"/>
        <v>47.361999999999995</v>
      </c>
      <c r="EB77" s="64">
        <v>0</v>
      </c>
      <c r="EC77" s="65">
        <v>-9.6850000000000005</v>
      </c>
      <c r="ED77" s="80">
        <f t="shared" si="224"/>
        <v>57.046999999999997</v>
      </c>
      <c r="EE77" s="64">
        <v>0</v>
      </c>
      <c r="EF77" s="818">
        <v>1.512</v>
      </c>
      <c r="EG77" s="754">
        <f t="shared" si="225"/>
        <v>55.534999999999997</v>
      </c>
      <c r="EH77" s="64">
        <v>0</v>
      </c>
      <c r="EI77" s="65">
        <v>0</v>
      </c>
      <c r="EJ77" s="80">
        <f t="shared" si="226"/>
        <v>55.534999999999997</v>
      </c>
      <c r="EK77" s="64">
        <v>0</v>
      </c>
      <c r="EL77" s="65">
        <v>0</v>
      </c>
      <c r="EM77" s="80">
        <f t="shared" si="227"/>
        <v>55.534999999999997</v>
      </c>
      <c r="EN77" s="64">
        <v>0</v>
      </c>
      <c r="EO77" s="65">
        <v>0</v>
      </c>
      <c r="EP77" s="754">
        <f t="shared" si="228"/>
        <v>55.534999999999997</v>
      </c>
      <c r="EQ77" s="64">
        <v>0</v>
      </c>
      <c r="ER77" s="65">
        <v>0</v>
      </c>
      <c r="ES77" s="754">
        <f t="shared" si="229"/>
        <v>55.534999999999997</v>
      </c>
      <c r="ET77" s="64">
        <v>0</v>
      </c>
      <c r="EU77" s="65">
        <v>0</v>
      </c>
      <c r="EV77" s="754">
        <f t="shared" si="230"/>
        <v>55.534999999999997</v>
      </c>
      <c r="EW77" s="64">
        <v>0</v>
      </c>
      <c r="EX77" s="65">
        <v>0</v>
      </c>
      <c r="EY77" s="754">
        <f t="shared" si="231"/>
        <v>55.534999999999997</v>
      </c>
    </row>
    <row r="78" spans="1:155" s="20" customFormat="1" ht="33">
      <c r="A78" s="184"/>
      <c r="B78" s="184"/>
      <c r="C78" s="229">
        <v>100389165</v>
      </c>
      <c r="D78" s="259" t="s">
        <v>370</v>
      </c>
      <c r="E78" s="187">
        <v>26.2</v>
      </c>
      <c r="F78" s="64">
        <v>15.05</v>
      </c>
      <c r="G78" s="115">
        <v>18.05</v>
      </c>
      <c r="H78" s="187">
        <f>(E78+F78)-(G78)</f>
        <v>23.2</v>
      </c>
      <c r="I78" s="64">
        <v>25.2</v>
      </c>
      <c r="J78" s="115">
        <v>13.2</v>
      </c>
      <c r="K78" s="187">
        <f>(H78+I78)-(J78)</f>
        <v>35.200000000000003</v>
      </c>
      <c r="L78" s="64">
        <v>29.646999999999998</v>
      </c>
      <c r="M78" s="115">
        <v>43.296999999999997</v>
      </c>
      <c r="N78" s="187">
        <f>(K78+L78)-(M78)</f>
        <v>21.550000000000011</v>
      </c>
      <c r="O78" s="64">
        <v>6.8970000000000002</v>
      </c>
      <c r="P78" s="261">
        <v>22.997</v>
      </c>
      <c r="Q78" s="187">
        <f>(N78+O78)-(P78)</f>
        <v>5.4500000000000099</v>
      </c>
      <c r="R78" s="64">
        <v>31.074999999999999</v>
      </c>
      <c r="S78" s="115">
        <v>34.825000000000003</v>
      </c>
      <c r="T78" s="187">
        <f>(Q78+R78)-(S78)</f>
        <v>1.7000000000000028</v>
      </c>
      <c r="U78" s="64">
        <v>36.005000000000003</v>
      </c>
      <c r="V78" s="115">
        <v>33.704999999999998</v>
      </c>
      <c r="W78" s="187">
        <f>(T78+U78)-(V78)</f>
        <v>4.0000000000000071</v>
      </c>
      <c r="X78" s="64">
        <v>45.4</v>
      </c>
      <c r="Y78" s="115">
        <v>37</v>
      </c>
      <c r="Z78" s="63">
        <f>(W78+X78)-(Y78)</f>
        <v>12.400000000000006</v>
      </c>
      <c r="AA78" s="64">
        <v>24.61</v>
      </c>
      <c r="AB78" s="115">
        <v>20.11</v>
      </c>
      <c r="AC78" s="63">
        <f>(Z78+AA78)-(AB78)</f>
        <v>16.900000000000006</v>
      </c>
      <c r="AD78" s="64">
        <v>39.037999999999997</v>
      </c>
      <c r="AE78" s="115">
        <v>54.738</v>
      </c>
      <c r="AF78" s="187">
        <f>(AC78+AD78)-(AE78)</f>
        <v>1.2000000000000028</v>
      </c>
      <c r="AG78" s="64">
        <v>27.501999999999999</v>
      </c>
      <c r="AH78" s="115">
        <v>28.602</v>
      </c>
      <c r="AI78" s="63">
        <f>(AF78+AG78)-(AH78)</f>
        <v>0.10000000000000142</v>
      </c>
      <c r="AJ78" s="64">
        <v>31.5</v>
      </c>
      <c r="AK78" s="115">
        <v>24.6</v>
      </c>
      <c r="AL78" s="63">
        <f>(AI78+AJ78)-(AK78)</f>
        <v>7</v>
      </c>
      <c r="AM78" s="64">
        <v>42.01</v>
      </c>
      <c r="AN78" s="115">
        <v>48.21</v>
      </c>
      <c r="AO78" s="63">
        <f>(AL78+AM78)-(AN78)</f>
        <v>0.79999999999999716</v>
      </c>
      <c r="AP78" s="64">
        <v>25.405000000000001</v>
      </c>
      <c r="AQ78" s="115">
        <v>21.605</v>
      </c>
      <c r="AR78" s="63">
        <f>(AO78+AP78)-(AQ78)</f>
        <v>4.5999999999999979</v>
      </c>
      <c r="AS78" s="64">
        <v>81.375</v>
      </c>
      <c r="AT78" s="115">
        <v>56.475000000000001</v>
      </c>
      <c r="AU78" s="63">
        <f>(AR78+AS78)-(AT78)</f>
        <v>29.499999999999993</v>
      </c>
      <c r="AV78" s="64">
        <v>51.4</v>
      </c>
      <c r="AW78" s="115">
        <v>72.5</v>
      </c>
      <c r="AX78" s="63">
        <f>(AU78+AV78)-(AW78)</f>
        <v>8.3999999999999915</v>
      </c>
      <c r="AY78" s="64">
        <v>38.835000000000001</v>
      </c>
      <c r="AZ78" s="115">
        <v>23.23</v>
      </c>
      <c r="BA78" s="63">
        <f t="shared" si="236"/>
        <v>24.004999999999992</v>
      </c>
      <c r="BB78" s="64">
        <v>13.4</v>
      </c>
      <c r="BC78" s="115">
        <v>0.4</v>
      </c>
      <c r="BD78" s="63">
        <v>37.005000000000003</v>
      </c>
      <c r="BE78" s="64">
        <v>47.802</v>
      </c>
      <c r="BF78" s="115">
        <v>58.4</v>
      </c>
      <c r="BG78" s="63">
        <f t="shared" si="237"/>
        <v>26.407000000000004</v>
      </c>
      <c r="BH78" s="64">
        <v>21</v>
      </c>
      <c r="BI78" s="115">
        <v>32.4</v>
      </c>
      <c r="BJ78" s="63">
        <f t="shared" si="238"/>
        <v>15.007000000000005</v>
      </c>
      <c r="BK78" s="64">
        <v>0</v>
      </c>
      <c r="BL78" s="115">
        <v>13</v>
      </c>
      <c r="BM78" s="63">
        <f t="shared" si="239"/>
        <v>2.007000000000005</v>
      </c>
      <c r="BN78" s="64">
        <v>0</v>
      </c>
      <c r="BO78" s="115">
        <v>0.3</v>
      </c>
      <c r="BP78" s="63">
        <f t="shared" si="240"/>
        <v>1.707000000000005</v>
      </c>
      <c r="BQ78" s="64">
        <v>37.9</v>
      </c>
      <c r="BR78" s="115">
        <v>16.2</v>
      </c>
      <c r="BS78" s="63">
        <f t="shared" si="241"/>
        <v>23.407000000000007</v>
      </c>
      <c r="BT78" s="64">
        <v>23.9</v>
      </c>
      <c r="BU78" s="115">
        <v>0</v>
      </c>
      <c r="BV78" s="63">
        <f t="shared" si="242"/>
        <v>47.307000000000002</v>
      </c>
      <c r="BW78" s="64">
        <v>0.97</v>
      </c>
      <c r="BX78" s="115">
        <v>0</v>
      </c>
      <c r="BY78" s="63">
        <f t="shared" si="243"/>
        <v>48.277000000000001</v>
      </c>
      <c r="BZ78" s="64">
        <v>9.9</v>
      </c>
      <c r="CA78" s="115">
        <v>18.399999999999999</v>
      </c>
      <c r="CB78" s="63">
        <f t="shared" si="244"/>
        <v>39.777000000000001</v>
      </c>
      <c r="CC78" s="64">
        <v>13.9</v>
      </c>
      <c r="CD78" s="115">
        <v>49.7</v>
      </c>
      <c r="CE78" s="63">
        <f t="shared" si="207"/>
        <v>3.9769999999999968</v>
      </c>
      <c r="CF78" s="64">
        <v>20.3</v>
      </c>
      <c r="CG78" s="115">
        <v>0</v>
      </c>
      <c r="CH78" s="63">
        <f t="shared" si="208"/>
        <v>24.276999999999997</v>
      </c>
      <c r="CI78" s="64">
        <v>12.7</v>
      </c>
      <c r="CJ78" s="115">
        <v>10.8</v>
      </c>
      <c r="CK78" s="69">
        <f t="shared" si="209"/>
        <v>26.176999999999996</v>
      </c>
      <c r="CL78" s="70">
        <v>18.600000000000001</v>
      </c>
      <c r="CM78" s="118">
        <v>10.8</v>
      </c>
      <c r="CN78" s="63">
        <f t="shared" si="210"/>
        <v>33.977000000000004</v>
      </c>
      <c r="CO78" s="64">
        <v>25</v>
      </c>
      <c r="CP78" s="115">
        <v>10.8</v>
      </c>
      <c r="CQ78" s="63">
        <f t="shared" si="211"/>
        <v>48.177000000000007</v>
      </c>
      <c r="CR78" s="64">
        <v>23.795000000000002</v>
      </c>
      <c r="CS78" s="115">
        <v>18</v>
      </c>
      <c r="CT78" s="69">
        <f t="shared" si="212"/>
        <v>53.972000000000008</v>
      </c>
      <c r="CU78" s="81">
        <v>1</v>
      </c>
      <c r="CV78" s="115">
        <v>18</v>
      </c>
      <c r="CW78" s="63">
        <f t="shared" si="213"/>
        <v>36.972000000000008</v>
      </c>
      <c r="CX78" s="64">
        <v>0</v>
      </c>
      <c r="CY78" s="115">
        <v>7.2</v>
      </c>
      <c r="CZ78" s="63">
        <f t="shared" si="214"/>
        <v>29.772000000000009</v>
      </c>
      <c r="DA78" s="64">
        <v>18.925999999999998</v>
      </c>
      <c r="DB78" s="115">
        <v>18</v>
      </c>
      <c r="DC78" s="63">
        <f t="shared" si="215"/>
        <v>30.698000000000008</v>
      </c>
      <c r="DD78" s="64">
        <v>22.204999999999998</v>
      </c>
      <c r="DE78" s="115">
        <v>9.1020000000000003</v>
      </c>
      <c r="DF78" s="80">
        <f t="shared" si="216"/>
        <v>43.801000000000002</v>
      </c>
      <c r="DG78" s="64">
        <v>33.200000000000003</v>
      </c>
      <c r="DH78" s="115">
        <v>14.4</v>
      </c>
      <c r="DI78" s="80">
        <f t="shared" si="217"/>
        <v>62.601000000000006</v>
      </c>
      <c r="DJ78" s="64">
        <v>0</v>
      </c>
      <c r="DK78" s="115">
        <v>10.8</v>
      </c>
      <c r="DL78" s="80">
        <f t="shared" si="218"/>
        <v>51.801000000000002</v>
      </c>
      <c r="DM78" s="64">
        <v>0</v>
      </c>
      <c r="DN78" s="115">
        <v>16.2</v>
      </c>
      <c r="DO78" s="80">
        <v>35.598999999999997</v>
      </c>
      <c r="DP78" s="64">
        <v>0</v>
      </c>
      <c r="DQ78" s="115">
        <v>18</v>
      </c>
      <c r="DR78" s="80">
        <f t="shared" si="220"/>
        <v>17.598999999999997</v>
      </c>
      <c r="DS78" s="64">
        <v>0</v>
      </c>
      <c r="DT78" s="115">
        <v>7.2</v>
      </c>
      <c r="DU78" s="80">
        <f t="shared" si="221"/>
        <v>10.398999999999997</v>
      </c>
      <c r="DV78" s="64">
        <v>14.95</v>
      </c>
      <c r="DW78" s="115">
        <v>7.2</v>
      </c>
      <c r="DX78" s="754">
        <f t="shared" si="222"/>
        <v>18.148999999999997</v>
      </c>
      <c r="DY78" s="64">
        <v>11.394</v>
      </c>
      <c r="DZ78" s="115">
        <v>15</v>
      </c>
      <c r="EA78" s="80">
        <f t="shared" si="223"/>
        <v>14.542999999999999</v>
      </c>
      <c r="EB78" s="64">
        <v>0</v>
      </c>
      <c r="EC78" s="115">
        <v>12.6</v>
      </c>
      <c r="ED78" s="80">
        <f t="shared" si="224"/>
        <v>1.9429999999999996</v>
      </c>
      <c r="EE78" s="64">
        <v>0</v>
      </c>
      <c r="EF78" s="115">
        <v>1.3440000000000001</v>
      </c>
      <c r="EG78" s="754">
        <f t="shared" si="225"/>
        <v>0.59899999999999953</v>
      </c>
      <c r="EH78" s="64">
        <v>0</v>
      </c>
      <c r="EI78" s="824">
        <v>0</v>
      </c>
      <c r="EJ78" s="80">
        <f t="shared" si="226"/>
        <v>0.59899999999999953</v>
      </c>
      <c r="EK78" s="64">
        <v>0</v>
      </c>
      <c r="EL78" s="115">
        <v>0</v>
      </c>
      <c r="EM78" s="80">
        <f t="shared" si="227"/>
        <v>0.59899999999999953</v>
      </c>
      <c r="EN78" s="64">
        <v>0</v>
      </c>
      <c r="EO78" s="115">
        <v>0</v>
      </c>
      <c r="EP78" s="754">
        <f t="shared" si="228"/>
        <v>0.59899999999999953</v>
      </c>
      <c r="EQ78" s="64">
        <v>0</v>
      </c>
      <c r="ER78" s="115">
        <v>0</v>
      </c>
      <c r="ES78" s="754">
        <f t="shared" si="229"/>
        <v>0.59899999999999953</v>
      </c>
      <c r="ET78" s="64">
        <v>0</v>
      </c>
      <c r="EU78" s="115">
        <v>0</v>
      </c>
      <c r="EV78" s="754">
        <f t="shared" si="230"/>
        <v>0.59899999999999953</v>
      </c>
      <c r="EW78" s="64">
        <v>0</v>
      </c>
      <c r="EX78" s="115">
        <v>0</v>
      </c>
      <c r="EY78" s="754">
        <f t="shared" si="231"/>
        <v>0.59899999999999953</v>
      </c>
    </row>
    <row r="79" spans="1:155" s="20" customFormat="1" ht="33">
      <c r="A79" s="184"/>
      <c r="B79" s="184"/>
      <c r="C79" s="229">
        <v>100492220</v>
      </c>
      <c r="D79" s="259" t="s">
        <v>371</v>
      </c>
      <c r="E79" s="187"/>
      <c r="F79" s="64"/>
      <c r="G79" s="115"/>
      <c r="H79" s="187"/>
      <c r="I79" s="64"/>
      <c r="J79" s="115"/>
      <c r="K79" s="187"/>
      <c r="L79" s="64"/>
      <c r="M79" s="115"/>
      <c r="N79" s="187"/>
      <c r="O79" s="64"/>
      <c r="P79" s="214"/>
      <c r="Q79" s="187"/>
      <c r="R79" s="64">
        <v>0</v>
      </c>
      <c r="S79" s="115">
        <v>0</v>
      </c>
      <c r="T79" s="187">
        <f>(Q79+R79)-(S79)</f>
        <v>0</v>
      </c>
      <c r="U79" s="64">
        <v>0</v>
      </c>
      <c r="V79" s="115">
        <v>0</v>
      </c>
      <c r="W79" s="187">
        <f>(T79+U79)-(V79)</f>
        <v>0</v>
      </c>
      <c r="X79" s="64">
        <v>0.39900000000000002</v>
      </c>
      <c r="Y79" s="115">
        <v>0.39900000000000002</v>
      </c>
      <c r="Z79" s="63">
        <f>(W79+X79)-(Y79)</f>
        <v>0</v>
      </c>
      <c r="AA79" s="64">
        <v>1.1619999999999999</v>
      </c>
      <c r="AB79" s="115">
        <v>1.1619999999999999</v>
      </c>
      <c r="AC79" s="63">
        <f>(Z79+AA79)-(AB79)</f>
        <v>0</v>
      </c>
      <c r="AD79" s="64">
        <v>5.5E-2</v>
      </c>
      <c r="AE79" s="115">
        <v>5.5E-2</v>
      </c>
      <c r="AF79" s="187">
        <f>(AC79+AD79)-(AE79)</f>
        <v>0</v>
      </c>
      <c r="AG79" s="64">
        <v>0</v>
      </c>
      <c r="AH79" s="115">
        <v>0</v>
      </c>
      <c r="AI79" s="63">
        <f>(AF79+AG79)-(AH79)</f>
        <v>0</v>
      </c>
      <c r="AJ79" s="64">
        <v>0.9</v>
      </c>
      <c r="AK79" s="115">
        <v>0.9</v>
      </c>
      <c r="AL79" s="63">
        <f>(AI79+AJ79)-(AK79)</f>
        <v>0</v>
      </c>
      <c r="AM79" s="64">
        <v>0</v>
      </c>
      <c r="AN79" s="115">
        <v>0</v>
      </c>
      <c r="AO79" s="63">
        <f>(AL79+AM79)-(AN79)</f>
        <v>0</v>
      </c>
      <c r="AP79" s="64">
        <v>1.456</v>
      </c>
      <c r="AQ79" s="115">
        <v>1.3260000000000001</v>
      </c>
      <c r="AR79" s="63">
        <v>0.13</v>
      </c>
      <c r="AS79" s="64">
        <v>9.6000000000000002E-2</v>
      </c>
      <c r="AT79" s="115">
        <v>9.6000000000000002E-2</v>
      </c>
      <c r="AU79" s="63">
        <f>(AR79+AS79)-(AT79)</f>
        <v>0.13</v>
      </c>
      <c r="AV79" s="64">
        <v>0.03</v>
      </c>
      <c r="AW79" s="115">
        <v>0.16</v>
      </c>
      <c r="AX79" s="63">
        <f>(AU79+AV79)-(AW79)</f>
        <v>0</v>
      </c>
      <c r="AY79" s="64">
        <v>2.5289999999999999</v>
      </c>
      <c r="AZ79" s="65">
        <v>1.1990000000000001</v>
      </c>
      <c r="BA79" s="63">
        <f t="shared" si="236"/>
        <v>1.3299999999999998</v>
      </c>
      <c r="BB79" s="64">
        <v>72.878</v>
      </c>
      <c r="BC79" s="115">
        <v>41.107999999999997</v>
      </c>
      <c r="BD79" s="63">
        <v>33.1</v>
      </c>
      <c r="BE79" s="64">
        <v>108.05</v>
      </c>
      <c r="BF79" s="115">
        <v>1.7</v>
      </c>
      <c r="BG79" s="63">
        <f t="shared" si="237"/>
        <v>139.45000000000002</v>
      </c>
      <c r="BH79" s="64">
        <v>62.091999999999999</v>
      </c>
      <c r="BI79" s="115">
        <v>98.421999999999997</v>
      </c>
      <c r="BJ79" s="63">
        <f t="shared" si="238"/>
        <v>103.12000000000003</v>
      </c>
      <c r="BK79" s="64">
        <v>63.984000000000002</v>
      </c>
      <c r="BL79" s="115">
        <v>136.41499999999999</v>
      </c>
      <c r="BM79" s="63">
        <f t="shared" si="239"/>
        <v>30.68900000000005</v>
      </c>
      <c r="BN79" s="64">
        <v>49.796999999999997</v>
      </c>
      <c r="BO79" s="115">
        <v>39.988999999999997</v>
      </c>
      <c r="BP79" s="63">
        <f t="shared" si="240"/>
        <v>40.49700000000005</v>
      </c>
      <c r="BQ79" s="64">
        <v>33.578000000000003</v>
      </c>
      <c r="BR79" s="115">
        <v>43.125</v>
      </c>
      <c r="BS79" s="135">
        <f t="shared" si="241"/>
        <v>30.950000000000045</v>
      </c>
      <c r="BT79" s="64">
        <v>53.709000000000003</v>
      </c>
      <c r="BU79" s="115">
        <v>66.393000000000001</v>
      </c>
      <c r="BV79" s="63">
        <f t="shared" si="242"/>
        <v>18.266000000000048</v>
      </c>
      <c r="BW79" s="64">
        <v>76.320999999999998</v>
      </c>
      <c r="BX79" s="115">
        <v>87.587000000000003</v>
      </c>
      <c r="BY79" s="63">
        <f t="shared" si="243"/>
        <v>7.0000000000000426</v>
      </c>
      <c r="BZ79" s="64">
        <v>81.400000000000006</v>
      </c>
      <c r="CA79" s="115">
        <v>69</v>
      </c>
      <c r="CB79" s="63">
        <f t="shared" si="244"/>
        <v>19.400000000000048</v>
      </c>
      <c r="CC79" s="64">
        <v>85.25</v>
      </c>
      <c r="CD79" s="115">
        <v>62.45</v>
      </c>
      <c r="CE79" s="63">
        <f t="shared" si="207"/>
        <v>42.200000000000045</v>
      </c>
      <c r="CF79" s="64">
        <v>65.599999999999994</v>
      </c>
      <c r="CG79" s="115">
        <v>63</v>
      </c>
      <c r="CH79" s="63">
        <f t="shared" si="208"/>
        <v>44.80000000000004</v>
      </c>
      <c r="CI79" s="64">
        <v>20.399999999999999</v>
      </c>
      <c r="CJ79" s="115">
        <v>64.8</v>
      </c>
      <c r="CK79" s="69">
        <f t="shared" si="209"/>
        <v>0.40000000000004832</v>
      </c>
      <c r="CL79" s="70">
        <v>54.228000000000002</v>
      </c>
      <c r="CM79" s="118">
        <v>23.827999999999999</v>
      </c>
      <c r="CN79" s="63">
        <f t="shared" si="210"/>
        <v>30.80000000000005</v>
      </c>
      <c r="CO79" s="64">
        <v>47.1</v>
      </c>
      <c r="CP79" s="115">
        <v>52.2</v>
      </c>
      <c r="CQ79" s="63">
        <f t="shared" si="211"/>
        <v>25.700000000000045</v>
      </c>
      <c r="CR79" s="64">
        <v>24.2</v>
      </c>
      <c r="CS79" s="115">
        <v>48.6</v>
      </c>
      <c r="CT79" s="69">
        <f t="shared" si="212"/>
        <v>1.3000000000000469</v>
      </c>
      <c r="CU79" s="81">
        <v>36.822000000000003</v>
      </c>
      <c r="CV79" s="115">
        <v>37.822000000000003</v>
      </c>
      <c r="CW79" s="63">
        <f t="shared" si="213"/>
        <v>0.3000000000000469</v>
      </c>
      <c r="CX79" s="64">
        <v>40.020000000000003</v>
      </c>
      <c r="CY79" s="115">
        <v>28.9</v>
      </c>
      <c r="CZ79" s="63">
        <f t="shared" si="214"/>
        <v>11.420000000000051</v>
      </c>
      <c r="DA79" s="64">
        <v>31.042999999999999</v>
      </c>
      <c r="DB79" s="115">
        <v>41.6</v>
      </c>
      <c r="DC79" s="63">
        <f t="shared" si="215"/>
        <v>0.86300000000004928</v>
      </c>
      <c r="DD79" s="64">
        <v>52.1</v>
      </c>
      <c r="DE79" s="115">
        <v>30.65</v>
      </c>
      <c r="DF79" s="80">
        <f t="shared" si="216"/>
        <v>22.313000000000052</v>
      </c>
      <c r="DG79" s="64">
        <v>72.25</v>
      </c>
      <c r="DH79" s="115">
        <f>50+36.4</f>
        <v>86.4</v>
      </c>
      <c r="DI79" s="80">
        <f t="shared" si="217"/>
        <v>8.1630000000000393</v>
      </c>
      <c r="DJ79" s="64">
        <v>0.185</v>
      </c>
      <c r="DK79" s="115">
        <v>7.2</v>
      </c>
      <c r="DL79" s="80">
        <f t="shared" si="218"/>
        <v>1.1480000000000397</v>
      </c>
      <c r="DM79" s="64">
        <v>17.399999999999999</v>
      </c>
      <c r="DN79" s="115">
        <v>0</v>
      </c>
      <c r="DO79" s="80">
        <v>18.527999999999999</v>
      </c>
      <c r="DP79" s="64">
        <v>78.013000000000005</v>
      </c>
      <c r="DQ79" s="115">
        <v>52.091000000000001</v>
      </c>
      <c r="DR79" s="80">
        <f t="shared" si="220"/>
        <v>44.449999999999996</v>
      </c>
      <c r="DS79" s="64">
        <v>14.95</v>
      </c>
      <c r="DT79" s="115">
        <f>31+24.2</f>
        <v>55.2</v>
      </c>
      <c r="DU79" s="80">
        <f t="shared" si="221"/>
        <v>4.1999999999999886</v>
      </c>
      <c r="DV79" s="64">
        <v>49.7</v>
      </c>
      <c r="DW79" s="115">
        <v>46.8</v>
      </c>
      <c r="DX79" s="754">
        <f t="shared" si="222"/>
        <v>7.0999999999999943</v>
      </c>
      <c r="DY79" s="64">
        <v>32.5</v>
      </c>
      <c r="DZ79" s="115">
        <v>18</v>
      </c>
      <c r="EA79" s="80">
        <f t="shared" si="223"/>
        <v>21.599999999999994</v>
      </c>
      <c r="EB79" s="64">
        <v>0</v>
      </c>
      <c r="EC79" s="115">
        <v>10.8</v>
      </c>
      <c r="ED79" s="80">
        <f t="shared" si="224"/>
        <v>10.799999999999994</v>
      </c>
      <c r="EE79" s="64">
        <v>0</v>
      </c>
      <c r="EF79" s="115">
        <v>10.8</v>
      </c>
      <c r="EG79" s="754">
        <f t="shared" si="225"/>
        <v>0</v>
      </c>
      <c r="EH79" s="64">
        <v>0</v>
      </c>
      <c r="EI79" s="115">
        <v>0</v>
      </c>
      <c r="EJ79" s="80">
        <f t="shared" si="226"/>
        <v>0</v>
      </c>
      <c r="EK79" s="64">
        <v>0</v>
      </c>
      <c r="EL79" s="115">
        <v>0</v>
      </c>
      <c r="EM79" s="80">
        <f t="shared" si="227"/>
        <v>0</v>
      </c>
      <c r="EN79" s="64">
        <v>21.9</v>
      </c>
      <c r="EO79" s="824">
        <v>0</v>
      </c>
      <c r="EP79" s="754">
        <f t="shared" si="228"/>
        <v>21.9</v>
      </c>
      <c r="EQ79" s="64">
        <v>0</v>
      </c>
      <c r="ER79" s="824">
        <v>21.9</v>
      </c>
      <c r="ES79" s="754">
        <f t="shared" si="229"/>
        <v>0</v>
      </c>
      <c r="ET79" s="64">
        <v>0</v>
      </c>
      <c r="EU79" s="115">
        <v>0</v>
      </c>
      <c r="EV79" s="754">
        <f t="shared" si="230"/>
        <v>0</v>
      </c>
      <c r="EW79" s="64">
        <v>0</v>
      </c>
      <c r="EX79" s="115">
        <v>0</v>
      </c>
      <c r="EY79" s="754">
        <f t="shared" si="231"/>
        <v>0</v>
      </c>
    </row>
    <row r="80" spans="1:155" ht="33">
      <c r="A80" s="217"/>
      <c r="B80" s="184"/>
      <c r="C80" s="229" t="s">
        <v>372</v>
      </c>
      <c r="D80" s="259" t="s">
        <v>235</v>
      </c>
      <c r="E80" s="218"/>
      <c r="F80" s="78"/>
      <c r="G80" s="262"/>
      <c r="H80" s="218"/>
      <c r="I80" s="78"/>
      <c r="J80" s="262"/>
      <c r="K80" s="218"/>
      <c r="L80" s="78"/>
      <c r="M80" s="262"/>
      <c r="N80" s="218"/>
      <c r="O80" s="78"/>
      <c r="P80" s="263"/>
      <c r="Q80" s="218"/>
      <c r="R80" s="78"/>
      <c r="S80" s="262"/>
      <c r="T80" s="218"/>
      <c r="U80" s="78"/>
      <c r="V80" s="262"/>
      <c r="W80" s="218"/>
      <c r="X80" s="78"/>
      <c r="Y80" s="262"/>
      <c r="Z80" s="218"/>
      <c r="AA80" s="78"/>
      <c r="AB80" s="262"/>
      <c r="AC80" s="218"/>
      <c r="AD80" s="78"/>
      <c r="AE80" s="262"/>
      <c r="AF80" s="218"/>
      <c r="AG80" s="78"/>
      <c r="AH80" s="262"/>
      <c r="AI80" s="218"/>
      <c r="AJ80" s="78"/>
      <c r="AK80" s="262"/>
      <c r="AL80" s="218"/>
      <c r="AM80" s="78"/>
      <c r="AN80" s="262"/>
      <c r="AO80" s="218"/>
      <c r="AP80" s="78"/>
      <c r="AQ80" s="262"/>
      <c r="AR80" s="218"/>
      <c r="AS80" s="78"/>
      <c r="AT80" s="262"/>
      <c r="AU80" s="218"/>
      <c r="AV80" s="78"/>
      <c r="AW80" s="262"/>
      <c r="AX80" s="218"/>
      <c r="AY80" s="78"/>
      <c r="AZ80" s="262"/>
      <c r="BA80" s="218"/>
      <c r="BB80" s="78"/>
      <c r="BC80" s="262"/>
      <c r="BD80" s="218"/>
      <c r="BE80" s="78"/>
      <c r="BF80" s="262"/>
      <c r="BG80" s="218"/>
      <c r="BH80" s="78"/>
      <c r="BI80" s="262"/>
      <c r="BJ80" s="218"/>
      <c r="BK80" s="78"/>
      <c r="BL80" s="262"/>
      <c r="BM80" s="218"/>
      <c r="BN80" s="78"/>
      <c r="BO80" s="262"/>
      <c r="BP80" s="218"/>
      <c r="BQ80" s="78"/>
      <c r="BR80" s="262"/>
      <c r="BS80" s="218"/>
      <c r="BT80" s="78"/>
      <c r="BU80" s="262"/>
      <c r="BV80" s="218"/>
      <c r="BW80" s="78"/>
      <c r="BX80" s="262"/>
      <c r="BY80" s="218"/>
      <c r="BZ80" s="78"/>
      <c r="CA80" s="262"/>
      <c r="CB80" s="218"/>
      <c r="CC80" s="78"/>
      <c r="CD80" s="262"/>
      <c r="CE80" s="218"/>
      <c r="CF80" s="78"/>
      <c r="CG80" s="262"/>
      <c r="CH80" s="218"/>
      <c r="CI80" s="78">
        <v>0</v>
      </c>
      <c r="CJ80" s="262">
        <v>0</v>
      </c>
      <c r="CK80" s="264">
        <f t="shared" si="209"/>
        <v>0</v>
      </c>
      <c r="CL80" s="265">
        <v>0.54500000000000004</v>
      </c>
      <c r="CM80" s="266">
        <v>0.01</v>
      </c>
      <c r="CN80" s="187">
        <f t="shared" si="210"/>
        <v>0.53500000000000003</v>
      </c>
      <c r="CO80" s="78">
        <v>0.01</v>
      </c>
      <c r="CP80" s="262">
        <v>0.54500000000000004</v>
      </c>
      <c r="CQ80" s="246">
        <f t="shared" si="211"/>
        <v>0</v>
      </c>
      <c r="CR80" s="78">
        <v>0</v>
      </c>
      <c r="CS80" s="262">
        <v>0</v>
      </c>
      <c r="CT80" s="264">
        <f t="shared" si="212"/>
        <v>0</v>
      </c>
      <c r="CU80" s="267">
        <v>1.181</v>
      </c>
      <c r="CV80" s="262">
        <v>1.181</v>
      </c>
      <c r="CW80" s="246">
        <f t="shared" si="213"/>
        <v>0</v>
      </c>
      <c r="CX80" s="78">
        <v>0</v>
      </c>
      <c r="CY80" s="262">
        <v>0</v>
      </c>
      <c r="CZ80" s="246">
        <f t="shared" si="214"/>
        <v>0</v>
      </c>
      <c r="DA80" s="78">
        <v>1.4999999999999999E-2</v>
      </c>
      <c r="DB80" s="262">
        <v>0</v>
      </c>
      <c r="DC80" s="246">
        <f t="shared" si="215"/>
        <v>1.4999999999999999E-2</v>
      </c>
      <c r="DD80" s="78">
        <v>0.81899999999999995</v>
      </c>
      <c r="DE80" s="262">
        <v>0.81899999999999995</v>
      </c>
      <c r="DF80" s="246">
        <f t="shared" si="216"/>
        <v>1.5000000000000013E-2</v>
      </c>
      <c r="DG80" s="78">
        <v>0.41799999999999998</v>
      </c>
      <c r="DH80" s="262">
        <v>0.41799999999999998</v>
      </c>
      <c r="DI80" s="246">
        <f t="shared" si="217"/>
        <v>1.5000000000000013E-2</v>
      </c>
      <c r="DJ80" s="64">
        <v>17.527000000000001</v>
      </c>
      <c r="DK80" s="115">
        <v>13.327</v>
      </c>
      <c r="DL80" s="80">
        <f t="shared" si="218"/>
        <v>4.2150000000000016</v>
      </c>
      <c r="DM80" s="64">
        <f>83.81</f>
        <v>83.81</v>
      </c>
      <c r="DN80" s="115">
        <v>43.21</v>
      </c>
      <c r="DO80" s="80">
        <v>44.8</v>
      </c>
      <c r="DP80" s="64">
        <v>12.61</v>
      </c>
      <c r="DQ80" s="115">
        <v>44.81</v>
      </c>
      <c r="DR80" s="80">
        <f t="shared" si="220"/>
        <v>12.599999999999994</v>
      </c>
      <c r="DS80" s="64">
        <v>56</v>
      </c>
      <c r="DT80" s="115">
        <v>34.6</v>
      </c>
      <c r="DU80" s="80">
        <f t="shared" si="221"/>
        <v>33.999999999999993</v>
      </c>
      <c r="DV80" s="64">
        <v>4.5069999999999997</v>
      </c>
      <c r="DW80" s="115">
        <f>32.4-1.8</f>
        <v>30.599999999999998</v>
      </c>
      <c r="DX80" s="754">
        <f t="shared" si="222"/>
        <v>7.9069999999999929</v>
      </c>
      <c r="DY80" s="64">
        <v>17.100000000000001</v>
      </c>
      <c r="DZ80" s="115">
        <v>3.8069999999999999</v>
      </c>
      <c r="EA80" s="80">
        <f t="shared" si="223"/>
        <v>21.199999999999996</v>
      </c>
      <c r="EB80" s="64">
        <v>51</v>
      </c>
      <c r="EC80" s="115">
        <v>10.8</v>
      </c>
      <c r="ED80" s="80">
        <f t="shared" si="224"/>
        <v>61.399999999999991</v>
      </c>
      <c r="EE80" s="64">
        <v>7</v>
      </c>
      <c r="EF80" s="115">
        <v>0</v>
      </c>
      <c r="EG80" s="754">
        <f t="shared" si="225"/>
        <v>68.399999999999991</v>
      </c>
      <c r="EH80" s="64">
        <f>58.5-9-0.1-1.5</f>
        <v>47.9</v>
      </c>
      <c r="EI80" s="115">
        <f>59.13-9+10.8-1.5</f>
        <v>59.430000000000007</v>
      </c>
      <c r="EJ80" s="80">
        <f t="shared" si="226"/>
        <v>56.869999999999976</v>
      </c>
      <c r="EK80" s="257">
        <v>35.4</v>
      </c>
      <c r="EL80" s="824">
        <v>10.8</v>
      </c>
      <c r="EM80" s="80">
        <f t="shared" si="227"/>
        <v>81.469999999999985</v>
      </c>
      <c r="EN80" s="64">
        <v>28.9</v>
      </c>
      <c r="EO80" s="824">
        <v>10.8</v>
      </c>
      <c r="EP80" s="754">
        <f t="shared" si="228"/>
        <v>99.569999999999979</v>
      </c>
      <c r="EQ80" s="64">
        <f>40</f>
        <v>40</v>
      </c>
      <c r="ER80" s="824">
        <v>50</v>
      </c>
      <c r="ES80" s="754">
        <f t="shared" si="229"/>
        <v>89.57</v>
      </c>
      <c r="ET80" s="64">
        <v>40</v>
      </c>
      <c r="EU80" s="824">
        <v>50</v>
      </c>
      <c r="EV80" s="754">
        <f t="shared" si="230"/>
        <v>79.569999999999993</v>
      </c>
      <c r="EW80" s="64">
        <v>9.5</v>
      </c>
      <c r="EX80" s="824">
        <v>50</v>
      </c>
      <c r="EY80" s="754">
        <f t="shared" si="231"/>
        <v>39.069999999999993</v>
      </c>
    </row>
    <row r="81" spans="1:155" ht="33">
      <c r="A81" s="217"/>
      <c r="B81" s="184"/>
      <c r="C81" s="722">
        <v>100605397</v>
      </c>
      <c r="D81" s="268" t="s">
        <v>433</v>
      </c>
      <c r="E81" s="218"/>
      <c r="F81" s="78"/>
      <c r="G81" s="262"/>
      <c r="H81" s="218"/>
      <c r="I81" s="78"/>
      <c r="J81" s="262"/>
      <c r="K81" s="218"/>
      <c r="L81" s="78"/>
      <c r="M81" s="262"/>
      <c r="N81" s="218"/>
      <c r="O81" s="78"/>
      <c r="P81" s="263"/>
      <c r="Q81" s="218"/>
      <c r="R81" s="78"/>
      <c r="S81" s="262"/>
      <c r="T81" s="218"/>
      <c r="U81" s="78"/>
      <c r="V81" s="262"/>
      <c r="W81" s="218"/>
      <c r="X81" s="78"/>
      <c r="Y81" s="262"/>
      <c r="Z81" s="218"/>
      <c r="AA81" s="78"/>
      <c r="AB81" s="262"/>
      <c r="AC81" s="218"/>
      <c r="AD81" s="78"/>
      <c r="AE81" s="262"/>
      <c r="AF81" s="218"/>
      <c r="AG81" s="78"/>
      <c r="AH81" s="262"/>
      <c r="AI81" s="218"/>
      <c r="AJ81" s="78"/>
      <c r="AK81" s="262"/>
      <c r="AL81" s="218"/>
      <c r="AM81" s="78"/>
      <c r="AN81" s="262"/>
      <c r="AO81" s="218"/>
      <c r="AP81" s="78"/>
      <c r="AQ81" s="262"/>
      <c r="AR81" s="218"/>
      <c r="AS81" s="78"/>
      <c r="AT81" s="262"/>
      <c r="AU81" s="218"/>
      <c r="AV81" s="78"/>
      <c r="AW81" s="262"/>
      <c r="AX81" s="218"/>
      <c r="AY81" s="78"/>
      <c r="AZ81" s="262"/>
      <c r="BA81" s="218"/>
      <c r="BB81" s="78"/>
      <c r="BC81" s="262"/>
      <c r="BD81" s="218"/>
      <c r="BE81" s="78"/>
      <c r="BF81" s="262"/>
      <c r="BG81" s="218"/>
      <c r="BH81" s="78"/>
      <c r="BI81" s="262"/>
      <c r="BJ81" s="218"/>
      <c r="BK81" s="78"/>
      <c r="BL81" s="262"/>
      <c r="BM81" s="218"/>
      <c r="BN81" s="78"/>
      <c r="BO81" s="262"/>
      <c r="BP81" s="218"/>
      <c r="BQ81" s="78"/>
      <c r="BR81" s="262"/>
      <c r="BS81" s="218"/>
      <c r="BT81" s="78"/>
      <c r="BU81" s="262"/>
      <c r="BV81" s="218"/>
      <c r="BW81" s="78"/>
      <c r="BX81" s="262"/>
      <c r="BY81" s="218"/>
      <c r="BZ81" s="78"/>
      <c r="CA81" s="262"/>
      <c r="CB81" s="218"/>
      <c r="CC81" s="78"/>
      <c r="CD81" s="262"/>
      <c r="CE81" s="218"/>
      <c r="CF81" s="78"/>
      <c r="CG81" s="262"/>
      <c r="CH81" s="218"/>
      <c r="CI81" s="78"/>
      <c r="CJ81" s="262"/>
      <c r="CK81" s="264"/>
      <c r="CL81" s="265">
        <v>0</v>
      </c>
      <c r="CM81" s="266">
        <v>0</v>
      </c>
      <c r="CN81" s="218">
        <v>0</v>
      </c>
      <c r="CO81" s="269">
        <v>8.7999999999999995E-2</v>
      </c>
      <c r="CP81" s="270">
        <v>7.0000000000000007E-2</v>
      </c>
      <c r="CQ81" s="246">
        <f t="shared" si="211"/>
        <v>1.7999999999999988E-2</v>
      </c>
      <c r="CR81" s="78">
        <v>0.16200000000000001</v>
      </c>
      <c r="CS81" s="262">
        <v>0.18</v>
      </c>
      <c r="CT81" s="264">
        <f t="shared" si="212"/>
        <v>0</v>
      </c>
      <c r="CU81" s="267">
        <v>0</v>
      </c>
      <c r="CV81" s="262">
        <v>0</v>
      </c>
      <c r="CW81" s="246">
        <f t="shared" si="213"/>
        <v>0</v>
      </c>
      <c r="CX81" s="269">
        <v>0.158</v>
      </c>
      <c r="CY81" s="270">
        <v>0.158</v>
      </c>
      <c r="CZ81" s="246">
        <f t="shared" si="214"/>
        <v>0</v>
      </c>
      <c r="DA81" s="78">
        <v>0</v>
      </c>
      <c r="DB81" s="262">
        <v>0</v>
      </c>
      <c r="DC81" s="246">
        <f t="shared" si="215"/>
        <v>0</v>
      </c>
      <c r="DD81" s="78">
        <v>0</v>
      </c>
      <c r="DE81" s="262">
        <v>0</v>
      </c>
      <c r="DF81" s="246">
        <f t="shared" si="216"/>
        <v>0</v>
      </c>
      <c r="DG81" s="78">
        <v>1.2290000000000001</v>
      </c>
      <c r="DH81" s="262">
        <v>1.2290000000000001</v>
      </c>
      <c r="DI81" s="246">
        <f t="shared" si="217"/>
        <v>0</v>
      </c>
      <c r="DJ81" s="78">
        <v>2E-3</v>
      </c>
      <c r="DK81" s="262">
        <v>2E-3</v>
      </c>
      <c r="DL81" s="246">
        <f t="shared" si="218"/>
        <v>0</v>
      </c>
      <c r="DM81" s="78">
        <v>0</v>
      </c>
      <c r="DN81" s="262">
        <v>0</v>
      </c>
      <c r="DO81" s="246">
        <f t="shared" ref="DO81" si="245">(DL81+DM81)-(DN81)</f>
        <v>0</v>
      </c>
      <c r="DP81" s="78">
        <v>1.41</v>
      </c>
      <c r="DQ81" s="262">
        <v>1.41</v>
      </c>
      <c r="DR81" s="246">
        <f t="shared" si="220"/>
        <v>0</v>
      </c>
      <c r="DS81" s="64">
        <v>5.55</v>
      </c>
      <c r="DT81" s="115">
        <f>5.4+5.4-5.4</f>
        <v>5.4</v>
      </c>
      <c r="DU81" s="80">
        <f t="shared" si="221"/>
        <v>0.14999999999999947</v>
      </c>
      <c r="DV81" s="64">
        <v>17.25</v>
      </c>
      <c r="DW81" s="115">
        <v>16.8</v>
      </c>
      <c r="DX81" s="754">
        <f t="shared" si="222"/>
        <v>0.59999999999999787</v>
      </c>
      <c r="DY81" s="64">
        <v>29.672999999999998</v>
      </c>
      <c r="DZ81" s="115">
        <v>13.03</v>
      </c>
      <c r="EA81" s="80">
        <f t="shared" si="223"/>
        <v>17.242999999999995</v>
      </c>
      <c r="EB81" s="64">
        <v>18.199999999999996</v>
      </c>
      <c r="EC81" s="115">
        <v>10.8</v>
      </c>
      <c r="ED81" s="80">
        <f t="shared" si="224"/>
        <v>24.64299999999999</v>
      </c>
      <c r="EE81" s="64">
        <v>17.13</v>
      </c>
      <c r="EF81" s="115">
        <v>0</v>
      </c>
      <c r="EG81" s="754">
        <f t="shared" si="225"/>
        <v>41.772999999999989</v>
      </c>
      <c r="EH81" s="64">
        <v>13.5</v>
      </c>
      <c r="EI81" s="824">
        <v>21.6</v>
      </c>
      <c r="EJ81" s="80">
        <f t="shared" si="226"/>
        <v>33.672999999999988</v>
      </c>
      <c r="EK81" s="64">
        <v>0</v>
      </c>
      <c r="EL81" s="824">
        <v>7.2</v>
      </c>
      <c r="EM81" s="80">
        <f t="shared" si="227"/>
        <v>26.472999999999988</v>
      </c>
      <c r="EN81" s="64">
        <v>0</v>
      </c>
      <c r="EO81" s="824">
        <v>7.2</v>
      </c>
      <c r="EP81" s="754">
        <f t="shared" si="228"/>
        <v>19.272999999999989</v>
      </c>
      <c r="EQ81" s="64">
        <v>15</v>
      </c>
      <c r="ER81" s="115">
        <v>10</v>
      </c>
      <c r="ES81" s="754">
        <f t="shared" si="229"/>
        <v>24.272999999999989</v>
      </c>
      <c r="ET81" s="64">
        <v>13</v>
      </c>
      <c r="EU81" s="115">
        <v>10</v>
      </c>
      <c r="EV81" s="754">
        <f t="shared" si="230"/>
        <v>27.272999999999989</v>
      </c>
      <c r="EW81" s="64">
        <v>10.5</v>
      </c>
      <c r="EX81" s="115">
        <v>10.5</v>
      </c>
      <c r="EY81" s="754">
        <f t="shared" si="231"/>
        <v>27.272999999999989</v>
      </c>
    </row>
    <row r="82" spans="1:155" ht="33">
      <c r="A82" s="217"/>
      <c r="B82" s="184"/>
      <c r="C82" s="809">
        <v>100612487</v>
      </c>
      <c r="D82" s="268" t="s">
        <v>373</v>
      </c>
      <c r="E82" s="218"/>
      <c r="F82" s="78"/>
      <c r="G82" s="262"/>
      <c r="H82" s="218"/>
      <c r="I82" s="78"/>
      <c r="J82" s="262"/>
      <c r="K82" s="218"/>
      <c r="L82" s="78"/>
      <c r="M82" s="262"/>
      <c r="N82" s="218"/>
      <c r="O82" s="78"/>
      <c r="P82" s="263"/>
      <c r="Q82" s="218"/>
      <c r="R82" s="78"/>
      <c r="S82" s="262"/>
      <c r="T82" s="218"/>
      <c r="U82" s="78"/>
      <c r="V82" s="262"/>
      <c r="W82" s="218"/>
      <c r="X82" s="78"/>
      <c r="Y82" s="262"/>
      <c r="Z82" s="218"/>
      <c r="AA82" s="78"/>
      <c r="AB82" s="262"/>
      <c r="AC82" s="218"/>
      <c r="AD82" s="78"/>
      <c r="AE82" s="262"/>
      <c r="AF82" s="218"/>
      <c r="AG82" s="78"/>
      <c r="AH82" s="262"/>
      <c r="AI82" s="218"/>
      <c r="AJ82" s="78"/>
      <c r="AK82" s="262"/>
      <c r="AL82" s="218"/>
      <c r="AM82" s="78"/>
      <c r="AN82" s="262"/>
      <c r="AO82" s="218"/>
      <c r="AP82" s="78"/>
      <c r="AQ82" s="262"/>
      <c r="AR82" s="218"/>
      <c r="AS82" s="78"/>
      <c r="AT82" s="262"/>
      <c r="AU82" s="218"/>
      <c r="AV82" s="78"/>
      <c r="AW82" s="262"/>
      <c r="AX82" s="218"/>
      <c r="AY82" s="78"/>
      <c r="AZ82" s="262"/>
      <c r="BA82" s="218"/>
      <c r="BB82" s="78"/>
      <c r="BC82" s="262"/>
      <c r="BD82" s="218"/>
      <c r="BE82" s="78"/>
      <c r="BF82" s="262"/>
      <c r="BG82" s="218"/>
      <c r="BH82" s="78"/>
      <c r="BI82" s="262"/>
      <c r="BJ82" s="218"/>
      <c r="BK82" s="78"/>
      <c r="BL82" s="262"/>
      <c r="BM82" s="218"/>
      <c r="BN82" s="78"/>
      <c r="BO82" s="262"/>
      <c r="BP82" s="218"/>
      <c r="BQ82" s="78"/>
      <c r="BR82" s="262"/>
      <c r="BS82" s="218"/>
      <c r="BT82" s="78"/>
      <c r="BU82" s="262"/>
      <c r="BV82" s="218"/>
      <c r="BW82" s="78"/>
      <c r="BX82" s="262"/>
      <c r="BY82" s="218"/>
      <c r="BZ82" s="78"/>
      <c r="CA82" s="262"/>
      <c r="CB82" s="218"/>
      <c r="CC82" s="78"/>
      <c r="CD82" s="262"/>
      <c r="CE82" s="218"/>
      <c r="CF82" s="78"/>
      <c r="CG82" s="262"/>
      <c r="CH82" s="218"/>
      <c r="CI82" s="78"/>
      <c r="CJ82" s="262"/>
      <c r="CK82" s="264"/>
      <c r="CL82" s="265"/>
      <c r="CM82" s="266"/>
      <c r="CN82" s="218">
        <v>0</v>
      </c>
      <c r="CO82" s="269"/>
      <c r="CP82" s="270"/>
      <c r="CQ82" s="254">
        <v>0</v>
      </c>
      <c r="CR82" s="78">
        <v>0</v>
      </c>
      <c r="CS82" s="262">
        <v>0</v>
      </c>
      <c r="CT82" s="264">
        <f t="shared" si="212"/>
        <v>0</v>
      </c>
      <c r="CU82" s="267">
        <v>0</v>
      </c>
      <c r="CV82" s="262">
        <v>0</v>
      </c>
      <c r="CW82" s="246">
        <f t="shared" si="213"/>
        <v>0</v>
      </c>
      <c r="CX82" s="78">
        <v>0.65400000000000003</v>
      </c>
      <c r="CY82" s="262">
        <v>0</v>
      </c>
      <c r="CZ82" s="246">
        <f t="shared" si="214"/>
        <v>0.65400000000000003</v>
      </c>
      <c r="DA82" s="271">
        <v>5.0000000000000001E-3</v>
      </c>
      <c r="DB82" s="262">
        <v>0.65900000000000003</v>
      </c>
      <c r="DC82" s="246">
        <f t="shared" si="215"/>
        <v>0</v>
      </c>
      <c r="DD82" s="78">
        <v>0</v>
      </c>
      <c r="DE82" s="262">
        <v>0</v>
      </c>
      <c r="DF82" s="246">
        <f t="shared" si="216"/>
        <v>0</v>
      </c>
      <c r="DG82" s="78">
        <v>0</v>
      </c>
      <c r="DH82" s="262">
        <v>0</v>
      </c>
      <c r="DI82" s="246">
        <f t="shared" si="217"/>
        <v>0</v>
      </c>
      <c r="DJ82" s="78">
        <v>0.36</v>
      </c>
      <c r="DK82" s="262">
        <v>0.315</v>
      </c>
      <c r="DL82" s="246">
        <f t="shared" si="218"/>
        <v>4.4999999999999984E-2</v>
      </c>
      <c r="DM82" s="78">
        <v>0.55600000000000005</v>
      </c>
      <c r="DN82" s="262">
        <v>0.54100000000000004</v>
      </c>
      <c r="DO82" s="246">
        <f t="shared" si="219"/>
        <v>5.9999999999999942E-2</v>
      </c>
      <c r="DP82" s="78">
        <v>0</v>
      </c>
      <c r="DQ82" s="262">
        <v>0</v>
      </c>
      <c r="DR82" s="246">
        <f t="shared" si="220"/>
        <v>5.9999999999999942E-2</v>
      </c>
      <c r="DS82" s="78">
        <v>1.198</v>
      </c>
      <c r="DT82" s="262">
        <v>0.80900000000000005</v>
      </c>
      <c r="DU82" s="246">
        <f t="shared" si="221"/>
        <v>0.44899999999999995</v>
      </c>
      <c r="DV82" s="78">
        <v>0.33800000000000002</v>
      </c>
      <c r="DW82" s="262">
        <v>0.61399999999999999</v>
      </c>
      <c r="DX82" s="754">
        <f t="shared" si="222"/>
        <v>0.17299999999999993</v>
      </c>
      <c r="DY82" s="78">
        <f>0.315+0.606+0.834</f>
        <v>1.7549999999999999</v>
      </c>
      <c r="DZ82" s="262">
        <v>0.01</v>
      </c>
      <c r="EA82" s="246">
        <f t="shared" si="223"/>
        <v>1.9179999999999999</v>
      </c>
      <c r="EB82" s="64">
        <v>2.214</v>
      </c>
      <c r="EC82" s="115">
        <v>0.79</v>
      </c>
      <c r="ED82" s="80">
        <f t="shared" si="224"/>
        <v>3.3419999999999996</v>
      </c>
      <c r="EE82" s="64">
        <v>0</v>
      </c>
      <c r="EF82" s="115">
        <v>0</v>
      </c>
      <c r="EG82" s="754">
        <f t="shared" si="225"/>
        <v>3.3419999999999996</v>
      </c>
      <c r="EH82" s="64">
        <f>3.468-1.2</f>
        <v>2.2679999999999998</v>
      </c>
      <c r="EI82" s="824">
        <v>1.536</v>
      </c>
      <c r="EJ82" s="80">
        <f t="shared" si="226"/>
        <v>4.0739999999999998</v>
      </c>
      <c r="EK82" s="64">
        <v>0.75</v>
      </c>
      <c r="EL82" s="115">
        <v>1</v>
      </c>
      <c r="EM82" s="80">
        <f t="shared" si="227"/>
        <v>3.8239999999999998</v>
      </c>
      <c r="EN82" s="64">
        <v>1.2</v>
      </c>
      <c r="EO82" s="115">
        <v>1</v>
      </c>
      <c r="EP82" s="754">
        <f t="shared" si="228"/>
        <v>4.024</v>
      </c>
      <c r="EQ82" s="64">
        <v>0</v>
      </c>
      <c r="ER82" s="115">
        <v>0</v>
      </c>
      <c r="ES82" s="754">
        <f t="shared" si="229"/>
        <v>4.024</v>
      </c>
      <c r="ET82" s="64">
        <v>0</v>
      </c>
      <c r="EU82" s="115">
        <v>0</v>
      </c>
      <c r="EV82" s="754">
        <f t="shared" si="230"/>
        <v>4.024</v>
      </c>
      <c r="EW82" s="64">
        <v>0</v>
      </c>
      <c r="EX82" s="115">
        <v>0</v>
      </c>
      <c r="EY82" s="754">
        <f t="shared" si="231"/>
        <v>4.024</v>
      </c>
    </row>
    <row r="83" spans="1:155" ht="33">
      <c r="A83" s="217"/>
      <c r="B83" s="184"/>
      <c r="C83" s="809">
        <v>100612457</v>
      </c>
      <c r="D83" s="268" t="s">
        <v>374</v>
      </c>
      <c r="E83" s="218"/>
      <c r="F83" s="78"/>
      <c r="G83" s="262"/>
      <c r="H83" s="218"/>
      <c r="I83" s="78"/>
      <c r="J83" s="262"/>
      <c r="K83" s="218"/>
      <c r="L83" s="78"/>
      <c r="M83" s="262"/>
      <c r="N83" s="218"/>
      <c r="O83" s="78"/>
      <c r="P83" s="263"/>
      <c r="Q83" s="218"/>
      <c r="R83" s="78"/>
      <c r="S83" s="262"/>
      <c r="T83" s="218"/>
      <c r="U83" s="78"/>
      <c r="V83" s="262"/>
      <c r="W83" s="218"/>
      <c r="X83" s="78"/>
      <c r="Y83" s="262"/>
      <c r="Z83" s="218"/>
      <c r="AA83" s="78"/>
      <c r="AB83" s="262"/>
      <c r="AC83" s="218"/>
      <c r="AD83" s="78"/>
      <c r="AE83" s="262"/>
      <c r="AF83" s="218"/>
      <c r="AG83" s="78"/>
      <c r="AH83" s="262"/>
      <c r="AI83" s="218"/>
      <c r="AJ83" s="78"/>
      <c r="AK83" s="262"/>
      <c r="AL83" s="218"/>
      <c r="AM83" s="78"/>
      <c r="AN83" s="262"/>
      <c r="AO83" s="218"/>
      <c r="AP83" s="78"/>
      <c r="AQ83" s="262"/>
      <c r="AR83" s="218"/>
      <c r="AS83" s="78"/>
      <c r="AT83" s="262"/>
      <c r="AU83" s="218"/>
      <c r="AV83" s="78"/>
      <c r="AW83" s="262"/>
      <c r="AX83" s="218"/>
      <c r="AY83" s="78"/>
      <c r="AZ83" s="262"/>
      <c r="BA83" s="218"/>
      <c r="BB83" s="78"/>
      <c r="BC83" s="262"/>
      <c r="BD83" s="218"/>
      <c r="BE83" s="78"/>
      <c r="BF83" s="262"/>
      <c r="BG83" s="218"/>
      <c r="BH83" s="78"/>
      <c r="BI83" s="262"/>
      <c r="BJ83" s="218"/>
      <c r="BK83" s="78"/>
      <c r="BL83" s="262"/>
      <c r="BM83" s="218"/>
      <c r="BN83" s="78"/>
      <c r="BO83" s="262"/>
      <c r="BP83" s="218"/>
      <c r="BQ83" s="78"/>
      <c r="BR83" s="262"/>
      <c r="BS83" s="218"/>
      <c r="BT83" s="78"/>
      <c r="BU83" s="262"/>
      <c r="BV83" s="218"/>
      <c r="BW83" s="78"/>
      <c r="BX83" s="262"/>
      <c r="BY83" s="218"/>
      <c r="BZ83" s="78"/>
      <c r="CA83" s="262"/>
      <c r="CB83" s="218"/>
      <c r="CC83" s="78"/>
      <c r="CD83" s="262"/>
      <c r="CE83" s="218"/>
      <c r="CF83" s="78"/>
      <c r="CG83" s="262"/>
      <c r="CH83" s="218"/>
      <c r="CI83" s="78"/>
      <c r="CJ83" s="262"/>
      <c r="CK83" s="264"/>
      <c r="CL83" s="265"/>
      <c r="CM83" s="266"/>
      <c r="CN83" s="218">
        <v>0</v>
      </c>
      <c r="CO83" s="269"/>
      <c r="CP83" s="270"/>
      <c r="CQ83" s="254">
        <v>0</v>
      </c>
      <c r="CR83" s="78">
        <v>0</v>
      </c>
      <c r="CS83" s="262">
        <v>0</v>
      </c>
      <c r="CT83" s="264">
        <f t="shared" si="212"/>
        <v>0</v>
      </c>
      <c r="CU83" s="267">
        <v>0</v>
      </c>
      <c r="CV83" s="262">
        <v>0</v>
      </c>
      <c r="CW83" s="246">
        <f t="shared" si="213"/>
        <v>0</v>
      </c>
      <c r="CX83" s="78">
        <v>0.65400000000000003</v>
      </c>
      <c r="CY83" s="262">
        <v>0</v>
      </c>
      <c r="CZ83" s="246">
        <f t="shared" si="214"/>
        <v>0.65400000000000003</v>
      </c>
      <c r="DA83" s="271">
        <v>5.0000000000000001E-3</v>
      </c>
      <c r="DB83" s="262">
        <v>0.65900000000000003</v>
      </c>
      <c r="DC83" s="246">
        <f t="shared" si="215"/>
        <v>0</v>
      </c>
      <c r="DD83" s="78">
        <v>0</v>
      </c>
      <c r="DE83" s="262">
        <v>0</v>
      </c>
      <c r="DF83" s="246">
        <f t="shared" si="216"/>
        <v>0</v>
      </c>
      <c r="DG83" s="78">
        <v>0.63</v>
      </c>
      <c r="DH83" s="262">
        <v>0</v>
      </c>
      <c r="DI83" s="246">
        <f t="shared" si="217"/>
        <v>0.63</v>
      </c>
      <c r="DJ83" s="78">
        <v>0.94</v>
      </c>
      <c r="DK83" s="262">
        <v>0.315</v>
      </c>
      <c r="DL83" s="246">
        <f t="shared" si="218"/>
        <v>1.2549999999999999</v>
      </c>
      <c r="DM83" s="78">
        <v>-8.8999999999999996E-2</v>
      </c>
      <c r="DN83" s="262">
        <v>0.54100000000000004</v>
      </c>
      <c r="DO83" s="246">
        <f t="shared" si="219"/>
        <v>0.62499999999999989</v>
      </c>
      <c r="DP83" s="78">
        <v>0</v>
      </c>
      <c r="DQ83" s="262">
        <v>0</v>
      </c>
      <c r="DR83" s="246">
        <f t="shared" si="220"/>
        <v>0.62499999999999989</v>
      </c>
      <c r="DS83" s="78">
        <v>0.91400000000000003</v>
      </c>
      <c r="DT83" s="262">
        <v>0.81499999999999995</v>
      </c>
      <c r="DU83" s="246">
        <f t="shared" si="221"/>
        <v>0.72399999999999998</v>
      </c>
      <c r="DV83" s="78">
        <v>0.63</v>
      </c>
      <c r="DW83" s="262">
        <v>0.63</v>
      </c>
      <c r="DX83" s="754">
        <f t="shared" si="222"/>
        <v>0.72400000000000009</v>
      </c>
      <c r="DY83" s="78">
        <f>2.431+0.505</f>
        <v>2.9359999999999999</v>
      </c>
      <c r="DZ83" s="262">
        <v>5.0000000000000001E-3</v>
      </c>
      <c r="EA83" s="246">
        <f t="shared" si="223"/>
        <v>3.6550000000000002</v>
      </c>
      <c r="EB83" s="64">
        <v>0.01</v>
      </c>
      <c r="EC83" s="115">
        <v>1.5680000000000001</v>
      </c>
      <c r="ED83" s="80">
        <f t="shared" si="224"/>
        <v>2.097</v>
      </c>
      <c r="EE83" s="64">
        <v>0</v>
      </c>
      <c r="EF83" s="115">
        <v>0</v>
      </c>
      <c r="EG83" s="754">
        <f t="shared" si="225"/>
        <v>2.097</v>
      </c>
      <c r="EH83" s="64">
        <v>0</v>
      </c>
      <c r="EI83" s="824">
        <v>0.67200000000000004</v>
      </c>
      <c r="EJ83" s="80">
        <f t="shared" si="226"/>
        <v>1.4249999999999998</v>
      </c>
      <c r="EK83" s="64">
        <v>4.2649999999999997</v>
      </c>
      <c r="EL83" s="115">
        <v>1</v>
      </c>
      <c r="EM83" s="80">
        <f t="shared" si="227"/>
        <v>4.6899999999999995</v>
      </c>
      <c r="EN83" s="64">
        <v>0</v>
      </c>
      <c r="EO83" s="115">
        <v>1</v>
      </c>
      <c r="EP83" s="754">
        <f t="shared" si="228"/>
        <v>3.6899999999999995</v>
      </c>
      <c r="EQ83" s="64">
        <v>0</v>
      </c>
      <c r="ER83" s="115">
        <v>0</v>
      </c>
      <c r="ES83" s="754">
        <f t="shared" si="229"/>
        <v>3.6899999999999995</v>
      </c>
      <c r="ET83" s="64">
        <v>0</v>
      </c>
      <c r="EU83" s="115">
        <v>0</v>
      </c>
      <c r="EV83" s="754">
        <f t="shared" si="230"/>
        <v>3.6899999999999995</v>
      </c>
      <c r="EW83" s="64">
        <v>0</v>
      </c>
      <c r="EX83" s="115">
        <v>0</v>
      </c>
      <c r="EY83" s="754">
        <f t="shared" si="231"/>
        <v>3.6899999999999995</v>
      </c>
    </row>
    <row r="84" spans="1:155" ht="33">
      <c r="A84" s="217"/>
      <c r="B84" s="184"/>
      <c r="C84" s="722" t="s">
        <v>375</v>
      </c>
      <c r="D84" s="268" t="s">
        <v>266</v>
      </c>
      <c r="E84" s="218"/>
      <c r="F84" s="78"/>
      <c r="G84" s="262"/>
      <c r="H84" s="218"/>
      <c r="I84" s="78"/>
      <c r="J84" s="262"/>
      <c r="K84" s="218"/>
      <c r="L84" s="78"/>
      <c r="M84" s="262"/>
      <c r="N84" s="218"/>
      <c r="O84" s="78"/>
      <c r="P84" s="263"/>
      <c r="Q84" s="218"/>
      <c r="R84" s="78"/>
      <c r="S84" s="262"/>
      <c r="T84" s="218"/>
      <c r="U84" s="78"/>
      <c r="V84" s="262"/>
      <c r="W84" s="218"/>
      <c r="X84" s="78"/>
      <c r="Y84" s="262"/>
      <c r="Z84" s="218"/>
      <c r="AA84" s="78"/>
      <c r="AB84" s="262"/>
      <c r="AC84" s="218"/>
      <c r="AD84" s="78"/>
      <c r="AE84" s="262"/>
      <c r="AF84" s="218"/>
      <c r="AG84" s="78"/>
      <c r="AH84" s="262"/>
      <c r="AI84" s="218"/>
      <c r="AJ84" s="78"/>
      <c r="AK84" s="262"/>
      <c r="AL84" s="218"/>
      <c r="AM84" s="78"/>
      <c r="AN84" s="262"/>
      <c r="AO84" s="218"/>
      <c r="AP84" s="78"/>
      <c r="AQ84" s="262"/>
      <c r="AR84" s="218"/>
      <c r="AS84" s="78"/>
      <c r="AT84" s="262"/>
      <c r="AU84" s="218"/>
      <c r="AV84" s="78"/>
      <c r="AW84" s="262"/>
      <c r="AX84" s="218"/>
      <c r="AY84" s="78"/>
      <c r="AZ84" s="262"/>
      <c r="BA84" s="218"/>
      <c r="BB84" s="78"/>
      <c r="BC84" s="262"/>
      <c r="BD84" s="218"/>
      <c r="BE84" s="78"/>
      <c r="BF84" s="262"/>
      <c r="BG84" s="218"/>
      <c r="BH84" s="78"/>
      <c r="BI84" s="262"/>
      <c r="BJ84" s="218"/>
      <c r="BK84" s="78"/>
      <c r="BL84" s="262"/>
      <c r="BM84" s="218"/>
      <c r="BN84" s="78"/>
      <c r="BO84" s="262"/>
      <c r="BP84" s="218"/>
      <c r="BQ84" s="78"/>
      <c r="BR84" s="262"/>
      <c r="BS84" s="218"/>
      <c r="BT84" s="78"/>
      <c r="BU84" s="262"/>
      <c r="BV84" s="218"/>
      <c r="BW84" s="78"/>
      <c r="BX84" s="262"/>
      <c r="BY84" s="218"/>
      <c r="BZ84" s="78"/>
      <c r="CA84" s="262"/>
      <c r="CB84" s="218"/>
      <c r="CC84" s="78"/>
      <c r="CD84" s="262"/>
      <c r="CE84" s="218"/>
      <c r="CF84" s="78"/>
      <c r="CG84" s="262"/>
      <c r="CH84" s="218"/>
      <c r="CI84" s="78"/>
      <c r="CJ84" s="262"/>
      <c r="CK84" s="264"/>
      <c r="CL84" s="265"/>
      <c r="CM84" s="266"/>
      <c r="CN84" s="218">
        <v>0</v>
      </c>
      <c r="CO84" s="269"/>
      <c r="CP84" s="270"/>
      <c r="CQ84" s="254"/>
      <c r="CR84" s="78"/>
      <c r="CS84" s="262"/>
      <c r="CT84" s="272"/>
      <c r="CU84" s="267"/>
      <c r="CV84" s="262"/>
      <c r="CW84" s="254"/>
      <c r="CX84" s="78"/>
      <c r="CY84" s="262"/>
      <c r="CZ84" s="254"/>
      <c r="DA84" s="271"/>
      <c r="DB84" s="262"/>
      <c r="DC84" s="254"/>
      <c r="DD84" s="78"/>
      <c r="DE84" s="262"/>
      <c r="DF84" s="254">
        <v>0</v>
      </c>
      <c r="DG84" s="78"/>
      <c r="DH84" s="262"/>
      <c r="DI84" s="254">
        <v>0</v>
      </c>
      <c r="DJ84" s="78">
        <v>0</v>
      </c>
      <c r="DK84" s="262">
        <v>0</v>
      </c>
      <c r="DL84" s="246">
        <f t="shared" si="218"/>
        <v>0</v>
      </c>
      <c r="DM84" s="78">
        <v>0</v>
      </c>
      <c r="DN84" s="262">
        <v>0</v>
      </c>
      <c r="DO84" s="254">
        <f t="shared" si="219"/>
        <v>0</v>
      </c>
      <c r="DP84" s="78">
        <v>3.1179999999999999</v>
      </c>
      <c r="DQ84" s="262">
        <v>2.5609999999999999</v>
      </c>
      <c r="DR84" s="254">
        <f t="shared" si="220"/>
        <v>0.55699999999999994</v>
      </c>
      <c r="DS84" s="78">
        <v>-5.8000000000000003E-2</v>
      </c>
      <c r="DT84" s="262">
        <v>2.1999999999999999E-2</v>
      </c>
      <c r="DU84" s="254">
        <f t="shared" si="221"/>
        <v>0.47699999999999992</v>
      </c>
      <c r="DV84" s="78">
        <v>0.51500000000000001</v>
      </c>
      <c r="DW84" s="262">
        <v>0.877</v>
      </c>
      <c r="DX84" s="755">
        <f>(DU84+DV84)-(DW84)</f>
        <v>0.11499999999999999</v>
      </c>
      <c r="DY84" s="78">
        <v>0.252</v>
      </c>
      <c r="DZ84" s="262">
        <v>0.27300000000000002</v>
      </c>
      <c r="EA84" s="246">
        <f t="shared" si="223"/>
        <v>9.3999999999999972E-2</v>
      </c>
      <c r="EB84" s="78">
        <v>0.255</v>
      </c>
      <c r="EC84" s="262">
        <v>0.255</v>
      </c>
      <c r="ED84" s="246">
        <f t="shared" si="224"/>
        <v>9.3999999999999972E-2</v>
      </c>
      <c r="EE84" s="78">
        <v>2.82</v>
      </c>
      <c r="EF84" s="827">
        <v>2.82</v>
      </c>
      <c r="EG84" s="754">
        <f t="shared" si="225"/>
        <v>9.3999999999999861E-2</v>
      </c>
      <c r="EH84" s="78">
        <v>0</v>
      </c>
      <c r="EI84" s="262">
        <v>0</v>
      </c>
      <c r="EJ84" s="246">
        <f t="shared" si="226"/>
        <v>9.3999999999999861E-2</v>
      </c>
      <c r="EK84" s="78">
        <v>2.0499999999999998</v>
      </c>
      <c r="EL84" s="827">
        <v>2.0499999999999998</v>
      </c>
      <c r="EM84" s="246">
        <f t="shared" si="227"/>
        <v>9.3999999999999861E-2</v>
      </c>
      <c r="EN84" s="78">
        <v>0</v>
      </c>
      <c r="EO84" s="262">
        <v>0</v>
      </c>
      <c r="EP84" s="754">
        <f t="shared" si="228"/>
        <v>9.3999999999999861E-2</v>
      </c>
      <c r="EQ84" s="78">
        <v>0</v>
      </c>
      <c r="ER84" s="262">
        <v>0</v>
      </c>
      <c r="ES84" s="754">
        <f t="shared" si="229"/>
        <v>9.3999999999999861E-2</v>
      </c>
      <c r="ET84" s="78">
        <v>0</v>
      </c>
      <c r="EU84" s="262">
        <v>0</v>
      </c>
      <c r="EV84" s="754">
        <f t="shared" si="230"/>
        <v>9.3999999999999861E-2</v>
      </c>
      <c r="EW84" s="78">
        <v>0</v>
      </c>
      <c r="EX84" s="262">
        <v>0</v>
      </c>
      <c r="EY84" s="754">
        <f t="shared" si="231"/>
        <v>9.3999999999999861E-2</v>
      </c>
    </row>
    <row r="85" spans="1:155" ht="33">
      <c r="A85" s="217"/>
      <c r="B85" s="184"/>
      <c r="C85" s="722"/>
      <c r="D85" s="268" t="s">
        <v>453</v>
      </c>
      <c r="E85" s="218"/>
      <c r="F85" s="78"/>
      <c r="G85" s="262"/>
      <c r="H85" s="218"/>
      <c r="I85" s="78"/>
      <c r="J85" s="262"/>
      <c r="K85" s="218"/>
      <c r="L85" s="78"/>
      <c r="M85" s="262"/>
      <c r="N85" s="218"/>
      <c r="O85" s="78"/>
      <c r="P85" s="263"/>
      <c r="Q85" s="218"/>
      <c r="R85" s="78"/>
      <c r="S85" s="262"/>
      <c r="T85" s="218"/>
      <c r="U85" s="78"/>
      <c r="V85" s="262"/>
      <c r="W85" s="218"/>
      <c r="X85" s="78"/>
      <c r="Y85" s="262"/>
      <c r="Z85" s="218"/>
      <c r="AA85" s="78"/>
      <c r="AB85" s="262"/>
      <c r="AC85" s="218"/>
      <c r="AD85" s="78"/>
      <c r="AE85" s="262"/>
      <c r="AF85" s="218"/>
      <c r="AG85" s="78"/>
      <c r="AH85" s="262"/>
      <c r="AI85" s="218"/>
      <c r="AJ85" s="78"/>
      <c r="AK85" s="262"/>
      <c r="AL85" s="218"/>
      <c r="AM85" s="78"/>
      <c r="AN85" s="262"/>
      <c r="AO85" s="218"/>
      <c r="AP85" s="78"/>
      <c r="AQ85" s="262"/>
      <c r="AR85" s="218"/>
      <c r="AS85" s="78"/>
      <c r="AT85" s="262"/>
      <c r="AU85" s="218"/>
      <c r="AV85" s="78"/>
      <c r="AW85" s="262"/>
      <c r="AX85" s="218"/>
      <c r="AY85" s="78"/>
      <c r="AZ85" s="262"/>
      <c r="BA85" s="218"/>
      <c r="BB85" s="78"/>
      <c r="BC85" s="262"/>
      <c r="BD85" s="218"/>
      <c r="BE85" s="78"/>
      <c r="BF85" s="262"/>
      <c r="BG85" s="218"/>
      <c r="BH85" s="78"/>
      <c r="BI85" s="262"/>
      <c r="BJ85" s="218"/>
      <c r="BK85" s="78"/>
      <c r="BL85" s="262"/>
      <c r="BM85" s="218"/>
      <c r="BN85" s="78"/>
      <c r="BO85" s="262"/>
      <c r="BP85" s="218"/>
      <c r="BQ85" s="78"/>
      <c r="BR85" s="262"/>
      <c r="BS85" s="218"/>
      <c r="BT85" s="78"/>
      <c r="BU85" s="262"/>
      <c r="BV85" s="218"/>
      <c r="BW85" s="78"/>
      <c r="BX85" s="262"/>
      <c r="BY85" s="218"/>
      <c r="BZ85" s="78"/>
      <c r="CA85" s="262"/>
      <c r="CB85" s="218"/>
      <c r="CC85" s="78"/>
      <c r="CD85" s="262"/>
      <c r="CE85" s="218"/>
      <c r="CF85" s="78"/>
      <c r="CG85" s="262"/>
      <c r="CH85" s="218"/>
      <c r="CI85" s="78"/>
      <c r="CJ85" s="262"/>
      <c r="CK85" s="272"/>
      <c r="CL85" s="265"/>
      <c r="CM85" s="266"/>
      <c r="CN85" s="218"/>
      <c r="CO85" s="269"/>
      <c r="CP85" s="270"/>
      <c r="CQ85" s="254"/>
      <c r="CR85" s="78"/>
      <c r="CS85" s="262"/>
      <c r="CT85" s="272"/>
      <c r="CU85" s="267"/>
      <c r="CV85" s="262"/>
      <c r="CW85" s="254"/>
      <c r="CX85" s="78"/>
      <c r="CY85" s="262"/>
      <c r="CZ85" s="254"/>
      <c r="DA85" s="271"/>
      <c r="DB85" s="262"/>
      <c r="DC85" s="254"/>
      <c r="DD85" s="78"/>
      <c r="DE85" s="262"/>
      <c r="DF85" s="254"/>
      <c r="DG85" s="78"/>
      <c r="DH85" s="262"/>
      <c r="DI85" s="254"/>
      <c r="DJ85" s="78"/>
      <c r="DK85" s="262"/>
      <c r="DL85" s="254"/>
      <c r="DM85" s="78"/>
      <c r="DN85" s="262"/>
      <c r="DO85" s="254"/>
      <c r="DP85" s="78"/>
      <c r="DQ85" s="262"/>
      <c r="DR85" s="254"/>
      <c r="DS85" s="78"/>
      <c r="DT85" s="262"/>
      <c r="DU85" s="254"/>
      <c r="DV85" s="78"/>
      <c r="DW85" s="262"/>
      <c r="DX85" s="755"/>
      <c r="DY85" s="78"/>
      <c r="DZ85" s="262"/>
      <c r="EA85" s="246">
        <f t="shared" si="223"/>
        <v>0</v>
      </c>
      <c r="EB85" s="78">
        <v>0</v>
      </c>
      <c r="EC85" s="262">
        <v>0</v>
      </c>
      <c r="ED85" s="246">
        <f t="shared" si="224"/>
        <v>0</v>
      </c>
      <c r="EE85" s="78">
        <v>0</v>
      </c>
      <c r="EF85" s="262">
        <v>0</v>
      </c>
      <c r="EG85" s="754">
        <f t="shared" si="225"/>
        <v>0</v>
      </c>
      <c r="EH85" s="78">
        <v>0</v>
      </c>
      <c r="EI85" s="262">
        <v>0</v>
      </c>
      <c r="EJ85" s="246">
        <f t="shared" si="226"/>
        <v>0</v>
      </c>
      <c r="EK85" s="78">
        <v>0.36</v>
      </c>
      <c r="EL85" s="262">
        <v>0.36</v>
      </c>
      <c r="EM85" s="254">
        <f t="shared" si="227"/>
        <v>0</v>
      </c>
      <c r="EN85" s="78">
        <v>0</v>
      </c>
      <c r="EO85" s="262">
        <v>0</v>
      </c>
      <c r="EP85" s="754">
        <f t="shared" si="228"/>
        <v>0</v>
      </c>
      <c r="EQ85" s="78">
        <v>0</v>
      </c>
      <c r="ER85" s="262">
        <v>0</v>
      </c>
      <c r="ES85" s="754">
        <f t="shared" si="229"/>
        <v>0</v>
      </c>
      <c r="ET85" s="78">
        <v>0</v>
      </c>
      <c r="EU85" s="262">
        <v>0</v>
      </c>
      <c r="EV85" s="755">
        <f t="shared" si="230"/>
        <v>0</v>
      </c>
      <c r="EW85" s="78">
        <v>0</v>
      </c>
      <c r="EX85" s="262">
        <v>0</v>
      </c>
      <c r="EY85" s="755"/>
    </row>
    <row r="86" spans="1:155" ht="33">
      <c r="A86" s="217"/>
      <c r="B86" s="184"/>
      <c r="C86" s="793" t="s">
        <v>443</v>
      </c>
      <c r="D86" s="268" t="s">
        <v>437</v>
      </c>
      <c r="E86" s="218"/>
      <c r="F86" s="78"/>
      <c r="G86" s="262"/>
      <c r="H86" s="218"/>
      <c r="I86" s="78"/>
      <c r="J86" s="262"/>
      <c r="K86" s="218"/>
      <c r="L86" s="78"/>
      <c r="M86" s="262"/>
      <c r="N86" s="218"/>
      <c r="O86" s="78"/>
      <c r="P86" s="263"/>
      <c r="Q86" s="218"/>
      <c r="R86" s="78"/>
      <c r="S86" s="262"/>
      <c r="T86" s="218"/>
      <c r="U86" s="78"/>
      <c r="V86" s="262"/>
      <c r="W86" s="218"/>
      <c r="X86" s="78"/>
      <c r="Y86" s="262"/>
      <c r="Z86" s="218"/>
      <c r="AA86" s="78"/>
      <c r="AB86" s="262"/>
      <c r="AC86" s="218"/>
      <c r="AD86" s="78"/>
      <c r="AE86" s="262"/>
      <c r="AF86" s="218"/>
      <c r="AG86" s="78"/>
      <c r="AH86" s="262"/>
      <c r="AI86" s="218"/>
      <c r="AJ86" s="78"/>
      <c r="AK86" s="262"/>
      <c r="AL86" s="218"/>
      <c r="AM86" s="78"/>
      <c r="AN86" s="262"/>
      <c r="AO86" s="218"/>
      <c r="AP86" s="78"/>
      <c r="AQ86" s="262"/>
      <c r="AR86" s="218"/>
      <c r="AS86" s="78"/>
      <c r="AT86" s="262"/>
      <c r="AU86" s="218"/>
      <c r="AV86" s="78"/>
      <c r="AW86" s="262"/>
      <c r="AX86" s="218"/>
      <c r="AY86" s="78"/>
      <c r="AZ86" s="262"/>
      <c r="BA86" s="218"/>
      <c r="BB86" s="78"/>
      <c r="BC86" s="262"/>
      <c r="BD86" s="218"/>
      <c r="BE86" s="78"/>
      <c r="BF86" s="262"/>
      <c r="BG86" s="218"/>
      <c r="BH86" s="78"/>
      <c r="BI86" s="262"/>
      <c r="BJ86" s="218"/>
      <c r="BK86" s="78"/>
      <c r="BL86" s="262"/>
      <c r="BM86" s="218"/>
      <c r="BN86" s="78"/>
      <c r="BO86" s="262"/>
      <c r="BP86" s="218"/>
      <c r="BQ86" s="78"/>
      <c r="BR86" s="262"/>
      <c r="BS86" s="218"/>
      <c r="BT86" s="78"/>
      <c r="BU86" s="262"/>
      <c r="BV86" s="218"/>
      <c r="BW86" s="78"/>
      <c r="BX86" s="262"/>
      <c r="BY86" s="218"/>
      <c r="BZ86" s="78"/>
      <c r="CA86" s="262"/>
      <c r="CB86" s="218"/>
      <c r="CC86" s="78"/>
      <c r="CD86" s="262"/>
      <c r="CE86" s="218"/>
      <c r="CF86" s="78"/>
      <c r="CG86" s="262"/>
      <c r="CH86" s="218"/>
      <c r="CI86" s="78"/>
      <c r="CJ86" s="262"/>
      <c r="CK86" s="272"/>
      <c r="CL86" s="265"/>
      <c r="CM86" s="266"/>
      <c r="CN86" s="218"/>
      <c r="CO86" s="269"/>
      <c r="CP86" s="270"/>
      <c r="CQ86" s="254"/>
      <c r="CR86" s="78"/>
      <c r="CS86" s="262"/>
      <c r="CT86" s="272"/>
      <c r="CU86" s="267"/>
      <c r="CV86" s="262"/>
      <c r="CW86" s="254"/>
      <c r="CX86" s="78"/>
      <c r="CY86" s="262"/>
      <c r="CZ86" s="254"/>
      <c r="DA86" s="271"/>
      <c r="DB86" s="262"/>
      <c r="DC86" s="254"/>
      <c r="DD86" s="78"/>
      <c r="DE86" s="262"/>
      <c r="DF86" s="254"/>
      <c r="DG86" s="78"/>
      <c r="DH86" s="262"/>
      <c r="DI86" s="254"/>
      <c r="DJ86" s="78"/>
      <c r="DK86" s="262"/>
      <c r="DL86" s="254"/>
      <c r="DM86" s="78"/>
      <c r="DN86" s="262"/>
      <c r="DO86" s="254"/>
      <c r="DP86" s="78"/>
      <c r="DQ86" s="262"/>
      <c r="DR86" s="254"/>
      <c r="DS86" s="78"/>
      <c r="DT86" s="262"/>
      <c r="DU86" s="254"/>
      <c r="DV86" s="78"/>
      <c r="DW86" s="262"/>
      <c r="DX86" s="755">
        <v>0</v>
      </c>
      <c r="DY86" s="78">
        <v>0.45</v>
      </c>
      <c r="DZ86" s="262">
        <v>0</v>
      </c>
      <c r="EA86" s="246">
        <f t="shared" si="223"/>
        <v>0.45</v>
      </c>
      <c r="EB86" s="78">
        <v>0.01</v>
      </c>
      <c r="EC86" s="262">
        <v>0.46</v>
      </c>
      <c r="ED86" s="246">
        <f t="shared" si="224"/>
        <v>0</v>
      </c>
      <c r="EE86" s="78">
        <v>0</v>
      </c>
      <c r="EF86" s="262">
        <v>0</v>
      </c>
      <c r="EG86" s="755">
        <v>0</v>
      </c>
      <c r="EH86" s="78">
        <v>0.65</v>
      </c>
      <c r="EI86" s="827">
        <v>0.65</v>
      </c>
      <c r="EJ86" s="254">
        <v>0</v>
      </c>
      <c r="EK86" s="78">
        <v>0</v>
      </c>
      <c r="EL86" s="262">
        <v>0</v>
      </c>
      <c r="EM86" s="254">
        <v>0</v>
      </c>
      <c r="EN86" s="78">
        <v>0</v>
      </c>
      <c r="EO86" s="262">
        <v>0</v>
      </c>
      <c r="EP86" s="755">
        <v>0</v>
      </c>
      <c r="EQ86" s="78">
        <v>0</v>
      </c>
      <c r="ER86" s="262">
        <v>0</v>
      </c>
      <c r="ES86" s="755">
        <v>0</v>
      </c>
      <c r="ET86" s="78">
        <v>0</v>
      </c>
      <c r="EU86" s="262">
        <v>0</v>
      </c>
      <c r="EV86" s="755">
        <v>0</v>
      </c>
      <c r="EW86" s="78">
        <v>0</v>
      </c>
      <c r="EX86" s="262">
        <v>0</v>
      </c>
      <c r="EY86" s="755">
        <v>0</v>
      </c>
    </row>
    <row r="87" spans="1:155" ht="33">
      <c r="A87" s="217"/>
      <c r="B87" s="184"/>
      <c r="C87" s="793" t="s">
        <v>444</v>
      </c>
      <c r="D87" s="268" t="s">
        <v>438</v>
      </c>
      <c r="E87" s="218"/>
      <c r="F87" s="78"/>
      <c r="G87" s="262"/>
      <c r="H87" s="218"/>
      <c r="I87" s="78"/>
      <c r="J87" s="262"/>
      <c r="K87" s="218"/>
      <c r="L87" s="78"/>
      <c r="M87" s="262"/>
      <c r="N87" s="218"/>
      <c r="O87" s="78"/>
      <c r="P87" s="263"/>
      <c r="Q87" s="218"/>
      <c r="R87" s="78"/>
      <c r="S87" s="262"/>
      <c r="T87" s="218"/>
      <c r="U87" s="78"/>
      <c r="V87" s="262"/>
      <c r="W87" s="218"/>
      <c r="X87" s="78"/>
      <c r="Y87" s="262"/>
      <c r="Z87" s="218"/>
      <c r="AA87" s="78"/>
      <c r="AB87" s="262"/>
      <c r="AC87" s="218"/>
      <c r="AD87" s="78"/>
      <c r="AE87" s="262"/>
      <c r="AF87" s="218"/>
      <c r="AG87" s="78"/>
      <c r="AH87" s="262"/>
      <c r="AI87" s="218"/>
      <c r="AJ87" s="78"/>
      <c r="AK87" s="262"/>
      <c r="AL87" s="218"/>
      <c r="AM87" s="78"/>
      <c r="AN87" s="262"/>
      <c r="AO87" s="218"/>
      <c r="AP87" s="78"/>
      <c r="AQ87" s="262"/>
      <c r="AR87" s="218"/>
      <c r="AS87" s="78"/>
      <c r="AT87" s="262"/>
      <c r="AU87" s="218"/>
      <c r="AV87" s="78"/>
      <c r="AW87" s="262"/>
      <c r="AX87" s="218"/>
      <c r="AY87" s="78"/>
      <c r="AZ87" s="262"/>
      <c r="BA87" s="218"/>
      <c r="BB87" s="78"/>
      <c r="BC87" s="262"/>
      <c r="BD87" s="218"/>
      <c r="BE87" s="78"/>
      <c r="BF87" s="262"/>
      <c r="BG87" s="218"/>
      <c r="BH87" s="78"/>
      <c r="BI87" s="262"/>
      <c r="BJ87" s="218"/>
      <c r="BK87" s="78"/>
      <c r="BL87" s="262"/>
      <c r="BM87" s="218"/>
      <c r="BN87" s="78"/>
      <c r="BO87" s="262"/>
      <c r="BP87" s="218"/>
      <c r="BQ87" s="78"/>
      <c r="BR87" s="262"/>
      <c r="BS87" s="218"/>
      <c r="BT87" s="78"/>
      <c r="BU87" s="262"/>
      <c r="BV87" s="218"/>
      <c r="BW87" s="78"/>
      <c r="BX87" s="262"/>
      <c r="BY87" s="218"/>
      <c r="BZ87" s="78"/>
      <c r="CA87" s="262"/>
      <c r="CB87" s="218"/>
      <c r="CC87" s="78"/>
      <c r="CD87" s="262"/>
      <c r="CE87" s="218"/>
      <c r="CF87" s="78"/>
      <c r="CG87" s="262"/>
      <c r="CH87" s="218"/>
      <c r="CI87" s="78"/>
      <c r="CJ87" s="262"/>
      <c r="CK87" s="272"/>
      <c r="CL87" s="265"/>
      <c r="CM87" s="266"/>
      <c r="CN87" s="218"/>
      <c r="CO87" s="269"/>
      <c r="CP87" s="270"/>
      <c r="CQ87" s="254"/>
      <c r="CR87" s="78"/>
      <c r="CS87" s="262"/>
      <c r="CT87" s="272"/>
      <c r="CU87" s="267"/>
      <c r="CV87" s="262"/>
      <c r="CW87" s="254"/>
      <c r="CX87" s="78"/>
      <c r="CY87" s="262"/>
      <c r="CZ87" s="254"/>
      <c r="DA87" s="271"/>
      <c r="DB87" s="262"/>
      <c r="DC87" s="254"/>
      <c r="DD87" s="78"/>
      <c r="DE87" s="262"/>
      <c r="DF87" s="254"/>
      <c r="DG87" s="78"/>
      <c r="DH87" s="262"/>
      <c r="DI87" s="254"/>
      <c r="DJ87" s="78"/>
      <c r="DK87" s="262"/>
      <c r="DL87" s="254"/>
      <c r="DM87" s="78"/>
      <c r="DN87" s="262"/>
      <c r="DO87" s="254"/>
      <c r="DP87" s="78"/>
      <c r="DQ87" s="262"/>
      <c r="DR87" s="254"/>
      <c r="DS87" s="78"/>
      <c r="DT87" s="262"/>
      <c r="DU87" s="254"/>
      <c r="DV87" s="78"/>
      <c r="DW87" s="262"/>
      <c r="DX87" s="755">
        <v>0</v>
      </c>
      <c r="DY87" s="78">
        <v>0.45</v>
      </c>
      <c r="DZ87" s="262">
        <v>0</v>
      </c>
      <c r="EA87" s="246">
        <f t="shared" si="223"/>
        <v>0.45</v>
      </c>
      <c r="EB87" s="78">
        <v>0.01</v>
      </c>
      <c r="EC87" s="262">
        <v>0.46</v>
      </c>
      <c r="ED87" s="246">
        <f t="shared" si="224"/>
        <v>0</v>
      </c>
      <c r="EE87" s="78">
        <v>0</v>
      </c>
      <c r="EF87" s="262">
        <v>0</v>
      </c>
      <c r="EG87" s="755">
        <v>0</v>
      </c>
      <c r="EH87" s="78">
        <v>0.65</v>
      </c>
      <c r="EI87" s="827">
        <v>0.65</v>
      </c>
      <c r="EJ87" s="254">
        <v>0</v>
      </c>
      <c r="EK87" s="78">
        <v>0</v>
      </c>
      <c r="EL87" s="262">
        <v>0</v>
      </c>
      <c r="EM87" s="254">
        <v>0</v>
      </c>
      <c r="EN87" s="78">
        <v>0</v>
      </c>
      <c r="EO87" s="262">
        <v>0</v>
      </c>
      <c r="EP87" s="755">
        <v>0</v>
      </c>
      <c r="EQ87" s="78">
        <v>0</v>
      </c>
      <c r="ER87" s="262">
        <v>0</v>
      </c>
      <c r="ES87" s="755">
        <v>0</v>
      </c>
      <c r="ET87" s="78">
        <v>0</v>
      </c>
      <c r="EU87" s="262">
        <v>0</v>
      </c>
      <c r="EV87" s="755">
        <v>0</v>
      </c>
      <c r="EW87" s="78">
        <v>0</v>
      </c>
      <c r="EX87" s="262">
        <v>0</v>
      </c>
      <c r="EY87" s="755">
        <v>0</v>
      </c>
    </row>
    <row r="88" spans="1:155" ht="33">
      <c r="A88" s="217"/>
      <c r="B88" s="184"/>
      <c r="C88" s="793" t="s">
        <v>445</v>
      </c>
      <c r="D88" s="268" t="s">
        <v>439</v>
      </c>
      <c r="E88" s="218"/>
      <c r="F88" s="78"/>
      <c r="G88" s="262"/>
      <c r="H88" s="218"/>
      <c r="I88" s="78"/>
      <c r="J88" s="262"/>
      <c r="K88" s="218"/>
      <c r="L88" s="78"/>
      <c r="M88" s="262"/>
      <c r="N88" s="218"/>
      <c r="O88" s="78"/>
      <c r="P88" s="263"/>
      <c r="Q88" s="218"/>
      <c r="R88" s="78"/>
      <c r="S88" s="262"/>
      <c r="T88" s="218"/>
      <c r="U88" s="78"/>
      <c r="V88" s="262"/>
      <c r="W88" s="218"/>
      <c r="X88" s="78"/>
      <c r="Y88" s="262"/>
      <c r="Z88" s="218"/>
      <c r="AA88" s="78"/>
      <c r="AB88" s="262"/>
      <c r="AC88" s="218"/>
      <c r="AD88" s="78"/>
      <c r="AE88" s="262"/>
      <c r="AF88" s="218"/>
      <c r="AG88" s="78"/>
      <c r="AH88" s="262"/>
      <c r="AI88" s="218"/>
      <c r="AJ88" s="78"/>
      <c r="AK88" s="262"/>
      <c r="AL88" s="218"/>
      <c r="AM88" s="78"/>
      <c r="AN88" s="262"/>
      <c r="AO88" s="218"/>
      <c r="AP88" s="78"/>
      <c r="AQ88" s="262"/>
      <c r="AR88" s="218"/>
      <c r="AS88" s="78"/>
      <c r="AT88" s="262"/>
      <c r="AU88" s="218"/>
      <c r="AV88" s="78"/>
      <c r="AW88" s="262"/>
      <c r="AX88" s="218"/>
      <c r="AY88" s="78"/>
      <c r="AZ88" s="262"/>
      <c r="BA88" s="218"/>
      <c r="BB88" s="78"/>
      <c r="BC88" s="262"/>
      <c r="BD88" s="218"/>
      <c r="BE88" s="78"/>
      <c r="BF88" s="262"/>
      <c r="BG88" s="218"/>
      <c r="BH88" s="78"/>
      <c r="BI88" s="262"/>
      <c r="BJ88" s="218"/>
      <c r="BK88" s="78"/>
      <c r="BL88" s="262"/>
      <c r="BM88" s="218"/>
      <c r="BN88" s="78"/>
      <c r="BO88" s="262"/>
      <c r="BP88" s="218"/>
      <c r="BQ88" s="78"/>
      <c r="BR88" s="262"/>
      <c r="BS88" s="218"/>
      <c r="BT88" s="78"/>
      <c r="BU88" s="262"/>
      <c r="BV88" s="218"/>
      <c r="BW88" s="78"/>
      <c r="BX88" s="262"/>
      <c r="BY88" s="218"/>
      <c r="BZ88" s="78"/>
      <c r="CA88" s="262"/>
      <c r="CB88" s="218"/>
      <c r="CC88" s="78"/>
      <c r="CD88" s="262"/>
      <c r="CE88" s="218"/>
      <c r="CF88" s="78"/>
      <c r="CG88" s="262"/>
      <c r="CH88" s="218"/>
      <c r="CI88" s="78"/>
      <c r="CJ88" s="262"/>
      <c r="CK88" s="272"/>
      <c r="CL88" s="265"/>
      <c r="CM88" s="266"/>
      <c r="CN88" s="218"/>
      <c r="CO88" s="269"/>
      <c r="CP88" s="270"/>
      <c r="CQ88" s="254"/>
      <c r="CR88" s="78"/>
      <c r="CS88" s="262"/>
      <c r="CT88" s="272"/>
      <c r="CU88" s="267"/>
      <c r="CV88" s="262"/>
      <c r="CW88" s="254"/>
      <c r="CX88" s="78"/>
      <c r="CY88" s="262"/>
      <c r="CZ88" s="254"/>
      <c r="DA88" s="271"/>
      <c r="DB88" s="262"/>
      <c r="DC88" s="254"/>
      <c r="DD88" s="78"/>
      <c r="DE88" s="262"/>
      <c r="DF88" s="254"/>
      <c r="DG88" s="78"/>
      <c r="DH88" s="262"/>
      <c r="DI88" s="254"/>
      <c r="DJ88" s="78"/>
      <c r="DK88" s="262"/>
      <c r="DL88" s="254"/>
      <c r="DM88" s="78"/>
      <c r="DN88" s="262"/>
      <c r="DO88" s="254"/>
      <c r="DP88" s="78"/>
      <c r="DQ88" s="262"/>
      <c r="DR88" s="254"/>
      <c r="DS88" s="78"/>
      <c r="DT88" s="262"/>
      <c r="DU88" s="254"/>
      <c r="DV88" s="78"/>
      <c r="DW88" s="262"/>
      <c r="DX88" s="755">
        <v>0</v>
      </c>
      <c r="DY88" s="78">
        <v>0.51</v>
      </c>
      <c r="DZ88" s="262">
        <v>0</v>
      </c>
      <c r="EA88" s="246">
        <f t="shared" si="223"/>
        <v>0.51</v>
      </c>
      <c r="EB88" s="78">
        <v>0.01</v>
      </c>
      <c r="EC88" s="262">
        <v>0.52</v>
      </c>
      <c r="ED88" s="246">
        <f t="shared" si="224"/>
        <v>0</v>
      </c>
      <c r="EE88" s="78">
        <v>0</v>
      </c>
      <c r="EF88" s="262">
        <v>0</v>
      </c>
      <c r="EG88" s="755">
        <v>0</v>
      </c>
      <c r="EH88" s="78">
        <v>0.40600000000000003</v>
      </c>
      <c r="EI88" s="262">
        <v>0.40600000000000003</v>
      </c>
      <c r="EJ88" s="254">
        <v>0</v>
      </c>
      <c r="EK88" s="78">
        <v>0</v>
      </c>
      <c r="EL88" s="262">
        <v>0</v>
      </c>
      <c r="EM88" s="254">
        <v>0</v>
      </c>
      <c r="EN88" s="78">
        <v>0</v>
      </c>
      <c r="EO88" s="262">
        <v>0</v>
      </c>
      <c r="EP88" s="755">
        <v>0</v>
      </c>
      <c r="EQ88" s="78">
        <v>0</v>
      </c>
      <c r="ER88" s="262">
        <v>0</v>
      </c>
      <c r="ES88" s="755">
        <v>0</v>
      </c>
      <c r="ET88" s="78">
        <v>0</v>
      </c>
      <c r="EU88" s="262">
        <v>0</v>
      </c>
      <c r="EV88" s="755">
        <v>0</v>
      </c>
      <c r="EW88" s="78">
        <v>0</v>
      </c>
      <c r="EX88" s="262">
        <v>0</v>
      </c>
      <c r="EY88" s="755">
        <v>0</v>
      </c>
    </row>
    <row r="89" spans="1:155" ht="33">
      <c r="A89" s="217"/>
      <c r="B89" s="184"/>
      <c r="C89" s="793" t="s">
        <v>446</v>
      </c>
      <c r="D89" s="268" t="s">
        <v>440</v>
      </c>
      <c r="E89" s="218"/>
      <c r="F89" s="78"/>
      <c r="G89" s="262"/>
      <c r="H89" s="218"/>
      <c r="I89" s="78"/>
      <c r="J89" s="262"/>
      <c r="K89" s="218"/>
      <c r="L89" s="78"/>
      <c r="M89" s="262"/>
      <c r="N89" s="218"/>
      <c r="O89" s="78"/>
      <c r="P89" s="263"/>
      <c r="Q89" s="218"/>
      <c r="R89" s="78"/>
      <c r="S89" s="262"/>
      <c r="T89" s="218"/>
      <c r="U89" s="78"/>
      <c r="V89" s="262"/>
      <c r="W89" s="218"/>
      <c r="X89" s="78"/>
      <c r="Y89" s="262"/>
      <c r="Z89" s="218"/>
      <c r="AA89" s="78"/>
      <c r="AB89" s="262"/>
      <c r="AC89" s="218"/>
      <c r="AD89" s="78"/>
      <c r="AE89" s="262"/>
      <c r="AF89" s="218"/>
      <c r="AG89" s="78"/>
      <c r="AH89" s="262"/>
      <c r="AI89" s="218"/>
      <c r="AJ89" s="78"/>
      <c r="AK89" s="262"/>
      <c r="AL89" s="218"/>
      <c r="AM89" s="78"/>
      <c r="AN89" s="262"/>
      <c r="AO89" s="218"/>
      <c r="AP89" s="78"/>
      <c r="AQ89" s="262"/>
      <c r="AR89" s="218"/>
      <c r="AS89" s="78"/>
      <c r="AT89" s="262"/>
      <c r="AU89" s="218"/>
      <c r="AV89" s="78"/>
      <c r="AW89" s="262"/>
      <c r="AX89" s="218"/>
      <c r="AY89" s="78"/>
      <c r="AZ89" s="262"/>
      <c r="BA89" s="218"/>
      <c r="BB89" s="78"/>
      <c r="BC89" s="262"/>
      <c r="BD89" s="218"/>
      <c r="BE89" s="78"/>
      <c r="BF89" s="262"/>
      <c r="BG89" s="218"/>
      <c r="BH89" s="78"/>
      <c r="BI89" s="262"/>
      <c r="BJ89" s="218"/>
      <c r="BK89" s="78"/>
      <c r="BL89" s="262"/>
      <c r="BM89" s="218"/>
      <c r="BN89" s="78"/>
      <c r="BO89" s="262"/>
      <c r="BP89" s="218"/>
      <c r="BQ89" s="78"/>
      <c r="BR89" s="262"/>
      <c r="BS89" s="218"/>
      <c r="BT89" s="78"/>
      <c r="BU89" s="262"/>
      <c r="BV89" s="218"/>
      <c r="BW89" s="78"/>
      <c r="BX89" s="262"/>
      <c r="BY89" s="218"/>
      <c r="BZ89" s="78"/>
      <c r="CA89" s="262"/>
      <c r="CB89" s="218"/>
      <c r="CC89" s="78"/>
      <c r="CD89" s="262"/>
      <c r="CE89" s="218"/>
      <c r="CF89" s="78"/>
      <c r="CG89" s="262"/>
      <c r="CH89" s="218"/>
      <c r="CI89" s="78"/>
      <c r="CJ89" s="262"/>
      <c r="CK89" s="272"/>
      <c r="CL89" s="265"/>
      <c r="CM89" s="266"/>
      <c r="CN89" s="218"/>
      <c r="CO89" s="269"/>
      <c r="CP89" s="270"/>
      <c r="CQ89" s="254"/>
      <c r="CR89" s="78"/>
      <c r="CS89" s="262"/>
      <c r="CT89" s="272"/>
      <c r="CU89" s="267"/>
      <c r="CV89" s="262"/>
      <c r="CW89" s="254"/>
      <c r="CX89" s="78"/>
      <c r="CY89" s="262"/>
      <c r="CZ89" s="254"/>
      <c r="DA89" s="271"/>
      <c r="DB89" s="262"/>
      <c r="DC89" s="254"/>
      <c r="DD89" s="78"/>
      <c r="DE89" s="262"/>
      <c r="DF89" s="254"/>
      <c r="DG89" s="78"/>
      <c r="DH89" s="262"/>
      <c r="DI89" s="254"/>
      <c r="DJ89" s="78"/>
      <c r="DK89" s="262"/>
      <c r="DL89" s="254"/>
      <c r="DM89" s="78"/>
      <c r="DN89" s="262"/>
      <c r="DO89" s="254"/>
      <c r="DP89" s="78"/>
      <c r="DQ89" s="262"/>
      <c r="DR89" s="254"/>
      <c r="DS89" s="78"/>
      <c r="DT89" s="262"/>
      <c r="DU89" s="254"/>
      <c r="DV89" s="78"/>
      <c r="DW89" s="262"/>
      <c r="DX89" s="755">
        <v>0</v>
      </c>
      <c r="DY89" s="78">
        <v>0.51</v>
      </c>
      <c r="DZ89" s="262">
        <v>0</v>
      </c>
      <c r="EA89" s="246">
        <f t="shared" si="223"/>
        <v>0.51</v>
      </c>
      <c r="EB89" s="78">
        <v>0.01</v>
      </c>
      <c r="EC89" s="262">
        <v>0.52</v>
      </c>
      <c r="ED89" s="246">
        <f t="shared" si="224"/>
        <v>0</v>
      </c>
      <c r="EE89" s="78">
        <v>0</v>
      </c>
      <c r="EF89" s="262">
        <v>0</v>
      </c>
      <c r="EG89" s="755">
        <v>0</v>
      </c>
      <c r="EH89" s="78">
        <v>0.40600000000000003</v>
      </c>
      <c r="EI89" s="262">
        <v>0.40600000000000003</v>
      </c>
      <c r="EJ89" s="254">
        <v>0</v>
      </c>
      <c r="EK89" s="78">
        <v>0</v>
      </c>
      <c r="EL89" s="262">
        <v>0</v>
      </c>
      <c r="EM89" s="254">
        <v>0</v>
      </c>
      <c r="EN89" s="78">
        <v>0</v>
      </c>
      <c r="EO89" s="262">
        <v>0</v>
      </c>
      <c r="EP89" s="755">
        <v>0</v>
      </c>
      <c r="EQ89" s="78">
        <v>0</v>
      </c>
      <c r="ER89" s="262">
        <v>0</v>
      </c>
      <c r="ES89" s="755">
        <v>0</v>
      </c>
      <c r="ET89" s="78">
        <v>0</v>
      </c>
      <c r="EU89" s="262">
        <v>0</v>
      </c>
      <c r="EV89" s="755">
        <v>0</v>
      </c>
      <c r="EW89" s="78">
        <v>0</v>
      </c>
      <c r="EX89" s="262">
        <v>0</v>
      </c>
      <c r="EY89" s="755">
        <v>0</v>
      </c>
    </row>
    <row r="90" spans="1:155" ht="19.5">
      <c r="A90" s="217"/>
      <c r="B90" s="184"/>
      <c r="C90" s="229">
        <v>100544783</v>
      </c>
      <c r="D90" s="224" t="s">
        <v>260</v>
      </c>
      <c r="E90" s="187"/>
      <c r="F90" s="64"/>
      <c r="G90" s="115"/>
      <c r="H90" s="187"/>
      <c r="I90" s="64"/>
      <c r="J90" s="115"/>
      <c r="K90" s="187"/>
      <c r="L90" s="64"/>
      <c r="M90" s="115"/>
      <c r="N90" s="187"/>
      <c r="O90" s="64"/>
      <c r="P90" s="214"/>
      <c r="Q90" s="187"/>
      <c r="R90" s="64"/>
      <c r="S90" s="115"/>
      <c r="T90" s="187"/>
      <c r="U90" s="64"/>
      <c r="V90" s="115"/>
      <c r="W90" s="187"/>
      <c r="X90" s="64"/>
      <c r="Y90" s="115"/>
      <c r="Z90" s="187"/>
      <c r="AA90" s="64"/>
      <c r="AB90" s="115"/>
      <c r="AC90" s="187"/>
      <c r="AD90" s="64"/>
      <c r="AE90" s="115"/>
      <c r="AF90" s="187"/>
      <c r="AG90" s="64"/>
      <c r="AH90" s="115"/>
      <c r="AI90" s="187"/>
      <c r="AJ90" s="64"/>
      <c r="AK90" s="115"/>
      <c r="AL90" s="187"/>
      <c r="AM90" s="64"/>
      <c r="AN90" s="115"/>
      <c r="AO90" s="187"/>
      <c r="AP90" s="64"/>
      <c r="AQ90" s="115"/>
      <c r="AR90" s="187"/>
      <c r="AS90" s="64"/>
      <c r="AT90" s="115"/>
      <c r="AU90" s="187"/>
      <c r="AV90" s="64"/>
      <c r="AW90" s="115"/>
      <c r="AX90" s="187"/>
      <c r="AY90" s="64"/>
      <c r="AZ90" s="115"/>
      <c r="BA90" s="187"/>
      <c r="BB90" s="64"/>
      <c r="BC90" s="115"/>
      <c r="BD90" s="187"/>
      <c r="BE90" s="64"/>
      <c r="BF90" s="115"/>
      <c r="BG90" s="187"/>
      <c r="BH90" s="64"/>
      <c r="BI90" s="115"/>
      <c r="BJ90" s="187"/>
      <c r="BK90" s="64"/>
      <c r="BL90" s="115"/>
      <c r="BM90" s="187"/>
      <c r="BN90" s="64"/>
      <c r="BO90" s="115"/>
      <c r="BP90" s="187"/>
      <c r="BQ90" s="64"/>
      <c r="BR90" s="115"/>
      <c r="BS90" s="187"/>
      <c r="BT90" s="64"/>
      <c r="BU90" s="115"/>
      <c r="BV90" s="187"/>
      <c r="BW90" s="64"/>
      <c r="BX90" s="115"/>
      <c r="BY90" s="187"/>
      <c r="BZ90" s="64"/>
      <c r="CA90" s="115"/>
      <c r="CB90" s="187"/>
      <c r="CC90" s="64"/>
      <c r="CD90" s="115"/>
      <c r="CE90" s="187">
        <f t="shared" ref="CE90" si="246">(CB90+CC90)-(CD90)</f>
        <v>0</v>
      </c>
      <c r="CF90" s="64">
        <v>0</v>
      </c>
      <c r="CG90" s="115">
        <v>0</v>
      </c>
      <c r="CH90" s="258">
        <f t="shared" ref="CH90" si="247">(CE90+CF90)-(CG90)</f>
        <v>0</v>
      </c>
      <c r="CI90" s="64">
        <v>0</v>
      </c>
      <c r="CJ90" s="115">
        <v>0</v>
      </c>
      <c r="CK90" s="273">
        <f t="shared" ref="CK90" si="248">(CH90+CI90)-(CJ90)</f>
        <v>0</v>
      </c>
      <c r="CL90" s="70">
        <v>0</v>
      </c>
      <c r="CM90" s="118">
        <v>0</v>
      </c>
      <c r="CN90" s="187">
        <f>(CK90+CL90)-(CM90)</f>
        <v>0</v>
      </c>
      <c r="CO90" s="64">
        <v>0</v>
      </c>
      <c r="CP90" s="115">
        <v>0</v>
      </c>
      <c r="CQ90" s="187">
        <f>(CN90+CO90)-(CP90)</f>
        <v>0</v>
      </c>
      <c r="CR90" s="64">
        <v>0</v>
      </c>
      <c r="CS90" s="115">
        <v>0</v>
      </c>
      <c r="CT90" s="220">
        <f>(CQ90+CR90)-(CS90)</f>
        <v>0</v>
      </c>
      <c r="CU90" s="81">
        <v>12.771000000000001</v>
      </c>
      <c r="CV90" s="115">
        <v>3.5990000000000002</v>
      </c>
      <c r="CW90" s="187">
        <f>(CT90+CU90)-(CV90)</f>
        <v>9.1720000000000006</v>
      </c>
      <c r="CX90" s="64">
        <v>56.624000000000002</v>
      </c>
      <c r="CY90" s="115">
        <v>44.566000000000003</v>
      </c>
      <c r="CZ90" s="187">
        <f>(CW90+CX90)-(CY90)</f>
        <v>21.230000000000004</v>
      </c>
      <c r="DA90" s="64">
        <v>43.537999999999997</v>
      </c>
      <c r="DB90" s="115">
        <v>50.688000000000002</v>
      </c>
      <c r="DC90" s="187">
        <f t="shared" ref="DC90" si="249">(CZ90+DA90)-(DB90)</f>
        <v>14.079999999999998</v>
      </c>
      <c r="DD90" s="64">
        <v>39.201000000000001</v>
      </c>
      <c r="DE90" s="115">
        <v>41.835000000000001</v>
      </c>
      <c r="DF90" s="187">
        <f>(DC90+DD90)-(DE90)</f>
        <v>11.445999999999998</v>
      </c>
      <c r="DG90" s="64">
        <v>22.614000000000001</v>
      </c>
      <c r="DH90" s="115">
        <v>28.117999999999999</v>
      </c>
      <c r="DI90" s="187">
        <f t="shared" ref="DI90" si="250">(DF90+DG90)-(DH90)</f>
        <v>5.9420000000000037</v>
      </c>
      <c r="DJ90" s="64">
        <v>53.712000000000003</v>
      </c>
      <c r="DK90" s="115">
        <v>43.429000000000002</v>
      </c>
      <c r="DL90" s="187">
        <f t="shared" ref="DL90" si="251">(DI90+DJ90)-(DK90)</f>
        <v>16.225000000000009</v>
      </c>
      <c r="DM90" s="64">
        <v>36.015000000000001</v>
      </c>
      <c r="DN90" s="115">
        <v>51.84</v>
      </c>
      <c r="DO90" s="187">
        <f t="shared" ref="DO90" si="252">(DL90+DM90)-(DN90)</f>
        <v>0.40000000000000568</v>
      </c>
      <c r="DP90" s="64">
        <v>28.576000000000001</v>
      </c>
      <c r="DQ90" s="115">
        <v>19.984000000000002</v>
      </c>
      <c r="DR90" s="187">
        <f t="shared" ref="DR90" si="253">(DO90+DP90)-(DQ90)</f>
        <v>8.9920000000000044</v>
      </c>
      <c r="DS90" s="64">
        <v>43.52</v>
      </c>
      <c r="DT90" s="115">
        <v>47.616</v>
      </c>
      <c r="DU90" s="187">
        <f t="shared" ref="DU90" si="254">(DR90+DS90)-(DT90)</f>
        <v>4.8960000000000079</v>
      </c>
      <c r="DV90" s="64">
        <v>54.335999999999999</v>
      </c>
      <c r="DW90" s="115">
        <v>58.368000000000002</v>
      </c>
      <c r="DX90" s="753">
        <f t="shared" ref="DX90" si="255">(DU90+DV90)-(DW90)</f>
        <v>0.86400000000000432</v>
      </c>
      <c r="DY90" s="64">
        <v>39.758000000000003</v>
      </c>
      <c r="DZ90" s="115">
        <v>39.811999999999998</v>
      </c>
      <c r="EA90" s="187">
        <f t="shared" ref="EA90:EA91" si="256">(DX90+DY90)-(DZ90)</f>
        <v>0.81000000000000938</v>
      </c>
      <c r="EB90" s="64">
        <v>7.0570000000000004</v>
      </c>
      <c r="EC90" s="115">
        <v>7.7389999999999999</v>
      </c>
      <c r="ED90" s="187">
        <f t="shared" si="224"/>
        <v>0.12800000000000988</v>
      </c>
      <c r="EE90" s="64">
        <v>-0.128</v>
      </c>
      <c r="EF90" s="115">
        <v>0</v>
      </c>
      <c r="EG90" s="753">
        <f t="shared" ref="EG90:EG92" si="257">(ED90+EE90)-(EF90)</f>
        <v>9.8809849191638932E-15</v>
      </c>
      <c r="EH90" s="64">
        <v>0</v>
      </c>
      <c r="EI90" s="115">
        <v>0</v>
      </c>
      <c r="EJ90" s="187">
        <f t="shared" ref="EJ90:EJ92" si="258">(EG90+EH90)-(EI90)</f>
        <v>9.8809849191638932E-15</v>
      </c>
      <c r="EK90" s="64">
        <v>0</v>
      </c>
      <c r="EL90" s="115">
        <v>0</v>
      </c>
      <c r="EM90" s="187">
        <f t="shared" ref="EM90:EM92" si="259">(EJ90+EK90)-(EL90)</f>
        <v>9.8809849191638932E-15</v>
      </c>
      <c r="EN90" s="64">
        <v>0</v>
      </c>
      <c r="EO90" s="115">
        <v>0</v>
      </c>
      <c r="EP90" s="753">
        <f t="shared" ref="EP90:EP92" si="260">(EM90+EN90)-(EO90)</f>
        <v>9.8809849191638932E-15</v>
      </c>
      <c r="EQ90" s="64">
        <v>0</v>
      </c>
      <c r="ER90" s="115">
        <v>0</v>
      </c>
      <c r="ES90" s="753">
        <f t="shared" ref="ES90:ES102" si="261">(EP90+EQ90)-(ER90)</f>
        <v>9.8809849191638932E-15</v>
      </c>
      <c r="ET90" s="64">
        <v>0</v>
      </c>
      <c r="EU90" s="115">
        <v>0</v>
      </c>
      <c r="EV90" s="753">
        <f t="shared" ref="EV90:EV102" si="262">(ES90+ET90)-(EU90)</f>
        <v>9.8809849191638932E-15</v>
      </c>
      <c r="EW90" s="64">
        <v>0</v>
      </c>
      <c r="EX90" s="115">
        <v>0</v>
      </c>
      <c r="EY90" s="753">
        <f t="shared" ref="EY90:EY102" si="263">(EV90+EW90)-(EX90)</f>
        <v>9.8809849191638932E-15</v>
      </c>
    </row>
    <row r="91" spans="1:155" ht="19.5">
      <c r="A91" s="217"/>
      <c r="B91" s="184"/>
      <c r="C91" s="798">
        <v>100623965</v>
      </c>
      <c r="D91" s="224" t="s">
        <v>454</v>
      </c>
      <c r="E91" s="187"/>
      <c r="F91" s="64"/>
      <c r="G91" s="115"/>
      <c r="H91" s="187"/>
      <c r="I91" s="64"/>
      <c r="J91" s="115"/>
      <c r="K91" s="187"/>
      <c r="L91" s="64"/>
      <c r="M91" s="115"/>
      <c r="N91" s="187"/>
      <c r="O91" s="64"/>
      <c r="P91" s="214"/>
      <c r="Q91" s="187"/>
      <c r="R91" s="64"/>
      <c r="S91" s="115"/>
      <c r="T91" s="187"/>
      <c r="U91" s="64"/>
      <c r="V91" s="115"/>
      <c r="W91" s="187"/>
      <c r="X91" s="64"/>
      <c r="Y91" s="115"/>
      <c r="Z91" s="187"/>
      <c r="AA91" s="64"/>
      <c r="AB91" s="115"/>
      <c r="AC91" s="187"/>
      <c r="AD91" s="64"/>
      <c r="AE91" s="115"/>
      <c r="AF91" s="187"/>
      <c r="AG91" s="64"/>
      <c r="AH91" s="115"/>
      <c r="AI91" s="187"/>
      <c r="AJ91" s="64"/>
      <c r="AK91" s="115"/>
      <c r="AL91" s="187"/>
      <c r="AM91" s="64"/>
      <c r="AN91" s="115"/>
      <c r="AO91" s="187"/>
      <c r="AP91" s="64"/>
      <c r="AQ91" s="115"/>
      <c r="AR91" s="187"/>
      <c r="AS91" s="64"/>
      <c r="AT91" s="115"/>
      <c r="AU91" s="187"/>
      <c r="AV91" s="64"/>
      <c r="AW91" s="115"/>
      <c r="AX91" s="187"/>
      <c r="AY91" s="64"/>
      <c r="AZ91" s="115"/>
      <c r="BA91" s="187"/>
      <c r="BB91" s="64"/>
      <c r="BC91" s="115"/>
      <c r="BD91" s="187"/>
      <c r="BE91" s="64"/>
      <c r="BF91" s="115"/>
      <c r="BG91" s="187"/>
      <c r="BH91" s="64"/>
      <c r="BI91" s="115"/>
      <c r="BJ91" s="187"/>
      <c r="BK91" s="64"/>
      <c r="BL91" s="115"/>
      <c r="BM91" s="187"/>
      <c r="BN91" s="64"/>
      <c r="BO91" s="115"/>
      <c r="BP91" s="187"/>
      <c r="BQ91" s="64"/>
      <c r="BR91" s="115"/>
      <c r="BS91" s="187"/>
      <c r="BT91" s="64"/>
      <c r="BU91" s="115"/>
      <c r="BV91" s="187"/>
      <c r="BW91" s="64"/>
      <c r="BX91" s="115"/>
      <c r="BY91" s="187"/>
      <c r="BZ91" s="64"/>
      <c r="CA91" s="115"/>
      <c r="CB91" s="187"/>
      <c r="CC91" s="64"/>
      <c r="CD91" s="115"/>
      <c r="CE91" s="187"/>
      <c r="CF91" s="64"/>
      <c r="CG91" s="115"/>
      <c r="CH91" s="258"/>
      <c r="CI91" s="64"/>
      <c r="CJ91" s="115"/>
      <c r="CK91" s="273"/>
      <c r="CL91" s="70"/>
      <c r="CM91" s="118"/>
      <c r="CN91" s="187"/>
      <c r="CO91" s="64"/>
      <c r="CP91" s="115"/>
      <c r="CQ91" s="187"/>
      <c r="CR91" s="64"/>
      <c r="CS91" s="115"/>
      <c r="CT91" s="220"/>
      <c r="CU91" s="81"/>
      <c r="CV91" s="115"/>
      <c r="CW91" s="187"/>
      <c r="CX91" s="64"/>
      <c r="CY91" s="115"/>
      <c r="CZ91" s="187"/>
      <c r="DA91" s="64"/>
      <c r="DB91" s="115"/>
      <c r="DC91" s="187"/>
      <c r="DD91" s="64"/>
      <c r="DE91" s="115"/>
      <c r="DF91" s="187"/>
      <c r="DG91" s="64"/>
      <c r="DH91" s="115"/>
      <c r="DI91" s="187"/>
      <c r="DJ91" s="64"/>
      <c r="DK91" s="115"/>
      <c r="DL91" s="187"/>
      <c r="DM91" s="64"/>
      <c r="DN91" s="115"/>
      <c r="DO91" s="187"/>
      <c r="DP91" s="64"/>
      <c r="DQ91" s="115"/>
      <c r="DR91" s="187"/>
      <c r="DS91" s="64"/>
      <c r="DT91" s="115"/>
      <c r="DU91" s="729"/>
      <c r="DV91" s="767">
        <v>0</v>
      </c>
      <c r="DW91" s="768">
        <v>0</v>
      </c>
      <c r="DX91" s="753">
        <f t="shared" si="222"/>
        <v>0</v>
      </c>
      <c r="DY91" s="767">
        <v>0</v>
      </c>
      <c r="DZ91" s="768">
        <v>0</v>
      </c>
      <c r="EA91" s="766">
        <f t="shared" si="256"/>
        <v>0</v>
      </c>
      <c r="EB91" s="767">
        <v>0.6</v>
      </c>
      <c r="EC91" s="768">
        <v>0.3</v>
      </c>
      <c r="ED91" s="766">
        <f t="shared" si="224"/>
        <v>0.3</v>
      </c>
      <c r="EE91" s="767">
        <v>17.07</v>
      </c>
      <c r="EF91" s="824">
        <v>17.37</v>
      </c>
      <c r="EG91" s="753">
        <f t="shared" si="257"/>
        <v>0</v>
      </c>
      <c r="EH91" s="64">
        <v>40.299999999999997</v>
      </c>
      <c r="EI91" s="824">
        <v>20</v>
      </c>
      <c r="EJ91" s="187">
        <f t="shared" si="258"/>
        <v>20.299999999999997</v>
      </c>
      <c r="EK91" s="64">
        <v>25.5</v>
      </c>
      <c r="EL91" s="824">
        <v>13</v>
      </c>
      <c r="EM91" s="187">
        <f t="shared" si="259"/>
        <v>32.799999999999997</v>
      </c>
      <c r="EN91" s="64">
        <v>25</v>
      </c>
      <c r="EO91" s="824">
        <v>13</v>
      </c>
      <c r="EP91" s="753">
        <f t="shared" si="260"/>
        <v>44.8</v>
      </c>
      <c r="EQ91" s="64">
        <v>0</v>
      </c>
      <c r="ER91" s="115">
        <v>0</v>
      </c>
      <c r="ES91" s="753">
        <f t="shared" si="261"/>
        <v>44.8</v>
      </c>
      <c r="ET91" s="64">
        <v>0</v>
      </c>
      <c r="EU91" s="115">
        <v>0</v>
      </c>
      <c r="EV91" s="753">
        <f t="shared" si="262"/>
        <v>44.8</v>
      </c>
      <c r="EW91" s="64">
        <v>0</v>
      </c>
      <c r="EX91" s="115">
        <v>0</v>
      </c>
      <c r="EY91" s="753">
        <f t="shared" si="263"/>
        <v>44.8</v>
      </c>
    </row>
    <row r="92" spans="1:155" ht="33">
      <c r="A92" s="217"/>
      <c r="B92" s="184"/>
      <c r="C92" s="798"/>
      <c r="D92" s="259" t="s">
        <v>456</v>
      </c>
      <c r="E92" s="187"/>
      <c r="F92" s="64"/>
      <c r="G92" s="115"/>
      <c r="H92" s="187"/>
      <c r="I92" s="64"/>
      <c r="J92" s="115"/>
      <c r="K92" s="187"/>
      <c r="L92" s="64"/>
      <c r="M92" s="115"/>
      <c r="N92" s="187"/>
      <c r="O92" s="64"/>
      <c r="P92" s="214"/>
      <c r="Q92" s="187"/>
      <c r="R92" s="64"/>
      <c r="S92" s="115"/>
      <c r="T92" s="187"/>
      <c r="U92" s="64"/>
      <c r="V92" s="115"/>
      <c r="W92" s="187"/>
      <c r="X92" s="64"/>
      <c r="Y92" s="115"/>
      <c r="Z92" s="187"/>
      <c r="AA92" s="64"/>
      <c r="AB92" s="115"/>
      <c r="AC92" s="187"/>
      <c r="AD92" s="64"/>
      <c r="AE92" s="115"/>
      <c r="AF92" s="187"/>
      <c r="AG92" s="64"/>
      <c r="AH92" s="115"/>
      <c r="AI92" s="187"/>
      <c r="AJ92" s="64"/>
      <c r="AK92" s="115"/>
      <c r="AL92" s="187"/>
      <c r="AM92" s="64"/>
      <c r="AN92" s="115"/>
      <c r="AO92" s="187"/>
      <c r="AP92" s="64"/>
      <c r="AQ92" s="115"/>
      <c r="AR92" s="187"/>
      <c r="AS92" s="64"/>
      <c r="AT92" s="115"/>
      <c r="AU92" s="187"/>
      <c r="AV92" s="64"/>
      <c r="AW92" s="115"/>
      <c r="AX92" s="187"/>
      <c r="AY92" s="64"/>
      <c r="AZ92" s="115"/>
      <c r="BA92" s="187"/>
      <c r="BB92" s="64"/>
      <c r="BC92" s="115"/>
      <c r="BD92" s="187"/>
      <c r="BE92" s="64"/>
      <c r="BF92" s="115"/>
      <c r="BG92" s="187"/>
      <c r="BH92" s="64"/>
      <c r="BI92" s="115"/>
      <c r="BJ92" s="187"/>
      <c r="BK92" s="64"/>
      <c r="BL92" s="115"/>
      <c r="BM92" s="187"/>
      <c r="BN92" s="64"/>
      <c r="BO92" s="115"/>
      <c r="BP92" s="187"/>
      <c r="BQ92" s="64"/>
      <c r="BR92" s="115"/>
      <c r="BS92" s="187"/>
      <c r="BT92" s="64"/>
      <c r="BU92" s="115"/>
      <c r="BV92" s="187"/>
      <c r="BW92" s="64"/>
      <c r="BX92" s="115"/>
      <c r="BY92" s="187"/>
      <c r="BZ92" s="64"/>
      <c r="CA92" s="115"/>
      <c r="CB92" s="187"/>
      <c r="CC92" s="64"/>
      <c r="CD92" s="115"/>
      <c r="CE92" s="187"/>
      <c r="CF92" s="64"/>
      <c r="CG92" s="115"/>
      <c r="CH92" s="258"/>
      <c r="CI92" s="64"/>
      <c r="CJ92" s="115"/>
      <c r="CK92" s="273"/>
      <c r="CL92" s="70"/>
      <c r="CM92" s="118"/>
      <c r="CN92" s="187"/>
      <c r="CO92" s="64"/>
      <c r="CP92" s="115"/>
      <c r="CQ92" s="187"/>
      <c r="CR92" s="64"/>
      <c r="CS92" s="115"/>
      <c r="CT92" s="220"/>
      <c r="CU92" s="81"/>
      <c r="CV92" s="115"/>
      <c r="CW92" s="187"/>
      <c r="CX92" s="64"/>
      <c r="CY92" s="115"/>
      <c r="CZ92" s="187"/>
      <c r="DA92" s="64"/>
      <c r="DB92" s="115"/>
      <c r="DC92" s="187"/>
      <c r="DD92" s="64"/>
      <c r="DE92" s="115"/>
      <c r="DF92" s="187"/>
      <c r="DG92" s="64"/>
      <c r="DH92" s="115"/>
      <c r="DI92" s="187"/>
      <c r="DJ92" s="64"/>
      <c r="DK92" s="115"/>
      <c r="DL92" s="187"/>
      <c r="DM92" s="64"/>
      <c r="DN92" s="115"/>
      <c r="DO92" s="187"/>
      <c r="DP92" s="64"/>
      <c r="DQ92" s="115"/>
      <c r="DR92" s="187"/>
      <c r="DS92" s="64"/>
      <c r="DT92" s="115"/>
      <c r="DU92" s="729"/>
      <c r="DV92" s="767"/>
      <c r="DW92" s="768"/>
      <c r="DX92" s="753"/>
      <c r="DY92" s="767"/>
      <c r="DZ92" s="768"/>
      <c r="EA92" s="766"/>
      <c r="EB92" s="767"/>
      <c r="EC92" s="768"/>
      <c r="ED92" s="766">
        <v>0</v>
      </c>
      <c r="EE92" s="767">
        <v>0</v>
      </c>
      <c r="EF92" s="841">
        <v>0</v>
      </c>
      <c r="EG92" s="753">
        <f t="shared" si="257"/>
        <v>0</v>
      </c>
      <c r="EH92" s="767">
        <v>0</v>
      </c>
      <c r="EI92" s="767">
        <v>0</v>
      </c>
      <c r="EJ92" s="187">
        <f t="shared" si="226"/>
        <v>0</v>
      </c>
      <c r="EK92" s="64">
        <v>8</v>
      </c>
      <c r="EL92" s="115">
        <v>5.7</v>
      </c>
      <c r="EM92" s="187">
        <f t="shared" si="259"/>
        <v>2.2999999999999998</v>
      </c>
      <c r="EN92" s="64">
        <v>18</v>
      </c>
      <c r="EO92" s="115">
        <v>15</v>
      </c>
      <c r="EP92" s="753">
        <f t="shared" si="260"/>
        <v>5.3000000000000007</v>
      </c>
      <c r="EQ92" s="64">
        <v>26</v>
      </c>
      <c r="ER92" s="115">
        <v>15</v>
      </c>
      <c r="ES92" s="753">
        <f t="shared" si="261"/>
        <v>16.3</v>
      </c>
      <c r="ET92" s="64">
        <v>38</v>
      </c>
      <c r="EU92" s="115">
        <v>28</v>
      </c>
      <c r="EV92" s="753">
        <f t="shared" si="262"/>
        <v>26.299999999999997</v>
      </c>
      <c r="EW92" s="64">
        <v>4</v>
      </c>
      <c r="EX92" s="115">
        <v>18</v>
      </c>
      <c r="EY92" s="753">
        <f t="shared" si="263"/>
        <v>12.299999999999997</v>
      </c>
    </row>
    <row r="93" spans="1:155" ht="33">
      <c r="A93" s="217"/>
      <c r="B93" s="184"/>
      <c r="C93" s="229">
        <v>100432520</v>
      </c>
      <c r="D93" s="259" t="s">
        <v>376</v>
      </c>
      <c r="E93" s="218">
        <v>0.14499999999999999</v>
      </c>
      <c r="F93" s="274">
        <v>0.745</v>
      </c>
      <c r="G93" s="262">
        <v>0.745</v>
      </c>
      <c r="H93" s="218">
        <f t="shared" ref="H93:H100" si="264">(E93+F93)-(G93)</f>
        <v>0.14500000000000002</v>
      </c>
      <c r="I93" s="274">
        <v>0.18</v>
      </c>
      <c r="J93" s="262">
        <v>0.14000000000000001</v>
      </c>
      <c r="K93" s="218">
        <f t="shared" ref="K93:K100" si="265">(H93+I93)-(J93)</f>
        <v>0.185</v>
      </c>
      <c r="L93" s="113">
        <v>0.17</v>
      </c>
      <c r="M93" s="115">
        <v>0.17</v>
      </c>
      <c r="N93" s="187">
        <f>(K93+L93)-(M93)</f>
        <v>0.18499999999999997</v>
      </c>
      <c r="O93" s="113">
        <v>3.1110000000000002</v>
      </c>
      <c r="P93" s="115">
        <v>2.181</v>
      </c>
      <c r="Q93" s="187">
        <f t="shared" ref="Q93:Q100" si="266">(N93+O93)-(P93)</f>
        <v>1.1150000000000002</v>
      </c>
      <c r="R93" s="113">
        <v>11.44</v>
      </c>
      <c r="S93" s="115">
        <v>9.6950000000000003</v>
      </c>
      <c r="T93" s="187">
        <f t="shared" ref="T93:T100" si="267">(Q93+R93)-(S93)</f>
        <v>2.8599999999999994</v>
      </c>
      <c r="U93" s="113">
        <v>21.405999999999999</v>
      </c>
      <c r="V93" s="115">
        <v>17.061</v>
      </c>
      <c r="W93" s="187">
        <f t="shared" ref="W93:W100" si="268">(T93+U93)-(V93)</f>
        <v>7.2049999999999983</v>
      </c>
      <c r="X93" s="113">
        <v>21.815000000000001</v>
      </c>
      <c r="Y93" s="115">
        <v>19.135000000000002</v>
      </c>
      <c r="Z93" s="187">
        <f t="shared" ref="Z93:Z100" si="269">(W93+X93)-(Y93)</f>
        <v>9.884999999999998</v>
      </c>
      <c r="AA93" s="113">
        <v>15.94</v>
      </c>
      <c r="AB93" s="115">
        <v>14.42</v>
      </c>
      <c r="AC93" s="187">
        <f t="shared" ref="AC93:AC100" si="270">(Z93+AA93)-(AB93)</f>
        <v>11.404999999999996</v>
      </c>
      <c r="AD93" s="113">
        <v>3.1920000000000002</v>
      </c>
      <c r="AE93" s="115">
        <v>5.91</v>
      </c>
      <c r="AF93" s="187">
        <f t="shared" ref="AF93:AF100" si="271">(AC93+AD93)-(AE93)</f>
        <v>8.6869999999999958</v>
      </c>
      <c r="AG93" s="113">
        <v>-7.0000000000000007E-2</v>
      </c>
      <c r="AH93" s="115">
        <v>2.1999999999999999E-2</v>
      </c>
      <c r="AI93" s="187">
        <f t="shared" ref="AI93:AI100" si="272">(AF93+AG93)-(AH93)</f>
        <v>8.5949999999999953</v>
      </c>
      <c r="AJ93" s="113">
        <v>2.3E-2</v>
      </c>
      <c r="AK93" s="115">
        <v>-0.11</v>
      </c>
      <c r="AL93" s="187">
        <f t="shared" ref="AL93:AL100" si="273">(AI93+AJ93)-(AK93)</f>
        <v>8.7279999999999944</v>
      </c>
      <c r="AM93" s="113">
        <v>0</v>
      </c>
      <c r="AN93" s="115">
        <v>0</v>
      </c>
      <c r="AO93" s="187">
        <f t="shared" ref="AO93:AO100" si="274">(AL93+AM93)-(AN93)</f>
        <v>8.7279999999999944</v>
      </c>
      <c r="AP93" s="113">
        <v>0</v>
      </c>
      <c r="AQ93" s="115">
        <v>0</v>
      </c>
      <c r="AR93" s="187">
        <f t="shared" ref="AR93:AR100" si="275">(AO93+AP93)-(AQ93)</f>
        <v>8.7279999999999944</v>
      </c>
      <c r="AS93" s="113">
        <v>0</v>
      </c>
      <c r="AT93" s="115">
        <v>-7.0000000000000001E-3</v>
      </c>
      <c r="AU93" s="187">
        <f t="shared" ref="AU93:AU100" si="276">(AR93+AS93)-(AT93)</f>
        <v>8.7349999999999941</v>
      </c>
      <c r="AV93" s="113">
        <v>-0.3</v>
      </c>
      <c r="AW93" s="115">
        <v>0</v>
      </c>
      <c r="AX93" s="187">
        <f>(AU93+AV93)-(AW93)</f>
        <v>8.4349999999999934</v>
      </c>
      <c r="AY93" s="113">
        <v>-8.1000000000000003E-2</v>
      </c>
      <c r="AZ93" s="115">
        <v>-0.188</v>
      </c>
      <c r="BA93" s="187">
        <f t="shared" ref="BA93:BA103" si="277">(AX93+AY93)-(AZ93)</f>
        <v>8.5419999999999945</v>
      </c>
      <c r="BB93" s="113">
        <v>-0.29299999999999998</v>
      </c>
      <c r="BC93" s="115">
        <v>0</v>
      </c>
      <c r="BD93" s="187">
        <v>8.2650000000000006</v>
      </c>
      <c r="BE93" s="64">
        <v>-2.1999999999999999E-2</v>
      </c>
      <c r="BF93" s="115">
        <v>0</v>
      </c>
      <c r="BG93" s="187">
        <f t="shared" ref="BG93:BG103" si="278">(BD93+BE93)-(BF93)</f>
        <v>8.2430000000000003</v>
      </c>
      <c r="BH93" s="64">
        <v>0</v>
      </c>
      <c r="BI93" s="115">
        <v>0</v>
      </c>
      <c r="BJ93" s="187">
        <f t="shared" ref="BJ93:BJ103" si="279">(BG93+BH93)-(BI93)</f>
        <v>8.2430000000000003</v>
      </c>
      <c r="BK93" s="113">
        <v>-2.8000000000000001E-2</v>
      </c>
      <c r="BL93" s="115">
        <v>0.7</v>
      </c>
      <c r="BM93" s="187">
        <f t="shared" ref="BM93:BM103" si="280">(BJ93+BK93)-(BL93)</f>
        <v>7.5149999999999997</v>
      </c>
      <c r="BN93" s="113">
        <v>0</v>
      </c>
      <c r="BO93" s="115">
        <v>3</v>
      </c>
      <c r="BP93" s="187">
        <f t="shared" ref="BP93:BP103" si="281">(BM93+BN93)-(BO93)</f>
        <v>4.5149999999999997</v>
      </c>
      <c r="BQ93" s="113">
        <v>0</v>
      </c>
      <c r="BR93" s="115">
        <v>0</v>
      </c>
      <c r="BS93" s="187">
        <f t="shared" ref="BS93:BS103" si="282">(BP93+BQ93)-(BR93)</f>
        <v>4.5149999999999997</v>
      </c>
      <c r="BT93" s="113">
        <v>-0.01</v>
      </c>
      <c r="BU93" s="115">
        <v>1.72</v>
      </c>
      <c r="BV93" s="187">
        <f t="shared" ref="BV93:BV103" si="283">(BS93+BT93)-(BU93)</f>
        <v>2.7850000000000001</v>
      </c>
      <c r="BW93" s="113">
        <v>-0.04</v>
      </c>
      <c r="BX93" s="115">
        <v>0.21</v>
      </c>
      <c r="BY93" s="187">
        <f>(BV93+BW93)-(BX93)-0.16</f>
        <v>2.375</v>
      </c>
      <c r="BZ93" s="113">
        <v>0</v>
      </c>
      <c r="CA93" s="115">
        <v>2.2149999999999999</v>
      </c>
      <c r="CB93" s="187">
        <f t="shared" ref="CB93:CB103" si="284">(BY93+BZ93)-(CA93)</f>
        <v>0.16000000000000014</v>
      </c>
      <c r="CC93" s="113">
        <v>2</v>
      </c>
      <c r="CD93" s="115">
        <v>3.0000000000000001E-3</v>
      </c>
      <c r="CE93" s="187">
        <f t="shared" ref="CE93:CE103" si="285">(CB93+CC93)-(CD93)</f>
        <v>2.157</v>
      </c>
      <c r="CF93" s="113">
        <v>0</v>
      </c>
      <c r="CG93" s="115">
        <v>0</v>
      </c>
      <c r="CH93" s="187">
        <f t="shared" ref="CH93:CH103" si="286">(CE93+CF93)-(CG93)</f>
        <v>2.157</v>
      </c>
      <c r="CI93" s="113">
        <v>0</v>
      </c>
      <c r="CJ93" s="115">
        <v>0</v>
      </c>
      <c r="CK93" s="220">
        <f t="shared" ref="CK93:CK103" si="287">(CH93+CI93)-(CJ93)</f>
        <v>2.157</v>
      </c>
      <c r="CL93" s="117">
        <v>0</v>
      </c>
      <c r="CM93" s="118">
        <v>0</v>
      </c>
      <c r="CN93" s="187">
        <f>(CK93+CL93)-(CM93)</f>
        <v>2.157</v>
      </c>
      <c r="CO93" s="113">
        <v>0</v>
      </c>
      <c r="CP93" s="115">
        <v>0</v>
      </c>
      <c r="CQ93" s="187">
        <f>(CN93+CO93)-(CP93)</f>
        <v>2.157</v>
      </c>
      <c r="CR93" s="113">
        <v>0</v>
      </c>
      <c r="CS93" s="115">
        <v>0.14499999999999999</v>
      </c>
      <c r="CT93" s="220">
        <f>(CQ93+CR93)-(CS93)</f>
        <v>2.012</v>
      </c>
      <c r="CU93" s="119">
        <v>0.48</v>
      </c>
      <c r="CV93" s="115">
        <v>1.2270000000000001</v>
      </c>
      <c r="CW93" s="187">
        <f>(CT93+CU93)-(CV93)+1.5</f>
        <v>2.7649999999999997</v>
      </c>
      <c r="CX93" s="113">
        <v>-6.0999999999999999E-2</v>
      </c>
      <c r="CY93" s="115">
        <f>1+0.12</f>
        <v>1.1200000000000001</v>
      </c>
      <c r="CZ93" s="187">
        <f>(CW93+CX93)-(CY93)</f>
        <v>1.5839999999999996</v>
      </c>
      <c r="DA93" s="113">
        <v>5.0000000000000001E-3</v>
      </c>
      <c r="DB93" s="115">
        <v>0.80500000000000005</v>
      </c>
      <c r="DC93" s="187">
        <f t="shared" ref="DC93:DC103" si="288">(CZ93+DA93)-(DB93)</f>
        <v>0.78399999999999948</v>
      </c>
      <c r="DD93" s="113">
        <v>0</v>
      </c>
      <c r="DE93" s="115">
        <v>0</v>
      </c>
      <c r="DF93" s="187">
        <f>(DC93+DD93)-(DE93)-0.78</f>
        <v>3.9999999999994484E-3</v>
      </c>
      <c r="DG93" s="113">
        <v>0</v>
      </c>
      <c r="DH93" s="115">
        <v>0</v>
      </c>
      <c r="DI93" s="187">
        <f t="shared" ref="DI93:DI103" si="289">(DF93+DG93)-(DH93)</f>
        <v>3.9999999999994484E-3</v>
      </c>
      <c r="DJ93" s="113">
        <v>0</v>
      </c>
      <c r="DK93" s="115">
        <v>0</v>
      </c>
      <c r="DL93" s="187">
        <f t="shared" si="218"/>
        <v>3.9999999999994484E-3</v>
      </c>
      <c r="DM93" s="113">
        <v>0</v>
      </c>
      <c r="DN93" s="115">
        <v>0</v>
      </c>
      <c r="DO93" s="187">
        <v>0</v>
      </c>
      <c r="DP93" s="113">
        <v>0</v>
      </c>
      <c r="DQ93" s="719">
        <v>-0.441</v>
      </c>
      <c r="DR93" s="187">
        <f t="shared" si="220"/>
        <v>0.441</v>
      </c>
      <c r="DS93" s="113">
        <v>1.085</v>
      </c>
      <c r="DT93" s="115">
        <f>0.16</f>
        <v>0.16</v>
      </c>
      <c r="DU93" s="187">
        <f t="shared" si="221"/>
        <v>1.3660000000000001</v>
      </c>
      <c r="DV93" s="113">
        <v>-0.441</v>
      </c>
      <c r="DW93" s="115">
        <v>0.16</v>
      </c>
      <c r="DX93" s="753">
        <f t="shared" si="222"/>
        <v>0.76500000000000001</v>
      </c>
      <c r="DY93" s="113">
        <v>0</v>
      </c>
      <c r="DZ93" s="115">
        <v>0.16</v>
      </c>
      <c r="EA93" s="187">
        <f t="shared" si="223"/>
        <v>0.60499999999999998</v>
      </c>
      <c r="EB93" s="113">
        <v>0</v>
      </c>
      <c r="EC93" s="115">
        <v>0</v>
      </c>
      <c r="ED93" s="187">
        <f t="shared" si="224"/>
        <v>0.60499999999999998</v>
      </c>
      <c r="EE93" s="113">
        <v>0</v>
      </c>
      <c r="EF93" s="115">
        <v>0</v>
      </c>
      <c r="EG93" s="753">
        <f t="shared" si="225"/>
        <v>0.60499999999999998</v>
      </c>
      <c r="EH93" s="113">
        <v>0</v>
      </c>
      <c r="EI93" s="115">
        <v>0</v>
      </c>
      <c r="EJ93" s="187">
        <f t="shared" si="226"/>
        <v>0.60499999999999998</v>
      </c>
      <c r="EK93" s="113">
        <v>0</v>
      </c>
      <c r="EL93" s="115">
        <v>0</v>
      </c>
      <c r="EM93" s="187">
        <f t="shared" si="227"/>
        <v>0.60499999999999998</v>
      </c>
      <c r="EN93" s="113">
        <v>0</v>
      </c>
      <c r="EO93" s="115">
        <v>0</v>
      </c>
      <c r="EP93" s="753">
        <f t="shared" si="228"/>
        <v>0.60499999999999998</v>
      </c>
      <c r="EQ93" s="113">
        <v>0</v>
      </c>
      <c r="ER93" s="115">
        <v>0</v>
      </c>
      <c r="ES93" s="753">
        <f t="shared" si="261"/>
        <v>0.60499999999999998</v>
      </c>
      <c r="ET93" s="113">
        <v>0</v>
      </c>
      <c r="EU93" s="115">
        <v>0</v>
      </c>
      <c r="EV93" s="753">
        <f t="shared" si="262"/>
        <v>0.60499999999999998</v>
      </c>
      <c r="EW93" s="113">
        <v>0</v>
      </c>
      <c r="EX93" s="115">
        <v>0</v>
      </c>
      <c r="EY93" s="753">
        <f t="shared" si="263"/>
        <v>0.60499999999999998</v>
      </c>
    </row>
    <row r="94" spans="1:155" ht="33">
      <c r="A94" s="217"/>
      <c r="B94" s="184"/>
      <c r="C94" s="229">
        <v>100432299</v>
      </c>
      <c r="D94" s="259" t="s">
        <v>377</v>
      </c>
      <c r="E94" s="218">
        <v>0</v>
      </c>
      <c r="F94" s="274">
        <v>0.84</v>
      </c>
      <c r="G94" s="262">
        <v>0.74</v>
      </c>
      <c r="H94" s="218">
        <f t="shared" si="264"/>
        <v>9.9999999999999978E-2</v>
      </c>
      <c r="I94" s="274">
        <v>0.26</v>
      </c>
      <c r="J94" s="262">
        <v>0.121</v>
      </c>
      <c r="K94" s="218">
        <f t="shared" si="265"/>
        <v>0.23899999999999999</v>
      </c>
      <c r="L94" s="113">
        <v>0.17499999999999999</v>
      </c>
      <c r="M94" s="115">
        <v>0.18</v>
      </c>
      <c r="N94" s="187">
        <v>0</v>
      </c>
      <c r="O94" s="113">
        <v>3.08</v>
      </c>
      <c r="P94" s="115">
        <v>2.1549999999999998</v>
      </c>
      <c r="Q94" s="187">
        <f t="shared" si="266"/>
        <v>0.92500000000000027</v>
      </c>
      <c r="R94" s="113">
        <v>9.5389999999999997</v>
      </c>
      <c r="S94" s="115">
        <v>9.6690000000000005</v>
      </c>
      <c r="T94" s="187">
        <f t="shared" si="267"/>
        <v>0.79499999999999993</v>
      </c>
      <c r="U94" s="113">
        <v>18.291</v>
      </c>
      <c r="V94" s="115">
        <v>18.041</v>
      </c>
      <c r="W94" s="187">
        <f t="shared" si="268"/>
        <v>1.0449999999999982</v>
      </c>
      <c r="X94" s="113">
        <v>17.422000000000001</v>
      </c>
      <c r="Y94" s="115">
        <v>16.611999999999998</v>
      </c>
      <c r="Z94" s="187">
        <f t="shared" si="269"/>
        <v>1.8550000000000004</v>
      </c>
      <c r="AA94" s="113">
        <v>17.195</v>
      </c>
      <c r="AB94" s="115">
        <v>12.135</v>
      </c>
      <c r="AC94" s="187">
        <f t="shared" si="270"/>
        <v>6.9150000000000009</v>
      </c>
      <c r="AD94" s="113">
        <v>3.2040000000000002</v>
      </c>
      <c r="AE94" s="115">
        <v>3.847</v>
      </c>
      <c r="AF94" s="187">
        <f t="shared" si="271"/>
        <v>6.272000000000002</v>
      </c>
      <c r="AG94" s="113">
        <v>-1.7999999999999999E-2</v>
      </c>
      <c r="AH94" s="115">
        <v>1.4E-2</v>
      </c>
      <c r="AI94" s="187">
        <f t="shared" si="272"/>
        <v>6.240000000000002</v>
      </c>
      <c r="AJ94" s="113">
        <v>0</v>
      </c>
      <c r="AK94" s="115">
        <v>-2.9000000000000001E-2</v>
      </c>
      <c r="AL94" s="187">
        <f t="shared" si="273"/>
        <v>6.2690000000000019</v>
      </c>
      <c r="AM94" s="113">
        <v>0</v>
      </c>
      <c r="AN94" s="275">
        <v>-1.7999999999999999E-2</v>
      </c>
      <c r="AO94" s="187">
        <f t="shared" si="274"/>
        <v>6.2870000000000017</v>
      </c>
      <c r="AP94" s="113">
        <v>0</v>
      </c>
      <c r="AQ94" s="115">
        <v>0</v>
      </c>
      <c r="AR94" s="187">
        <f t="shared" si="275"/>
        <v>6.2870000000000017</v>
      </c>
      <c r="AS94" s="113">
        <v>0</v>
      </c>
      <c r="AT94" s="115">
        <v>0</v>
      </c>
      <c r="AU94" s="187">
        <f t="shared" si="276"/>
        <v>6.2870000000000017</v>
      </c>
      <c r="AV94" s="113">
        <v>0</v>
      </c>
      <c r="AW94" s="115">
        <v>0</v>
      </c>
      <c r="AX94" s="187">
        <f>(AU94+AV94)-(AW94)</f>
        <v>6.2870000000000017</v>
      </c>
      <c r="AY94" s="113">
        <v>0</v>
      </c>
      <c r="AZ94" s="115">
        <v>-0.16500000000000001</v>
      </c>
      <c r="BA94" s="187">
        <f t="shared" si="277"/>
        <v>6.4520000000000017</v>
      </c>
      <c r="BB94" s="113">
        <v>-5.8000000000000003E-2</v>
      </c>
      <c r="BC94" s="115">
        <v>0</v>
      </c>
      <c r="BD94" s="187">
        <v>6.3760000000000003</v>
      </c>
      <c r="BE94" s="64">
        <v>-0.125</v>
      </c>
      <c r="BF94" s="115">
        <v>3</v>
      </c>
      <c r="BG94" s="187">
        <f t="shared" si="278"/>
        <v>3.2510000000000003</v>
      </c>
      <c r="BH94" s="64">
        <v>0</v>
      </c>
      <c r="BI94" s="115">
        <v>0</v>
      </c>
      <c r="BJ94" s="187">
        <f t="shared" si="279"/>
        <v>3.2510000000000003</v>
      </c>
      <c r="BK94" s="113">
        <v>-0.03</v>
      </c>
      <c r="BL94" s="115">
        <v>0.7</v>
      </c>
      <c r="BM94" s="187">
        <f t="shared" si="280"/>
        <v>2.5210000000000008</v>
      </c>
      <c r="BN94" s="113">
        <v>0</v>
      </c>
      <c r="BO94" s="115">
        <v>2.2999999999999998</v>
      </c>
      <c r="BP94" s="187">
        <f t="shared" si="281"/>
        <v>0.22100000000000097</v>
      </c>
      <c r="BQ94" s="113">
        <v>0</v>
      </c>
      <c r="BR94" s="115">
        <v>0</v>
      </c>
      <c r="BS94" s="187">
        <f t="shared" si="282"/>
        <v>0.22100000000000097</v>
      </c>
      <c r="BT94" s="113">
        <v>0.28999999999999998</v>
      </c>
      <c r="BU94" s="115">
        <v>0</v>
      </c>
      <c r="BV94" s="187">
        <f t="shared" si="283"/>
        <v>0.51100000000000101</v>
      </c>
      <c r="BW94" s="113">
        <v>3.0000000000000001E-3</v>
      </c>
      <c r="BX94" s="115">
        <f>0.313</f>
        <v>0.313</v>
      </c>
      <c r="BY94" s="187">
        <f>(BV94+BW94)-(BX94)</f>
        <v>0.20100000000000101</v>
      </c>
      <c r="BZ94" s="113">
        <v>4</v>
      </c>
      <c r="CA94" s="115">
        <f>2.263+0.01</f>
        <v>2.2729999999999997</v>
      </c>
      <c r="CB94" s="187">
        <f t="shared" si="284"/>
        <v>1.9280000000000017</v>
      </c>
      <c r="CC94" s="113">
        <v>2</v>
      </c>
      <c r="CD94" s="115">
        <v>-4.2999999999999997E-2</v>
      </c>
      <c r="CE94" s="187">
        <f t="shared" si="285"/>
        <v>3.9710000000000019</v>
      </c>
      <c r="CF94" s="113">
        <v>0</v>
      </c>
      <c r="CG94" s="115">
        <v>0</v>
      </c>
      <c r="CH94" s="187">
        <f t="shared" si="286"/>
        <v>3.9710000000000019</v>
      </c>
      <c r="CI94" s="113">
        <v>0</v>
      </c>
      <c r="CJ94" s="115">
        <v>0</v>
      </c>
      <c r="CK94" s="220">
        <f t="shared" si="287"/>
        <v>3.9710000000000019</v>
      </c>
      <c r="CL94" s="117">
        <v>0</v>
      </c>
      <c r="CM94" s="118">
        <v>0</v>
      </c>
      <c r="CN94" s="187">
        <f>(CK94+CL94)-(CM94)-1</f>
        <v>2.9710000000000019</v>
      </c>
      <c r="CO94" s="113">
        <v>0</v>
      </c>
      <c r="CP94" s="115">
        <v>0</v>
      </c>
      <c r="CQ94" s="187">
        <f>(CN94+CO94)-(CP94)-2.7</f>
        <v>0.27100000000000168</v>
      </c>
      <c r="CR94" s="113">
        <v>0</v>
      </c>
      <c r="CS94" s="115">
        <v>0.245</v>
      </c>
      <c r="CT94" s="220">
        <v>0.7</v>
      </c>
      <c r="CU94" s="119">
        <v>2.29</v>
      </c>
      <c r="CV94" s="115">
        <v>0.49399999999999999</v>
      </c>
      <c r="CW94" s="187">
        <f>(CT94+CU94)-(CV94)</f>
        <v>2.4960000000000004</v>
      </c>
      <c r="CX94" s="113">
        <v>0.65</v>
      </c>
      <c r="CY94" s="115">
        <f>0.7+0.9</f>
        <v>1.6</v>
      </c>
      <c r="CZ94" s="187">
        <f>(CW94+CX94)-(CY94)-1</f>
        <v>0.54600000000000026</v>
      </c>
      <c r="DA94" s="113">
        <v>1.1950000000000001</v>
      </c>
      <c r="DB94" s="115">
        <v>0.70499999999999996</v>
      </c>
      <c r="DC94" s="187">
        <f t="shared" si="288"/>
        <v>1.0360000000000005</v>
      </c>
      <c r="DD94" s="113">
        <v>0</v>
      </c>
      <c r="DE94" s="115">
        <v>0</v>
      </c>
      <c r="DF94" s="187">
        <f>(DC94+DD94)-(DE94)-1</f>
        <v>3.6000000000000476E-2</v>
      </c>
      <c r="DG94" s="113">
        <v>0</v>
      </c>
      <c r="DH94" s="115">
        <v>0</v>
      </c>
      <c r="DI94" s="187">
        <f t="shared" si="289"/>
        <v>3.6000000000000476E-2</v>
      </c>
      <c r="DJ94" s="113">
        <v>0</v>
      </c>
      <c r="DK94" s="115">
        <v>0</v>
      </c>
      <c r="DL94" s="187">
        <f t="shared" si="218"/>
        <v>3.6000000000000476E-2</v>
      </c>
      <c r="DM94" s="113">
        <v>0</v>
      </c>
      <c r="DN94" s="115">
        <v>0</v>
      </c>
      <c r="DO94" s="187">
        <v>0</v>
      </c>
      <c r="DP94" s="113">
        <v>6.0000000000000001E-3</v>
      </c>
      <c r="DQ94" s="115">
        <v>6.0000000000000001E-3</v>
      </c>
      <c r="DR94" s="187">
        <f t="shared" si="220"/>
        <v>0</v>
      </c>
      <c r="DS94" s="113">
        <v>0</v>
      </c>
      <c r="DT94" s="115">
        <v>0</v>
      </c>
      <c r="DU94" s="187">
        <f t="shared" si="221"/>
        <v>0</v>
      </c>
      <c r="DV94" s="113">
        <v>0</v>
      </c>
      <c r="DW94" s="115">
        <v>0</v>
      </c>
      <c r="DX94" s="753">
        <f t="shared" si="222"/>
        <v>0</v>
      </c>
      <c r="DY94" s="113">
        <v>0.32500000000000001</v>
      </c>
      <c r="DZ94" s="115">
        <v>0.32</v>
      </c>
      <c r="EA94" s="187">
        <f t="shared" si="223"/>
        <v>5.0000000000000044E-3</v>
      </c>
      <c r="EB94" s="113">
        <v>0</v>
      </c>
      <c r="EC94" s="115">
        <v>0</v>
      </c>
      <c r="ED94" s="187">
        <f t="shared" si="224"/>
        <v>5.0000000000000044E-3</v>
      </c>
      <c r="EE94" s="113">
        <v>0.5</v>
      </c>
      <c r="EF94" s="115">
        <v>0</v>
      </c>
      <c r="EG94" s="753">
        <f t="shared" si="225"/>
        <v>0.505</v>
      </c>
      <c r="EH94" s="113">
        <v>0</v>
      </c>
      <c r="EI94" s="115">
        <v>0</v>
      </c>
      <c r="EJ94" s="187">
        <f t="shared" si="226"/>
        <v>0.505</v>
      </c>
      <c r="EK94" s="113">
        <v>0</v>
      </c>
      <c r="EL94" s="115">
        <v>0</v>
      </c>
      <c r="EM94" s="187">
        <f t="shared" si="227"/>
        <v>0.505</v>
      </c>
      <c r="EN94" s="113">
        <v>0</v>
      </c>
      <c r="EO94" s="115">
        <v>0</v>
      </c>
      <c r="EP94" s="753">
        <f t="shared" si="228"/>
        <v>0.505</v>
      </c>
      <c r="EQ94" s="113">
        <v>0</v>
      </c>
      <c r="ER94" s="115">
        <v>0</v>
      </c>
      <c r="ES94" s="753">
        <f t="shared" si="261"/>
        <v>0.505</v>
      </c>
      <c r="ET94" s="113">
        <v>0</v>
      </c>
      <c r="EU94" s="115">
        <v>0</v>
      </c>
      <c r="EV94" s="753">
        <f t="shared" si="262"/>
        <v>0.505</v>
      </c>
      <c r="EW94" s="113">
        <v>0</v>
      </c>
      <c r="EX94" s="115">
        <v>0</v>
      </c>
      <c r="EY94" s="753">
        <f t="shared" si="263"/>
        <v>0.505</v>
      </c>
    </row>
    <row r="95" spans="1:155" ht="33">
      <c r="A95" s="217"/>
      <c r="B95" s="184"/>
      <c r="C95" s="229">
        <v>100432520</v>
      </c>
      <c r="D95" s="259" t="s">
        <v>378</v>
      </c>
      <c r="E95" s="218">
        <v>0.14499999999999999</v>
      </c>
      <c r="F95" s="274">
        <v>0.745</v>
      </c>
      <c r="G95" s="262">
        <v>0.745</v>
      </c>
      <c r="H95" s="218">
        <f t="shared" si="264"/>
        <v>0.14500000000000002</v>
      </c>
      <c r="I95" s="274">
        <v>0.18</v>
      </c>
      <c r="J95" s="262">
        <v>0.14000000000000001</v>
      </c>
      <c r="K95" s="218">
        <f t="shared" si="265"/>
        <v>0.185</v>
      </c>
      <c r="L95" s="113">
        <v>0.17</v>
      </c>
      <c r="M95" s="115">
        <v>0.17</v>
      </c>
      <c r="N95" s="187">
        <f>(K95+L95)-(M95)</f>
        <v>0.18499999999999997</v>
      </c>
      <c r="O95" s="113">
        <v>3.1110000000000002</v>
      </c>
      <c r="P95" s="115">
        <v>2.181</v>
      </c>
      <c r="Q95" s="187">
        <f t="shared" si="266"/>
        <v>1.1150000000000002</v>
      </c>
      <c r="R95" s="113">
        <v>11.44</v>
      </c>
      <c r="S95" s="115">
        <v>9.6950000000000003</v>
      </c>
      <c r="T95" s="187">
        <f t="shared" si="267"/>
        <v>2.8599999999999994</v>
      </c>
      <c r="U95" s="113">
        <v>21.405999999999999</v>
      </c>
      <c r="V95" s="115">
        <v>17.061</v>
      </c>
      <c r="W95" s="187">
        <f t="shared" si="268"/>
        <v>7.2049999999999983</v>
      </c>
      <c r="X95" s="113">
        <v>21.815000000000001</v>
      </c>
      <c r="Y95" s="115">
        <v>19.135000000000002</v>
      </c>
      <c r="Z95" s="187">
        <f t="shared" si="269"/>
        <v>9.884999999999998</v>
      </c>
      <c r="AA95" s="113">
        <v>15.94</v>
      </c>
      <c r="AB95" s="115">
        <v>14.42</v>
      </c>
      <c r="AC95" s="187">
        <f t="shared" si="270"/>
        <v>11.404999999999996</v>
      </c>
      <c r="AD95" s="113">
        <v>3.1920000000000002</v>
      </c>
      <c r="AE95" s="115">
        <v>5.91</v>
      </c>
      <c r="AF95" s="187">
        <f t="shared" si="271"/>
        <v>8.6869999999999958</v>
      </c>
      <c r="AG95" s="113">
        <v>-7.0000000000000007E-2</v>
      </c>
      <c r="AH95" s="115">
        <v>2.1999999999999999E-2</v>
      </c>
      <c r="AI95" s="187">
        <f t="shared" si="272"/>
        <v>8.5949999999999953</v>
      </c>
      <c r="AJ95" s="113">
        <v>2.3E-2</v>
      </c>
      <c r="AK95" s="115">
        <v>-0.11</v>
      </c>
      <c r="AL95" s="187">
        <f t="shared" si="273"/>
        <v>8.7279999999999944</v>
      </c>
      <c r="AM95" s="113">
        <v>0</v>
      </c>
      <c r="AN95" s="115">
        <v>0</v>
      </c>
      <c r="AO95" s="187">
        <f t="shared" si="274"/>
        <v>8.7279999999999944</v>
      </c>
      <c r="AP95" s="113">
        <v>0</v>
      </c>
      <c r="AQ95" s="115">
        <v>0</v>
      </c>
      <c r="AR95" s="187">
        <f t="shared" si="275"/>
        <v>8.7279999999999944</v>
      </c>
      <c r="AS95" s="113">
        <v>0</v>
      </c>
      <c r="AT95" s="115">
        <v>-7.0000000000000001E-3</v>
      </c>
      <c r="AU95" s="187">
        <f t="shared" si="276"/>
        <v>8.7349999999999941</v>
      </c>
      <c r="AV95" s="113">
        <v>-0.3</v>
      </c>
      <c r="AW95" s="115">
        <v>0</v>
      </c>
      <c r="AX95" s="187">
        <f>(AU95+AV95)-(AW95)</f>
        <v>8.4349999999999934</v>
      </c>
      <c r="AY95" s="113">
        <v>-8.1000000000000003E-2</v>
      </c>
      <c r="AZ95" s="115">
        <v>-0.188</v>
      </c>
      <c r="BA95" s="187">
        <f t="shared" si="277"/>
        <v>8.5419999999999945</v>
      </c>
      <c r="BB95" s="113">
        <v>-0.29299999999999998</v>
      </c>
      <c r="BC95" s="115">
        <v>0</v>
      </c>
      <c r="BD95" s="187">
        <v>8.2650000000000006</v>
      </c>
      <c r="BE95" s="64">
        <v>-2.1999999999999999E-2</v>
      </c>
      <c r="BF95" s="115">
        <v>0</v>
      </c>
      <c r="BG95" s="187">
        <f t="shared" si="278"/>
        <v>8.2430000000000003</v>
      </c>
      <c r="BH95" s="64">
        <v>0</v>
      </c>
      <c r="BI95" s="115">
        <v>0</v>
      </c>
      <c r="BJ95" s="187">
        <f t="shared" si="279"/>
        <v>8.2430000000000003</v>
      </c>
      <c r="BK95" s="113">
        <v>-2.8000000000000001E-2</v>
      </c>
      <c r="BL95" s="115">
        <v>0.7</v>
      </c>
      <c r="BM95" s="187">
        <f t="shared" si="280"/>
        <v>7.5149999999999997</v>
      </c>
      <c r="BN95" s="113">
        <v>0</v>
      </c>
      <c r="BO95" s="115">
        <v>3</v>
      </c>
      <c r="BP95" s="187">
        <f t="shared" si="281"/>
        <v>4.5149999999999997</v>
      </c>
      <c r="BQ95" s="113">
        <v>0</v>
      </c>
      <c r="BR95" s="115">
        <v>0</v>
      </c>
      <c r="BS95" s="187">
        <f t="shared" si="282"/>
        <v>4.5149999999999997</v>
      </c>
      <c r="BT95" s="113">
        <v>-0.01</v>
      </c>
      <c r="BU95" s="115">
        <v>1.72</v>
      </c>
      <c r="BV95" s="187">
        <f t="shared" si="283"/>
        <v>2.7850000000000001</v>
      </c>
      <c r="BW95" s="113">
        <v>-0.04</v>
      </c>
      <c r="BX95" s="115">
        <v>0.21</v>
      </c>
      <c r="BY95" s="187">
        <v>0.16</v>
      </c>
      <c r="BZ95" s="113">
        <v>0</v>
      </c>
      <c r="CA95" s="115">
        <v>0.16</v>
      </c>
      <c r="CB95" s="187">
        <f t="shared" si="284"/>
        <v>0</v>
      </c>
      <c r="CC95" s="113">
        <v>6.7329999999999997</v>
      </c>
      <c r="CD95" s="115">
        <v>3.0000000000000001E-3</v>
      </c>
      <c r="CE95" s="187">
        <f t="shared" si="285"/>
        <v>6.7299999999999995</v>
      </c>
      <c r="CF95" s="113">
        <v>9.7100000000000009</v>
      </c>
      <c r="CG95" s="115">
        <f>4.32-1.12</f>
        <v>3.2</v>
      </c>
      <c r="CH95" s="187">
        <f t="shared" si="286"/>
        <v>13.240000000000002</v>
      </c>
      <c r="CI95" s="113">
        <v>0</v>
      </c>
      <c r="CJ95" s="115">
        <v>2.3199999999999998</v>
      </c>
      <c r="CK95" s="220">
        <f t="shared" si="287"/>
        <v>10.920000000000002</v>
      </c>
      <c r="CL95" s="117">
        <v>0</v>
      </c>
      <c r="CM95" s="118">
        <v>2.4</v>
      </c>
      <c r="CN95" s="187">
        <f>(CK95+CL95)-(CM95)</f>
        <v>8.5200000000000014</v>
      </c>
      <c r="CO95" s="113">
        <v>2.4889999999999999</v>
      </c>
      <c r="CP95" s="115">
        <v>2.88</v>
      </c>
      <c r="CQ95" s="187">
        <f>(CN95+CO95)-(CP95)</f>
        <v>8.1290000000000013</v>
      </c>
      <c r="CR95" s="113">
        <v>0</v>
      </c>
      <c r="CS95" s="115">
        <v>5.12</v>
      </c>
      <c r="CT95" s="220">
        <f>(CQ95+CR95)-(CS95)</f>
        <v>3.0090000000000012</v>
      </c>
      <c r="CU95" s="119">
        <v>0</v>
      </c>
      <c r="CV95" s="115">
        <v>0</v>
      </c>
      <c r="CW95" s="187">
        <f>(CT95+CU95)-(CV95)-1.5</f>
        <v>1.5090000000000012</v>
      </c>
      <c r="CX95" s="113">
        <v>0</v>
      </c>
      <c r="CY95" s="115">
        <v>0.65400000000000003</v>
      </c>
      <c r="CZ95" s="187">
        <f>(CW95+CX95)-(CY95)</f>
        <v>0.8550000000000012</v>
      </c>
      <c r="DA95" s="113">
        <v>0</v>
      </c>
      <c r="DB95" s="115">
        <v>0</v>
      </c>
      <c r="DC95" s="187">
        <f t="shared" si="288"/>
        <v>0.8550000000000012</v>
      </c>
      <c r="DD95" s="113">
        <v>0</v>
      </c>
      <c r="DE95" s="115">
        <v>0</v>
      </c>
      <c r="DF95" s="187">
        <f>(DC95+DD95)-(DE95)+0.78</f>
        <v>1.6350000000000011</v>
      </c>
      <c r="DG95" s="113">
        <v>-7.2999999999999995E-2</v>
      </c>
      <c r="DH95" s="115">
        <v>1.5</v>
      </c>
      <c r="DI95" s="187">
        <f t="shared" si="289"/>
        <v>6.2000000000001165E-2</v>
      </c>
      <c r="DJ95" s="113">
        <v>0</v>
      </c>
      <c r="DK95" s="115">
        <v>0</v>
      </c>
      <c r="DL95" s="187">
        <f t="shared" si="218"/>
        <v>6.2000000000001165E-2</v>
      </c>
      <c r="DM95" s="113">
        <v>-2.8000000000000001E-2</v>
      </c>
      <c r="DN95" s="115">
        <v>0</v>
      </c>
      <c r="DO95" s="187">
        <v>8.2000000000000003E-2</v>
      </c>
      <c r="DP95" s="113">
        <v>0</v>
      </c>
      <c r="DQ95" s="115">
        <v>0</v>
      </c>
      <c r="DR95" s="187">
        <f t="shared" si="220"/>
        <v>8.2000000000000003E-2</v>
      </c>
      <c r="DS95" s="113">
        <v>0</v>
      </c>
      <c r="DT95" s="115">
        <v>0</v>
      </c>
      <c r="DU95" s="187">
        <f t="shared" si="221"/>
        <v>8.2000000000000003E-2</v>
      </c>
      <c r="DV95" s="113">
        <v>0</v>
      </c>
      <c r="DW95" s="115">
        <v>0</v>
      </c>
      <c r="DX95" s="753">
        <f t="shared" si="222"/>
        <v>8.2000000000000003E-2</v>
      </c>
      <c r="DY95" s="113">
        <v>0</v>
      </c>
      <c r="DZ95" s="115">
        <v>0</v>
      </c>
      <c r="EA95" s="187">
        <f t="shared" si="223"/>
        <v>8.2000000000000003E-2</v>
      </c>
      <c r="EB95" s="113">
        <v>0</v>
      </c>
      <c r="EC95" s="115">
        <v>0</v>
      </c>
      <c r="ED95" s="187">
        <f t="shared" si="224"/>
        <v>8.2000000000000003E-2</v>
      </c>
      <c r="EE95" s="113">
        <v>0</v>
      </c>
      <c r="EF95" s="115">
        <v>0</v>
      </c>
      <c r="EG95" s="753">
        <f t="shared" si="225"/>
        <v>8.2000000000000003E-2</v>
      </c>
      <c r="EH95" s="113">
        <v>0</v>
      </c>
      <c r="EI95" s="115">
        <v>0</v>
      </c>
      <c r="EJ95" s="187">
        <f t="shared" si="226"/>
        <v>8.2000000000000003E-2</v>
      </c>
      <c r="EK95" s="113">
        <v>0</v>
      </c>
      <c r="EL95" s="115">
        <v>0</v>
      </c>
      <c r="EM95" s="187">
        <f t="shared" si="227"/>
        <v>8.2000000000000003E-2</v>
      </c>
      <c r="EN95" s="113">
        <v>0</v>
      </c>
      <c r="EO95" s="115">
        <v>0</v>
      </c>
      <c r="EP95" s="753">
        <f t="shared" si="228"/>
        <v>8.2000000000000003E-2</v>
      </c>
      <c r="EQ95" s="113">
        <v>0</v>
      </c>
      <c r="ER95" s="115">
        <v>0</v>
      </c>
      <c r="ES95" s="753">
        <f t="shared" si="261"/>
        <v>8.2000000000000003E-2</v>
      </c>
      <c r="ET95" s="113">
        <v>0</v>
      </c>
      <c r="EU95" s="115">
        <v>0</v>
      </c>
      <c r="EV95" s="753">
        <f t="shared" si="262"/>
        <v>8.2000000000000003E-2</v>
      </c>
      <c r="EW95" s="113">
        <v>0</v>
      </c>
      <c r="EX95" s="115">
        <v>0</v>
      </c>
      <c r="EY95" s="753">
        <f t="shared" si="263"/>
        <v>8.2000000000000003E-2</v>
      </c>
    </row>
    <row r="96" spans="1:155" ht="33">
      <c r="A96" s="217"/>
      <c r="B96" s="184"/>
      <c r="C96" s="229">
        <v>100432299</v>
      </c>
      <c r="D96" s="259" t="s">
        <v>379</v>
      </c>
      <c r="E96" s="218">
        <v>0</v>
      </c>
      <c r="F96" s="274">
        <v>0.84</v>
      </c>
      <c r="G96" s="262">
        <v>0.74</v>
      </c>
      <c r="H96" s="218">
        <f t="shared" si="264"/>
        <v>9.9999999999999978E-2</v>
      </c>
      <c r="I96" s="274">
        <v>0.26</v>
      </c>
      <c r="J96" s="262">
        <v>0.121</v>
      </c>
      <c r="K96" s="218">
        <f t="shared" si="265"/>
        <v>0.23899999999999999</v>
      </c>
      <c r="L96" s="113">
        <v>0.17499999999999999</v>
      </c>
      <c r="M96" s="115">
        <v>0.18</v>
      </c>
      <c r="N96" s="187">
        <v>0</v>
      </c>
      <c r="O96" s="113">
        <v>3.08</v>
      </c>
      <c r="P96" s="115">
        <v>2.1549999999999998</v>
      </c>
      <c r="Q96" s="187">
        <f t="shared" si="266"/>
        <v>0.92500000000000027</v>
      </c>
      <c r="R96" s="113">
        <v>9.5389999999999997</v>
      </c>
      <c r="S96" s="115">
        <v>9.6690000000000005</v>
      </c>
      <c r="T96" s="187">
        <f t="shared" si="267"/>
        <v>0.79499999999999993</v>
      </c>
      <c r="U96" s="113">
        <v>18.291</v>
      </c>
      <c r="V96" s="115">
        <v>18.041</v>
      </c>
      <c r="W96" s="187">
        <f t="shared" si="268"/>
        <v>1.0449999999999982</v>
      </c>
      <c r="X96" s="113">
        <v>17.422000000000001</v>
      </c>
      <c r="Y96" s="115">
        <v>16.611999999999998</v>
      </c>
      <c r="Z96" s="187">
        <f t="shared" si="269"/>
        <v>1.8550000000000004</v>
      </c>
      <c r="AA96" s="113">
        <v>17.195</v>
      </c>
      <c r="AB96" s="115">
        <v>12.135</v>
      </c>
      <c r="AC96" s="187">
        <f t="shared" si="270"/>
        <v>6.9150000000000009</v>
      </c>
      <c r="AD96" s="113">
        <v>3.2040000000000002</v>
      </c>
      <c r="AE96" s="115">
        <v>3.847</v>
      </c>
      <c r="AF96" s="187">
        <f t="shared" si="271"/>
        <v>6.272000000000002</v>
      </c>
      <c r="AG96" s="113">
        <v>-1.7999999999999999E-2</v>
      </c>
      <c r="AH96" s="115">
        <v>1.4E-2</v>
      </c>
      <c r="AI96" s="187">
        <f t="shared" si="272"/>
        <v>6.240000000000002</v>
      </c>
      <c r="AJ96" s="113">
        <v>0</v>
      </c>
      <c r="AK96" s="115">
        <v>-2.9000000000000001E-2</v>
      </c>
      <c r="AL96" s="187">
        <f t="shared" si="273"/>
        <v>6.2690000000000019</v>
      </c>
      <c r="AM96" s="113">
        <v>0</v>
      </c>
      <c r="AN96" s="275">
        <v>-1.7999999999999999E-2</v>
      </c>
      <c r="AO96" s="187">
        <f t="shared" si="274"/>
        <v>6.2870000000000017</v>
      </c>
      <c r="AP96" s="113">
        <v>0</v>
      </c>
      <c r="AQ96" s="115">
        <v>0</v>
      </c>
      <c r="AR96" s="187">
        <f t="shared" si="275"/>
        <v>6.2870000000000017</v>
      </c>
      <c r="AS96" s="113">
        <v>0</v>
      </c>
      <c r="AT96" s="115">
        <v>0</v>
      </c>
      <c r="AU96" s="187">
        <f t="shared" si="276"/>
        <v>6.2870000000000017</v>
      </c>
      <c r="AV96" s="113">
        <v>0</v>
      </c>
      <c r="AW96" s="115">
        <v>0</v>
      </c>
      <c r="AX96" s="187">
        <f>(AU96+AV96)-(AW96)</f>
        <v>6.2870000000000017</v>
      </c>
      <c r="AY96" s="113">
        <v>0</v>
      </c>
      <c r="AZ96" s="115">
        <v>-0.16500000000000001</v>
      </c>
      <c r="BA96" s="187">
        <f t="shared" si="277"/>
        <v>6.4520000000000017</v>
      </c>
      <c r="BB96" s="113">
        <v>-5.8000000000000003E-2</v>
      </c>
      <c r="BC96" s="115">
        <v>0</v>
      </c>
      <c r="BD96" s="187">
        <v>6.3760000000000003</v>
      </c>
      <c r="BE96" s="64">
        <v>-0.125</v>
      </c>
      <c r="BF96" s="115">
        <v>3</v>
      </c>
      <c r="BG96" s="187">
        <f t="shared" si="278"/>
        <v>3.2510000000000003</v>
      </c>
      <c r="BH96" s="64">
        <v>0</v>
      </c>
      <c r="BI96" s="115">
        <v>0</v>
      </c>
      <c r="BJ96" s="187">
        <f t="shared" si="279"/>
        <v>3.2510000000000003</v>
      </c>
      <c r="BK96" s="113">
        <v>-0.03</v>
      </c>
      <c r="BL96" s="115">
        <v>0.7</v>
      </c>
      <c r="BM96" s="187">
        <f t="shared" si="280"/>
        <v>2.5210000000000008</v>
      </c>
      <c r="BN96" s="113">
        <v>0</v>
      </c>
      <c r="BO96" s="115">
        <v>2.2999999999999998</v>
      </c>
      <c r="BP96" s="187">
        <f t="shared" si="281"/>
        <v>0.22100000000000097</v>
      </c>
      <c r="BQ96" s="113">
        <v>0</v>
      </c>
      <c r="BR96" s="115">
        <v>0</v>
      </c>
      <c r="BS96" s="187">
        <f t="shared" si="282"/>
        <v>0.22100000000000097</v>
      </c>
      <c r="BT96" s="113">
        <v>0.28999999999999998</v>
      </c>
      <c r="BU96" s="115">
        <v>0</v>
      </c>
      <c r="BV96" s="187">
        <f t="shared" si="283"/>
        <v>0.51100000000000101</v>
      </c>
      <c r="BW96" s="113">
        <v>3.0000000000000001E-3</v>
      </c>
      <c r="BX96" s="115">
        <f>0.313</f>
        <v>0.313</v>
      </c>
      <c r="BY96" s="187">
        <v>0</v>
      </c>
      <c r="BZ96" s="113">
        <v>7.3029999999999999</v>
      </c>
      <c r="CA96" s="115">
        <v>1.84</v>
      </c>
      <c r="CB96" s="187">
        <f t="shared" si="284"/>
        <v>5.4630000000000001</v>
      </c>
      <c r="CC96" s="113">
        <v>8.3800000000000008</v>
      </c>
      <c r="CD96" s="115">
        <v>6.3570000000000002</v>
      </c>
      <c r="CE96" s="187">
        <f t="shared" si="285"/>
        <v>7.4859999999999998</v>
      </c>
      <c r="CF96" s="113">
        <v>1.375</v>
      </c>
      <c r="CG96" s="115">
        <v>1.6</v>
      </c>
      <c r="CH96" s="187">
        <f t="shared" si="286"/>
        <v>7.261000000000001</v>
      </c>
      <c r="CI96" s="113">
        <v>0</v>
      </c>
      <c r="CJ96" s="115">
        <v>1.2</v>
      </c>
      <c r="CK96" s="220">
        <f t="shared" si="287"/>
        <v>6.0610000000000008</v>
      </c>
      <c r="CL96" s="117">
        <v>0</v>
      </c>
      <c r="CM96" s="118">
        <v>2.4</v>
      </c>
      <c r="CN96" s="187">
        <f>(CK96+CL96)-(CM96)+1</f>
        <v>4.6610000000000014</v>
      </c>
      <c r="CO96" s="113">
        <v>0</v>
      </c>
      <c r="CP96" s="115">
        <v>2.56</v>
      </c>
      <c r="CQ96" s="187">
        <f>(CN96+CO96)-(CP96)+2.7</f>
        <v>4.8010000000000019</v>
      </c>
      <c r="CR96" s="113">
        <v>0</v>
      </c>
      <c r="CS96" s="115">
        <v>3.84</v>
      </c>
      <c r="CT96" s="220">
        <f>(CQ96+CR96)-(CS96)-0.7</f>
        <v>0.26100000000000212</v>
      </c>
      <c r="CU96" s="119">
        <v>0</v>
      </c>
      <c r="CV96" s="115">
        <v>0</v>
      </c>
      <c r="CW96" s="187">
        <f t="shared" ref="CW96:CW103" si="290">(CT96+CU96)-(CV96)</f>
        <v>0.26100000000000212</v>
      </c>
      <c r="CX96" s="113">
        <v>0</v>
      </c>
      <c r="CY96" s="115">
        <v>0.65400000000000003</v>
      </c>
      <c r="CZ96" s="187">
        <f>(CW96+CX96)-(CY96)+1</f>
        <v>0.60700000000000209</v>
      </c>
      <c r="DA96" s="113">
        <v>0</v>
      </c>
      <c r="DB96" s="115">
        <v>0</v>
      </c>
      <c r="DC96" s="187">
        <f t="shared" si="288"/>
        <v>0.60700000000000209</v>
      </c>
      <c r="DD96" s="113">
        <v>1.5249999999999999</v>
      </c>
      <c r="DE96" s="115">
        <v>0</v>
      </c>
      <c r="DF96" s="187">
        <v>3.198</v>
      </c>
      <c r="DG96" s="113">
        <v>2.4E-2</v>
      </c>
      <c r="DH96" s="115">
        <v>3</v>
      </c>
      <c r="DI96" s="187">
        <f t="shared" si="289"/>
        <v>0.22199999999999998</v>
      </c>
      <c r="DJ96" s="113">
        <v>0</v>
      </c>
      <c r="DK96" s="115">
        <v>0</v>
      </c>
      <c r="DL96" s="187">
        <f t="shared" si="218"/>
        <v>0.22199999999999998</v>
      </c>
      <c r="DM96" s="113">
        <v>-1.7999999999999999E-2</v>
      </c>
      <c r="DN96" s="115">
        <v>0</v>
      </c>
      <c r="DO96" s="187">
        <f>(DL96+DM96)-(DN96)</f>
        <v>0.20399999999999999</v>
      </c>
      <c r="DP96" s="113">
        <v>0</v>
      </c>
      <c r="DQ96" s="115">
        <v>0</v>
      </c>
      <c r="DR96" s="187">
        <f t="shared" si="220"/>
        <v>0.20399999999999999</v>
      </c>
      <c r="DS96" s="113">
        <v>0</v>
      </c>
      <c r="DT96" s="115">
        <v>0</v>
      </c>
      <c r="DU96" s="187">
        <f t="shared" si="221"/>
        <v>0.20399999999999999</v>
      </c>
      <c r="DV96" s="113">
        <v>0</v>
      </c>
      <c r="DW96" s="115">
        <v>0</v>
      </c>
      <c r="DX96" s="753">
        <f t="shared" si="222"/>
        <v>0.20399999999999999</v>
      </c>
      <c r="DY96" s="113">
        <v>0</v>
      </c>
      <c r="DZ96" s="115">
        <v>0</v>
      </c>
      <c r="EA96" s="187">
        <f t="shared" si="223"/>
        <v>0.20399999999999999</v>
      </c>
      <c r="EB96" s="113">
        <v>0</v>
      </c>
      <c r="EC96" s="115">
        <v>0</v>
      </c>
      <c r="ED96" s="187">
        <f t="shared" si="224"/>
        <v>0.20399999999999999</v>
      </c>
      <c r="EE96" s="113">
        <v>0</v>
      </c>
      <c r="EF96" s="115">
        <v>0</v>
      </c>
      <c r="EG96" s="753">
        <f t="shared" si="225"/>
        <v>0.20399999999999999</v>
      </c>
      <c r="EH96" s="113">
        <v>0</v>
      </c>
      <c r="EI96" s="115">
        <v>0</v>
      </c>
      <c r="EJ96" s="187">
        <f t="shared" si="226"/>
        <v>0.20399999999999999</v>
      </c>
      <c r="EK96" s="113">
        <v>0</v>
      </c>
      <c r="EL96" s="115">
        <v>0</v>
      </c>
      <c r="EM96" s="187">
        <f t="shared" si="227"/>
        <v>0.20399999999999999</v>
      </c>
      <c r="EN96" s="113">
        <v>0</v>
      </c>
      <c r="EO96" s="115">
        <v>0</v>
      </c>
      <c r="EP96" s="753">
        <f t="shared" si="228"/>
        <v>0.20399999999999999</v>
      </c>
      <c r="EQ96" s="113">
        <v>0</v>
      </c>
      <c r="ER96" s="115">
        <v>0</v>
      </c>
      <c r="ES96" s="753">
        <f t="shared" si="261"/>
        <v>0.20399999999999999</v>
      </c>
      <c r="ET96" s="113">
        <v>0</v>
      </c>
      <c r="EU96" s="115">
        <v>0</v>
      </c>
      <c r="EV96" s="753">
        <f t="shared" si="262"/>
        <v>0.20399999999999999</v>
      </c>
      <c r="EW96" s="113">
        <v>0</v>
      </c>
      <c r="EX96" s="115">
        <v>0</v>
      </c>
      <c r="EY96" s="753">
        <f t="shared" si="263"/>
        <v>0.20399999999999999</v>
      </c>
    </row>
    <row r="97" spans="1:156" ht="19.5">
      <c r="A97" s="217"/>
      <c r="B97" s="184"/>
      <c r="C97" s="229" t="s">
        <v>380</v>
      </c>
      <c r="D97" s="224" t="s">
        <v>381</v>
      </c>
      <c r="E97" s="187">
        <v>0</v>
      </c>
      <c r="F97" s="113">
        <v>0.93700000000000006</v>
      </c>
      <c r="G97" s="115">
        <v>0.33700000000000002</v>
      </c>
      <c r="H97" s="187">
        <f t="shared" si="264"/>
        <v>0.60000000000000009</v>
      </c>
      <c r="I97" s="113">
        <v>0.59</v>
      </c>
      <c r="J97" s="115">
        <v>1.175</v>
      </c>
      <c r="K97" s="187">
        <f t="shared" si="265"/>
        <v>1.4999999999999902E-2</v>
      </c>
      <c r="L97" s="113">
        <v>1.1919999999999999</v>
      </c>
      <c r="M97" s="115">
        <v>1.2070000000000001</v>
      </c>
      <c r="N97" s="187">
        <v>0</v>
      </c>
      <c r="O97" s="113">
        <v>1.873</v>
      </c>
      <c r="P97" s="115">
        <v>1.7769999999999999</v>
      </c>
      <c r="Q97" s="187">
        <f t="shared" si="266"/>
        <v>9.6000000000000085E-2</v>
      </c>
      <c r="R97" s="113">
        <v>1.1020000000000001</v>
      </c>
      <c r="S97" s="115">
        <v>0.52600000000000002</v>
      </c>
      <c r="T97" s="187">
        <f t="shared" si="267"/>
        <v>0.67200000000000015</v>
      </c>
      <c r="U97" s="113">
        <v>0</v>
      </c>
      <c r="V97" s="115">
        <v>0.52800000000000002</v>
      </c>
      <c r="W97" s="187">
        <f t="shared" si="268"/>
        <v>0.14400000000000013</v>
      </c>
      <c r="X97" s="113">
        <v>2.0209999999999999</v>
      </c>
      <c r="Y97" s="115">
        <v>0.86899999999999999</v>
      </c>
      <c r="Z97" s="187">
        <f t="shared" si="269"/>
        <v>1.296</v>
      </c>
      <c r="AA97" s="113">
        <v>1.1519999999999999</v>
      </c>
      <c r="AB97" s="115">
        <v>1.92</v>
      </c>
      <c r="AC97" s="187">
        <f t="shared" si="270"/>
        <v>0.52800000000000002</v>
      </c>
      <c r="AD97" s="113">
        <v>2.544</v>
      </c>
      <c r="AE97" s="115">
        <v>1.5840000000000001</v>
      </c>
      <c r="AF97" s="187">
        <f t="shared" si="271"/>
        <v>1.488</v>
      </c>
      <c r="AG97" s="113">
        <v>0.96</v>
      </c>
      <c r="AH97" s="115">
        <v>2.3519999999999999</v>
      </c>
      <c r="AI97" s="187">
        <f t="shared" si="272"/>
        <v>9.6000000000000085E-2</v>
      </c>
      <c r="AJ97" s="113">
        <v>2.6880000000000002</v>
      </c>
      <c r="AK97" s="115">
        <v>2.64</v>
      </c>
      <c r="AL97" s="187">
        <f t="shared" si="273"/>
        <v>0.14400000000000013</v>
      </c>
      <c r="AM97" s="113">
        <v>0.48</v>
      </c>
      <c r="AN97" s="65">
        <v>0.624</v>
      </c>
      <c r="AO97" s="187">
        <f t="shared" si="274"/>
        <v>0</v>
      </c>
      <c r="AP97" s="67">
        <v>3.8879999999999999</v>
      </c>
      <c r="AQ97" s="115">
        <v>2.016</v>
      </c>
      <c r="AR97" s="187">
        <f t="shared" si="275"/>
        <v>1.8719999999999999</v>
      </c>
      <c r="AS97" s="113">
        <v>1.248</v>
      </c>
      <c r="AT97" s="115">
        <v>1.3420000000000001</v>
      </c>
      <c r="AU97" s="187">
        <f t="shared" si="276"/>
        <v>1.778</v>
      </c>
      <c r="AV97" s="113">
        <v>0</v>
      </c>
      <c r="AW97" s="115">
        <v>0</v>
      </c>
      <c r="AX97" s="187">
        <v>0</v>
      </c>
      <c r="AY97" s="113">
        <v>0</v>
      </c>
      <c r="AZ97" s="115">
        <v>0</v>
      </c>
      <c r="BA97" s="187">
        <f t="shared" si="277"/>
        <v>0</v>
      </c>
      <c r="BB97" s="113">
        <v>4.1440000000000001</v>
      </c>
      <c r="BC97" s="115">
        <v>0.86399999999999999</v>
      </c>
      <c r="BD97" s="187">
        <v>3.28</v>
      </c>
      <c r="BE97" s="113">
        <v>0.31</v>
      </c>
      <c r="BF97" s="115">
        <v>2.3039999999999998</v>
      </c>
      <c r="BG97" s="187">
        <f t="shared" si="278"/>
        <v>1.286</v>
      </c>
      <c r="BH97" s="113">
        <v>0</v>
      </c>
      <c r="BI97" s="115">
        <v>1.008</v>
      </c>
      <c r="BJ97" s="187">
        <f t="shared" si="279"/>
        <v>0.27800000000000002</v>
      </c>
      <c r="BK97" s="113">
        <v>0.57899999999999996</v>
      </c>
      <c r="BL97" s="115">
        <v>0.85699999999999998</v>
      </c>
      <c r="BM97" s="187">
        <f t="shared" si="280"/>
        <v>0</v>
      </c>
      <c r="BN97" s="113">
        <v>2.073</v>
      </c>
      <c r="BO97" s="115">
        <v>1.1519999999999999</v>
      </c>
      <c r="BP97" s="187">
        <f t="shared" si="281"/>
        <v>0.92100000000000004</v>
      </c>
      <c r="BQ97" s="113">
        <v>0</v>
      </c>
      <c r="BR97" s="115">
        <v>0.86899999999999999</v>
      </c>
      <c r="BS97" s="187">
        <f t="shared" si="282"/>
        <v>5.2000000000000046E-2</v>
      </c>
      <c r="BT97" s="113">
        <v>0</v>
      </c>
      <c r="BU97" s="115">
        <v>0</v>
      </c>
      <c r="BV97" s="187">
        <f t="shared" si="283"/>
        <v>5.2000000000000046E-2</v>
      </c>
      <c r="BW97" s="113">
        <v>2.0910000000000002</v>
      </c>
      <c r="BX97" s="115">
        <v>1.9510000000000001</v>
      </c>
      <c r="BY97" s="187">
        <f t="shared" ref="BY97:BY103" si="291">(BV97+BW97)-(BX97)</f>
        <v>0.19200000000000017</v>
      </c>
      <c r="BZ97" s="113">
        <v>2.2469999999999999</v>
      </c>
      <c r="CA97" s="115">
        <v>1.44</v>
      </c>
      <c r="CB97" s="187">
        <f t="shared" si="284"/>
        <v>0.99900000000000011</v>
      </c>
      <c r="CC97" s="113">
        <v>1.6919999999999999</v>
      </c>
      <c r="CD97" s="115">
        <v>1.196</v>
      </c>
      <c r="CE97" s="187">
        <f t="shared" si="285"/>
        <v>1.4949999999999999</v>
      </c>
      <c r="CF97" s="113">
        <v>-4.8000000000000001E-2</v>
      </c>
      <c r="CG97" s="115">
        <v>0</v>
      </c>
      <c r="CH97" s="187">
        <f t="shared" si="286"/>
        <v>1.4469999999999998</v>
      </c>
      <c r="CI97" s="113">
        <v>0</v>
      </c>
      <c r="CJ97" s="115">
        <v>1.1519999999999999</v>
      </c>
      <c r="CK97" s="220">
        <f t="shared" si="287"/>
        <v>0.29499999999999993</v>
      </c>
      <c r="CL97" s="117">
        <v>1.0489999999999999</v>
      </c>
      <c r="CM97" s="136">
        <v>0.57599999999999996</v>
      </c>
      <c r="CN97" s="187">
        <f t="shared" ref="CN97:CN103" si="292">(CK97+CL97)-(CM97)</f>
        <v>0.7679999999999999</v>
      </c>
      <c r="CO97" s="113">
        <v>1.44</v>
      </c>
      <c r="CP97" s="113">
        <v>1.1519999999999999</v>
      </c>
      <c r="CQ97" s="187">
        <f t="shared" ref="CQ97:CQ103" si="293">(CN97+CO97)-(CP97)</f>
        <v>1.0559999999999998</v>
      </c>
      <c r="CR97" s="113">
        <v>0</v>
      </c>
      <c r="CS97" s="113">
        <v>1.056</v>
      </c>
      <c r="CT97" s="220">
        <f t="shared" ref="CT97:CT103" si="294">(CQ97+CR97)-(CS97)</f>
        <v>0</v>
      </c>
      <c r="CU97" s="119">
        <v>2.448</v>
      </c>
      <c r="CV97" s="113">
        <v>2.2080000000000002</v>
      </c>
      <c r="CW97" s="187">
        <f t="shared" si="290"/>
        <v>0.23999999999999977</v>
      </c>
      <c r="CX97" s="113">
        <v>1.798</v>
      </c>
      <c r="CY97" s="113">
        <v>0.81599999999999995</v>
      </c>
      <c r="CZ97" s="187">
        <f t="shared" ref="CZ97:CZ103" si="295">(CW97+CX97)-(CY97)</f>
        <v>1.222</v>
      </c>
      <c r="DA97" s="113">
        <v>1.3069999999999999</v>
      </c>
      <c r="DB97" s="113">
        <v>1.994</v>
      </c>
      <c r="DC97" s="187">
        <f t="shared" si="288"/>
        <v>0.53499999999999992</v>
      </c>
      <c r="DD97" s="113">
        <v>0.85099999999999998</v>
      </c>
      <c r="DE97" s="113">
        <v>1.296</v>
      </c>
      <c r="DF97" s="187">
        <f>(DC97+DD97)-(DE97)</f>
        <v>8.9999999999999858E-2</v>
      </c>
      <c r="DG97" s="113">
        <v>-1.9E-2</v>
      </c>
      <c r="DH97" s="113">
        <v>0</v>
      </c>
      <c r="DI97" s="187">
        <f t="shared" si="289"/>
        <v>7.0999999999999855E-2</v>
      </c>
      <c r="DJ97" s="113">
        <v>0.40799999999999997</v>
      </c>
      <c r="DK97" s="113">
        <v>0</v>
      </c>
      <c r="DL97" s="187">
        <f t="shared" si="218"/>
        <v>0.47899999999999981</v>
      </c>
      <c r="DM97" s="113">
        <v>1.712</v>
      </c>
      <c r="DN97" s="113">
        <v>2.1589999999999998</v>
      </c>
      <c r="DO97" s="187">
        <v>3.2000000000000001E-2</v>
      </c>
      <c r="DP97" s="113">
        <v>2.0230000000000001</v>
      </c>
      <c r="DQ97" s="113">
        <v>1.5429999999999999</v>
      </c>
      <c r="DR97" s="187">
        <f t="shared" si="220"/>
        <v>0.51200000000000023</v>
      </c>
      <c r="DS97" s="113">
        <v>0</v>
      </c>
      <c r="DT97" s="113">
        <v>0</v>
      </c>
      <c r="DU97" s="187">
        <f t="shared" si="221"/>
        <v>0.51200000000000023</v>
      </c>
      <c r="DV97" s="113">
        <v>0</v>
      </c>
      <c r="DW97" s="113">
        <v>0</v>
      </c>
      <c r="DX97" s="753">
        <f t="shared" si="222"/>
        <v>0.51200000000000023</v>
      </c>
      <c r="DY97" s="113">
        <v>2.4950000000000001</v>
      </c>
      <c r="DZ97" s="113">
        <v>0</v>
      </c>
      <c r="EA97" s="187">
        <f t="shared" si="223"/>
        <v>3.0070000000000006</v>
      </c>
      <c r="EB97" s="113">
        <v>0</v>
      </c>
      <c r="EC97" s="113">
        <v>0.86399999999999999</v>
      </c>
      <c r="ED97" s="187">
        <f t="shared" si="224"/>
        <v>2.1430000000000007</v>
      </c>
      <c r="EE97" s="113">
        <v>1.008</v>
      </c>
      <c r="EF97" s="113">
        <v>0</v>
      </c>
      <c r="EG97" s="753">
        <f t="shared" si="225"/>
        <v>3.1510000000000007</v>
      </c>
      <c r="EH97" s="113">
        <v>0</v>
      </c>
      <c r="EI97" s="113">
        <v>0</v>
      </c>
      <c r="EJ97" s="187">
        <f t="shared" si="226"/>
        <v>3.1510000000000007</v>
      </c>
      <c r="EK97" s="113">
        <v>0</v>
      </c>
      <c r="EL97" s="826">
        <v>0</v>
      </c>
      <c r="EM97" s="187">
        <f t="shared" si="227"/>
        <v>3.1510000000000007</v>
      </c>
      <c r="EN97" s="113">
        <v>0</v>
      </c>
      <c r="EO97" s="826">
        <v>0.8</v>
      </c>
      <c r="EP97" s="753">
        <f t="shared" si="228"/>
        <v>2.3510000000000009</v>
      </c>
      <c r="EQ97" s="113">
        <v>0</v>
      </c>
      <c r="ER97" s="826">
        <f>0.8+1.4</f>
        <v>2.2000000000000002</v>
      </c>
      <c r="ES97" s="753">
        <f t="shared" si="261"/>
        <v>0.15100000000000069</v>
      </c>
      <c r="ET97" s="113">
        <v>0</v>
      </c>
      <c r="EU97" s="113">
        <v>0</v>
      </c>
      <c r="EV97" s="753">
        <f t="shared" si="262"/>
        <v>0.15100000000000069</v>
      </c>
      <c r="EW97" s="113">
        <v>0</v>
      </c>
      <c r="EX97" s="113">
        <v>0</v>
      </c>
      <c r="EY97" s="753">
        <f t="shared" si="263"/>
        <v>0.15100000000000069</v>
      </c>
    </row>
    <row r="98" spans="1:156" ht="19.5">
      <c r="A98" s="217"/>
      <c r="B98" s="184"/>
      <c r="C98" s="229" t="s">
        <v>382</v>
      </c>
      <c r="D98" s="224" t="s">
        <v>383</v>
      </c>
      <c r="E98" s="187">
        <v>0</v>
      </c>
      <c r="F98" s="113">
        <v>0.85899999999999999</v>
      </c>
      <c r="G98" s="115">
        <v>0.307</v>
      </c>
      <c r="H98" s="187">
        <f t="shared" si="264"/>
        <v>0.55200000000000005</v>
      </c>
      <c r="I98" s="113">
        <v>0.504</v>
      </c>
      <c r="J98" s="115">
        <v>1.05</v>
      </c>
      <c r="K98" s="187">
        <f t="shared" si="265"/>
        <v>6.0000000000000053E-3</v>
      </c>
      <c r="L98" s="113">
        <v>1.4890000000000001</v>
      </c>
      <c r="M98" s="115">
        <v>1.2070000000000001</v>
      </c>
      <c r="N98" s="187">
        <f>(K98+L98)-(M98)</f>
        <v>0.28800000000000003</v>
      </c>
      <c r="O98" s="113">
        <v>1.7709999999999999</v>
      </c>
      <c r="P98" s="115">
        <v>1.7230000000000001</v>
      </c>
      <c r="Q98" s="187">
        <f t="shared" si="266"/>
        <v>0.33600000000000008</v>
      </c>
      <c r="R98" s="113">
        <v>0.27200000000000002</v>
      </c>
      <c r="S98" s="115">
        <v>0.51200000000000001</v>
      </c>
      <c r="T98" s="187">
        <f t="shared" si="267"/>
        <v>9.6000000000000085E-2</v>
      </c>
      <c r="U98" s="113">
        <v>0.432</v>
      </c>
      <c r="V98" s="115">
        <v>0.52800000000000002</v>
      </c>
      <c r="W98" s="187">
        <f t="shared" si="268"/>
        <v>0</v>
      </c>
      <c r="X98" s="113">
        <v>1.0129999999999999</v>
      </c>
      <c r="Y98" s="115">
        <v>0.86899999999999999</v>
      </c>
      <c r="Z98" s="187">
        <f t="shared" si="269"/>
        <v>0.14399999999999991</v>
      </c>
      <c r="AA98" s="113">
        <v>2.7839999999999998</v>
      </c>
      <c r="AB98" s="115">
        <v>1.92</v>
      </c>
      <c r="AC98" s="187">
        <f t="shared" si="270"/>
        <v>1.008</v>
      </c>
      <c r="AD98" s="113">
        <v>2.0640000000000001</v>
      </c>
      <c r="AE98" s="115">
        <v>1.5840000000000001</v>
      </c>
      <c r="AF98" s="187">
        <f t="shared" si="271"/>
        <v>1.488</v>
      </c>
      <c r="AG98" s="113">
        <v>1.3440000000000001</v>
      </c>
      <c r="AH98" s="115">
        <v>2.3519999999999999</v>
      </c>
      <c r="AI98" s="187">
        <f t="shared" si="272"/>
        <v>0.48</v>
      </c>
      <c r="AJ98" s="113">
        <v>2.2559999999999998</v>
      </c>
      <c r="AK98" s="115">
        <v>2.637</v>
      </c>
      <c r="AL98" s="187">
        <f t="shared" si="273"/>
        <v>9.8999999999999755E-2</v>
      </c>
      <c r="AM98" s="113">
        <v>1.296</v>
      </c>
      <c r="AN98" s="115">
        <v>0.624</v>
      </c>
      <c r="AO98" s="187">
        <f t="shared" si="274"/>
        <v>0.7709999999999998</v>
      </c>
      <c r="AP98" s="113">
        <v>3.2130000000000001</v>
      </c>
      <c r="AQ98" s="115">
        <v>2.016</v>
      </c>
      <c r="AR98" s="187">
        <f t="shared" si="275"/>
        <v>1.968</v>
      </c>
      <c r="AS98" s="113">
        <v>0.96</v>
      </c>
      <c r="AT98" s="115">
        <v>1.34</v>
      </c>
      <c r="AU98" s="187">
        <f t="shared" si="276"/>
        <v>1.5879999999999999</v>
      </c>
      <c r="AV98" s="113">
        <v>0</v>
      </c>
      <c r="AW98" s="115">
        <v>0</v>
      </c>
      <c r="AX98" s="187">
        <v>0</v>
      </c>
      <c r="AY98" s="113">
        <v>0</v>
      </c>
      <c r="AZ98" s="115">
        <v>0</v>
      </c>
      <c r="BA98" s="187">
        <f t="shared" si="277"/>
        <v>0</v>
      </c>
      <c r="BB98" s="113">
        <v>2.125</v>
      </c>
      <c r="BC98" s="115">
        <v>0.86399999999999999</v>
      </c>
      <c r="BD98" s="187">
        <v>1.2609999999999999</v>
      </c>
      <c r="BE98" s="113">
        <v>1.056</v>
      </c>
      <c r="BF98" s="115">
        <v>1.837</v>
      </c>
      <c r="BG98" s="187">
        <f t="shared" si="278"/>
        <v>0.4800000000000002</v>
      </c>
      <c r="BH98" s="113">
        <v>0</v>
      </c>
      <c r="BI98" s="115">
        <v>0.33600000000000002</v>
      </c>
      <c r="BJ98" s="187">
        <f t="shared" si="279"/>
        <v>0.14400000000000018</v>
      </c>
      <c r="BK98" s="113">
        <v>1.8879999999999999</v>
      </c>
      <c r="BL98" s="115">
        <v>2.032</v>
      </c>
      <c r="BM98" s="187">
        <f t="shared" si="280"/>
        <v>0</v>
      </c>
      <c r="BN98" s="113">
        <v>2.1219999999999999</v>
      </c>
      <c r="BO98" s="115">
        <v>0.78400000000000003</v>
      </c>
      <c r="BP98" s="187">
        <f t="shared" si="281"/>
        <v>1.3379999999999999</v>
      </c>
      <c r="BQ98" s="113">
        <v>0</v>
      </c>
      <c r="BR98" s="115">
        <v>1.1080000000000001</v>
      </c>
      <c r="BS98" s="187">
        <f t="shared" si="282"/>
        <v>0.22999999999999976</v>
      </c>
      <c r="BT98" s="113">
        <v>0</v>
      </c>
      <c r="BU98" s="115">
        <v>0</v>
      </c>
      <c r="BV98" s="187">
        <f t="shared" si="283"/>
        <v>0.22999999999999976</v>
      </c>
      <c r="BW98" s="113">
        <v>1.7709999999999999</v>
      </c>
      <c r="BX98" s="115">
        <v>2.0070000000000001</v>
      </c>
      <c r="BY98" s="187">
        <f t="shared" si="291"/>
        <v>-6.0000000000006715E-3</v>
      </c>
      <c r="BZ98" s="113">
        <v>3.552</v>
      </c>
      <c r="CA98" s="115">
        <v>1.44</v>
      </c>
      <c r="CB98" s="187">
        <f t="shared" si="284"/>
        <v>2.1059999999999994</v>
      </c>
      <c r="CC98" s="113">
        <v>9.6000000000000002E-2</v>
      </c>
      <c r="CD98" s="115">
        <v>1.3440000000000001</v>
      </c>
      <c r="CE98" s="187">
        <f t="shared" si="285"/>
        <v>0.85799999999999943</v>
      </c>
      <c r="CF98" s="113">
        <v>2.3380000000000001</v>
      </c>
      <c r="CG98" s="115">
        <v>0</v>
      </c>
      <c r="CH98" s="187">
        <f t="shared" si="286"/>
        <v>3.1959999999999997</v>
      </c>
      <c r="CI98" s="113">
        <v>0</v>
      </c>
      <c r="CJ98" s="115">
        <v>1.1519999999999999</v>
      </c>
      <c r="CK98" s="220">
        <f t="shared" si="287"/>
        <v>2.0439999999999996</v>
      </c>
      <c r="CL98" s="117">
        <v>0</v>
      </c>
      <c r="CM98" s="136">
        <v>0.57599999999999996</v>
      </c>
      <c r="CN98" s="187">
        <f t="shared" si="292"/>
        <v>1.4679999999999995</v>
      </c>
      <c r="CO98" s="113">
        <v>1.742</v>
      </c>
      <c r="CP98" s="113">
        <v>1.1519999999999999</v>
      </c>
      <c r="CQ98" s="187">
        <f t="shared" si="293"/>
        <v>2.0579999999999998</v>
      </c>
      <c r="CR98" s="113">
        <v>0</v>
      </c>
      <c r="CS98" s="113">
        <v>1.3440000000000001</v>
      </c>
      <c r="CT98" s="220">
        <f t="shared" si="294"/>
        <v>0.71399999999999975</v>
      </c>
      <c r="CU98" s="119">
        <v>1.536</v>
      </c>
      <c r="CV98" s="113">
        <v>1.8240000000000001</v>
      </c>
      <c r="CW98" s="187">
        <f t="shared" si="290"/>
        <v>0.42599999999999993</v>
      </c>
      <c r="CX98" s="113">
        <v>1.28</v>
      </c>
      <c r="CY98" s="113">
        <v>1.68</v>
      </c>
      <c r="CZ98" s="187">
        <f t="shared" si="295"/>
        <v>2.6000000000000023E-2</v>
      </c>
      <c r="DA98" s="113">
        <v>1.83</v>
      </c>
      <c r="DB98" s="113">
        <v>1.1299999999999999</v>
      </c>
      <c r="DC98" s="187">
        <f t="shared" si="288"/>
        <v>0.7260000000000002</v>
      </c>
      <c r="DD98" s="113">
        <v>1.077</v>
      </c>
      <c r="DE98" s="113">
        <v>1.536</v>
      </c>
      <c r="DF98" s="187">
        <v>0.27300000000000002</v>
      </c>
      <c r="DG98" s="113">
        <v>-1.2E-2</v>
      </c>
      <c r="DH98" s="113">
        <v>0</v>
      </c>
      <c r="DI98" s="187">
        <f t="shared" si="289"/>
        <v>0.26100000000000001</v>
      </c>
      <c r="DJ98" s="113">
        <v>0.82499999999999996</v>
      </c>
      <c r="DK98" s="113">
        <v>0</v>
      </c>
      <c r="DL98" s="187">
        <f t="shared" si="218"/>
        <v>1.0859999999999999</v>
      </c>
      <c r="DM98" s="113">
        <v>1.52</v>
      </c>
      <c r="DN98" s="113">
        <v>2.5920000000000001</v>
      </c>
      <c r="DO98" s="187">
        <f t="shared" ref="DO98:DO103" si="296">(DL98+DM98)-(DN98)</f>
        <v>1.399999999999979E-2</v>
      </c>
      <c r="DP98" s="113">
        <v>3.2160000000000002</v>
      </c>
      <c r="DQ98" s="113">
        <v>0.85399999999999998</v>
      </c>
      <c r="DR98" s="187">
        <f t="shared" si="220"/>
        <v>2.3759999999999999</v>
      </c>
      <c r="DS98" s="113">
        <v>8.7999999999999995E-2</v>
      </c>
      <c r="DT98" s="113">
        <v>0</v>
      </c>
      <c r="DU98" s="187">
        <f t="shared" si="221"/>
        <v>2.464</v>
      </c>
      <c r="DV98" s="113">
        <v>-0.01</v>
      </c>
      <c r="DW98" s="113">
        <v>0</v>
      </c>
      <c r="DX98" s="753">
        <f t="shared" si="222"/>
        <v>2.4540000000000002</v>
      </c>
      <c r="DY98" s="113">
        <v>0.95799999999999996</v>
      </c>
      <c r="DZ98" s="113">
        <v>0</v>
      </c>
      <c r="EA98" s="187">
        <f t="shared" si="223"/>
        <v>3.4119999999999999</v>
      </c>
      <c r="EB98" s="113">
        <v>0</v>
      </c>
      <c r="EC98" s="113">
        <v>0.86399999999999999</v>
      </c>
      <c r="ED98" s="187">
        <f t="shared" si="224"/>
        <v>2.548</v>
      </c>
      <c r="EE98" s="113">
        <v>0.76800000000000002</v>
      </c>
      <c r="EF98" s="113">
        <v>0</v>
      </c>
      <c r="EG98" s="753">
        <f t="shared" si="225"/>
        <v>3.3159999999999998</v>
      </c>
      <c r="EH98" s="113">
        <v>0</v>
      </c>
      <c r="EI98" s="113">
        <v>0</v>
      </c>
      <c r="EJ98" s="187">
        <f t="shared" si="226"/>
        <v>3.3159999999999998</v>
      </c>
      <c r="EK98" s="113">
        <v>0</v>
      </c>
      <c r="EL98" s="826">
        <v>0</v>
      </c>
      <c r="EM98" s="187">
        <f t="shared" si="227"/>
        <v>3.3159999999999998</v>
      </c>
      <c r="EN98" s="113">
        <v>0</v>
      </c>
      <c r="EO98" s="826">
        <v>0.8</v>
      </c>
      <c r="EP98" s="753">
        <f t="shared" si="228"/>
        <v>2.516</v>
      </c>
      <c r="EQ98" s="113">
        <v>0</v>
      </c>
      <c r="ER98" s="826">
        <f>0.8+1.4</f>
        <v>2.2000000000000002</v>
      </c>
      <c r="ES98" s="753">
        <f t="shared" si="261"/>
        <v>0.31599999999999984</v>
      </c>
      <c r="ET98" s="113">
        <v>0</v>
      </c>
      <c r="EU98" s="113">
        <v>0</v>
      </c>
      <c r="EV98" s="753">
        <f t="shared" si="262"/>
        <v>0.31599999999999984</v>
      </c>
      <c r="EW98" s="113">
        <v>0</v>
      </c>
      <c r="EX98" s="113">
        <v>0</v>
      </c>
      <c r="EY98" s="753">
        <f t="shared" si="263"/>
        <v>0.31599999999999984</v>
      </c>
    </row>
    <row r="99" spans="1:156" ht="19.5">
      <c r="A99" s="217"/>
      <c r="B99" s="184"/>
      <c r="C99" s="722" t="s">
        <v>384</v>
      </c>
      <c r="D99" s="276" t="s">
        <v>168</v>
      </c>
      <c r="E99" s="241">
        <v>3.3000000000001299E-2</v>
      </c>
      <c r="F99" s="250">
        <v>0</v>
      </c>
      <c r="G99" s="251">
        <v>0</v>
      </c>
      <c r="H99" s="241">
        <f t="shared" si="264"/>
        <v>3.3000000000001299E-2</v>
      </c>
      <c r="I99" s="252">
        <v>1.0920000000000001</v>
      </c>
      <c r="J99" s="253">
        <v>1.0920000000000001</v>
      </c>
      <c r="K99" s="246">
        <f t="shared" si="265"/>
        <v>3.3000000000001251E-2</v>
      </c>
      <c r="L99" s="252">
        <v>0.29399999999999998</v>
      </c>
      <c r="M99" s="253">
        <v>0.29399999999999998</v>
      </c>
      <c r="N99" s="246">
        <f>(K99+L99)-(M99)</f>
        <v>3.3000000000001251E-2</v>
      </c>
      <c r="O99" s="252">
        <v>0</v>
      </c>
      <c r="P99" s="253">
        <v>0</v>
      </c>
      <c r="Q99" s="246">
        <f t="shared" si="266"/>
        <v>3.3000000000001251E-2</v>
      </c>
      <c r="R99" s="252">
        <v>0</v>
      </c>
      <c r="S99" s="253">
        <v>0</v>
      </c>
      <c r="T99" s="246">
        <f t="shared" si="267"/>
        <v>3.3000000000001251E-2</v>
      </c>
      <c r="U99" s="252">
        <v>0</v>
      </c>
      <c r="V99" s="253">
        <v>0</v>
      </c>
      <c r="W99" s="246">
        <f t="shared" si="268"/>
        <v>3.3000000000001251E-2</v>
      </c>
      <c r="X99" s="252">
        <v>0.35499999999999998</v>
      </c>
      <c r="Y99" s="253">
        <v>0.35499999999999998</v>
      </c>
      <c r="Z99" s="246">
        <f t="shared" si="269"/>
        <v>3.3000000000001251E-2</v>
      </c>
      <c r="AA99" s="252">
        <v>0.02</v>
      </c>
      <c r="AB99" s="253">
        <v>0.02</v>
      </c>
      <c r="AC99" s="246">
        <f t="shared" si="270"/>
        <v>3.3000000000001251E-2</v>
      </c>
      <c r="AD99" s="252">
        <v>3.0000000000000001E-3</v>
      </c>
      <c r="AE99" s="253">
        <v>3.0000000000000001E-3</v>
      </c>
      <c r="AF99" s="246">
        <f t="shared" si="271"/>
        <v>3.3000000000001251E-2</v>
      </c>
      <c r="AG99" s="252">
        <v>0.20100000000000001</v>
      </c>
      <c r="AH99" s="253">
        <v>0.20100000000000001</v>
      </c>
      <c r="AI99" s="246">
        <f t="shared" si="272"/>
        <v>3.3000000000001251E-2</v>
      </c>
      <c r="AJ99" s="255">
        <v>4.2000000000000003E-2</v>
      </c>
      <c r="AK99" s="256">
        <v>4.2000000000000003E-2</v>
      </c>
      <c r="AL99" s="246">
        <f t="shared" si="273"/>
        <v>3.3000000000001257E-2</v>
      </c>
      <c r="AM99" s="252">
        <v>0</v>
      </c>
      <c r="AN99" s="253">
        <v>0</v>
      </c>
      <c r="AO99" s="246">
        <f t="shared" si="274"/>
        <v>3.3000000000001257E-2</v>
      </c>
      <c r="AP99" s="252">
        <v>0</v>
      </c>
      <c r="AQ99" s="253">
        <v>0</v>
      </c>
      <c r="AR99" s="246">
        <f t="shared" si="275"/>
        <v>3.3000000000001257E-2</v>
      </c>
      <c r="AS99" s="252">
        <v>0</v>
      </c>
      <c r="AT99" s="253">
        <v>0</v>
      </c>
      <c r="AU99" s="246">
        <f t="shared" si="276"/>
        <v>3.3000000000001257E-2</v>
      </c>
      <c r="AV99" s="252">
        <v>0</v>
      </c>
      <c r="AW99" s="253">
        <v>0</v>
      </c>
      <c r="AX99" s="246">
        <f>(AU99+AV99)-(AW99)</f>
        <v>3.3000000000001257E-2</v>
      </c>
      <c r="AY99" s="252">
        <v>0</v>
      </c>
      <c r="AZ99" s="253">
        <v>0</v>
      </c>
      <c r="BA99" s="246">
        <f t="shared" si="277"/>
        <v>3.3000000000001257E-2</v>
      </c>
      <c r="BB99" s="252">
        <v>0</v>
      </c>
      <c r="BC99" s="253">
        <v>0</v>
      </c>
      <c r="BD99" s="246">
        <v>0</v>
      </c>
      <c r="BE99" s="255">
        <v>0</v>
      </c>
      <c r="BF99" s="256">
        <v>0</v>
      </c>
      <c r="BG99" s="246">
        <f t="shared" si="278"/>
        <v>0</v>
      </c>
      <c r="BH99" s="252">
        <v>0.52300000000000002</v>
      </c>
      <c r="BI99" s="253">
        <v>0.52300000000000002</v>
      </c>
      <c r="BJ99" s="246">
        <f t="shared" si="279"/>
        <v>0</v>
      </c>
      <c r="BK99" s="252">
        <v>0.56299999999999994</v>
      </c>
      <c r="BL99" s="253">
        <v>0.56299999999999994</v>
      </c>
      <c r="BM99" s="246">
        <f t="shared" si="280"/>
        <v>0</v>
      </c>
      <c r="BN99" s="252">
        <v>0.626</v>
      </c>
      <c r="BO99" s="253">
        <v>0.626</v>
      </c>
      <c r="BP99" s="246">
        <f t="shared" si="281"/>
        <v>0</v>
      </c>
      <c r="BQ99" s="252">
        <v>8.5999999999999993E-2</v>
      </c>
      <c r="BR99" s="253">
        <v>8.5999999999999993E-2</v>
      </c>
      <c r="BS99" s="246">
        <f t="shared" si="282"/>
        <v>0</v>
      </c>
      <c r="BT99" s="252">
        <v>0.01</v>
      </c>
      <c r="BU99" s="253">
        <v>0.01</v>
      </c>
      <c r="BV99" s="246">
        <f t="shared" si="283"/>
        <v>0</v>
      </c>
      <c r="BW99" s="252">
        <v>0.05</v>
      </c>
      <c r="BX99" s="253">
        <v>0.05</v>
      </c>
      <c r="BY99" s="246">
        <f t="shared" si="291"/>
        <v>0</v>
      </c>
      <c r="BZ99" s="252">
        <v>0.52</v>
      </c>
      <c r="CA99" s="253">
        <v>0.52</v>
      </c>
      <c r="CB99" s="246">
        <f t="shared" si="284"/>
        <v>0</v>
      </c>
      <c r="CC99" s="252">
        <v>1.248</v>
      </c>
      <c r="CD99" s="253">
        <v>1.248</v>
      </c>
      <c r="CE99" s="246">
        <f t="shared" si="285"/>
        <v>0</v>
      </c>
      <c r="CF99" s="252">
        <v>0.23499999999999999</v>
      </c>
      <c r="CG99" s="253">
        <v>0.23499999999999999</v>
      </c>
      <c r="CH99" s="246">
        <f t="shared" si="286"/>
        <v>0</v>
      </c>
      <c r="CI99" s="252">
        <v>1.6439999999999999</v>
      </c>
      <c r="CJ99" s="253">
        <v>1.6439999999999999</v>
      </c>
      <c r="CK99" s="264">
        <f t="shared" si="287"/>
        <v>0</v>
      </c>
      <c r="CL99" s="277">
        <v>0.628</v>
      </c>
      <c r="CM99" s="278">
        <v>0.628</v>
      </c>
      <c r="CN99" s="246">
        <f t="shared" si="292"/>
        <v>0</v>
      </c>
      <c r="CO99" s="252">
        <v>0.02</v>
      </c>
      <c r="CP99" s="253">
        <v>0.02</v>
      </c>
      <c r="CQ99" s="246">
        <f t="shared" si="293"/>
        <v>0</v>
      </c>
      <c r="CR99" s="255">
        <v>5.5E-2</v>
      </c>
      <c r="CS99" s="256">
        <v>5.5E-2</v>
      </c>
      <c r="CT99" s="264">
        <f t="shared" si="294"/>
        <v>0</v>
      </c>
      <c r="CU99" s="279">
        <v>0.67</v>
      </c>
      <c r="CV99" s="253">
        <v>0.67</v>
      </c>
      <c r="CW99" s="246">
        <f t="shared" si="290"/>
        <v>0</v>
      </c>
      <c r="CX99" s="252">
        <v>0.94</v>
      </c>
      <c r="CY99" s="253">
        <v>0.94</v>
      </c>
      <c r="CZ99" s="246">
        <f t="shared" si="295"/>
        <v>0</v>
      </c>
      <c r="DA99" s="252">
        <v>0</v>
      </c>
      <c r="DB99" s="253">
        <v>0</v>
      </c>
      <c r="DC99" s="246">
        <f t="shared" si="288"/>
        <v>0</v>
      </c>
      <c r="DD99" s="252">
        <v>2.87</v>
      </c>
      <c r="DE99" s="253">
        <v>2.87</v>
      </c>
      <c r="DF99" s="246">
        <v>0.24</v>
      </c>
      <c r="DG99" s="252">
        <v>1.994</v>
      </c>
      <c r="DH99" s="253">
        <v>2.234</v>
      </c>
      <c r="DI99" s="246">
        <f t="shared" si="289"/>
        <v>0</v>
      </c>
      <c r="DJ99" s="252">
        <v>0.58599999999999997</v>
      </c>
      <c r="DK99" s="253">
        <v>0.58399999999999996</v>
      </c>
      <c r="DL99" s="246">
        <f t="shared" si="218"/>
        <v>2.0000000000000018E-3</v>
      </c>
      <c r="DM99" s="252">
        <v>0</v>
      </c>
      <c r="DN99" s="253">
        <v>0</v>
      </c>
      <c r="DO99" s="246">
        <f t="shared" si="296"/>
        <v>2.0000000000000018E-3</v>
      </c>
      <c r="DP99" s="252">
        <v>1.21</v>
      </c>
      <c r="DQ99" s="253">
        <v>0.1</v>
      </c>
      <c r="DR99" s="246">
        <f t="shared" si="220"/>
        <v>1.1119999999999999</v>
      </c>
      <c r="DS99" s="252">
        <v>2.6349999999999998</v>
      </c>
      <c r="DT99" s="253">
        <v>3.6429999999999998</v>
      </c>
      <c r="DU99" s="246">
        <f t="shared" si="221"/>
        <v>0.10400000000000009</v>
      </c>
      <c r="DV99" s="252">
        <v>3.0510000000000002</v>
      </c>
      <c r="DW99" s="253">
        <v>2.423</v>
      </c>
      <c r="DX99" s="754">
        <v>0.73</v>
      </c>
      <c r="DY99" s="252">
        <v>0.55300000000000005</v>
      </c>
      <c r="DZ99" s="253">
        <v>1.1970000000000001</v>
      </c>
      <c r="EA99" s="246">
        <f t="shared" si="223"/>
        <v>8.5999999999999854E-2</v>
      </c>
      <c r="EB99" s="252">
        <v>4.05</v>
      </c>
      <c r="EC99" s="253">
        <v>3.4</v>
      </c>
      <c r="ED99" s="246">
        <f t="shared" si="224"/>
        <v>0.73599999999999932</v>
      </c>
      <c r="EE99" s="252">
        <v>4.327</v>
      </c>
      <c r="EF99" s="828">
        <v>2.7909999999999999</v>
      </c>
      <c r="EG99" s="754">
        <f t="shared" si="225"/>
        <v>2.2719999999999989</v>
      </c>
      <c r="EH99" s="252">
        <v>2.79</v>
      </c>
      <c r="EI99" s="253">
        <v>4.7</v>
      </c>
      <c r="EJ99" s="246">
        <f t="shared" si="226"/>
        <v>0.36199999999999921</v>
      </c>
      <c r="EK99" s="252">
        <v>1.02</v>
      </c>
      <c r="EL99" s="828">
        <v>1.36</v>
      </c>
      <c r="EM99" s="246">
        <f t="shared" si="227"/>
        <v>2.1999999999999131E-2</v>
      </c>
      <c r="EN99" s="252">
        <f>10.2+0.74</f>
        <v>10.94</v>
      </c>
      <c r="EO99" s="828">
        <v>0.74</v>
      </c>
      <c r="EP99" s="754">
        <f t="shared" si="228"/>
        <v>10.221999999999998</v>
      </c>
      <c r="EQ99" s="257">
        <v>10.9</v>
      </c>
      <c r="ER99" s="213">
        <v>17</v>
      </c>
      <c r="ES99" s="754">
        <f t="shared" si="261"/>
        <v>4.1219999999999999</v>
      </c>
      <c r="ET99" s="257">
        <v>42</v>
      </c>
      <c r="EU99" s="213">
        <v>27</v>
      </c>
      <c r="EV99" s="754">
        <f t="shared" si="262"/>
        <v>19.122</v>
      </c>
      <c r="EW99" s="257">
        <v>30</v>
      </c>
      <c r="EX99" s="213">
        <v>25</v>
      </c>
      <c r="EY99" s="754">
        <f t="shared" si="263"/>
        <v>24.122</v>
      </c>
    </row>
    <row r="100" spans="1:156" ht="19.5">
      <c r="A100" s="217"/>
      <c r="B100" s="184"/>
      <c r="C100" s="722" t="s">
        <v>385</v>
      </c>
      <c r="D100" s="276" t="s">
        <v>169</v>
      </c>
      <c r="E100" s="241">
        <v>3.3000000000001299E-2</v>
      </c>
      <c r="F100" s="250">
        <v>0</v>
      </c>
      <c r="G100" s="251">
        <v>0</v>
      </c>
      <c r="H100" s="241">
        <f t="shared" si="264"/>
        <v>3.3000000000001299E-2</v>
      </c>
      <c r="I100" s="252">
        <v>1.0920000000000001</v>
      </c>
      <c r="J100" s="253">
        <v>1.0920000000000001</v>
      </c>
      <c r="K100" s="246">
        <f t="shared" si="265"/>
        <v>3.3000000000001251E-2</v>
      </c>
      <c r="L100" s="252">
        <v>0.27600000000000002</v>
      </c>
      <c r="M100" s="253">
        <v>0.27600000000000002</v>
      </c>
      <c r="N100" s="246">
        <f>(K100+L100)-(M100)</f>
        <v>3.3000000000001251E-2</v>
      </c>
      <c r="O100" s="252">
        <v>0</v>
      </c>
      <c r="P100" s="253">
        <v>0</v>
      </c>
      <c r="Q100" s="246">
        <f t="shared" si="266"/>
        <v>3.3000000000001251E-2</v>
      </c>
      <c r="R100" s="252">
        <v>0</v>
      </c>
      <c r="S100" s="253">
        <v>0</v>
      </c>
      <c r="T100" s="246">
        <f t="shared" si="267"/>
        <v>3.3000000000001251E-2</v>
      </c>
      <c r="U100" s="252">
        <v>0</v>
      </c>
      <c r="V100" s="253">
        <v>0</v>
      </c>
      <c r="W100" s="246">
        <f t="shared" si="268"/>
        <v>3.3000000000001251E-2</v>
      </c>
      <c r="X100" s="252">
        <v>0.35499999999999998</v>
      </c>
      <c r="Y100" s="253">
        <v>0.35499999999999998</v>
      </c>
      <c r="Z100" s="246">
        <f t="shared" si="269"/>
        <v>3.3000000000001251E-2</v>
      </c>
      <c r="AA100" s="252">
        <v>0.02</v>
      </c>
      <c r="AB100" s="253">
        <v>0.02</v>
      </c>
      <c r="AC100" s="246">
        <f t="shared" si="270"/>
        <v>3.3000000000001251E-2</v>
      </c>
      <c r="AD100" s="252">
        <v>3.0000000000000001E-3</v>
      </c>
      <c r="AE100" s="253">
        <v>3.0000000000000001E-3</v>
      </c>
      <c r="AF100" s="246">
        <f t="shared" si="271"/>
        <v>3.3000000000001251E-2</v>
      </c>
      <c r="AG100" s="252">
        <v>0.20100000000000001</v>
      </c>
      <c r="AH100" s="253">
        <v>0.20100000000000001</v>
      </c>
      <c r="AI100" s="246">
        <f t="shared" si="272"/>
        <v>3.3000000000001251E-2</v>
      </c>
      <c r="AJ100" s="255">
        <v>4.2000000000000003E-2</v>
      </c>
      <c r="AK100" s="256">
        <v>4.2000000000000003E-2</v>
      </c>
      <c r="AL100" s="246">
        <f t="shared" si="273"/>
        <v>3.3000000000001257E-2</v>
      </c>
      <c r="AM100" s="252">
        <v>0</v>
      </c>
      <c r="AN100" s="253">
        <v>0</v>
      </c>
      <c r="AO100" s="246">
        <f t="shared" si="274"/>
        <v>3.3000000000001257E-2</v>
      </c>
      <c r="AP100" s="252">
        <v>0</v>
      </c>
      <c r="AQ100" s="253">
        <v>0</v>
      </c>
      <c r="AR100" s="246">
        <f t="shared" si="275"/>
        <v>3.3000000000001257E-2</v>
      </c>
      <c r="AS100" s="252">
        <v>0</v>
      </c>
      <c r="AT100" s="253">
        <v>0</v>
      </c>
      <c r="AU100" s="246">
        <f t="shared" si="276"/>
        <v>3.3000000000001257E-2</v>
      </c>
      <c r="AV100" s="252">
        <v>0</v>
      </c>
      <c r="AW100" s="253">
        <v>0</v>
      </c>
      <c r="AX100" s="246">
        <f>(AU100+AV100)-(AW100)</f>
        <v>3.3000000000001257E-2</v>
      </c>
      <c r="AY100" s="252">
        <v>0</v>
      </c>
      <c r="AZ100" s="253">
        <v>0</v>
      </c>
      <c r="BA100" s="246">
        <f t="shared" si="277"/>
        <v>3.3000000000001257E-2</v>
      </c>
      <c r="BB100" s="252">
        <v>0</v>
      </c>
      <c r="BC100" s="253">
        <v>0</v>
      </c>
      <c r="BD100" s="246">
        <v>0</v>
      </c>
      <c r="BE100" s="255">
        <v>0</v>
      </c>
      <c r="BF100" s="256">
        <v>0</v>
      </c>
      <c r="BG100" s="246">
        <f t="shared" si="278"/>
        <v>0</v>
      </c>
      <c r="BH100" s="252">
        <v>0.52300000000000002</v>
      </c>
      <c r="BI100" s="253">
        <v>0.52300000000000002</v>
      </c>
      <c r="BJ100" s="246">
        <f t="shared" si="279"/>
        <v>0</v>
      </c>
      <c r="BK100" s="252">
        <v>0.56299999999999994</v>
      </c>
      <c r="BL100" s="253">
        <v>0.56299999999999994</v>
      </c>
      <c r="BM100" s="246">
        <f t="shared" si="280"/>
        <v>0</v>
      </c>
      <c r="BN100" s="252">
        <v>0.626</v>
      </c>
      <c r="BO100" s="253">
        <v>0.626</v>
      </c>
      <c r="BP100" s="246">
        <f t="shared" si="281"/>
        <v>0</v>
      </c>
      <c r="BQ100" s="252">
        <v>8.5999999999999993E-2</v>
      </c>
      <c r="BR100" s="253">
        <v>8.5999999999999993E-2</v>
      </c>
      <c r="BS100" s="246">
        <f t="shared" si="282"/>
        <v>0</v>
      </c>
      <c r="BT100" s="252">
        <v>1.9E-2</v>
      </c>
      <c r="BU100" s="253">
        <v>1.9E-2</v>
      </c>
      <c r="BV100" s="246">
        <f t="shared" si="283"/>
        <v>0</v>
      </c>
      <c r="BW100" s="252">
        <v>0.05</v>
      </c>
      <c r="BX100" s="253">
        <v>0.05</v>
      </c>
      <c r="BY100" s="246">
        <f t="shared" si="291"/>
        <v>0</v>
      </c>
      <c r="BZ100" s="252">
        <v>0.52</v>
      </c>
      <c r="CA100" s="253">
        <v>0.52</v>
      </c>
      <c r="CB100" s="246">
        <f t="shared" si="284"/>
        <v>0</v>
      </c>
      <c r="CC100" s="252">
        <v>1.248</v>
      </c>
      <c r="CD100" s="253">
        <v>1.248</v>
      </c>
      <c r="CE100" s="246">
        <f t="shared" si="285"/>
        <v>0</v>
      </c>
      <c r="CF100" s="252">
        <v>0.23499999999999999</v>
      </c>
      <c r="CG100" s="253">
        <v>0.23499999999999999</v>
      </c>
      <c r="CH100" s="246">
        <f t="shared" si="286"/>
        <v>0</v>
      </c>
      <c r="CI100" s="252">
        <v>1.6439999999999999</v>
      </c>
      <c r="CJ100" s="253">
        <v>1.6439999999999999</v>
      </c>
      <c r="CK100" s="264">
        <f t="shared" si="287"/>
        <v>0</v>
      </c>
      <c r="CL100" s="277">
        <v>0.628</v>
      </c>
      <c r="CM100" s="278">
        <v>0.628</v>
      </c>
      <c r="CN100" s="246">
        <f t="shared" si="292"/>
        <v>0</v>
      </c>
      <c r="CO100" s="252">
        <v>0.02</v>
      </c>
      <c r="CP100" s="253">
        <v>0.02</v>
      </c>
      <c r="CQ100" s="246">
        <f t="shared" si="293"/>
        <v>0</v>
      </c>
      <c r="CR100" s="255">
        <v>5.5E-2</v>
      </c>
      <c r="CS100" s="256">
        <v>5.5E-2</v>
      </c>
      <c r="CT100" s="264">
        <f t="shared" si="294"/>
        <v>0</v>
      </c>
      <c r="CU100" s="279">
        <v>0.67600000000000005</v>
      </c>
      <c r="CV100" s="253">
        <v>0.67600000000000005</v>
      </c>
      <c r="CW100" s="246">
        <f t="shared" si="290"/>
        <v>0</v>
      </c>
      <c r="CX100" s="252">
        <v>0.94299999999999995</v>
      </c>
      <c r="CY100" s="253">
        <v>0.94299999999999995</v>
      </c>
      <c r="CZ100" s="246">
        <f t="shared" si="295"/>
        <v>0</v>
      </c>
      <c r="DA100" s="252">
        <v>0</v>
      </c>
      <c r="DB100" s="253">
        <v>0</v>
      </c>
      <c r="DC100" s="246">
        <f t="shared" si="288"/>
        <v>0</v>
      </c>
      <c r="DD100" s="252">
        <v>2.87</v>
      </c>
      <c r="DE100" s="253">
        <v>2.87</v>
      </c>
      <c r="DF100" s="246">
        <v>0.24</v>
      </c>
      <c r="DG100" s="252">
        <v>1.9339999999999999</v>
      </c>
      <c r="DH100" s="253">
        <v>2.1739999999999999</v>
      </c>
      <c r="DI100" s="246">
        <f t="shared" si="289"/>
        <v>0</v>
      </c>
      <c r="DJ100" s="252">
        <v>0.58599999999999997</v>
      </c>
      <c r="DK100" s="253">
        <v>0.58399999999999996</v>
      </c>
      <c r="DL100" s="246">
        <f t="shared" si="218"/>
        <v>2.0000000000000018E-3</v>
      </c>
      <c r="DM100" s="252">
        <v>0</v>
      </c>
      <c r="DN100" s="253">
        <v>0</v>
      </c>
      <c r="DO100" s="246">
        <f t="shared" si="296"/>
        <v>2.0000000000000018E-3</v>
      </c>
      <c r="DP100" s="252">
        <v>0.1</v>
      </c>
      <c r="DQ100" s="253">
        <v>0.1</v>
      </c>
      <c r="DR100" s="246">
        <f t="shared" si="220"/>
        <v>2.0000000000000018E-3</v>
      </c>
      <c r="DS100" s="252">
        <v>3.7040000000000002</v>
      </c>
      <c r="DT100" s="253">
        <v>3.625</v>
      </c>
      <c r="DU100" s="739">
        <v>7.9000000000000001E-2</v>
      </c>
      <c r="DV100" s="252">
        <v>3.2360000000000002</v>
      </c>
      <c r="DW100" s="253">
        <v>2.4500000000000002</v>
      </c>
      <c r="DX100" s="754">
        <f t="shared" si="222"/>
        <v>0.86500000000000021</v>
      </c>
      <c r="DY100" s="252">
        <v>0.33200000000000002</v>
      </c>
      <c r="DZ100" s="252">
        <v>1.1970000000000001</v>
      </c>
      <c r="EA100" s="246">
        <f t="shared" si="223"/>
        <v>0</v>
      </c>
      <c r="EB100" s="252">
        <v>4.05</v>
      </c>
      <c r="EC100" s="253">
        <v>3.4</v>
      </c>
      <c r="ED100" s="246">
        <f t="shared" si="224"/>
        <v>0.64999999999999991</v>
      </c>
      <c r="EE100" s="252">
        <v>3.1</v>
      </c>
      <c r="EF100" s="828">
        <v>2.7909999999999999</v>
      </c>
      <c r="EG100" s="754">
        <f t="shared" si="225"/>
        <v>0.95900000000000007</v>
      </c>
      <c r="EH100" s="252">
        <v>4.24</v>
      </c>
      <c r="EI100" s="253">
        <v>4.7</v>
      </c>
      <c r="EJ100" s="246">
        <f t="shared" si="226"/>
        <v>0.49899999999999967</v>
      </c>
      <c r="EK100" s="252">
        <v>1.76</v>
      </c>
      <c r="EL100" s="828">
        <v>1.36</v>
      </c>
      <c r="EM100" s="246">
        <f t="shared" si="227"/>
        <v>0.89899999999999936</v>
      </c>
      <c r="EN100" s="252">
        <v>8.1999999999999993</v>
      </c>
      <c r="EO100" s="828">
        <v>0.74</v>
      </c>
      <c r="EP100" s="754">
        <f t="shared" si="228"/>
        <v>8.3589999999999982</v>
      </c>
      <c r="EQ100" s="257">
        <v>25</v>
      </c>
      <c r="ER100" s="213">
        <v>17</v>
      </c>
      <c r="ES100" s="754">
        <f t="shared" si="261"/>
        <v>16.358999999999995</v>
      </c>
      <c r="ET100" s="257">
        <v>16.100000000000001</v>
      </c>
      <c r="EU100" s="213">
        <v>27</v>
      </c>
      <c r="EV100" s="754">
        <f t="shared" si="262"/>
        <v>5.4589999999999961</v>
      </c>
      <c r="EW100" s="257">
        <v>36</v>
      </c>
      <c r="EX100" s="213">
        <v>25</v>
      </c>
      <c r="EY100" s="754">
        <f t="shared" si="263"/>
        <v>16.458999999999996</v>
      </c>
    </row>
    <row r="101" spans="1:156" s="20" customFormat="1" ht="19.5">
      <c r="A101" s="184"/>
      <c r="B101" s="184"/>
      <c r="C101" s="280">
        <v>100547619</v>
      </c>
      <c r="D101" s="281" t="s">
        <v>222</v>
      </c>
      <c r="E101" s="282"/>
      <c r="F101" s="283"/>
      <c r="G101" s="284"/>
      <c r="H101" s="282"/>
      <c r="I101" s="285"/>
      <c r="J101" s="286"/>
      <c r="K101" s="287"/>
      <c r="L101" s="285"/>
      <c r="M101" s="286"/>
      <c r="N101" s="287"/>
      <c r="O101" s="285"/>
      <c r="P101" s="286"/>
      <c r="Q101" s="287"/>
      <c r="R101" s="285"/>
      <c r="S101" s="286"/>
      <c r="T101" s="287"/>
      <c r="U101" s="285"/>
      <c r="V101" s="286"/>
      <c r="W101" s="287"/>
      <c r="X101" s="285"/>
      <c r="Y101" s="286"/>
      <c r="Z101" s="287"/>
      <c r="AA101" s="285"/>
      <c r="AB101" s="286"/>
      <c r="AC101" s="287"/>
      <c r="AD101" s="285"/>
      <c r="AE101" s="286"/>
      <c r="AF101" s="287"/>
      <c r="AG101" s="285"/>
      <c r="AH101" s="286"/>
      <c r="AI101" s="287"/>
      <c r="AJ101" s="288"/>
      <c r="AK101" s="289"/>
      <c r="AL101" s="287"/>
      <c r="AM101" s="285"/>
      <c r="AN101" s="286"/>
      <c r="AO101" s="287"/>
      <c r="AP101" s="285"/>
      <c r="AQ101" s="286"/>
      <c r="AR101" s="287"/>
      <c r="AS101" s="285"/>
      <c r="AT101" s="286"/>
      <c r="AU101" s="287"/>
      <c r="AV101" s="285"/>
      <c r="AW101" s="286"/>
      <c r="AX101" s="287">
        <f>(AU101+AV101)-(AW101)</f>
        <v>0</v>
      </c>
      <c r="AY101" s="285">
        <v>0</v>
      </c>
      <c r="AZ101" s="286">
        <v>0</v>
      </c>
      <c r="BA101" s="287">
        <f t="shared" si="277"/>
        <v>0</v>
      </c>
      <c r="BB101" s="285">
        <v>0</v>
      </c>
      <c r="BC101" s="286">
        <v>0</v>
      </c>
      <c r="BD101" s="287">
        <v>0</v>
      </c>
      <c r="BE101" s="285">
        <v>0</v>
      </c>
      <c r="BF101" s="286">
        <v>0</v>
      </c>
      <c r="BG101" s="290">
        <f t="shared" si="278"/>
        <v>0</v>
      </c>
      <c r="BH101" s="285">
        <v>0.63500000000000001</v>
      </c>
      <c r="BI101" s="286">
        <v>0.63500000000000001</v>
      </c>
      <c r="BJ101" s="287">
        <f t="shared" si="279"/>
        <v>0</v>
      </c>
      <c r="BK101" s="285">
        <v>0.55100000000000005</v>
      </c>
      <c r="BL101" s="286">
        <v>0.55100000000000005</v>
      </c>
      <c r="BM101" s="287">
        <f t="shared" si="280"/>
        <v>0</v>
      </c>
      <c r="BN101" s="285">
        <v>0.09</v>
      </c>
      <c r="BO101" s="286">
        <v>0.09</v>
      </c>
      <c r="BP101" s="287">
        <f t="shared" si="281"/>
        <v>0</v>
      </c>
      <c r="BQ101" s="285">
        <v>0.2</v>
      </c>
      <c r="BR101" s="286">
        <v>0.2</v>
      </c>
      <c r="BS101" s="287">
        <f t="shared" si="282"/>
        <v>0</v>
      </c>
      <c r="BT101" s="285">
        <v>0.81299999999999994</v>
      </c>
      <c r="BU101" s="286">
        <v>0.81299999999999994</v>
      </c>
      <c r="BV101" s="287">
        <f t="shared" si="283"/>
        <v>0</v>
      </c>
      <c r="BW101" s="285">
        <v>0.113</v>
      </c>
      <c r="BX101" s="286">
        <v>0.113</v>
      </c>
      <c r="BY101" s="287">
        <f t="shared" si="291"/>
        <v>0</v>
      </c>
      <c r="BZ101" s="285">
        <v>0</v>
      </c>
      <c r="CA101" s="286">
        <v>0</v>
      </c>
      <c r="CB101" s="287">
        <f t="shared" si="284"/>
        <v>0</v>
      </c>
      <c r="CC101" s="285">
        <v>0.88200000000000001</v>
      </c>
      <c r="CD101" s="286">
        <v>0.88200000000000001</v>
      </c>
      <c r="CE101" s="287">
        <f t="shared" si="285"/>
        <v>0</v>
      </c>
      <c r="CF101" s="288">
        <v>0.15</v>
      </c>
      <c r="CG101" s="289">
        <v>0.15</v>
      </c>
      <c r="CH101" s="287">
        <f t="shared" si="286"/>
        <v>0</v>
      </c>
      <c r="CI101" s="285">
        <v>0</v>
      </c>
      <c r="CJ101" s="286">
        <v>0</v>
      </c>
      <c r="CK101" s="291">
        <f t="shared" si="287"/>
        <v>0</v>
      </c>
      <c r="CL101" s="292">
        <v>0</v>
      </c>
      <c r="CM101" s="293">
        <v>0</v>
      </c>
      <c r="CN101" s="287">
        <f t="shared" si="292"/>
        <v>0</v>
      </c>
      <c r="CO101" s="285">
        <v>0</v>
      </c>
      <c r="CP101" s="286">
        <v>0</v>
      </c>
      <c r="CQ101" s="287">
        <f t="shared" si="293"/>
        <v>0</v>
      </c>
      <c r="CR101" s="285">
        <v>0</v>
      </c>
      <c r="CS101" s="286">
        <v>0</v>
      </c>
      <c r="CT101" s="291">
        <f t="shared" si="294"/>
        <v>0</v>
      </c>
      <c r="CU101" s="294">
        <v>18.295999999999999</v>
      </c>
      <c r="CV101" s="286">
        <v>6.024</v>
      </c>
      <c r="CW101" s="287">
        <f t="shared" si="290"/>
        <v>12.271999999999998</v>
      </c>
      <c r="CX101" s="285">
        <v>54.505000000000003</v>
      </c>
      <c r="CY101" s="286">
        <v>66.528000000000006</v>
      </c>
      <c r="CZ101" s="287">
        <f t="shared" si="295"/>
        <v>0.24899999999999523</v>
      </c>
      <c r="DA101" s="285">
        <v>90.561000000000007</v>
      </c>
      <c r="DB101" s="286">
        <v>53.054000000000002</v>
      </c>
      <c r="DC101" s="287">
        <f t="shared" si="288"/>
        <v>37.756</v>
      </c>
      <c r="DD101" s="285">
        <v>59.174999999999997</v>
      </c>
      <c r="DE101" s="286">
        <v>94.283000000000001</v>
      </c>
      <c r="DF101" s="287">
        <f>(DC101+DD101)-(DE101)</f>
        <v>2.6479999999999961</v>
      </c>
      <c r="DG101" s="285">
        <v>104.236</v>
      </c>
      <c r="DH101" s="286">
        <v>64.072000000000003</v>
      </c>
      <c r="DI101" s="287">
        <f t="shared" si="289"/>
        <v>42.811999999999998</v>
      </c>
      <c r="DJ101" s="285">
        <v>89.554000000000002</v>
      </c>
      <c r="DK101" s="286">
        <v>19.361999999999998</v>
      </c>
      <c r="DL101" s="287">
        <f t="shared" si="218"/>
        <v>113.00399999999999</v>
      </c>
      <c r="DM101" s="285">
        <v>42.02</v>
      </c>
      <c r="DN101" s="286">
        <v>74.8</v>
      </c>
      <c r="DO101" s="287">
        <f t="shared" si="296"/>
        <v>80.224000000000004</v>
      </c>
      <c r="DP101" s="285">
        <v>15.4</v>
      </c>
      <c r="DQ101" s="721">
        <v>-3.919</v>
      </c>
      <c r="DR101" s="287">
        <f t="shared" si="220"/>
        <v>99.543000000000006</v>
      </c>
      <c r="DS101" s="285">
        <v>-1.4E-2</v>
      </c>
      <c r="DT101" s="286">
        <v>0</v>
      </c>
      <c r="DU101" s="287">
        <f t="shared" si="221"/>
        <v>99.529000000000011</v>
      </c>
      <c r="DV101" s="285">
        <v>5.5E-2</v>
      </c>
      <c r="DW101" s="286">
        <v>19.271999999999998</v>
      </c>
      <c r="DX101" s="756">
        <f t="shared" si="222"/>
        <v>80.312000000000012</v>
      </c>
      <c r="DY101" s="285">
        <v>0</v>
      </c>
      <c r="DZ101" s="286">
        <v>15.048</v>
      </c>
      <c r="EA101" s="287">
        <f t="shared" si="223"/>
        <v>65.26400000000001</v>
      </c>
      <c r="EB101" s="288">
        <v>3.1E-2</v>
      </c>
      <c r="EC101" s="286">
        <v>17.611000000000001</v>
      </c>
      <c r="ED101" s="287">
        <f t="shared" si="224"/>
        <v>47.684000000000012</v>
      </c>
      <c r="EE101" s="285">
        <v>0</v>
      </c>
      <c r="EF101" s="286">
        <v>26.4</v>
      </c>
      <c r="EG101" s="756">
        <f t="shared" si="225"/>
        <v>21.284000000000013</v>
      </c>
      <c r="EH101" s="285">
        <f>31-3</f>
        <v>28</v>
      </c>
      <c r="EI101" s="825">
        <v>17.600000000000001</v>
      </c>
      <c r="EJ101" s="287">
        <f t="shared" si="226"/>
        <v>31.684000000000012</v>
      </c>
      <c r="EK101" s="285">
        <f>24+3</f>
        <v>27</v>
      </c>
      <c r="EL101" s="825">
        <v>14</v>
      </c>
      <c r="EM101" s="287">
        <f t="shared" si="227"/>
        <v>44.684000000000012</v>
      </c>
      <c r="EN101" s="285">
        <v>40</v>
      </c>
      <c r="EO101" s="825">
        <v>0</v>
      </c>
      <c r="EP101" s="756">
        <f t="shared" si="228"/>
        <v>84.684000000000012</v>
      </c>
      <c r="EQ101" s="285">
        <v>28</v>
      </c>
      <c r="ER101" s="286">
        <v>30</v>
      </c>
      <c r="ES101" s="756">
        <f t="shared" si="261"/>
        <v>82.684000000000012</v>
      </c>
      <c r="ET101" s="285">
        <v>15</v>
      </c>
      <c r="EU101" s="286">
        <v>25</v>
      </c>
      <c r="EV101" s="756">
        <f t="shared" si="262"/>
        <v>72.684000000000012</v>
      </c>
      <c r="EW101" s="285">
        <v>0</v>
      </c>
      <c r="EX101" s="286">
        <v>10</v>
      </c>
      <c r="EY101" s="756">
        <f t="shared" si="263"/>
        <v>62.684000000000012</v>
      </c>
    </row>
    <row r="102" spans="1:156" s="20" customFormat="1" ht="20.25" thickBot="1">
      <c r="A102" s="60"/>
      <c r="B102" s="209"/>
      <c r="C102" s="229">
        <v>100547694</v>
      </c>
      <c r="D102" s="224" t="s">
        <v>223</v>
      </c>
      <c r="E102" s="230"/>
      <c r="F102" s="231"/>
      <c r="G102" s="232"/>
      <c r="H102" s="230"/>
      <c r="I102" s="233"/>
      <c r="J102" s="234"/>
      <c r="K102" s="80"/>
      <c r="L102" s="233"/>
      <c r="M102" s="234"/>
      <c r="N102" s="80"/>
      <c r="O102" s="233"/>
      <c r="P102" s="234"/>
      <c r="Q102" s="80"/>
      <c r="R102" s="233"/>
      <c r="S102" s="234"/>
      <c r="T102" s="80"/>
      <c r="U102" s="233"/>
      <c r="V102" s="234"/>
      <c r="W102" s="80"/>
      <c r="X102" s="233"/>
      <c r="Y102" s="234"/>
      <c r="Z102" s="80"/>
      <c r="AA102" s="233"/>
      <c r="AB102" s="234"/>
      <c r="AC102" s="80"/>
      <c r="AD102" s="233"/>
      <c r="AE102" s="234"/>
      <c r="AF102" s="80"/>
      <c r="AG102" s="233"/>
      <c r="AH102" s="234"/>
      <c r="AI102" s="80"/>
      <c r="AJ102" s="235"/>
      <c r="AK102" s="236"/>
      <c r="AL102" s="80"/>
      <c r="AM102" s="233"/>
      <c r="AN102" s="234"/>
      <c r="AO102" s="80"/>
      <c r="AP102" s="233"/>
      <c r="AQ102" s="234"/>
      <c r="AR102" s="80"/>
      <c r="AS102" s="233"/>
      <c r="AT102" s="234"/>
      <c r="AU102" s="80"/>
      <c r="AV102" s="233"/>
      <c r="AW102" s="234"/>
      <c r="AX102" s="80">
        <f>(AU102+AV102)-(AW102)</f>
        <v>0</v>
      </c>
      <c r="AY102" s="233">
        <v>0</v>
      </c>
      <c r="AZ102" s="234">
        <v>0</v>
      </c>
      <c r="BA102" s="80">
        <f t="shared" si="277"/>
        <v>0</v>
      </c>
      <c r="BB102" s="233">
        <v>0</v>
      </c>
      <c r="BC102" s="234">
        <v>0</v>
      </c>
      <c r="BD102" s="80">
        <v>0</v>
      </c>
      <c r="BE102" s="233">
        <v>0</v>
      </c>
      <c r="BF102" s="234">
        <v>0</v>
      </c>
      <c r="BG102" s="295">
        <f t="shared" si="278"/>
        <v>0</v>
      </c>
      <c r="BH102" s="233">
        <v>0.629</v>
      </c>
      <c r="BI102" s="234">
        <v>0.629</v>
      </c>
      <c r="BJ102" s="80">
        <f t="shared" si="279"/>
        <v>0</v>
      </c>
      <c r="BK102" s="233">
        <v>0.60199999999999998</v>
      </c>
      <c r="BL102" s="234">
        <v>0.60199999999999998</v>
      </c>
      <c r="BM102" s="80">
        <f t="shared" si="280"/>
        <v>0</v>
      </c>
      <c r="BN102" s="233">
        <v>7.8E-2</v>
      </c>
      <c r="BO102" s="234">
        <v>7.8E-2</v>
      </c>
      <c r="BP102" s="80">
        <f t="shared" si="281"/>
        <v>0</v>
      </c>
      <c r="BQ102" s="233">
        <v>0.2</v>
      </c>
      <c r="BR102" s="234">
        <v>0.2</v>
      </c>
      <c r="BS102" s="80">
        <f t="shared" si="282"/>
        <v>0</v>
      </c>
      <c r="BT102" s="233">
        <v>0.81299999999999994</v>
      </c>
      <c r="BU102" s="234">
        <v>0.81299999999999994</v>
      </c>
      <c r="BV102" s="80">
        <f t="shared" si="283"/>
        <v>0</v>
      </c>
      <c r="BW102" s="233">
        <v>0.113</v>
      </c>
      <c r="BX102" s="234">
        <v>0.113</v>
      </c>
      <c r="BY102" s="80">
        <f t="shared" si="291"/>
        <v>0</v>
      </c>
      <c r="BZ102" s="233">
        <v>0</v>
      </c>
      <c r="CA102" s="234">
        <v>0</v>
      </c>
      <c r="CB102" s="80">
        <f t="shared" si="284"/>
        <v>0</v>
      </c>
      <c r="CC102" s="233">
        <v>0.88200000000000001</v>
      </c>
      <c r="CD102" s="234">
        <v>0.88200000000000001</v>
      </c>
      <c r="CE102" s="80">
        <f t="shared" si="285"/>
        <v>0</v>
      </c>
      <c r="CF102" s="235">
        <v>0.15</v>
      </c>
      <c r="CG102" s="236">
        <v>0.15</v>
      </c>
      <c r="CH102" s="80">
        <f t="shared" si="286"/>
        <v>0</v>
      </c>
      <c r="CI102" s="233">
        <v>0</v>
      </c>
      <c r="CJ102" s="234">
        <v>0</v>
      </c>
      <c r="CK102" s="237">
        <f t="shared" si="287"/>
        <v>0</v>
      </c>
      <c r="CL102" s="238">
        <v>0</v>
      </c>
      <c r="CM102" s="239">
        <v>0</v>
      </c>
      <c r="CN102" s="80">
        <f t="shared" si="292"/>
        <v>0</v>
      </c>
      <c r="CO102" s="233">
        <v>0</v>
      </c>
      <c r="CP102" s="234">
        <v>0</v>
      </c>
      <c r="CQ102" s="80">
        <f t="shared" si="293"/>
        <v>0</v>
      </c>
      <c r="CR102" s="233">
        <v>0</v>
      </c>
      <c r="CS102" s="234">
        <v>0</v>
      </c>
      <c r="CT102" s="237">
        <f t="shared" si="294"/>
        <v>0</v>
      </c>
      <c r="CU102" s="240">
        <v>20.094000000000001</v>
      </c>
      <c r="CV102" s="234">
        <v>6.024</v>
      </c>
      <c r="CW102" s="80">
        <f t="shared" si="290"/>
        <v>14.07</v>
      </c>
      <c r="CX102" s="233">
        <v>82.908000000000001</v>
      </c>
      <c r="CY102" s="234">
        <v>66.528000000000006</v>
      </c>
      <c r="CZ102" s="80">
        <f t="shared" si="295"/>
        <v>30.450000000000003</v>
      </c>
      <c r="DA102" s="233">
        <v>49.957000000000001</v>
      </c>
      <c r="DB102" s="234">
        <v>57.59</v>
      </c>
      <c r="DC102" s="80">
        <f t="shared" si="288"/>
        <v>22.817000000000007</v>
      </c>
      <c r="DD102" s="233">
        <v>141.304</v>
      </c>
      <c r="DE102" s="234">
        <v>108.227</v>
      </c>
      <c r="DF102" s="80">
        <f>(DC102+DD102)-(DE102)</f>
        <v>55.894000000000005</v>
      </c>
      <c r="DG102" s="233">
        <v>47.783999999999999</v>
      </c>
      <c r="DH102" s="234">
        <v>68.477999999999994</v>
      </c>
      <c r="DI102" s="80">
        <f t="shared" si="289"/>
        <v>35.200000000000003</v>
      </c>
      <c r="DJ102" s="233">
        <v>76.533000000000001</v>
      </c>
      <c r="DK102" s="234">
        <v>2E-3</v>
      </c>
      <c r="DL102" s="80">
        <f t="shared" si="218"/>
        <v>111.73100000000001</v>
      </c>
      <c r="DM102" s="233">
        <v>46.363999999999997</v>
      </c>
      <c r="DN102" s="234">
        <v>74.8</v>
      </c>
      <c r="DO102" s="80">
        <f t="shared" si="296"/>
        <v>83.295000000000002</v>
      </c>
      <c r="DP102" s="233">
        <v>0</v>
      </c>
      <c r="DQ102" s="234">
        <v>0.156</v>
      </c>
      <c r="DR102" s="80">
        <f t="shared" si="220"/>
        <v>83.138999999999996</v>
      </c>
      <c r="DS102" s="233">
        <v>0</v>
      </c>
      <c r="DT102" s="234">
        <v>0</v>
      </c>
      <c r="DU102" s="80">
        <f t="shared" si="221"/>
        <v>83.138999999999996</v>
      </c>
      <c r="DV102" s="233">
        <v>-4.1000000000000002E-2</v>
      </c>
      <c r="DW102" s="234">
        <v>12.231999999999999</v>
      </c>
      <c r="DX102" s="754">
        <f t="shared" si="222"/>
        <v>70.866</v>
      </c>
      <c r="DY102" s="233">
        <v>0</v>
      </c>
      <c r="DZ102" s="234">
        <v>15.048</v>
      </c>
      <c r="EA102" s="80">
        <f t="shared" si="223"/>
        <v>55.817999999999998</v>
      </c>
      <c r="EB102" s="235">
        <v>0.08</v>
      </c>
      <c r="EC102" s="234">
        <v>17.783999999999999</v>
      </c>
      <c r="ED102" s="80">
        <f t="shared" si="224"/>
        <v>38.113999999999997</v>
      </c>
      <c r="EE102" s="233">
        <v>0</v>
      </c>
      <c r="EF102" s="234">
        <f>17.6+8.8</f>
        <v>26.400000000000002</v>
      </c>
      <c r="EG102" s="754">
        <f t="shared" si="225"/>
        <v>11.713999999999995</v>
      </c>
      <c r="EH102" s="233">
        <v>24</v>
      </c>
      <c r="EI102" s="823">
        <v>17.600000000000001</v>
      </c>
      <c r="EJ102" s="80">
        <f t="shared" si="226"/>
        <v>18.113999999999997</v>
      </c>
      <c r="EK102" s="233">
        <v>40</v>
      </c>
      <c r="EL102" s="823">
        <v>14</v>
      </c>
      <c r="EM102" s="80">
        <f t="shared" si="227"/>
        <v>44.113999999999997</v>
      </c>
      <c r="EN102" s="233">
        <v>33</v>
      </c>
      <c r="EO102" s="823">
        <v>0</v>
      </c>
      <c r="EP102" s="754">
        <f t="shared" si="228"/>
        <v>77.114000000000004</v>
      </c>
      <c r="EQ102" s="233">
        <v>28</v>
      </c>
      <c r="ER102" s="234">
        <v>30</v>
      </c>
      <c r="ES102" s="754">
        <f t="shared" si="261"/>
        <v>75.114000000000004</v>
      </c>
      <c r="ET102" s="233">
        <v>13</v>
      </c>
      <c r="EU102" s="234">
        <v>25</v>
      </c>
      <c r="EV102" s="754">
        <f t="shared" si="262"/>
        <v>63.114000000000004</v>
      </c>
      <c r="EW102" s="233">
        <v>0</v>
      </c>
      <c r="EX102" s="234">
        <v>10</v>
      </c>
      <c r="EY102" s="754">
        <f t="shared" si="263"/>
        <v>53.114000000000004</v>
      </c>
    </row>
    <row r="103" spans="1:156" ht="20.25" hidden="1" thickBot="1">
      <c r="A103" s="296"/>
      <c r="B103" s="83"/>
      <c r="C103" s="297" t="s">
        <v>386</v>
      </c>
      <c r="D103" s="298" t="s">
        <v>387</v>
      </c>
      <c r="E103" s="103">
        <v>2.4</v>
      </c>
      <c r="F103" s="109">
        <v>0</v>
      </c>
      <c r="G103" s="105">
        <v>0</v>
      </c>
      <c r="H103" s="103">
        <f>(E103+F103)-(G103)</f>
        <v>2.4</v>
      </c>
      <c r="I103" s="109">
        <v>0</v>
      </c>
      <c r="J103" s="105">
        <v>0</v>
      </c>
      <c r="K103" s="103">
        <f>(H103+I103)-(J103)</f>
        <v>2.4</v>
      </c>
      <c r="L103" s="109">
        <v>0</v>
      </c>
      <c r="M103" s="105">
        <v>0</v>
      </c>
      <c r="N103" s="103">
        <f>(K103+L103)-(M103)</f>
        <v>2.4</v>
      </c>
      <c r="O103" s="109">
        <v>0</v>
      </c>
      <c r="P103" s="105">
        <v>0</v>
      </c>
      <c r="Q103" s="103">
        <f>(N103+O103)-(P103)</f>
        <v>2.4</v>
      </c>
      <c r="R103" s="109">
        <v>0</v>
      </c>
      <c r="S103" s="105">
        <v>0</v>
      </c>
      <c r="T103" s="103">
        <f>(Q103+R103)-(S103)</f>
        <v>2.4</v>
      </c>
      <c r="U103" s="109">
        <v>0</v>
      </c>
      <c r="V103" s="105">
        <v>0</v>
      </c>
      <c r="W103" s="103">
        <f>(T103+U103)-(V103)</f>
        <v>2.4</v>
      </c>
      <c r="X103" s="109">
        <v>0</v>
      </c>
      <c r="Y103" s="105">
        <v>0</v>
      </c>
      <c r="Z103" s="103">
        <f>(W103+X103)-(Y103)</f>
        <v>2.4</v>
      </c>
      <c r="AA103" s="109">
        <v>0</v>
      </c>
      <c r="AB103" s="105">
        <v>0</v>
      </c>
      <c r="AC103" s="103">
        <f>(Z103+AA103)-(AB103)</f>
        <v>2.4</v>
      </c>
      <c r="AD103" s="109">
        <v>-3.5999999999999997E-2</v>
      </c>
      <c r="AE103" s="105">
        <v>0</v>
      </c>
      <c r="AF103" s="103">
        <f>(AC103+AD103)-(AE103)</f>
        <v>2.3639999999999999</v>
      </c>
      <c r="AG103" s="109">
        <v>0</v>
      </c>
      <c r="AH103" s="105">
        <v>2.3039999999999998</v>
      </c>
      <c r="AI103" s="103">
        <f>(AF103+AG103)-(AH103)</f>
        <v>6.0000000000000053E-2</v>
      </c>
      <c r="AJ103" s="109">
        <v>0</v>
      </c>
      <c r="AK103" s="105">
        <v>0</v>
      </c>
      <c r="AL103" s="103">
        <f>(AI103+AJ103)-(AK103)</f>
        <v>6.0000000000000053E-2</v>
      </c>
      <c r="AM103" s="109">
        <v>0</v>
      </c>
      <c r="AN103" s="105">
        <v>0</v>
      </c>
      <c r="AO103" s="103">
        <f>(AL103+AM103)-(AN103)</f>
        <v>6.0000000000000053E-2</v>
      </c>
      <c r="AP103" s="109">
        <v>3.8879999999999999</v>
      </c>
      <c r="AQ103" s="105">
        <v>1.05</v>
      </c>
      <c r="AR103" s="103">
        <f>(AO103+AP103)-(AQ103)</f>
        <v>2.8979999999999997</v>
      </c>
      <c r="AS103" s="109">
        <v>0</v>
      </c>
      <c r="AT103" s="105">
        <v>0</v>
      </c>
      <c r="AU103" s="103">
        <f>(AR103+AS103)-(AT103)</f>
        <v>2.8979999999999997</v>
      </c>
      <c r="AV103" s="109">
        <v>0</v>
      </c>
      <c r="AW103" s="105">
        <v>0</v>
      </c>
      <c r="AX103" s="103">
        <f>(AU103+AV103)-(AW103)</f>
        <v>2.8979999999999997</v>
      </c>
      <c r="AY103" s="109">
        <v>0</v>
      </c>
      <c r="AZ103" s="105">
        <v>0</v>
      </c>
      <c r="BA103" s="103">
        <f t="shared" si="277"/>
        <v>2.8979999999999997</v>
      </c>
      <c r="BB103" s="109">
        <v>0</v>
      </c>
      <c r="BC103" s="105">
        <v>0</v>
      </c>
      <c r="BD103" s="103">
        <v>2.8380000000000001</v>
      </c>
      <c r="BE103" s="109">
        <v>0</v>
      </c>
      <c r="BF103" s="105">
        <v>0</v>
      </c>
      <c r="BG103" s="103">
        <f t="shared" si="278"/>
        <v>2.8380000000000001</v>
      </c>
      <c r="BH103" s="109">
        <v>0</v>
      </c>
      <c r="BI103" s="105">
        <v>0</v>
      </c>
      <c r="BJ103" s="103">
        <f t="shared" si="279"/>
        <v>2.8380000000000001</v>
      </c>
      <c r="BK103" s="109">
        <v>0</v>
      </c>
      <c r="BL103" s="105">
        <v>0</v>
      </c>
      <c r="BM103" s="103">
        <f t="shared" si="280"/>
        <v>2.8380000000000001</v>
      </c>
      <c r="BN103" s="109">
        <v>0</v>
      </c>
      <c r="BO103" s="105">
        <v>0</v>
      </c>
      <c r="BP103" s="103">
        <f t="shared" si="281"/>
        <v>2.8380000000000001</v>
      </c>
      <c r="BQ103" s="109">
        <v>0</v>
      </c>
      <c r="BR103" s="105">
        <v>0</v>
      </c>
      <c r="BS103" s="103">
        <f t="shared" si="282"/>
        <v>2.8380000000000001</v>
      </c>
      <c r="BT103" s="109">
        <v>0</v>
      </c>
      <c r="BU103" s="105">
        <v>0</v>
      </c>
      <c r="BV103" s="103">
        <f t="shared" si="283"/>
        <v>2.8380000000000001</v>
      </c>
      <c r="BW103" s="109">
        <v>0</v>
      </c>
      <c r="BX103" s="105">
        <v>0</v>
      </c>
      <c r="BY103" s="103">
        <f t="shared" si="291"/>
        <v>2.8380000000000001</v>
      </c>
      <c r="BZ103" s="109">
        <v>0</v>
      </c>
      <c r="CA103" s="105">
        <v>0</v>
      </c>
      <c r="CB103" s="103">
        <f t="shared" si="284"/>
        <v>2.8380000000000001</v>
      </c>
      <c r="CC103" s="109">
        <v>0</v>
      </c>
      <c r="CD103" s="105">
        <v>0</v>
      </c>
      <c r="CE103" s="103">
        <f t="shared" si="285"/>
        <v>2.8380000000000001</v>
      </c>
      <c r="CF103" s="109">
        <v>-4.0000000000000001E-3</v>
      </c>
      <c r="CG103" s="105">
        <v>0.108</v>
      </c>
      <c r="CH103" s="103">
        <f t="shared" si="286"/>
        <v>2.726</v>
      </c>
      <c r="CI103" s="109">
        <v>0</v>
      </c>
      <c r="CJ103" s="105">
        <v>0</v>
      </c>
      <c r="CK103" s="106">
        <f t="shared" si="287"/>
        <v>2.726</v>
      </c>
      <c r="CL103" s="107">
        <v>0</v>
      </c>
      <c r="CM103" s="108">
        <v>0</v>
      </c>
      <c r="CN103" s="103">
        <f t="shared" si="292"/>
        <v>2.726</v>
      </c>
      <c r="CO103" s="109">
        <v>0</v>
      </c>
      <c r="CP103" s="105">
        <v>0</v>
      </c>
      <c r="CQ103" s="103">
        <f t="shared" si="293"/>
        <v>2.726</v>
      </c>
      <c r="CR103" s="109">
        <v>0</v>
      </c>
      <c r="CS103" s="105">
        <v>0</v>
      </c>
      <c r="CT103" s="106">
        <f t="shared" si="294"/>
        <v>2.726</v>
      </c>
      <c r="CU103" s="104">
        <v>0</v>
      </c>
      <c r="CV103" s="105">
        <v>0</v>
      </c>
      <c r="CW103" s="103">
        <f t="shared" si="290"/>
        <v>2.726</v>
      </c>
      <c r="CX103" s="109">
        <v>0</v>
      </c>
      <c r="CY103" s="105">
        <v>0</v>
      </c>
      <c r="CZ103" s="103">
        <f t="shared" si="295"/>
        <v>2.726</v>
      </c>
      <c r="DA103" s="109">
        <v>0</v>
      </c>
      <c r="DB103" s="105">
        <v>0</v>
      </c>
      <c r="DC103" s="103">
        <f t="shared" si="288"/>
        <v>2.726</v>
      </c>
      <c r="DD103" s="109">
        <v>0</v>
      </c>
      <c r="DE103" s="105">
        <v>0</v>
      </c>
      <c r="DF103" s="103">
        <f>(DC103+DD103)-(DE103)</f>
        <v>2.726</v>
      </c>
      <c r="DG103" s="109">
        <v>0</v>
      </c>
      <c r="DH103" s="105">
        <v>0</v>
      </c>
      <c r="DI103" s="103">
        <f t="shared" si="289"/>
        <v>2.726</v>
      </c>
      <c r="DJ103" s="109">
        <v>0</v>
      </c>
      <c r="DK103" s="105">
        <v>0</v>
      </c>
      <c r="DL103" s="103">
        <f t="shared" si="218"/>
        <v>2.726</v>
      </c>
      <c r="DM103" s="109">
        <v>0</v>
      </c>
      <c r="DN103" s="105">
        <v>0</v>
      </c>
      <c r="DO103" s="103">
        <f t="shared" si="296"/>
        <v>2.726</v>
      </c>
      <c r="DP103" s="109">
        <v>0</v>
      </c>
      <c r="DQ103" s="105">
        <v>0</v>
      </c>
      <c r="DR103" s="103">
        <f t="shared" si="220"/>
        <v>2.726</v>
      </c>
      <c r="DS103" s="109">
        <v>0</v>
      </c>
      <c r="DT103" s="105">
        <v>0</v>
      </c>
      <c r="DU103" s="103">
        <f t="shared" si="221"/>
        <v>2.726</v>
      </c>
      <c r="DV103" s="109">
        <v>0</v>
      </c>
      <c r="DW103" s="105">
        <v>0</v>
      </c>
      <c r="DX103" s="746">
        <f t="shared" si="222"/>
        <v>2.726</v>
      </c>
      <c r="DY103" s="109">
        <v>0</v>
      </c>
      <c r="DZ103" s="105">
        <v>0</v>
      </c>
      <c r="EA103" s="103">
        <f t="shared" si="223"/>
        <v>2.726</v>
      </c>
      <c r="EB103" s="109">
        <v>0</v>
      </c>
      <c r="EC103" s="105">
        <v>0</v>
      </c>
      <c r="ED103" s="103">
        <f t="shared" si="224"/>
        <v>2.726</v>
      </c>
      <c r="EE103" s="109">
        <v>0</v>
      </c>
      <c r="EF103" s="105">
        <v>0</v>
      </c>
      <c r="EG103" s="746">
        <f t="shared" si="225"/>
        <v>2.726</v>
      </c>
      <c r="EH103" s="109">
        <v>0</v>
      </c>
      <c r="EI103" s="105">
        <v>0</v>
      </c>
      <c r="EJ103" s="103">
        <f t="shared" si="226"/>
        <v>2.726</v>
      </c>
      <c r="EK103" s="109">
        <v>0</v>
      </c>
      <c r="EL103" s="105">
        <v>0</v>
      </c>
      <c r="EM103" s="103">
        <f t="shared" si="227"/>
        <v>2.726</v>
      </c>
      <c r="EN103" s="109">
        <v>0</v>
      </c>
      <c r="EO103" s="105">
        <v>0</v>
      </c>
      <c r="EP103" s="746">
        <f t="shared" si="228"/>
        <v>2.726</v>
      </c>
      <c r="EQ103" s="109">
        <v>0</v>
      </c>
      <c r="ER103" s="105">
        <v>0</v>
      </c>
      <c r="ES103" s="746">
        <f t="shared" ref="ES103" si="297">(EP103+EQ103)-(ER103)</f>
        <v>2.726</v>
      </c>
      <c r="ET103" s="109">
        <v>0</v>
      </c>
      <c r="EU103" s="105">
        <v>0</v>
      </c>
      <c r="EV103" s="746">
        <f t="shared" ref="EV103" si="298">(ES103+ET103)-(EU103)</f>
        <v>2.726</v>
      </c>
      <c r="EW103" s="109">
        <v>0</v>
      </c>
      <c r="EX103" s="105">
        <v>0</v>
      </c>
      <c r="EY103" s="746">
        <f t="shared" ref="EY103" si="299">(EV103+EW103)-(EX103)</f>
        <v>2.726</v>
      </c>
    </row>
    <row r="104" spans="1:156" ht="20.25" thickBot="1">
      <c r="A104" s="296"/>
      <c r="B104" s="100"/>
      <c r="C104" s="299"/>
      <c r="D104" s="300" t="s">
        <v>388</v>
      </c>
      <c r="E104" s="160">
        <v>735.73699999999997</v>
      </c>
      <c r="F104" s="161">
        <f t="shared" ref="F104:AK104" si="300">SUM(F59:F103)</f>
        <v>972.59000000000015</v>
      </c>
      <c r="G104" s="162">
        <f t="shared" si="300"/>
        <v>1281.7489999999996</v>
      </c>
      <c r="H104" s="160">
        <f t="shared" si="300"/>
        <v>353.69400000000013</v>
      </c>
      <c r="I104" s="161">
        <f t="shared" si="300"/>
        <v>1040.94</v>
      </c>
      <c r="J104" s="162">
        <f t="shared" si="300"/>
        <v>1223.2590000000007</v>
      </c>
      <c r="K104" s="160">
        <f t="shared" si="300"/>
        <v>171.37500000000003</v>
      </c>
      <c r="L104" s="161">
        <f t="shared" si="300"/>
        <v>1247.1070000000002</v>
      </c>
      <c r="M104" s="162">
        <f t="shared" si="300"/>
        <v>1341.9100000000005</v>
      </c>
      <c r="N104" s="160">
        <f t="shared" si="300"/>
        <v>76.104000000000042</v>
      </c>
      <c r="O104" s="161">
        <f t="shared" si="300"/>
        <v>946.62500000000034</v>
      </c>
      <c r="P104" s="162">
        <f t="shared" si="300"/>
        <v>853.21300000000008</v>
      </c>
      <c r="Q104" s="160">
        <f t="shared" si="300"/>
        <v>169.51600000000016</v>
      </c>
      <c r="R104" s="161">
        <f t="shared" si="300"/>
        <v>1138.8120000000001</v>
      </c>
      <c r="S104" s="162">
        <f t="shared" si="300"/>
        <v>749.87399999999991</v>
      </c>
      <c r="T104" s="160">
        <f t="shared" si="300"/>
        <v>558.45400000000018</v>
      </c>
      <c r="U104" s="161">
        <f t="shared" si="300"/>
        <v>1029.4070000000002</v>
      </c>
      <c r="V104" s="162">
        <f t="shared" si="300"/>
        <v>1279.6429999999996</v>
      </c>
      <c r="W104" s="160">
        <f t="shared" si="300"/>
        <v>308.21800000000007</v>
      </c>
      <c r="X104" s="161">
        <f t="shared" si="300"/>
        <v>1139.232</v>
      </c>
      <c r="Y104" s="162">
        <f t="shared" si="300"/>
        <v>1234.9109999999998</v>
      </c>
      <c r="Z104" s="160">
        <f t="shared" si="300"/>
        <v>212.53900000000007</v>
      </c>
      <c r="AA104" s="161">
        <f t="shared" si="300"/>
        <v>1006.3570000000002</v>
      </c>
      <c r="AB104" s="162">
        <f t="shared" si="300"/>
        <v>893.77599999999973</v>
      </c>
      <c r="AC104" s="160">
        <f t="shared" si="300"/>
        <v>325.12000000000006</v>
      </c>
      <c r="AD104" s="161">
        <f t="shared" si="300"/>
        <v>1078.3209999999999</v>
      </c>
      <c r="AE104" s="162">
        <f t="shared" si="300"/>
        <v>827.53899999999987</v>
      </c>
      <c r="AF104" s="160">
        <f t="shared" si="300"/>
        <v>575.9020000000005</v>
      </c>
      <c r="AG104" s="161">
        <f t="shared" si="300"/>
        <v>916.04199999999992</v>
      </c>
      <c r="AH104" s="162">
        <f t="shared" si="300"/>
        <v>1131.5889999999999</v>
      </c>
      <c r="AI104" s="160">
        <f t="shared" si="300"/>
        <v>360.35500000000019</v>
      </c>
      <c r="AJ104" s="161">
        <f t="shared" si="300"/>
        <v>647.11099999999999</v>
      </c>
      <c r="AK104" s="162">
        <f t="shared" si="300"/>
        <v>833.77599999999973</v>
      </c>
      <c r="AL104" s="160">
        <f t="shared" ref="AL104:CM104" si="301">SUM(AL59:AL103)</f>
        <v>173.69000000000017</v>
      </c>
      <c r="AM104" s="161">
        <f t="shared" si="301"/>
        <v>589.851</v>
      </c>
      <c r="AN104" s="162">
        <f t="shared" si="301"/>
        <v>514.00400000000002</v>
      </c>
      <c r="AO104" s="160">
        <f t="shared" si="301"/>
        <v>249.53700000000015</v>
      </c>
      <c r="AP104" s="161">
        <f t="shared" si="301"/>
        <v>1498.7279999999996</v>
      </c>
      <c r="AQ104" s="162">
        <f t="shared" si="301"/>
        <v>1569.155</v>
      </c>
      <c r="AR104" s="160">
        <f t="shared" si="301"/>
        <v>197.11000000000016</v>
      </c>
      <c r="AS104" s="161">
        <f t="shared" si="301"/>
        <v>1800.808</v>
      </c>
      <c r="AT104" s="162">
        <f t="shared" si="301"/>
        <v>1735.143</v>
      </c>
      <c r="AU104" s="160">
        <f t="shared" si="301"/>
        <v>261.93300000000016</v>
      </c>
      <c r="AV104" s="161">
        <f t="shared" si="301"/>
        <v>1022.3609999999999</v>
      </c>
      <c r="AW104" s="162">
        <f t="shared" si="301"/>
        <v>1105.867</v>
      </c>
      <c r="AX104" s="160">
        <f t="shared" si="301"/>
        <v>175.06100000000012</v>
      </c>
      <c r="AY104" s="161">
        <f t="shared" si="301"/>
        <v>1526.5010000000002</v>
      </c>
      <c r="AZ104" s="162">
        <f t="shared" si="301"/>
        <v>1408.145</v>
      </c>
      <c r="BA104" s="160">
        <f t="shared" si="301"/>
        <v>293.41700000000003</v>
      </c>
      <c r="BB104" s="161">
        <f t="shared" si="301"/>
        <v>2038.0440000000003</v>
      </c>
      <c r="BC104" s="162">
        <f t="shared" si="301"/>
        <v>1936.5829999999999</v>
      </c>
      <c r="BD104" s="160">
        <f t="shared" si="301"/>
        <v>394.55799999999999</v>
      </c>
      <c r="BE104" s="161">
        <f t="shared" si="301"/>
        <v>2203.9390000000003</v>
      </c>
      <c r="BF104" s="162">
        <f t="shared" si="301"/>
        <v>2036.8810000000001</v>
      </c>
      <c r="BG104" s="160">
        <f t="shared" si="301"/>
        <v>561.6160000000001</v>
      </c>
      <c r="BH104" s="161">
        <f t="shared" si="301"/>
        <v>1550.105</v>
      </c>
      <c r="BI104" s="162">
        <f t="shared" si="301"/>
        <v>1514.6849999999997</v>
      </c>
      <c r="BJ104" s="160">
        <f t="shared" si="301"/>
        <v>597.03600000000017</v>
      </c>
      <c r="BK104" s="161">
        <f t="shared" si="301"/>
        <v>1863.4260000000002</v>
      </c>
      <c r="BL104" s="162">
        <f t="shared" si="301"/>
        <v>1616.7610000000004</v>
      </c>
      <c r="BM104" s="160">
        <f t="shared" si="301"/>
        <v>843.70100000000002</v>
      </c>
      <c r="BN104" s="161">
        <f t="shared" si="301"/>
        <v>1993.809</v>
      </c>
      <c r="BO104" s="162">
        <f t="shared" si="301"/>
        <v>2018.1480000000001</v>
      </c>
      <c r="BP104" s="160">
        <f t="shared" si="301"/>
        <v>819.36199999999997</v>
      </c>
      <c r="BQ104" s="161">
        <f t="shared" si="301"/>
        <v>1524.807</v>
      </c>
      <c r="BR104" s="162">
        <f t="shared" si="301"/>
        <v>1666.856</v>
      </c>
      <c r="BS104" s="160">
        <f t="shared" si="301"/>
        <v>677.31299999999987</v>
      </c>
      <c r="BT104" s="161">
        <f t="shared" si="301"/>
        <v>1315.2260000000003</v>
      </c>
      <c r="BU104" s="162">
        <f t="shared" si="301"/>
        <v>855.78400000000011</v>
      </c>
      <c r="BV104" s="160">
        <f t="shared" si="301"/>
        <v>1136.7550000000001</v>
      </c>
      <c r="BW104" s="161">
        <f t="shared" si="301"/>
        <v>1115.8229999999999</v>
      </c>
      <c r="BX104" s="162">
        <f t="shared" si="301"/>
        <v>859.76300000000003</v>
      </c>
      <c r="BY104" s="160">
        <f t="shared" si="301"/>
        <v>1390.0790000000002</v>
      </c>
      <c r="BZ104" s="161">
        <f t="shared" si="301"/>
        <v>734.26499999999987</v>
      </c>
      <c r="CA104" s="162">
        <f t="shared" si="301"/>
        <v>750.92400000000009</v>
      </c>
      <c r="CB104" s="160">
        <f t="shared" si="301"/>
        <v>1373.4200000000005</v>
      </c>
      <c r="CC104" s="161">
        <f t="shared" si="301"/>
        <v>973.47699999999998</v>
      </c>
      <c r="CD104" s="162">
        <f t="shared" si="301"/>
        <v>1032.7750000000003</v>
      </c>
      <c r="CE104" s="160">
        <f t="shared" si="301"/>
        <v>1314.1220000000003</v>
      </c>
      <c r="CF104" s="161">
        <f t="shared" si="301"/>
        <v>1428.749</v>
      </c>
      <c r="CG104" s="162">
        <f t="shared" si="301"/>
        <v>1770.5559999999998</v>
      </c>
      <c r="CH104" s="160">
        <f t="shared" si="301"/>
        <v>972.31500000000028</v>
      </c>
      <c r="CI104" s="161">
        <f t="shared" si="301"/>
        <v>1586.1270000000002</v>
      </c>
      <c r="CJ104" s="162">
        <f t="shared" si="301"/>
        <v>1790.2629999999999</v>
      </c>
      <c r="CK104" s="163">
        <f t="shared" si="301"/>
        <v>768.17900000000009</v>
      </c>
      <c r="CL104" s="164">
        <f t="shared" si="301"/>
        <v>1948.1169999999997</v>
      </c>
      <c r="CM104" s="165">
        <f t="shared" si="301"/>
        <v>1332.904</v>
      </c>
      <c r="CN104" s="160">
        <f>SUM(CN63,CN67,CN68,CN69,CN70,CN71,CN72,CN75,CN78,CN79,CN80,CN81,CN82,CN83,CN84,CN90,CN93,CN94,CN95,CN96,CN97,CN98,CN99,CN100,CN101,CN102)</f>
        <v>1116.6850000000002</v>
      </c>
      <c r="CO104" s="166">
        <f t="shared" ref="CO104:CV104" si="302">SUM(CO59:CO103)</f>
        <v>2132.7880000000005</v>
      </c>
      <c r="CP104" s="162">
        <f t="shared" si="302"/>
        <v>1862.7649999999999</v>
      </c>
      <c r="CQ104" s="160">
        <f t="shared" si="302"/>
        <v>1653.4149999999997</v>
      </c>
      <c r="CR104" s="161">
        <f t="shared" si="302"/>
        <v>1572.7160000000003</v>
      </c>
      <c r="CS104" s="162">
        <f t="shared" si="302"/>
        <v>1882.864</v>
      </c>
      <c r="CT104" s="163">
        <f t="shared" si="302"/>
        <v>1363.2409999999998</v>
      </c>
      <c r="CU104" s="161">
        <f t="shared" si="302"/>
        <v>1581.9410000000005</v>
      </c>
      <c r="CV104" s="162">
        <f t="shared" si="302"/>
        <v>1172.0939999999998</v>
      </c>
      <c r="CW104" s="160" t="e">
        <f>SUM(CW63,CW67,CW68,CW69,CW70,CW71,CW72,CW75,CW78,CW79,CW80,CW81,CW82,CW83,#REF!,CW90,CW93,CW94,CW95,CW96,CW97,CW98,CW99,CW100,#REF!,CW101,#REF!,CW102)</f>
        <v>#REF!</v>
      </c>
      <c r="CX104" s="166" t="e">
        <f>SUM(CX63,CX67,CX68,CX69,CX70,CX71,CX72,CX75,CX78,CX79,CX80,CX81,CX82,CX83,#REF!,CX90,CX93,CX94,CX95,CX96,CX97,CX98,CX99,CX100,#REF!,CX101,#REF!,CX102)</f>
        <v>#REF!</v>
      </c>
      <c r="CY104" s="162" t="e">
        <f>SUM(CY63,CY67,CY68,CY69,CY70,CY71,CY72,CY75,CY78,CY79,CY80,CY81,CY82,CY83,#REF!,CY90,CY93,CY94,CY95,CY96,CY97,CY98,CY99,CY100,#REF!,CY101,#REF!,CY102)</f>
        <v>#REF!</v>
      </c>
      <c r="CZ104" s="160" t="e">
        <f>SUM(CZ63,CZ67,CZ68,CZ69,CZ70,CZ71,CZ72,CZ75,CZ78,CZ79,CZ80,CZ81,CZ82,CZ83,#REF!,CZ90,CZ93,CZ94,CZ95,CZ96,CZ97,CZ98,CZ99,CZ100,#REF!,CZ101,#REF!,CZ102)</f>
        <v>#REF!</v>
      </c>
      <c r="DA104" s="161">
        <f>SUM(DA59:DA103)</f>
        <v>1546.9659999999999</v>
      </c>
      <c r="DB104" s="162">
        <f>SUM(DB59:DB103)</f>
        <v>1752.5420000000001</v>
      </c>
      <c r="DC104" s="160">
        <f>SUM(DC59:DC103)</f>
        <v>1735.4520000000007</v>
      </c>
      <c r="DD104" s="161">
        <f>SUM(DD59:DD103)</f>
        <v>1962.07</v>
      </c>
      <c r="DE104" s="162">
        <f>SUM(DE59:DE103)</f>
        <v>2029.3310000000001</v>
      </c>
      <c r="DF104" s="160">
        <f>SUM(DF63,DF67,DF68,DF69,DF70,DF71,DF72,DF75,DF78,DF79,DF80,DF81,DF82,DF83,DF84,DF90,DF93,DF94,DF95,DF96,DF97,DF98,DF99,DF100,DF101,DF102)</f>
        <v>1396.0579999999998</v>
      </c>
      <c r="DG104" s="161">
        <f>SUM(DG59:DG103)</f>
        <v>1504.2540000000001</v>
      </c>
      <c r="DH104" s="162">
        <f>SUM(DH59:DH103)</f>
        <v>1385.6579999999999</v>
      </c>
      <c r="DI104" s="160">
        <f t="shared" ref="DI104:DV104" si="303">SUM(DI63,DI67,DI68,DI69,DI70,DI71,DI72,DI75,DI78,DI79,DI80,DI81,DI82,DI83,DI84,DI90,DI93,DI94,DI95,DI96,DI97,DI98,DI99,DI100,DI101,DI102)</f>
        <v>1519.1480000000001</v>
      </c>
      <c r="DJ104" s="161">
        <f t="shared" si="303"/>
        <v>926.73200000000008</v>
      </c>
      <c r="DK104" s="162">
        <f t="shared" si="303"/>
        <v>958.14199999999983</v>
      </c>
      <c r="DL104" s="160">
        <f t="shared" si="303"/>
        <v>1487.7379999999998</v>
      </c>
      <c r="DM104" s="161">
        <f t="shared" si="303"/>
        <v>1391.4390000000003</v>
      </c>
      <c r="DN104" s="162">
        <f t="shared" si="303"/>
        <v>1225.3910000000003</v>
      </c>
      <c r="DO104" s="160">
        <f t="shared" si="303"/>
        <v>1654.6159999999998</v>
      </c>
      <c r="DP104" s="161">
        <f t="shared" si="303"/>
        <v>1289.8639999999998</v>
      </c>
      <c r="DQ104" s="162">
        <f>SUM(DQ63,DQ67,DQ68,DQ69,DQ70,DQ71,DQ72,DQ75,DQ78,DQ79,DQ80,DQ81,DQ82,DQ83,DQ84,DQ90,DQ93,DQ94,DQ95,DQ96,DQ97,DQ98,DQ99,DQ100,DQ101,DQ102,DQ76,DQ77)</f>
        <v>1848.0809999999992</v>
      </c>
      <c r="DR104" s="160">
        <f>SUM(DR63,DR67,DR68,DR69,DR70,DR71,DR72,DR75,DR78,DR79,DR80,DR81,DR82,DR83,DR84,DR90,DR93,DR94,DR95,DR96,DR97,DR98,DR99,DR100,DR101,DR102,DR76,DR77)</f>
        <v>1181.7309999999998</v>
      </c>
      <c r="DS104" s="161">
        <f t="shared" si="303"/>
        <v>1173.8180000000002</v>
      </c>
      <c r="DT104" s="162">
        <f t="shared" si="303"/>
        <v>1396.2940000000003</v>
      </c>
      <c r="DU104" s="160">
        <f t="shared" si="303"/>
        <v>873.92499999999984</v>
      </c>
      <c r="DV104" s="161">
        <f t="shared" si="303"/>
        <v>985.01999999999987</v>
      </c>
      <c r="DW104" s="162">
        <f>SUM(DW63,DW67,DW68,DW69,DW70,DW71,DW72,DW75,DW78,DW79,DW80,DW81,DW82,DW83,DW84,DW90,DW93,DW94,DW95,DW96,DW97,DW98,DW99,DW100,DW101,DW102+DW76+DW77)</f>
        <v>661.21800000000007</v>
      </c>
      <c r="DX104" s="748">
        <f t="shared" ref="DX104:EP104" si="304">SUM(DX63,DX67,DX68,DX69,DX70,DX71,DX72,DX75,DX78,DX79,DX80,DX81,DX82,DX83,DX84,DX90,DX93,DX94,DX95,DX96,DX97,DX98,DX99,DX100,DX101,DX102,DX86,DX87,DX88,DX89,DX91)</f>
        <v>1197.8110000000001</v>
      </c>
      <c r="DY104" s="161">
        <f>SUM(DY59:DY103)</f>
        <v>874.45100000000025</v>
      </c>
      <c r="DZ104" s="162">
        <f>SUM(DZ59:DZ103)</f>
        <v>610.40700000000004</v>
      </c>
      <c r="EA104" s="160">
        <f>SUM(EA59:EA103)</f>
        <v>1727.0220000000006</v>
      </c>
      <c r="EB104" s="161">
        <f>SUM(EB59:EB103)</f>
        <v>486.33</v>
      </c>
      <c r="EC104" s="161">
        <f>SUM(EC59:EC103)</f>
        <v>710.51199999999994</v>
      </c>
      <c r="ED104" s="160">
        <f t="shared" si="304"/>
        <v>1206.0190000000005</v>
      </c>
      <c r="EE104" s="161">
        <f>SUM(EE59:EE103)</f>
        <v>509.40799999999996</v>
      </c>
      <c r="EF104" s="161">
        <f>SUM(EF59:EF103)</f>
        <v>959.40099999999995</v>
      </c>
      <c r="EG104" s="748">
        <f t="shared" si="304"/>
        <v>759.05</v>
      </c>
      <c r="EH104" s="161">
        <f>SUM(EH59:EH103)</f>
        <v>692.10999999999979</v>
      </c>
      <c r="EI104" s="161">
        <f>SUM(EI59:EI103)</f>
        <v>664.78600000000006</v>
      </c>
      <c r="EJ104" s="160">
        <f t="shared" si="304"/>
        <v>786.37400000000002</v>
      </c>
      <c r="EK104" s="161">
        <f>SUM(EK59:EK103)</f>
        <v>687.6049999999999</v>
      </c>
      <c r="EL104" s="161">
        <f>SUM(EL59:EL103)</f>
        <v>302.00600000000003</v>
      </c>
      <c r="EM104" s="160">
        <f t="shared" si="304"/>
        <v>1169.6730000000005</v>
      </c>
      <c r="EN104" s="161">
        <f>SUM(EN59:EN103)</f>
        <v>921.1400000000001</v>
      </c>
      <c r="EO104" s="161">
        <f>SUM(EO59:EO103)</f>
        <v>411.50800000000004</v>
      </c>
      <c r="EP104" s="748">
        <f t="shared" si="304"/>
        <v>1676.3050000000003</v>
      </c>
      <c r="EQ104" s="161">
        <f>SUM(EQ59:EQ103)</f>
        <v>757.4</v>
      </c>
      <c r="ER104" s="161">
        <f>SUM(ER59:ER103)</f>
        <v>741.30000000000007</v>
      </c>
      <c r="ES104" s="748">
        <f t="shared" ref="ES104" si="305">SUM(ES63,ES67,ES68,ES69,ES70,ES71,ES72,ES75,ES78,ES79,ES80,ES81,ES82,ES83,ES84,ES90,ES93,ES94,ES95,ES96,ES97,ES98,ES99,ES100,ES101,ES102,ES86,ES87,ES88,ES89,ES91)</f>
        <v>1681.4050000000002</v>
      </c>
      <c r="ET104" s="161">
        <f>SUM(ET59:ET103)</f>
        <v>772.6</v>
      </c>
      <c r="EU104" s="161">
        <f>SUM(EU59:EU103)</f>
        <v>735</v>
      </c>
      <c r="EV104" s="748">
        <f t="shared" ref="EV104" si="306">SUM(EV63,EV67,EV68,EV69,EV70,EV71,EV72,EV75,EV78,EV79,EV80,EV81,EV82,EV83,EV84,EV90,EV93,EV94,EV95,EV96,EV97,EV98,EV99,EV100,EV101,EV102,EV86,EV87,EV88,EV89,EV91)</f>
        <v>1709.0050000000003</v>
      </c>
      <c r="EW104" s="161">
        <f>SUM(EW59:EW103)</f>
        <v>349.6</v>
      </c>
      <c r="EX104" s="161">
        <f>SUM(EX59:EX103)</f>
        <v>392.3</v>
      </c>
      <c r="EY104" s="748">
        <f t="shared" ref="EY104" si="307">SUM(EY63,EY67,EY68,EY69,EY70,EY71,EY72,EY75,EY78,EY79,EY80,EY81,EY82,EY83,EY84,EY90,EY93,EY94,EY95,EY96,EY97,EY98,EY99,EY100,EY101,EY102,EY86,EY87,EY88,EY89,EY91)</f>
        <v>1680.3050000000001</v>
      </c>
    </row>
    <row r="105" spans="1:156" ht="20.25" thickBot="1">
      <c r="A105" s="110"/>
      <c r="B105" s="301"/>
      <c r="C105" s="158"/>
      <c r="D105" s="300" t="s">
        <v>389</v>
      </c>
      <c r="E105" s="160"/>
      <c r="F105" s="166"/>
      <c r="G105" s="162"/>
      <c r="H105" s="160"/>
      <c r="I105" s="166"/>
      <c r="J105" s="162"/>
      <c r="K105" s="160"/>
      <c r="L105" s="166"/>
      <c r="M105" s="162"/>
      <c r="N105" s="160"/>
      <c r="O105" s="166"/>
      <c r="P105" s="162"/>
      <c r="Q105" s="160"/>
      <c r="R105" s="166"/>
      <c r="S105" s="162"/>
      <c r="T105" s="160"/>
      <c r="U105" s="166"/>
      <c r="V105" s="162"/>
      <c r="W105" s="160"/>
      <c r="X105" s="166"/>
      <c r="Y105" s="162"/>
      <c r="Z105" s="160"/>
      <c r="AA105" s="166"/>
      <c r="AB105" s="162"/>
      <c r="AC105" s="160"/>
      <c r="AD105" s="166"/>
      <c r="AE105" s="162"/>
      <c r="AF105" s="160"/>
      <c r="AG105" s="166"/>
      <c r="AH105" s="162"/>
      <c r="AI105" s="160"/>
      <c r="AJ105" s="166"/>
      <c r="AK105" s="162"/>
      <c r="AL105" s="160"/>
      <c r="AM105" s="166"/>
      <c r="AN105" s="162"/>
      <c r="AO105" s="160"/>
      <c r="AP105" s="166"/>
      <c r="AQ105" s="162"/>
      <c r="AR105" s="160"/>
      <c r="AS105" s="166"/>
      <c r="AT105" s="162"/>
      <c r="AU105" s="160"/>
      <c r="AV105" s="166"/>
      <c r="AW105" s="162"/>
      <c r="AX105" s="160"/>
      <c r="AY105" s="166"/>
      <c r="AZ105" s="162"/>
      <c r="BA105" s="160"/>
      <c r="BB105" s="166"/>
      <c r="BC105" s="162"/>
      <c r="BD105" s="160"/>
      <c r="BE105" s="166"/>
      <c r="BF105" s="162"/>
      <c r="BG105" s="160"/>
      <c r="BH105" s="166"/>
      <c r="BI105" s="162"/>
      <c r="BJ105" s="160"/>
      <c r="BK105" s="166"/>
      <c r="BL105" s="162"/>
      <c r="BM105" s="160"/>
      <c r="BN105" s="166"/>
      <c r="BO105" s="162"/>
      <c r="BP105" s="160"/>
      <c r="BQ105" s="166"/>
      <c r="BR105" s="162"/>
      <c r="BS105" s="160"/>
      <c r="BT105" s="166"/>
      <c r="BU105" s="162"/>
      <c r="BV105" s="160"/>
      <c r="BW105" s="166"/>
      <c r="BX105" s="162"/>
      <c r="BY105" s="160"/>
      <c r="BZ105" s="166"/>
      <c r="CA105" s="162"/>
      <c r="CB105" s="160"/>
      <c r="CC105" s="166"/>
      <c r="CD105" s="162"/>
      <c r="CE105" s="160"/>
      <c r="CF105" s="166"/>
      <c r="CG105" s="302"/>
      <c r="CH105" s="160"/>
      <c r="CI105" s="166"/>
      <c r="CJ105" s="302"/>
      <c r="CK105" s="163"/>
      <c r="CL105" s="164"/>
      <c r="CM105" s="303"/>
      <c r="CN105" s="160">
        <f>SUM(CN59,CN60,CN61,CN62,CN64,CN65,CN66,CN73,CN74,CN76,CN77,CN103)</f>
        <v>266.70699999999988</v>
      </c>
      <c r="CO105" s="166"/>
      <c r="CP105" s="302"/>
      <c r="CQ105" s="160"/>
      <c r="CR105" s="166"/>
      <c r="CS105" s="302"/>
      <c r="CT105" s="163"/>
      <c r="CU105" s="161"/>
      <c r="CV105" s="302"/>
      <c r="CW105" s="160">
        <f t="shared" ref="CW105:EG105" si="308">SUM(CW59,CW60,CW61,CW62,CW64,CW65,CW66,CW73,CW74,CW76,CW77,CW103)</f>
        <v>272.68499999999995</v>
      </c>
      <c r="CX105" s="166">
        <f t="shared" si="308"/>
        <v>0</v>
      </c>
      <c r="CY105" s="166">
        <f t="shared" si="308"/>
        <v>0</v>
      </c>
      <c r="CZ105" s="304">
        <f t="shared" si="308"/>
        <v>272.68499999999995</v>
      </c>
      <c r="DA105" s="166">
        <f t="shared" si="308"/>
        <v>0</v>
      </c>
      <c r="DB105" s="302">
        <f t="shared" si="308"/>
        <v>0</v>
      </c>
      <c r="DC105" s="160">
        <f t="shared" si="308"/>
        <v>272.68499999999995</v>
      </c>
      <c r="DD105" s="166">
        <f t="shared" si="308"/>
        <v>0</v>
      </c>
      <c r="DE105" s="302">
        <f t="shared" si="308"/>
        <v>0</v>
      </c>
      <c r="DF105" s="160">
        <f t="shared" si="308"/>
        <v>272.68499999999995</v>
      </c>
      <c r="DG105" s="166">
        <f t="shared" si="308"/>
        <v>0</v>
      </c>
      <c r="DH105" s="302">
        <f t="shared" si="308"/>
        <v>4.4939999999999998</v>
      </c>
      <c r="DI105" s="160">
        <f t="shared" si="308"/>
        <v>268.19099999999992</v>
      </c>
      <c r="DJ105" s="305">
        <f t="shared" si="308"/>
        <v>0</v>
      </c>
      <c r="DK105" s="302">
        <f t="shared" si="308"/>
        <v>2.3079999999999998</v>
      </c>
      <c r="DL105" s="160">
        <f t="shared" si="308"/>
        <v>265.88299999999992</v>
      </c>
      <c r="DM105" s="166">
        <f t="shared" si="308"/>
        <v>0</v>
      </c>
      <c r="DN105" s="302">
        <f t="shared" si="308"/>
        <v>0</v>
      </c>
      <c r="DO105" s="160">
        <f t="shared" si="308"/>
        <v>265.25700000000001</v>
      </c>
      <c r="DP105" s="166">
        <f t="shared" si="308"/>
        <v>0</v>
      </c>
      <c r="DQ105" s="302">
        <f t="shared" si="308"/>
        <v>4.0000000000000001E-3</v>
      </c>
      <c r="DR105" s="160">
        <f t="shared" si="308"/>
        <v>265.25299999999999</v>
      </c>
      <c r="DS105" s="166">
        <f t="shared" si="308"/>
        <v>0</v>
      </c>
      <c r="DT105" s="302">
        <f t="shared" si="308"/>
        <v>0</v>
      </c>
      <c r="DU105" s="160">
        <f t="shared" si="308"/>
        <v>265.25299999999999</v>
      </c>
      <c r="DV105" s="166">
        <f t="shared" si="308"/>
        <v>0</v>
      </c>
      <c r="DW105" s="302">
        <f t="shared" si="308"/>
        <v>8.5999999999999993E-2</v>
      </c>
      <c r="DX105" s="748">
        <f t="shared" si="308"/>
        <v>265.16700000000003</v>
      </c>
      <c r="DY105" s="166">
        <f>SUM(DY59,DY60,DY61,DY62,DY64,DY65,DY66,DY73,DY74,DY76,DY77,DY103)</f>
        <v>-1E-3</v>
      </c>
      <c r="DZ105" s="302">
        <f t="shared" si="308"/>
        <v>1.008</v>
      </c>
      <c r="EA105" s="160">
        <f t="shared" si="308"/>
        <v>264.15800000000002</v>
      </c>
      <c r="EB105" s="166">
        <f t="shared" si="308"/>
        <v>0</v>
      </c>
      <c r="EC105" s="302">
        <f>SUM(EC59,EC60,EC61,EC62,EC64,EC65,EC66,EC73,EC74,EC76,EC77,EC103)</f>
        <v>-32.663000000000004</v>
      </c>
      <c r="ED105" s="160">
        <f t="shared" si="308"/>
        <v>296.82100000000003</v>
      </c>
      <c r="EE105" s="166">
        <f t="shared" si="308"/>
        <v>0</v>
      </c>
      <c r="EF105" s="302">
        <f t="shared" si="308"/>
        <v>3.024</v>
      </c>
      <c r="EG105" s="748">
        <f t="shared" si="308"/>
        <v>293.79700000000003</v>
      </c>
      <c r="EH105" s="166">
        <f t="shared" ref="EH105:EJ105" si="309">SUM(EH59,EH60,EH61,EH62,EH64,EH65,EH66,EH73,EH74,EH76,EH77,EH103)</f>
        <v>0</v>
      </c>
      <c r="EI105" s="302">
        <f t="shared" si="309"/>
        <v>0</v>
      </c>
      <c r="EJ105" s="160">
        <f t="shared" si="309"/>
        <v>293.79700000000003</v>
      </c>
      <c r="EK105" s="166">
        <f t="shared" ref="EK105:EM105" si="310">SUM(EK59,EK60,EK61,EK62,EK64,EK65,EK66,EK73,EK74,EK76,EK77,EK103)</f>
        <v>0</v>
      </c>
      <c r="EL105" s="302">
        <f t="shared" si="310"/>
        <v>0</v>
      </c>
      <c r="EM105" s="160">
        <f t="shared" si="310"/>
        <v>293.79700000000003</v>
      </c>
      <c r="EN105" s="166">
        <f t="shared" ref="EN105:EP105" si="311">SUM(EN59,EN60,EN61,EN62,EN64,EN65,EN66,EN73,EN74,EN76,EN77,EN103)</f>
        <v>0</v>
      </c>
      <c r="EO105" s="302">
        <f t="shared" si="311"/>
        <v>0</v>
      </c>
      <c r="EP105" s="748">
        <f t="shared" si="311"/>
        <v>293.79700000000003</v>
      </c>
      <c r="EQ105" s="166">
        <f t="shared" ref="EQ105:ES105" si="312">SUM(EQ59,EQ60,EQ61,EQ62,EQ64,EQ65,EQ66,EQ73,EQ74,EQ76,EQ77,EQ103)</f>
        <v>0</v>
      </c>
      <c r="ER105" s="302">
        <f t="shared" si="312"/>
        <v>0</v>
      </c>
      <c r="ES105" s="748">
        <f t="shared" si="312"/>
        <v>293.79700000000003</v>
      </c>
      <c r="ET105" s="166">
        <f t="shared" ref="ET105:EV105" si="313">SUM(ET59,ET60,ET61,ET62,ET64,ET65,ET66,ET73,ET74,ET76,ET77,ET103)</f>
        <v>0</v>
      </c>
      <c r="EU105" s="302">
        <f t="shared" si="313"/>
        <v>0</v>
      </c>
      <c r="EV105" s="748">
        <f t="shared" si="313"/>
        <v>293.79700000000003</v>
      </c>
      <c r="EW105" s="166">
        <f t="shared" ref="EW105:EY105" si="314">SUM(EW59,EW60,EW61,EW62,EW64,EW65,EW66,EW73,EW74,EW76,EW77,EW103)</f>
        <v>0</v>
      </c>
      <c r="EX105" s="302">
        <f t="shared" si="314"/>
        <v>0</v>
      </c>
      <c r="EY105" s="748">
        <f t="shared" si="314"/>
        <v>293.79700000000003</v>
      </c>
    </row>
    <row r="106" spans="1:156" ht="19.5">
      <c r="A106" s="110"/>
      <c r="B106" s="60"/>
      <c r="C106" s="306"/>
      <c r="D106" s="307"/>
      <c r="E106" s="308"/>
      <c r="F106" s="309"/>
      <c r="G106" s="196"/>
      <c r="H106" s="308"/>
      <c r="I106" s="309"/>
      <c r="J106" s="196"/>
      <c r="K106" s="308"/>
      <c r="L106" s="309"/>
      <c r="M106" s="196"/>
      <c r="N106" s="308"/>
      <c r="O106" s="309"/>
      <c r="P106" s="196"/>
      <c r="Q106" s="308"/>
      <c r="R106" s="309"/>
      <c r="S106" s="196"/>
      <c r="T106" s="308"/>
      <c r="U106" s="309"/>
      <c r="V106" s="196"/>
      <c r="W106" s="308"/>
      <c r="X106" s="309"/>
      <c r="Y106" s="196"/>
      <c r="Z106" s="308"/>
      <c r="AA106" s="309"/>
      <c r="AB106" s="196"/>
      <c r="AC106" s="308"/>
      <c r="AD106" s="309"/>
      <c r="AE106" s="196"/>
      <c r="AF106" s="308"/>
      <c r="AG106" s="309"/>
      <c r="AH106" s="196"/>
      <c r="AI106" s="308"/>
      <c r="AJ106" s="309"/>
      <c r="AK106" s="196"/>
      <c r="AL106" s="308"/>
      <c r="AM106" s="309"/>
      <c r="AN106" s="196"/>
      <c r="AO106" s="308"/>
      <c r="AP106" s="309"/>
      <c r="AQ106" s="196"/>
      <c r="AR106" s="308"/>
      <c r="AS106" s="309"/>
      <c r="AT106" s="196"/>
      <c r="AU106" s="308"/>
      <c r="AV106" s="309"/>
      <c r="AW106" s="196"/>
      <c r="AX106" s="308"/>
      <c r="AY106" s="309"/>
      <c r="AZ106" s="196"/>
      <c r="BA106" s="308"/>
      <c r="BB106" s="309"/>
      <c r="BC106" s="196"/>
      <c r="BD106" s="308"/>
      <c r="BE106" s="309"/>
      <c r="BF106" s="196"/>
      <c r="BG106" s="308"/>
      <c r="BH106" s="309"/>
      <c r="BI106" s="196"/>
      <c r="BJ106" s="308"/>
      <c r="BK106" s="309"/>
      <c r="BL106" s="196"/>
      <c r="BM106" s="308"/>
      <c r="BN106" s="309"/>
      <c r="BO106" s="196"/>
      <c r="BP106" s="308"/>
      <c r="BQ106" s="309"/>
      <c r="BR106" s="196"/>
      <c r="BS106" s="308"/>
      <c r="BT106" s="309"/>
      <c r="BU106" s="196"/>
      <c r="BV106" s="308"/>
      <c r="BW106" s="309"/>
      <c r="BX106" s="196"/>
      <c r="BY106" s="308"/>
      <c r="BZ106" s="309"/>
      <c r="CA106" s="196"/>
      <c r="CB106" s="308"/>
      <c r="CC106" s="309"/>
      <c r="CD106" s="196"/>
      <c r="CE106" s="308"/>
      <c r="CF106" s="309"/>
      <c r="CG106" s="195"/>
      <c r="CH106" s="308"/>
      <c r="CI106" s="309"/>
      <c r="CJ106" s="195"/>
      <c r="CK106" s="310"/>
      <c r="CL106" s="311"/>
      <c r="CM106" s="312"/>
      <c r="CN106" s="313"/>
      <c r="CO106" s="314"/>
      <c r="CP106" s="315"/>
      <c r="CQ106" s="316"/>
      <c r="CR106" s="314"/>
      <c r="CS106" s="315"/>
      <c r="CT106" s="317"/>
      <c r="CU106" s="318"/>
      <c r="CV106" s="315"/>
      <c r="CW106" s="316"/>
      <c r="CX106" s="314"/>
      <c r="CY106" s="314"/>
      <c r="CZ106" s="309"/>
      <c r="DA106" s="309"/>
      <c r="DB106" s="309"/>
      <c r="DC106" s="309"/>
      <c r="DD106" s="309"/>
      <c r="DE106" s="309"/>
      <c r="DF106" s="309"/>
      <c r="DG106" s="309"/>
      <c r="DH106" s="309"/>
      <c r="DI106" s="309"/>
      <c r="DJ106" s="309"/>
      <c r="DK106" s="309"/>
      <c r="DL106" s="309"/>
      <c r="DM106" s="309"/>
      <c r="DN106" s="309"/>
      <c r="DO106" s="309"/>
      <c r="DP106" s="309"/>
      <c r="DQ106" s="309"/>
      <c r="DR106" s="309"/>
      <c r="DS106" s="309"/>
      <c r="DT106" s="309"/>
      <c r="DU106" s="309"/>
      <c r="DV106" s="309"/>
      <c r="DW106" s="309"/>
      <c r="DX106" s="757"/>
      <c r="DY106" s="309"/>
      <c r="DZ106" s="309"/>
      <c r="EA106" s="309"/>
      <c r="EB106" s="309"/>
      <c r="EC106" s="309"/>
      <c r="ED106" s="309"/>
      <c r="EE106" s="309"/>
      <c r="EF106" s="309"/>
      <c r="EG106" s="757"/>
      <c r="EH106" s="309"/>
      <c r="EI106" s="309"/>
      <c r="EJ106" s="309"/>
      <c r="EK106" s="309"/>
      <c r="EL106" s="309"/>
      <c r="EM106" s="309"/>
      <c r="EN106" s="309"/>
      <c r="EO106" s="309"/>
      <c r="EP106" s="757"/>
      <c r="EQ106" s="309"/>
      <c r="ER106" s="309"/>
      <c r="ES106" s="757"/>
      <c r="ET106" s="309"/>
      <c r="EU106" s="309"/>
      <c r="EV106" s="757"/>
      <c r="EW106" s="309"/>
      <c r="EX106" s="309"/>
      <c r="EY106" s="757"/>
    </row>
    <row r="107" spans="1:156" ht="19.5">
      <c r="A107" s="110"/>
      <c r="B107" s="60"/>
      <c r="C107" s="306"/>
      <c r="D107" s="307"/>
      <c r="E107" s="308"/>
      <c r="F107" s="309"/>
      <c r="G107" s="196"/>
      <c r="H107" s="308"/>
      <c r="I107" s="309"/>
      <c r="J107" s="196"/>
      <c r="K107" s="308"/>
      <c r="L107" s="309"/>
      <c r="M107" s="196"/>
      <c r="N107" s="308"/>
      <c r="O107" s="309"/>
      <c r="P107" s="196"/>
      <c r="Q107" s="308"/>
      <c r="R107" s="309"/>
      <c r="S107" s="196"/>
      <c r="T107" s="308"/>
      <c r="U107" s="309"/>
      <c r="V107" s="196"/>
      <c r="W107" s="308"/>
      <c r="X107" s="309"/>
      <c r="Y107" s="196"/>
      <c r="Z107" s="308"/>
      <c r="AA107" s="309"/>
      <c r="AB107" s="196"/>
      <c r="AC107" s="308"/>
      <c r="AD107" s="309"/>
      <c r="AE107" s="196"/>
      <c r="AF107" s="308"/>
      <c r="AG107" s="309"/>
      <c r="AH107" s="196"/>
      <c r="AI107" s="308"/>
      <c r="AJ107" s="309"/>
      <c r="AK107" s="196"/>
      <c r="AL107" s="308"/>
      <c r="AM107" s="309"/>
      <c r="AN107" s="196"/>
      <c r="AO107" s="308"/>
      <c r="AP107" s="309"/>
      <c r="AQ107" s="196"/>
      <c r="AR107" s="308"/>
      <c r="AS107" s="309"/>
      <c r="AT107" s="196"/>
      <c r="AU107" s="308"/>
      <c r="AV107" s="309"/>
      <c r="AW107" s="196"/>
      <c r="AX107" s="308"/>
      <c r="AY107" s="309"/>
      <c r="AZ107" s="196"/>
      <c r="BA107" s="308"/>
      <c r="BB107" s="309"/>
      <c r="BC107" s="196"/>
      <c r="BD107" s="308"/>
      <c r="BE107" s="309"/>
      <c r="BF107" s="196"/>
      <c r="BG107" s="308"/>
      <c r="BH107" s="309"/>
      <c r="BI107" s="196"/>
      <c r="BJ107" s="308"/>
      <c r="BK107" s="309"/>
      <c r="BL107" s="196"/>
      <c r="BM107" s="308"/>
      <c r="BN107" s="309"/>
      <c r="BO107" s="196"/>
      <c r="BP107" s="308"/>
      <c r="BQ107" s="309"/>
      <c r="BR107" s="196"/>
      <c r="BS107" s="308"/>
      <c r="BT107" s="309"/>
      <c r="BU107" s="196"/>
      <c r="BV107" s="308"/>
      <c r="BW107" s="309"/>
      <c r="BX107" s="196"/>
      <c r="BY107" s="308"/>
      <c r="BZ107" s="309"/>
      <c r="CA107" s="196"/>
      <c r="CB107" s="308"/>
      <c r="CC107" s="309"/>
      <c r="CD107" s="196"/>
      <c r="CE107" s="308"/>
      <c r="CF107" s="309"/>
      <c r="CG107" s="195"/>
      <c r="CH107" s="308"/>
      <c r="CI107" s="309"/>
      <c r="CJ107" s="195"/>
      <c r="CK107" s="310"/>
      <c r="CL107" s="311"/>
      <c r="CM107" s="312"/>
      <c r="CN107" s="319"/>
      <c r="CO107" s="309"/>
      <c r="CP107" s="195"/>
      <c r="CQ107" s="308"/>
      <c r="CR107" s="309"/>
      <c r="CS107" s="195"/>
      <c r="CT107" s="310"/>
      <c r="CU107" s="320"/>
      <c r="CV107" s="195"/>
      <c r="CW107" s="308"/>
      <c r="CX107" s="309"/>
      <c r="CY107" s="309"/>
      <c r="CZ107" s="309"/>
      <c r="DA107" s="309"/>
      <c r="DB107" s="309"/>
      <c r="DC107" s="309"/>
      <c r="DD107" s="309"/>
      <c r="DE107" s="309"/>
      <c r="DF107" s="309"/>
      <c r="DG107" s="309"/>
      <c r="DH107" s="309"/>
      <c r="DI107" s="309"/>
      <c r="DJ107" s="309"/>
      <c r="DK107" s="309"/>
      <c r="DL107" s="309"/>
      <c r="DM107" s="309"/>
      <c r="DN107" s="321"/>
      <c r="DO107" s="309"/>
      <c r="DP107" s="309"/>
      <c r="DQ107" s="309"/>
      <c r="DR107" s="309"/>
      <c r="DS107" s="309"/>
      <c r="DT107" s="309"/>
      <c r="DU107" s="309"/>
      <c r="DV107" s="321"/>
      <c r="DW107" s="309"/>
      <c r="DX107" s="757"/>
      <c r="DY107" s="309"/>
      <c r="DZ107" s="309"/>
      <c r="EA107" s="309"/>
      <c r="EB107" s="309"/>
      <c r="EC107" s="309"/>
      <c r="ED107" s="309"/>
      <c r="EE107" s="309"/>
      <c r="EF107" s="309"/>
      <c r="EG107" s="757"/>
      <c r="EH107" s="309"/>
      <c r="EI107" s="309"/>
      <c r="EJ107" s="309"/>
      <c r="EK107" s="309"/>
      <c r="EL107" s="309"/>
      <c r="EM107" s="309"/>
      <c r="EN107" s="309"/>
      <c r="EO107" s="309"/>
      <c r="EP107" s="757"/>
      <c r="EQ107" s="309"/>
      <c r="ER107" s="309"/>
      <c r="ES107" s="757"/>
      <c r="ET107" s="309"/>
      <c r="EU107" s="309"/>
      <c r="EV107" s="757"/>
      <c r="EW107" s="309"/>
      <c r="EX107" s="309"/>
      <c r="EY107" s="757"/>
    </row>
    <row r="108" spans="1:156" ht="19.5">
      <c r="A108" s="110"/>
      <c r="B108" s="60"/>
      <c r="C108" s="306"/>
      <c r="D108" s="307"/>
      <c r="E108" s="308"/>
      <c r="F108" s="309"/>
      <c r="G108" s="196"/>
      <c r="H108" s="308"/>
      <c r="I108" s="309"/>
      <c r="J108" s="196"/>
      <c r="K108" s="308"/>
      <c r="L108" s="309"/>
      <c r="M108" s="196"/>
      <c r="N108" s="308"/>
      <c r="O108" s="309"/>
      <c r="P108" s="196"/>
      <c r="Q108" s="308"/>
      <c r="R108" s="309"/>
      <c r="S108" s="196"/>
      <c r="T108" s="308"/>
      <c r="U108" s="309"/>
      <c r="V108" s="196"/>
      <c r="W108" s="308"/>
      <c r="X108" s="309"/>
      <c r="Y108" s="196"/>
      <c r="Z108" s="308"/>
      <c r="AA108" s="309"/>
      <c r="AB108" s="196"/>
      <c r="AC108" s="308"/>
      <c r="AD108" s="309"/>
      <c r="AE108" s="196"/>
      <c r="AF108" s="308"/>
      <c r="AG108" s="309"/>
      <c r="AH108" s="196"/>
      <c r="AI108" s="308"/>
      <c r="AJ108" s="309"/>
      <c r="AK108" s="196"/>
      <c r="AL108" s="308"/>
      <c r="AM108" s="309"/>
      <c r="AN108" s="196"/>
      <c r="AO108" s="308"/>
      <c r="AP108" s="309"/>
      <c r="AQ108" s="196"/>
      <c r="AR108" s="308"/>
      <c r="AS108" s="309"/>
      <c r="AT108" s="196"/>
      <c r="AU108" s="308"/>
      <c r="AV108" s="309"/>
      <c r="AW108" s="196"/>
      <c r="AX108" s="308"/>
      <c r="AY108" s="309"/>
      <c r="AZ108" s="196"/>
      <c r="BA108" s="308"/>
      <c r="BB108" s="309"/>
      <c r="BC108" s="196"/>
      <c r="BD108" s="308"/>
      <c r="BE108" s="309"/>
      <c r="BF108" s="196"/>
      <c r="BG108" s="308"/>
      <c r="BH108" s="309"/>
      <c r="BI108" s="196"/>
      <c r="BJ108" s="308"/>
      <c r="BK108" s="309"/>
      <c r="BL108" s="196"/>
      <c r="BM108" s="308"/>
      <c r="BN108" s="309"/>
      <c r="BO108" s="196"/>
      <c r="BP108" s="308"/>
      <c r="BQ108" s="309"/>
      <c r="BR108" s="196"/>
      <c r="BS108" s="308"/>
      <c r="BT108" s="309"/>
      <c r="BU108" s="196"/>
      <c r="BV108" s="308"/>
      <c r="BW108" s="309"/>
      <c r="BX108" s="196"/>
      <c r="BY108" s="308"/>
      <c r="BZ108" s="309"/>
      <c r="CA108" s="196"/>
      <c r="CB108" s="308"/>
      <c r="CC108" s="309"/>
      <c r="CD108" s="196"/>
      <c r="CE108" s="308"/>
      <c r="CF108" s="309"/>
      <c r="CG108" s="195"/>
      <c r="CH108" s="308"/>
      <c r="CI108" s="309"/>
      <c r="CJ108" s="195"/>
      <c r="CK108" s="310"/>
      <c r="CL108" s="311"/>
      <c r="CM108" s="312"/>
      <c r="CN108" s="319"/>
      <c r="CO108" s="309"/>
      <c r="CP108" s="195"/>
      <c r="CQ108" s="308"/>
      <c r="CR108" s="309"/>
      <c r="CS108" s="195"/>
      <c r="CT108" s="310"/>
      <c r="CU108" s="320"/>
      <c r="CV108" s="195"/>
      <c r="CW108" s="308"/>
      <c r="CX108" s="309"/>
      <c r="CY108" s="309"/>
      <c r="CZ108" s="309"/>
      <c r="DA108" s="309"/>
      <c r="DB108" s="309"/>
      <c r="DC108" s="309"/>
      <c r="DD108" s="309"/>
      <c r="DE108" s="309"/>
      <c r="DF108" s="309"/>
      <c r="DG108" s="309"/>
      <c r="DH108" s="309"/>
      <c r="DI108" s="309"/>
      <c r="DJ108" s="309"/>
      <c r="DK108" s="309"/>
      <c r="DL108" s="309"/>
      <c r="DM108" s="309"/>
      <c r="DN108" s="309"/>
      <c r="DO108" s="309"/>
      <c r="DP108" s="309"/>
      <c r="DQ108" s="309"/>
      <c r="DR108" s="309"/>
      <c r="DS108" s="309"/>
      <c r="DT108" s="309"/>
      <c r="DU108" s="309"/>
      <c r="DV108" s="321"/>
      <c r="DW108" s="309"/>
      <c r="DX108" s="757"/>
      <c r="DY108" s="309"/>
      <c r="DZ108" s="309"/>
      <c r="EA108" s="309"/>
      <c r="EB108" s="309"/>
      <c r="EC108" s="309"/>
      <c r="ED108" s="309"/>
      <c r="EE108" s="309"/>
      <c r="EF108" s="309"/>
      <c r="EG108" s="757"/>
      <c r="EH108" s="309"/>
      <c r="EI108" s="309"/>
      <c r="EJ108" s="309"/>
      <c r="EK108" s="309"/>
      <c r="EL108" s="309"/>
      <c r="EM108" s="309"/>
      <c r="EN108" s="309"/>
      <c r="EO108" s="309"/>
      <c r="EP108" s="757"/>
      <c r="EQ108" s="309"/>
      <c r="ER108" s="309"/>
      <c r="ES108" s="757"/>
      <c r="ET108" s="309"/>
      <c r="EU108" s="309"/>
      <c r="EV108" s="757"/>
      <c r="EW108" s="309"/>
      <c r="EX108" s="309"/>
      <c r="EY108" s="757"/>
    </row>
    <row r="109" spans="1:156" ht="20.25" thickBot="1">
      <c r="A109" s="110"/>
      <c r="B109" s="60"/>
      <c r="C109" s="306"/>
      <c r="D109" s="307"/>
      <c r="E109" s="308"/>
      <c r="F109" s="309"/>
      <c r="G109" s="196"/>
      <c r="H109" s="308"/>
      <c r="I109" s="309"/>
      <c r="J109" s="196"/>
      <c r="K109" s="308"/>
      <c r="L109" s="309"/>
      <c r="M109" s="196"/>
      <c r="N109" s="308"/>
      <c r="O109" s="309"/>
      <c r="P109" s="196"/>
      <c r="Q109" s="308"/>
      <c r="R109" s="309"/>
      <c r="S109" s="196"/>
      <c r="T109" s="308"/>
      <c r="U109" s="309"/>
      <c r="V109" s="196"/>
      <c r="W109" s="308"/>
      <c r="X109" s="309"/>
      <c r="Y109" s="196"/>
      <c r="Z109" s="308"/>
      <c r="AA109" s="309"/>
      <c r="AB109" s="196"/>
      <c r="AC109" s="308"/>
      <c r="AD109" s="309"/>
      <c r="AE109" s="196"/>
      <c r="AF109" s="308"/>
      <c r="AG109" s="309"/>
      <c r="AH109" s="196"/>
      <c r="AI109" s="308"/>
      <c r="AJ109" s="309"/>
      <c r="AK109" s="196"/>
      <c r="AL109" s="308"/>
      <c r="AM109" s="309"/>
      <c r="AN109" s="196"/>
      <c r="AO109" s="308"/>
      <c r="AP109" s="309"/>
      <c r="AQ109" s="196"/>
      <c r="AR109" s="308"/>
      <c r="AS109" s="309"/>
      <c r="AT109" s="196"/>
      <c r="AU109" s="308"/>
      <c r="AV109" s="309"/>
      <c r="AW109" s="196"/>
      <c r="AX109" s="308"/>
      <c r="AY109" s="309"/>
      <c r="AZ109" s="196"/>
      <c r="BA109" s="308"/>
      <c r="BB109" s="309"/>
      <c r="BC109" s="196"/>
      <c r="BD109" s="308"/>
      <c r="BE109" s="309"/>
      <c r="BF109" s="196"/>
      <c r="BG109" s="308"/>
      <c r="BH109" s="309"/>
      <c r="BI109" s="196"/>
      <c r="BJ109" s="308"/>
      <c r="BK109" s="309"/>
      <c r="BL109" s="196"/>
      <c r="BM109" s="308"/>
      <c r="BN109" s="309"/>
      <c r="BO109" s="196"/>
      <c r="BP109" s="308"/>
      <c r="BQ109" s="309"/>
      <c r="BR109" s="196"/>
      <c r="BS109" s="308"/>
      <c r="BT109" s="309"/>
      <c r="BU109" s="196"/>
      <c r="BV109" s="308"/>
      <c r="BW109" s="309"/>
      <c r="BX109" s="196"/>
      <c r="BY109" s="308"/>
      <c r="BZ109" s="309"/>
      <c r="CA109" s="196"/>
      <c r="CB109" s="308"/>
      <c r="CC109" s="309"/>
      <c r="CD109" s="196"/>
      <c r="CE109" s="308"/>
      <c r="CF109" s="309"/>
      <c r="CG109" s="195"/>
      <c r="CH109" s="308"/>
      <c r="CI109" s="309"/>
      <c r="CJ109" s="195"/>
      <c r="CK109" s="310"/>
      <c r="CL109" s="311"/>
      <c r="CM109" s="312"/>
      <c r="CN109" s="319"/>
      <c r="CO109" s="309"/>
      <c r="CP109" s="195"/>
      <c r="CQ109" s="308"/>
      <c r="CR109" s="309"/>
      <c r="CS109" s="195"/>
      <c r="CT109" s="310"/>
      <c r="CU109" s="320"/>
      <c r="CV109" s="195"/>
      <c r="CW109" s="308"/>
      <c r="CX109" s="309"/>
      <c r="CY109" s="309"/>
      <c r="CZ109" s="309"/>
      <c r="DA109" s="309"/>
      <c r="DB109" s="309"/>
      <c r="DC109" s="309"/>
      <c r="DD109" s="309"/>
      <c r="DE109" s="309"/>
      <c r="DF109" s="309"/>
      <c r="DG109" s="309"/>
      <c r="DH109" s="309"/>
      <c r="DI109" s="309"/>
      <c r="DJ109" s="309"/>
      <c r="DK109" s="309"/>
      <c r="DL109" s="309"/>
      <c r="DM109" s="309"/>
      <c r="DN109" s="309"/>
      <c r="DO109" s="309"/>
      <c r="DP109" s="309"/>
      <c r="DQ109" s="309"/>
      <c r="DR109" s="309"/>
      <c r="DS109" s="309"/>
      <c r="DT109" s="309"/>
      <c r="DU109" s="309"/>
      <c r="DV109" s="309"/>
      <c r="DW109" s="309"/>
      <c r="DX109" s="757"/>
      <c r="DY109" s="309"/>
      <c r="DZ109" s="309"/>
      <c r="EA109" s="309"/>
      <c r="EB109" s="309"/>
      <c r="EC109" s="321"/>
      <c r="ED109" s="309"/>
      <c r="EE109" s="309"/>
      <c r="EF109" s="321"/>
      <c r="EG109" s="757"/>
      <c r="EH109" s="727"/>
      <c r="EI109" s="727"/>
      <c r="EJ109" s="727"/>
      <c r="EK109" s="727"/>
      <c r="EL109" s="727"/>
      <c r="EM109" s="727"/>
      <c r="EN109" s="727"/>
      <c r="EO109" s="727"/>
      <c r="EP109" s="764"/>
      <c r="EQ109" s="727"/>
      <c r="ER109" s="727"/>
      <c r="ES109" s="764"/>
      <c r="ET109" s="727"/>
      <c r="EU109" s="727"/>
      <c r="EV109" s="764"/>
      <c r="EW109" s="727"/>
      <c r="EX109" s="727"/>
      <c r="EY109" s="764"/>
    </row>
    <row r="110" spans="1:156" s="34" customFormat="1" ht="19.5">
      <c r="A110" s="322" t="s">
        <v>3</v>
      </c>
      <c r="B110" s="323" t="s">
        <v>4</v>
      </c>
      <c r="C110" s="323" t="s">
        <v>5</v>
      </c>
      <c r="D110" s="324" t="s">
        <v>6</v>
      </c>
      <c r="E110" s="325"/>
      <c r="F110" s="326" t="s">
        <v>288</v>
      </c>
      <c r="G110" s="327"/>
      <c r="H110" s="325"/>
      <c r="I110" s="326" t="s">
        <v>289</v>
      </c>
      <c r="J110" s="327"/>
      <c r="K110" s="325"/>
      <c r="L110" s="326" t="s">
        <v>290</v>
      </c>
      <c r="M110" s="327"/>
      <c r="N110" s="325"/>
      <c r="O110" s="326" t="s">
        <v>291</v>
      </c>
      <c r="P110" s="327"/>
      <c r="Q110" s="325"/>
      <c r="R110" s="326" t="s">
        <v>292</v>
      </c>
      <c r="S110" s="327"/>
      <c r="T110" s="325"/>
      <c r="U110" s="326" t="s">
        <v>293</v>
      </c>
      <c r="V110" s="327"/>
      <c r="W110" s="325"/>
      <c r="X110" s="326" t="s">
        <v>294</v>
      </c>
      <c r="Y110" s="327"/>
      <c r="Z110" s="325"/>
      <c r="AA110" s="326" t="s">
        <v>295</v>
      </c>
      <c r="AB110" s="327"/>
      <c r="AC110" s="325"/>
      <c r="AD110" s="326" t="s">
        <v>296</v>
      </c>
      <c r="AE110" s="327"/>
      <c r="AF110" s="325"/>
      <c r="AG110" s="326" t="s">
        <v>297</v>
      </c>
      <c r="AH110" s="327"/>
      <c r="AI110" s="325"/>
      <c r="AJ110" s="326" t="s">
        <v>298</v>
      </c>
      <c r="AK110" s="327"/>
      <c r="AL110" s="325"/>
      <c r="AM110" s="326" t="s">
        <v>299</v>
      </c>
      <c r="AN110" s="327"/>
      <c r="AO110" s="325"/>
      <c r="AP110" s="326" t="s">
        <v>300</v>
      </c>
      <c r="AQ110" s="327"/>
      <c r="AR110" s="325"/>
      <c r="AS110" s="326" t="s">
        <v>301</v>
      </c>
      <c r="AT110" s="327"/>
      <c r="AU110" s="325"/>
      <c r="AV110" s="326" t="s">
        <v>302</v>
      </c>
      <c r="AW110" s="327"/>
      <c r="AX110" s="325"/>
      <c r="AY110" s="326" t="s">
        <v>303</v>
      </c>
      <c r="AZ110" s="327"/>
      <c r="BA110" s="325"/>
      <c r="BB110" s="326" t="s">
        <v>304</v>
      </c>
      <c r="BC110" s="327"/>
      <c r="BD110" s="325"/>
      <c r="BE110" s="326" t="s">
        <v>305</v>
      </c>
      <c r="BF110" s="327"/>
      <c r="BG110" s="325"/>
      <c r="BH110" s="326" t="s">
        <v>306</v>
      </c>
      <c r="BI110" s="327"/>
      <c r="BJ110" s="325"/>
      <c r="BK110" s="326" t="s">
        <v>307</v>
      </c>
      <c r="BL110" s="327"/>
      <c r="BM110" s="325"/>
      <c r="BN110" s="326" t="s">
        <v>308</v>
      </c>
      <c r="BO110" s="327"/>
      <c r="BP110" s="325"/>
      <c r="BQ110" s="326" t="s">
        <v>309</v>
      </c>
      <c r="BR110" s="327"/>
      <c r="BS110" s="325"/>
      <c r="BT110" s="326" t="s">
        <v>310</v>
      </c>
      <c r="BU110" s="327"/>
      <c r="BV110" s="325"/>
      <c r="BW110" s="326" t="s">
        <v>311</v>
      </c>
      <c r="BX110" s="327"/>
      <c r="BY110" s="325"/>
      <c r="BZ110" s="326" t="s">
        <v>312</v>
      </c>
      <c r="CA110" s="327"/>
      <c r="CB110" s="325"/>
      <c r="CC110" s="326" t="s">
        <v>313</v>
      </c>
      <c r="CD110" s="327"/>
      <c r="CE110" s="325"/>
      <c r="CF110" s="326" t="s">
        <v>314</v>
      </c>
      <c r="CG110" s="328"/>
      <c r="CH110" s="325"/>
      <c r="CI110" s="834" t="s">
        <v>315</v>
      </c>
      <c r="CJ110" s="835"/>
      <c r="CK110" s="835"/>
      <c r="CL110" s="329" t="s">
        <v>316</v>
      </c>
      <c r="CM110" s="330"/>
      <c r="CN110" s="331" t="s">
        <v>316</v>
      </c>
      <c r="CO110" s="332" t="s">
        <v>348</v>
      </c>
      <c r="CP110" s="333" t="s">
        <v>390</v>
      </c>
      <c r="CQ110" s="334"/>
      <c r="CR110" s="332" t="s">
        <v>348</v>
      </c>
      <c r="CS110" s="333" t="s">
        <v>391</v>
      </c>
      <c r="CT110" s="334"/>
      <c r="CU110" s="332" t="s">
        <v>348</v>
      </c>
      <c r="CV110" s="335" t="s">
        <v>392</v>
      </c>
      <c r="CW110" s="336" t="s">
        <v>393</v>
      </c>
      <c r="CX110" s="337"/>
      <c r="CY110" s="335" t="s">
        <v>323</v>
      </c>
      <c r="CZ110" s="338" t="s">
        <v>323</v>
      </c>
      <c r="DA110" s="337"/>
      <c r="DB110" s="335"/>
      <c r="DC110" s="335" t="s">
        <v>324</v>
      </c>
      <c r="DD110" s="326"/>
      <c r="DE110" s="335" t="s">
        <v>325</v>
      </c>
      <c r="DF110" s="325"/>
      <c r="DG110" s="326"/>
      <c r="DH110" s="335" t="s">
        <v>326</v>
      </c>
      <c r="DI110" s="325"/>
      <c r="DJ110" s="326"/>
      <c r="DK110" s="335" t="s">
        <v>327</v>
      </c>
      <c r="DL110" s="325"/>
      <c r="DM110" s="326"/>
      <c r="DN110" s="335" t="s">
        <v>328</v>
      </c>
      <c r="DO110" s="339"/>
      <c r="DP110" s="326"/>
      <c r="DQ110" s="335" t="s">
        <v>329</v>
      </c>
      <c r="DR110" s="325"/>
      <c r="DS110" s="326"/>
      <c r="DT110" s="335" t="s">
        <v>330</v>
      </c>
      <c r="DU110" s="325"/>
      <c r="DV110" s="326"/>
      <c r="DW110" s="335" t="s">
        <v>331</v>
      </c>
      <c r="DX110" s="758"/>
      <c r="DY110" s="326"/>
      <c r="DZ110" s="335" t="s">
        <v>332</v>
      </c>
      <c r="EA110" s="325"/>
      <c r="EB110" s="326"/>
      <c r="EC110" s="335" t="s">
        <v>333</v>
      </c>
      <c r="ED110" s="325"/>
      <c r="EE110" s="816"/>
      <c r="EF110" s="335" t="s">
        <v>334</v>
      </c>
      <c r="EG110" s="763"/>
      <c r="EH110" s="724"/>
      <c r="EI110" s="725" t="s">
        <v>428</v>
      </c>
      <c r="EJ110" s="726"/>
      <c r="EK110" s="724"/>
      <c r="EL110" s="725" t="s">
        <v>429</v>
      </c>
      <c r="EM110" s="726"/>
      <c r="EN110" s="724"/>
      <c r="EO110" s="725" t="s">
        <v>430</v>
      </c>
      <c r="EP110" s="765"/>
      <c r="EQ110" s="724"/>
      <c r="ER110" s="725" t="s">
        <v>447</v>
      </c>
      <c r="ES110" s="765"/>
      <c r="ET110" s="724"/>
      <c r="EU110" s="725" t="s">
        <v>448</v>
      </c>
      <c r="EV110" s="765"/>
      <c r="EW110" s="724"/>
      <c r="EX110" s="725" t="s">
        <v>449</v>
      </c>
      <c r="EY110" s="765"/>
    </row>
    <row r="111" spans="1:156" s="34" customFormat="1" ht="20.25" thickBot="1">
      <c r="A111" s="47"/>
      <c r="B111" s="48"/>
      <c r="C111" s="48" t="s">
        <v>7</v>
      </c>
      <c r="D111" s="49"/>
      <c r="E111" s="50" t="s">
        <v>335</v>
      </c>
      <c r="F111" s="51" t="s">
        <v>336</v>
      </c>
      <c r="G111" s="52" t="s">
        <v>67</v>
      </c>
      <c r="H111" s="50" t="s">
        <v>335</v>
      </c>
      <c r="I111" s="51" t="s">
        <v>336</v>
      </c>
      <c r="J111" s="52" t="s">
        <v>67</v>
      </c>
      <c r="K111" s="50" t="s">
        <v>335</v>
      </c>
      <c r="L111" s="51" t="s">
        <v>336</v>
      </c>
      <c r="M111" s="52" t="s">
        <v>67</v>
      </c>
      <c r="N111" s="50" t="s">
        <v>335</v>
      </c>
      <c r="O111" s="51" t="s">
        <v>336</v>
      </c>
      <c r="P111" s="52" t="s">
        <v>67</v>
      </c>
      <c r="Q111" s="50" t="s">
        <v>335</v>
      </c>
      <c r="R111" s="51" t="s">
        <v>336</v>
      </c>
      <c r="S111" s="52" t="s">
        <v>67</v>
      </c>
      <c r="T111" s="50" t="s">
        <v>335</v>
      </c>
      <c r="U111" s="51" t="s">
        <v>336</v>
      </c>
      <c r="V111" s="52" t="s">
        <v>67</v>
      </c>
      <c r="W111" s="50" t="s">
        <v>335</v>
      </c>
      <c r="X111" s="51" t="s">
        <v>336</v>
      </c>
      <c r="Y111" s="52" t="s">
        <v>67</v>
      </c>
      <c r="Z111" s="50" t="s">
        <v>335</v>
      </c>
      <c r="AA111" s="51" t="s">
        <v>336</v>
      </c>
      <c r="AB111" s="52" t="s">
        <v>67</v>
      </c>
      <c r="AC111" s="50" t="s">
        <v>335</v>
      </c>
      <c r="AD111" s="51" t="s">
        <v>336</v>
      </c>
      <c r="AE111" s="52" t="s">
        <v>67</v>
      </c>
      <c r="AF111" s="50" t="s">
        <v>335</v>
      </c>
      <c r="AG111" s="51" t="s">
        <v>336</v>
      </c>
      <c r="AH111" s="52" t="s">
        <v>67</v>
      </c>
      <c r="AI111" s="50" t="s">
        <v>335</v>
      </c>
      <c r="AJ111" s="51" t="s">
        <v>336</v>
      </c>
      <c r="AK111" s="52" t="s">
        <v>67</v>
      </c>
      <c r="AL111" s="50" t="s">
        <v>335</v>
      </c>
      <c r="AM111" s="51" t="s">
        <v>336</v>
      </c>
      <c r="AN111" s="52" t="s">
        <v>67</v>
      </c>
      <c r="AO111" s="50" t="s">
        <v>335</v>
      </c>
      <c r="AP111" s="51" t="s">
        <v>336</v>
      </c>
      <c r="AQ111" s="52" t="s">
        <v>67</v>
      </c>
      <c r="AR111" s="50" t="s">
        <v>335</v>
      </c>
      <c r="AS111" s="51" t="s">
        <v>336</v>
      </c>
      <c r="AT111" s="52" t="s">
        <v>67</v>
      </c>
      <c r="AU111" s="50" t="s">
        <v>335</v>
      </c>
      <c r="AV111" s="51" t="s">
        <v>336</v>
      </c>
      <c r="AW111" s="52" t="s">
        <v>67</v>
      </c>
      <c r="AX111" s="50" t="s">
        <v>335</v>
      </c>
      <c r="AY111" s="51" t="s">
        <v>336</v>
      </c>
      <c r="AZ111" s="52" t="s">
        <v>67</v>
      </c>
      <c r="BA111" s="50" t="s">
        <v>335</v>
      </c>
      <c r="BB111" s="51" t="s">
        <v>336</v>
      </c>
      <c r="BC111" s="52" t="s">
        <v>67</v>
      </c>
      <c r="BD111" s="50" t="s">
        <v>335</v>
      </c>
      <c r="BE111" s="51" t="s">
        <v>336</v>
      </c>
      <c r="BF111" s="52" t="s">
        <v>67</v>
      </c>
      <c r="BG111" s="50" t="s">
        <v>335</v>
      </c>
      <c r="BH111" s="51" t="s">
        <v>336</v>
      </c>
      <c r="BI111" s="52" t="s">
        <v>67</v>
      </c>
      <c r="BJ111" s="50" t="s">
        <v>335</v>
      </c>
      <c r="BK111" s="51" t="s">
        <v>336</v>
      </c>
      <c r="BL111" s="52" t="s">
        <v>67</v>
      </c>
      <c r="BM111" s="50" t="s">
        <v>335</v>
      </c>
      <c r="BN111" s="51" t="s">
        <v>336</v>
      </c>
      <c r="BO111" s="52" t="s">
        <v>67</v>
      </c>
      <c r="BP111" s="50" t="s">
        <v>335</v>
      </c>
      <c r="BQ111" s="51" t="s">
        <v>336</v>
      </c>
      <c r="BR111" s="52" t="s">
        <v>67</v>
      </c>
      <c r="BS111" s="50" t="s">
        <v>335</v>
      </c>
      <c r="BT111" s="51" t="s">
        <v>336</v>
      </c>
      <c r="BU111" s="52" t="s">
        <v>67</v>
      </c>
      <c r="BV111" s="50" t="s">
        <v>335</v>
      </c>
      <c r="BW111" s="51" t="s">
        <v>336</v>
      </c>
      <c r="BX111" s="52" t="s">
        <v>67</v>
      </c>
      <c r="BY111" s="50" t="s">
        <v>335</v>
      </c>
      <c r="BZ111" s="51" t="s">
        <v>336</v>
      </c>
      <c r="CA111" s="52" t="s">
        <v>67</v>
      </c>
      <c r="CB111" s="50" t="s">
        <v>335</v>
      </c>
      <c r="CC111" s="51" t="s">
        <v>336</v>
      </c>
      <c r="CD111" s="52" t="s">
        <v>67</v>
      </c>
      <c r="CE111" s="50" t="s">
        <v>335</v>
      </c>
      <c r="CF111" s="51" t="s">
        <v>336</v>
      </c>
      <c r="CG111" s="53" t="s">
        <v>67</v>
      </c>
      <c r="CH111" s="50" t="s">
        <v>335</v>
      </c>
      <c r="CI111" s="54" t="s">
        <v>336</v>
      </c>
      <c r="CJ111" s="53" t="s">
        <v>67</v>
      </c>
      <c r="CK111" s="55" t="s">
        <v>335</v>
      </c>
      <c r="CL111" s="56" t="s">
        <v>336</v>
      </c>
      <c r="CM111" s="57" t="s">
        <v>67</v>
      </c>
      <c r="CN111" s="50" t="s">
        <v>335</v>
      </c>
      <c r="CO111" s="51" t="s">
        <v>336</v>
      </c>
      <c r="CP111" s="52" t="s">
        <v>67</v>
      </c>
      <c r="CQ111" s="50" t="s">
        <v>335</v>
      </c>
      <c r="CR111" s="51" t="s">
        <v>336</v>
      </c>
      <c r="CS111" s="52" t="s">
        <v>67</v>
      </c>
      <c r="CT111" s="55" t="s">
        <v>335</v>
      </c>
      <c r="CU111" s="54" t="s">
        <v>336</v>
      </c>
      <c r="CV111" s="52" t="s">
        <v>67</v>
      </c>
      <c r="CW111" s="50" t="s">
        <v>335</v>
      </c>
      <c r="CX111" s="51" t="s">
        <v>336</v>
      </c>
      <c r="CY111" s="52" t="s">
        <v>67</v>
      </c>
      <c r="CZ111" s="50" t="s">
        <v>335</v>
      </c>
      <c r="DA111" s="51" t="s">
        <v>336</v>
      </c>
      <c r="DB111" s="52" t="s">
        <v>67</v>
      </c>
      <c r="DC111" s="50" t="s">
        <v>335</v>
      </c>
      <c r="DD111" s="51" t="s">
        <v>336</v>
      </c>
      <c r="DE111" s="52" t="s">
        <v>67</v>
      </c>
      <c r="DF111" s="50" t="s">
        <v>335</v>
      </c>
      <c r="DG111" s="51" t="s">
        <v>336</v>
      </c>
      <c r="DH111" s="52" t="s">
        <v>67</v>
      </c>
      <c r="DI111" s="50" t="s">
        <v>335</v>
      </c>
      <c r="DJ111" s="51" t="s">
        <v>336</v>
      </c>
      <c r="DK111" s="52" t="s">
        <v>67</v>
      </c>
      <c r="DL111" s="50" t="s">
        <v>335</v>
      </c>
      <c r="DM111" s="51" t="s">
        <v>336</v>
      </c>
      <c r="DN111" s="52" t="s">
        <v>67</v>
      </c>
      <c r="DO111" s="58" t="s">
        <v>335</v>
      </c>
      <c r="DP111" s="51" t="s">
        <v>336</v>
      </c>
      <c r="DQ111" s="52" t="s">
        <v>67</v>
      </c>
      <c r="DR111" s="50" t="s">
        <v>335</v>
      </c>
      <c r="DS111" s="51" t="s">
        <v>336</v>
      </c>
      <c r="DT111" s="52" t="s">
        <v>67</v>
      </c>
      <c r="DU111" s="50" t="s">
        <v>335</v>
      </c>
      <c r="DV111" s="51" t="s">
        <v>336</v>
      </c>
      <c r="DW111" s="52" t="s">
        <v>67</v>
      </c>
      <c r="DX111" s="743" t="s">
        <v>335</v>
      </c>
      <c r="DY111" s="51" t="s">
        <v>336</v>
      </c>
      <c r="DZ111" s="52" t="s">
        <v>67</v>
      </c>
      <c r="EA111" s="50" t="s">
        <v>335</v>
      </c>
      <c r="EB111" s="51" t="s">
        <v>336</v>
      </c>
      <c r="EC111" s="52" t="s">
        <v>67</v>
      </c>
      <c r="ED111" s="50" t="s">
        <v>335</v>
      </c>
      <c r="EE111" s="51" t="s">
        <v>336</v>
      </c>
      <c r="EF111" s="52" t="s">
        <v>67</v>
      </c>
      <c r="EG111" s="743" t="s">
        <v>335</v>
      </c>
      <c r="EH111" s="51" t="s">
        <v>336</v>
      </c>
      <c r="EI111" s="52" t="s">
        <v>67</v>
      </c>
      <c r="EJ111" s="50" t="s">
        <v>335</v>
      </c>
      <c r="EK111" s="51" t="s">
        <v>336</v>
      </c>
      <c r="EL111" s="52" t="s">
        <v>67</v>
      </c>
      <c r="EM111" s="50" t="s">
        <v>335</v>
      </c>
      <c r="EN111" s="51" t="s">
        <v>336</v>
      </c>
      <c r="EO111" s="52" t="s">
        <v>67</v>
      </c>
      <c r="EP111" s="743" t="s">
        <v>335</v>
      </c>
      <c r="EQ111" s="51" t="s">
        <v>336</v>
      </c>
      <c r="ER111" s="52" t="s">
        <v>67</v>
      </c>
      <c r="ES111" s="743" t="s">
        <v>335</v>
      </c>
      <c r="ET111" s="51" t="s">
        <v>336</v>
      </c>
      <c r="EU111" s="52" t="s">
        <v>67</v>
      </c>
      <c r="EV111" s="743" t="s">
        <v>335</v>
      </c>
      <c r="EW111" s="51" t="s">
        <v>336</v>
      </c>
      <c r="EX111" s="52" t="s">
        <v>67</v>
      </c>
      <c r="EY111" s="743" t="s">
        <v>335</v>
      </c>
      <c r="EZ111" s="810"/>
    </row>
    <row r="112" spans="1:156" ht="20.25" thickTop="1">
      <c r="A112" s="201">
        <v>7</v>
      </c>
      <c r="B112" s="184" t="s">
        <v>53</v>
      </c>
      <c r="C112" s="111">
        <v>100173213</v>
      </c>
      <c r="D112" s="75" t="s">
        <v>85</v>
      </c>
      <c r="E112" s="187">
        <v>44.000000000000099</v>
      </c>
      <c r="F112" s="64">
        <v>0</v>
      </c>
      <c r="G112" s="65">
        <v>19.36</v>
      </c>
      <c r="H112" s="187">
        <f>(E112+F112)-(G112)</f>
        <v>24.6400000000001</v>
      </c>
      <c r="I112" s="64">
        <v>0</v>
      </c>
      <c r="J112" s="65">
        <v>7.92</v>
      </c>
      <c r="K112" s="187">
        <f>(H112+I112)-(J112)</f>
        <v>16.720000000000098</v>
      </c>
      <c r="L112" s="64">
        <v>0</v>
      </c>
      <c r="M112" s="65">
        <v>3.52</v>
      </c>
      <c r="N112" s="187">
        <f>(K112+L112)-(M112)</f>
        <v>13.200000000000099</v>
      </c>
      <c r="O112" s="64">
        <v>0</v>
      </c>
      <c r="P112" s="65">
        <v>7.04</v>
      </c>
      <c r="Q112" s="187">
        <f>(N112+O112)-(P112)</f>
        <v>6.1600000000000987</v>
      </c>
      <c r="R112" s="64">
        <v>0</v>
      </c>
      <c r="S112" s="65">
        <v>0.88</v>
      </c>
      <c r="T112" s="187">
        <f>(Q112+R112)-(S112)</f>
        <v>5.2800000000000988</v>
      </c>
      <c r="U112" s="64">
        <v>9.0640000000000001</v>
      </c>
      <c r="V112" s="65">
        <v>3.52</v>
      </c>
      <c r="W112" s="187">
        <f>(T112+U112)-(V112)</f>
        <v>10.824000000000099</v>
      </c>
      <c r="X112" s="64">
        <v>0</v>
      </c>
      <c r="Y112" s="65">
        <v>2.64</v>
      </c>
      <c r="Z112" s="187">
        <f>(W112+X112)-(Y112)</f>
        <v>8.1840000000000988</v>
      </c>
      <c r="AA112" s="64">
        <v>0</v>
      </c>
      <c r="AB112" s="65">
        <v>6.16</v>
      </c>
      <c r="AC112" s="187">
        <f>(Z112+AA112)-(AB112)</f>
        <v>2.0240000000000986</v>
      </c>
      <c r="AD112" s="64">
        <v>7.524</v>
      </c>
      <c r="AE112" s="65">
        <v>1.76</v>
      </c>
      <c r="AF112" s="187">
        <f>(AC112+AD112)-(AE112)</f>
        <v>7.788000000000098</v>
      </c>
      <c r="AG112" s="64">
        <v>0</v>
      </c>
      <c r="AH112" s="65">
        <v>1.76</v>
      </c>
      <c r="AI112" s="187">
        <f>(AF112+AG112)-(AH112)</f>
        <v>6.0280000000000982</v>
      </c>
      <c r="AJ112" s="64">
        <v>0</v>
      </c>
      <c r="AK112" s="65">
        <v>6.04</v>
      </c>
      <c r="AL112" s="187">
        <f>(AI112+AJ112)-(AK112)</f>
        <v>-1.1999999999901867E-2</v>
      </c>
      <c r="AM112" s="64">
        <v>0</v>
      </c>
      <c r="AN112" s="65">
        <v>0</v>
      </c>
      <c r="AO112" s="187">
        <f>(AL112+AM112)-(AN112)</f>
        <v>-1.1999999999901867E-2</v>
      </c>
      <c r="AP112" s="64">
        <v>0</v>
      </c>
      <c r="AQ112" s="65">
        <v>0</v>
      </c>
      <c r="AR112" s="187">
        <f>(AO112+AP112)-(AQ112)</f>
        <v>-1.1999999999901867E-2</v>
      </c>
      <c r="AS112" s="64">
        <v>16.047999999999998</v>
      </c>
      <c r="AT112" s="65">
        <v>8.8000000000000007</v>
      </c>
      <c r="AU112" s="187">
        <f>(AR112+AS112)-(AT112)</f>
        <v>7.2360000000000966</v>
      </c>
      <c r="AV112" s="64">
        <v>0</v>
      </c>
      <c r="AW112" s="65">
        <v>0</v>
      </c>
      <c r="AX112" s="187">
        <f t="shared" ref="AX112:AX117" si="315">(AU112+AV112)-(AW112)</f>
        <v>7.2360000000000966</v>
      </c>
      <c r="AY112" s="64">
        <v>0</v>
      </c>
      <c r="AZ112" s="65">
        <v>0</v>
      </c>
      <c r="BA112" s="187">
        <f t="shared" ref="BA112:BA117" si="316">(AX112+AY112)-(AZ112)</f>
        <v>7.2360000000000966</v>
      </c>
      <c r="BB112" s="64">
        <v>0</v>
      </c>
      <c r="BC112" s="65">
        <v>0</v>
      </c>
      <c r="BD112" s="187">
        <v>7.2480000000000002</v>
      </c>
      <c r="BE112" s="64">
        <v>0</v>
      </c>
      <c r="BF112" s="65">
        <v>6.16</v>
      </c>
      <c r="BG112" s="187">
        <f t="shared" ref="BG112:BG117" si="317">(BD112+BE112)-(BF112)</f>
        <v>1.0880000000000001</v>
      </c>
      <c r="BH112" s="64">
        <v>0</v>
      </c>
      <c r="BI112" s="65">
        <v>1.0880000000000001</v>
      </c>
      <c r="BJ112" s="187">
        <f t="shared" ref="BJ112:BJ117" si="318">(BG112+BH112)-(BI112)</f>
        <v>0</v>
      </c>
      <c r="BK112" s="340">
        <v>5.5</v>
      </c>
      <c r="BL112" s="65">
        <v>0.88</v>
      </c>
      <c r="BM112" s="187">
        <f t="shared" ref="BM112:BM117" si="319">(BJ112+BK112)-(BL112)</f>
        <v>4.62</v>
      </c>
      <c r="BN112" s="340">
        <f>1.54+1.553+0.3</f>
        <v>3.3929999999999998</v>
      </c>
      <c r="BO112" s="65">
        <v>0.88</v>
      </c>
      <c r="BP112" s="187">
        <v>7.133</v>
      </c>
      <c r="BQ112" s="64">
        <v>0</v>
      </c>
      <c r="BR112" s="65">
        <v>4.4000000000000004</v>
      </c>
      <c r="BS112" s="187">
        <f t="shared" ref="BS112:BS117" si="320">(BP112+BQ112)-(BR112)</f>
        <v>2.7329999999999997</v>
      </c>
      <c r="BT112" s="64">
        <v>0</v>
      </c>
      <c r="BU112" s="65">
        <v>0</v>
      </c>
      <c r="BV112" s="187">
        <f t="shared" ref="BV112:BV117" si="321">(BS112+BT112)-(BU112)</f>
        <v>2.7329999999999997</v>
      </c>
      <c r="BW112" s="64">
        <v>0</v>
      </c>
      <c r="BX112" s="65">
        <v>0</v>
      </c>
      <c r="BY112" s="187">
        <f>(BV112+BW112)-(BX112)</f>
        <v>2.7329999999999997</v>
      </c>
      <c r="BZ112" s="64">
        <v>0</v>
      </c>
      <c r="CA112" s="65">
        <v>0</v>
      </c>
      <c r="CB112" s="187">
        <f t="shared" ref="CB112:CB117" si="322">(BY112+BZ112)-(CA112)</f>
        <v>2.7329999999999997</v>
      </c>
      <c r="CC112" s="64">
        <v>0</v>
      </c>
      <c r="CD112" s="65">
        <v>1.76</v>
      </c>
      <c r="CE112" s="187">
        <f t="shared" ref="CE112:CE117" si="323">(CB112+CC112)-(CD112)</f>
        <v>0.97299999999999964</v>
      </c>
      <c r="CF112" s="64">
        <v>0</v>
      </c>
      <c r="CG112" s="64">
        <v>0</v>
      </c>
      <c r="CH112" s="187">
        <f t="shared" ref="CH112:CH117" si="324">(CE112+CF112)-(CG112)</f>
        <v>0.97299999999999964</v>
      </c>
      <c r="CI112" s="64">
        <v>2.64</v>
      </c>
      <c r="CJ112" s="64">
        <v>1.76</v>
      </c>
      <c r="CK112" s="220">
        <f>(CH112+CI112)-(CJ112)</f>
        <v>1.8529999999999995</v>
      </c>
      <c r="CL112" s="70">
        <v>1</v>
      </c>
      <c r="CM112" s="221">
        <v>0</v>
      </c>
      <c r="CN112" s="187">
        <f t="shared" ref="CN112:CN117" si="325">(CK112+CL112)-(CM112)</f>
        <v>2.8529999999999998</v>
      </c>
      <c r="CO112" s="64">
        <v>0</v>
      </c>
      <c r="CP112" s="64">
        <v>0</v>
      </c>
      <c r="CQ112" s="187">
        <f t="shared" ref="CQ112:CQ117" si="326">(CN112+CO112)-(CP112)</f>
        <v>2.8529999999999998</v>
      </c>
      <c r="CR112" s="64">
        <v>0</v>
      </c>
      <c r="CS112" s="64">
        <v>0</v>
      </c>
      <c r="CT112" s="220">
        <f t="shared" ref="CT112:CT117" si="327">(CQ112+CR112)-(CS112)</f>
        <v>2.8529999999999998</v>
      </c>
      <c r="CU112" s="81">
        <v>1.056</v>
      </c>
      <c r="CV112" s="64">
        <v>0.88</v>
      </c>
      <c r="CW112" s="187">
        <f t="shared" ref="CW112:CW117" si="328">(CT112+CU112)-(CV112)</f>
        <v>3.0289999999999999</v>
      </c>
      <c r="CX112" s="64">
        <v>0</v>
      </c>
      <c r="CY112" s="64">
        <v>0</v>
      </c>
      <c r="CZ112" s="187">
        <f t="shared" ref="CZ112:CZ117" si="329">(CW112+CX112)-(CY112)</f>
        <v>3.0289999999999999</v>
      </c>
      <c r="DA112" s="64">
        <v>0</v>
      </c>
      <c r="DB112" s="64">
        <v>0</v>
      </c>
      <c r="DC112" s="187">
        <f t="shared" ref="DC112:DC117" si="330">(CZ112+DA112)-(DB112)</f>
        <v>3.0289999999999999</v>
      </c>
      <c r="DD112" s="64">
        <v>0</v>
      </c>
      <c r="DE112" s="64">
        <v>0</v>
      </c>
      <c r="DF112" s="187">
        <f>(DC112+DD112)-(DE112)</f>
        <v>3.0289999999999999</v>
      </c>
      <c r="DG112" s="64">
        <v>0</v>
      </c>
      <c r="DH112" s="64">
        <v>0.88</v>
      </c>
      <c r="DI112" s="187">
        <f t="shared" ref="DI112:DI117" si="331">(DF112+DG112)-(DH112)</f>
        <v>2.149</v>
      </c>
      <c r="DJ112" s="64">
        <v>0</v>
      </c>
      <c r="DK112" s="64">
        <v>0</v>
      </c>
      <c r="DL112" s="187">
        <f t="shared" ref="DL112:DL117" si="332">(DI112+DJ112)-(DK112)</f>
        <v>2.149</v>
      </c>
      <c r="DM112" s="64">
        <v>0</v>
      </c>
      <c r="DN112" s="64">
        <v>0</v>
      </c>
      <c r="DO112" s="187">
        <f>(DL112+DM112)-(DN112)</f>
        <v>2.149</v>
      </c>
      <c r="DP112" s="64">
        <v>0</v>
      </c>
      <c r="DQ112" s="64">
        <v>0</v>
      </c>
      <c r="DR112" s="187">
        <f t="shared" ref="DR112:DR118" si="333">(DO112+DP112)-(DQ112)</f>
        <v>2.149</v>
      </c>
      <c r="DS112" s="64">
        <v>0</v>
      </c>
      <c r="DT112" s="64">
        <v>0.88</v>
      </c>
      <c r="DU112" s="187">
        <f t="shared" ref="DU112:DU118" si="334">(DR112+DS112)-(DT112)</f>
        <v>1.2690000000000001</v>
      </c>
      <c r="DV112" s="64">
        <v>0</v>
      </c>
      <c r="DW112" s="64">
        <v>0</v>
      </c>
      <c r="DX112" s="753">
        <f t="shared" ref="DX112:DX114" si="335">(DU112+DV112)-(DW112)</f>
        <v>1.2690000000000001</v>
      </c>
      <c r="DY112" s="64">
        <v>0</v>
      </c>
      <c r="DZ112" s="64">
        <v>0</v>
      </c>
      <c r="EA112" s="187">
        <f t="shared" ref="EA112:EA117" si="336">(DX112+DY112)-(DZ112)</f>
        <v>1.2690000000000001</v>
      </c>
      <c r="EB112" s="64">
        <v>0</v>
      </c>
      <c r="EC112" s="64">
        <v>0</v>
      </c>
      <c r="ED112" s="187">
        <f t="shared" ref="ED112:ED117" si="337">(EA112+EB112)-(EC112)</f>
        <v>1.2690000000000001</v>
      </c>
      <c r="EE112" s="64">
        <v>0</v>
      </c>
      <c r="EF112" s="64">
        <v>0</v>
      </c>
      <c r="EG112" s="753">
        <f t="shared" ref="EG112:EG117" si="338">(ED112+EE112)-(EF112)</f>
        <v>1.2690000000000001</v>
      </c>
      <c r="EH112" s="64">
        <v>0</v>
      </c>
      <c r="EI112" s="821">
        <v>0.03</v>
      </c>
      <c r="EJ112" s="187">
        <f t="shared" ref="EJ112:EJ117" si="339">(EG112+EH112)-(EI112)</f>
        <v>1.2390000000000001</v>
      </c>
      <c r="EK112" s="64">
        <v>0</v>
      </c>
      <c r="EL112" s="821">
        <v>0.36</v>
      </c>
      <c r="EM112" s="187">
        <f t="shared" ref="EM112:EM117" si="340">(EJ112+EK112)-(EL112)</f>
        <v>0.87900000000000011</v>
      </c>
      <c r="EN112" s="64">
        <v>0</v>
      </c>
      <c r="EO112" s="821">
        <v>0.06</v>
      </c>
      <c r="EP112" s="753">
        <f t="shared" ref="EP112:EP117" si="341">(EM112+EN112)-(EO112)</f>
        <v>0.81900000000000017</v>
      </c>
      <c r="EQ112" s="64">
        <v>0</v>
      </c>
      <c r="ER112" s="821">
        <f>1.2-0.45</f>
        <v>0.75</v>
      </c>
      <c r="ES112" s="753">
        <f t="shared" ref="ES112:ES117" si="342">(EP112+EQ112)-(ER112)</f>
        <v>6.9000000000000172E-2</v>
      </c>
      <c r="ET112" s="64">
        <v>0</v>
      </c>
      <c r="EU112" s="64">
        <v>0</v>
      </c>
      <c r="EV112" s="753">
        <f t="shared" ref="EV112:EV117" si="343">(ES112+ET112)-(EU112)</f>
        <v>6.9000000000000172E-2</v>
      </c>
      <c r="EW112" s="64">
        <v>0</v>
      </c>
      <c r="EX112" s="64">
        <v>0</v>
      </c>
      <c r="EY112" s="753">
        <f t="shared" ref="EY112:EY117" si="344">(EV112+EW112)-(EX112)</f>
        <v>6.9000000000000172E-2</v>
      </c>
    </row>
    <row r="113" spans="1:156" ht="19.5">
      <c r="A113" s="201"/>
      <c r="B113" s="184"/>
      <c r="C113" s="61">
        <v>100172064</v>
      </c>
      <c r="D113" s="62" t="s">
        <v>86</v>
      </c>
      <c r="E113" s="63">
        <v>0.70399999999984397</v>
      </c>
      <c r="F113" s="64">
        <v>40.04</v>
      </c>
      <c r="G113" s="65">
        <v>19.007999999999999</v>
      </c>
      <c r="H113" s="63">
        <f>(E113+F113)-(G113)</f>
        <v>21.735999999999844</v>
      </c>
      <c r="I113" s="64">
        <v>32.603999999999999</v>
      </c>
      <c r="J113" s="65">
        <v>36.96</v>
      </c>
      <c r="K113" s="63">
        <f>(H113+I113)-(J113)</f>
        <v>17.379999999999846</v>
      </c>
      <c r="L113" s="64">
        <v>49.323999999999998</v>
      </c>
      <c r="M113" s="65">
        <v>58.08</v>
      </c>
      <c r="N113" s="63">
        <f>(K113+L113)-(M113)</f>
        <v>8.6239999999998389</v>
      </c>
      <c r="O113" s="64">
        <v>22.088000000000001</v>
      </c>
      <c r="P113" s="65">
        <v>27.456</v>
      </c>
      <c r="Q113" s="63">
        <f>(N113+O113)-(P113)</f>
        <v>3.2559999999998404</v>
      </c>
      <c r="R113" s="64">
        <v>56.76</v>
      </c>
      <c r="S113" s="65">
        <v>27.456</v>
      </c>
      <c r="T113" s="63">
        <f>(Q113+R113)-(S113)</f>
        <v>32.559999999999832</v>
      </c>
      <c r="U113" s="64">
        <v>41.975999999999999</v>
      </c>
      <c r="V113" s="65">
        <v>27.456</v>
      </c>
      <c r="W113" s="63">
        <f>(T113+U113)-(V113)</f>
        <v>47.079999999999828</v>
      </c>
      <c r="X113" s="64">
        <v>20.724</v>
      </c>
      <c r="Y113" s="65">
        <v>29.568000000000001</v>
      </c>
      <c r="Z113" s="63">
        <f>(W113+X113)-(Y113)</f>
        <v>38.235999999999834</v>
      </c>
      <c r="AA113" s="64">
        <v>0</v>
      </c>
      <c r="AB113" s="65">
        <v>17.952000000000002</v>
      </c>
      <c r="AC113" s="63">
        <f>(Z113+AA113)-(AB113)</f>
        <v>20.283999999999832</v>
      </c>
      <c r="AD113" s="64">
        <v>0</v>
      </c>
      <c r="AE113" s="65">
        <v>0</v>
      </c>
      <c r="AF113" s="63">
        <f>(AC113+AD113)-(AE113)</f>
        <v>20.283999999999832</v>
      </c>
      <c r="AG113" s="64">
        <v>0</v>
      </c>
      <c r="AH113" s="65">
        <v>5.28</v>
      </c>
      <c r="AI113" s="63">
        <f>(AF113+AG113)-(AH113)</f>
        <v>15.003999999999831</v>
      </c>
      <c r="AJ113" s="64">
        <v>0</v>
      </c>
      <c r="AK113" s="65">
        <v>15.048</v>
      </c>
      <c r="AL113" s="63">
        <f>(AI113+AJ113)-(AK113)</f>
        <v>-4.4000000000169237E-2</v>
      </c>
      <c r="AM113" s="64">
        <v>0</v>
      </c>
      <c r="AN113" s="65">
        <v>0</v>
      </c>
      <c r="AO113" s="63">
        <f>(AL113+AM113)-(AN113)</f>
        <v>-4.4000000000169237E-2</v>
      </c>
      <c r="AP113" s="64">
        <v>0</v>
      </c>
      <c r="AQ113" s="65">
        <v>0</v>
      </c>
      <c r="AR113" s="63">
        <f>(AO113+AP113)-(AQ113)</f>
        <v>-4.4000000000169237E-2</v>
      </c>
      <c r="AS113" s="64">
        <v>20.448</v>
      </c>
      <c r="AT113" s="65">
        <v>0</v>
      </c>
      <c r="AU113" s="63">
        <f>(AR113+AS113)-(AT113)</f>
        <v>20.403999999999833</v>
      </c>
      <c r="AV113" s="64">
        <v>1.738</v>
      </c>
      <c r="AW113" s="65">
        <v>0</v>
      </c>
      <c r="AX113" s="63">
        <f t="shared" si="315"/>
        <v>22.141999999999832</v>
      </c>
      <c r="AY113" s="64">
        <v>0</v>
      </c>
      <c r="AZ113" s="65">
        <v>0</v>
      </c>
      <c r="BA113" s="63">
        <f t="shared" si="316"/>
        <v>22.141999999999832</v>
      </c>
      <c r="BB113" s="64">
        <v>0</v>
      </c>
      <c r="BC113" s="65">
        <v>4.2240000000000002</v>
      </c>
      <c r="BD113" s="63">
        <v>17.974</v>
      </c>
      <c r="BE113" s="64">
        <v>0</v>
      </c>
      <c r="BF113" s="65">
        <v>0</v>
      </c>
      <c r="BG113" s="63">
        <f t="shared" si="317"/>
        <v>17.974</v>
      </c>
      <c r="BH113" s="64">
        <v>0</v>
      </c>
      <c r="BI113" s="65">
        <v>5.28</v>
      </c>
      <c r="BJ113" s="63">
        <f t="shared" si="318"/>
        <v>12.693999999999999</v>
      </c>
      <c r="BK113" s="64">
        <v>0</v>
      </c>
      <c r="BL113" s="65">
        <v>8.4480000000000004</v>
      </c>
      <c r="BM113" s="63">
        <f t="shared" si="319"/>
        <v>4.2459999999999987</v>
      </c>
      <c r="BN113" s="64">
        <v>0</v>
      </c>
      <c r="BO113" s="65">
        <v>0</v>
      </c>
      <c r="BP113" s="63">
        <v>4.2460000000000004</v>
      </c>
      <c r="BQ113" s="64">
        <v>0</v>
      </c>
      <c r="BR113" s="65">
        <v>0</v>
      </c>
      <c r="BS113" s="63">
        <f t="shared" si="320"/>
        <v>4.2460000000000004</v>
      </c>
      <c r="BT113" s="64">
        <v>0</v>
      </c>
      <c r="BU113" s="65">
        <v>4.2460000000000004</v>
      </c>
      <c r="BV113" s="63">
        <f t="shared" si="321"/>
        <v>0</v>
      </c>
      <c r="BW113" s="64">
        <v>0</v>
      </c>
      <c r="BX113" s="65">
        <v>0</v>
      </c>
      <c r="BY113" s="63">
        <f>(BV113+BW113)-(BX113)</f>
        <v>0</v>
      </c>
      <c r="BZ113" s="64">
        <v>0</v>
      </c>
      <c r="CA113" s="65">
        <v>0</v>
      </c>
      <c r="CB113" s="63">
        <f t="shared" si="322"/>
        <v>0</v>
      </c>
      <c r="CC113" s="64">
        <v>0</v>
      </c>
      <c r="CD113" s="65">
        <v>0</v>
      </c>
      <c r="CE113" s="63">
        <f t="shared" si="323"/>
        <v>0</v>
      </c>
      <c r="CF113" s="64">
        <v>0</v>
      </c>
      <c r="CG113" s="65">
        <v>0</v>
      </c>
      <c r="CH113" s="63">
        <f t="shared" si="324"/>
        <v>0</v>
      </c>
      <c r="CI113" s="64">
        <v>0</v>
      </c>
      <c r="CJ113" s="65">
        <v>0</v>
      </c>
      <c r="CK113" s="69">
        <f>(CH113+CI113)-(CJ113)</f>
        <v>0</v>
      </c>
      <c r="CL113" s="70">
        <v>7.6120000000000001</v>
      </c>
      <c r="CM113" s="221">
        <v>7.3920000000000003</v>
      </c>
      <c r="CN113" s="63">
        <f t="shared" si="325"/>
        <v>0.21999999999999975</v>
      </c>
      <c r="CO113" s="64">
        <v>32.956000000000003</v>
      </c>
      <c r="CP113" s="64">
        <v>29.568000000000001</v>
      </c>
      <c r="CQ113" s="63">
        <f t="shared" si="326"/>
        <v>3.6080000000000005</v>
      </c>
      <c r="CR113" s="64">
        <v>13.728</v>
      </c>
      <c r="CS113" s="64">
        <v>11.616</v>
      </c>
      <c r="CT113" s="69">
        <f t="shared" si="327"/>
        <v>5.7199999999999989</v>
      </c>
      <c r="CU113" s="81">
        <v>11.571999999999999</v>
      </c>
      <c r="CV113" s="64">
        <v>9.5039999999999996</v>
      </c>
      <c r="CW113" s="63">
        <f t="shared" si="328"/>
        <v>7.7879999999999985</v>
      </c>
      <c r="CX113" s="64">
        <v>0</v>
      </c>
      <c r="CY113" s="64">
        <v>4.2240000000000002</v>
      </c>
      <c r="CZ113" s="63">
        <f t="shared" si="329"/>
        <v>3.5639999999999983</v>
      </c>
      <c r="DA113" s="64">
        <v>7.7</v>
      </c>
      <c r="DB113" s="64">
        <v>2.1120000000000001</v>
      </c>
      <c r="DC113" s="63">
        <f t="shared" si="330"/>
        <v>9.1519999999999992</v>
      </c>
      <c r="DD113" s="64">
        <v>19.14</v>
      </c>
      <c r="DE113" s="64">
        <v>4.2240000000000002</v>
      </c>
      <c r="DF113" s="63">
        <f>(DC113+DD113)-(DE113)</f>
        <v>24.068000000000001</v>
      </c>
      <c r="DG113" s="64">
        <v>0</v>
      </c>
      <c r="DH113" s="64">
        <v>6.3360000000000003</v>
      </c>
      <c r="DI113" s="63">
        <f t="shared" si="331"/>
        <v>17.731999999999999</v>
      </c>
      <c r="DJ113" s="64">
        <v>0</v>
      </c>
      <c r="DK113" s="64">
        <v>2.1120000000000001</v>
      </c>
      <c r="DL113" s="187">
        <f t="shared" si="332"/>
        <v>15.62</v>
      </c>
      <c r="DM113" s="64">
        <v>34.368000000000002</v>
      </c>
      <c r="DN113" s="64">
        <v>6.3360000000000003</v>
      </c>
      <c r="DO113" s="187">
        <f>(DL113+DM113)-(DN113)</f>
        <v>43.652000000000001</v>
      </c>
      <c r="DP113" s="64">
        <v>14.96</v>
      </c>
      <c r="DQ113" s="64">
        <v>8.4529999999999994</v>
      </c>
      <c r="DR113" s="187">
        <f t="shared" si="333"/>
        <v>50.159000000000006</v>
      </c>
      <c r="DS113" s="64">
        <v>0</v>
      </c>
      <c r="DT113" s="64">
        <f>2.112+1.056</f>
        <v>3.1680000000000001</v>
      </c>
      <c r="DU113" s="63">
        <f t="shared" si="334"/>
        <v>46.991000000000007</v>
      </c>
      <c r="DV113" s="64">
        <v>0</v>
      </c>
      <c r="DW113" s="64">
        <v>6.3360000000000003</v>
      </c>
      <c r="DX113" s="753">
        <f t="shared" si="335"/>
        <v>40.655000000000008</v>
      </c>
      <c r="DY113" s="64">
        <v>0</v>
      </c>
      <c r="DZ113" s="64">
        <v>5.28</v>
      </c>
      <c r="EA113" s="187">
        <f t="shared" si="336"/>
        <v>35.375000000000007</v>
      </c>
      <c r="EB113" s="64">
        <v>0</v>
      </c>
      <c r="EC113" s="64">
        <v>3.1680000000000001</v>
      </c>
      <c r="ED113" s="187">
        <f t="shared" si="337"/>
        <v>32.207000000000008</v>
      </c>
      <c r="EE113" s="64">
        <v>0</v>
      </c>
      <c r="EF113" s="64">
        <f>6.362-1.082</f>
        <v>5.28</v>
      </c>
      <c r="EG113" s="753">
        <f t="shared" si="338"/>
        <v>26.927000000000007</v>
      </c>
      <c r="EH113" s="64">
        <v>0</v>
      </c>
      <c r="EI113" s="821">
        <v>0</v>
      </c>
      <c r="EJ113" s="187">
        <f t="shared" si="339"/>
        <v>26.927000000000007</v>
      </c>
      <c r="EK113" s="64">
        <v>0</v>
      </c>
      <c r="EL113" s="821">
        <v>1.587</v>
      </c>
      <c r="EM113" s="187">
        <f t="shared" si="340"/>
        <v>25.340000000000007</v>
      </c>
      <c r="EN113" s="64">
        <v>0</v>
      </c>
      <c r="EO113" s="821">
        <v>5.76</v>
      </c>
      <c r="EP113" s="753">
        <f t="shared" si="341"/>
        <v>19.580000000000005</v>
      </c>
      <c r="EQ113" s="64">
        <v>0</v>
      </c>
      <c r="ER113" s="64">
        <v>2.7</v>
      </c>
      <c r="ES113" s="753">
        <f t="shared" si="342"/>
        <v>16.880000000000006</v>
      </c>
      <c r="ET113" s="64">
        <v>0</v>
      </c>
      <c r="EU113" s="64">
        <v>0</v>
      </c>
      <c r="EV113" s="753">
        <f t="shared" si="343"/>
        <v>16.880000000000006</v>
      </c>
      <c r="EW113" s="64">
        <v>0</v>
      </c>
      <c r="EX113" s="64">
        <v>0</v>
      </c>
      <c r="EY113" s="753">
        <f t="shared" si="344"/>
        <v>16.880000000000006</v>
      </c>
    </row>
    <row r="114" spans="1:156" s="20" customFormat="1" ht="19.5">
      <c r="A114" s="183"/>
      <c r="B114" s="184"/>
      <c r="C114" s="61">
        <v>100195737</v>
      </c>
      <c r="D114" s="62" t="s">
        <v>87</v>
      </c>
      <c r="E114" s="63">
        <v>16.55</v>
      </c>
      <c r="F114" s="113">
        <v>0</v>
      </c>
      <c r="G114" s="65">
        <v>14.08</v>
      </c>
      <c r="H114" s="63">
        <f>(E114+F114)-(G114)</f>
        <v>2.4700000000000006</v>
      </c>
      <c r="I114" s="113">
        <v>22.352</v>
      </c>
      <c r="J114" s="65">
        <v>2.64</v>
      </c>
      <c r="K114" s="63">
        <f>(H114+I114)-(J114)</f>
        <v>22.182000000000002</v>
      </c>
      <c r="L114" s="113">
        <v>12.276</v>
      </c>
      <c r="M114" s="65">
        <v>14.96</v>
      </c>
      <c r="N114" s="63">
        <f>(K114+L114)-(M114)</f>
        <v>19.497999999999998</v>
      </c>
      <c r="O114" s="113">
        <v>7.2160000000000002</v>
      </c>
      <c r="P114" s="65">
        <v>10.56</v>
      </c>
      <c r="Q114" s="63">
        <f>(N114+O114)-(P114)</f>
        <v>16.153999999999996</v>
      </c>
      <c r="R114" s="113">
        <v>0</v>
      </c>
      <c r="S114" s="65">
        <v>8.8000000000000007</v>
      </c>
      <c r="T114" s="63">
        <f>(Q114+R114)-(S114)</f>
        <v>7.3539999999999957</v>
      </c>
      <c r="U114" s="113">
        <v>15.311999999999999</v>
      </c>
      <c r="V114" s="65">
        <v>8.8000000000000007</v>
      </c>
      <c r="W114" s="63">
        <f>(T114+U114)-(V114)</f>
        <v>13.865999999999996</v>
      </c>
      <c r="X114" s="113">
        <v>10.032</v>
      </c>
      <c r="Y114" s="65">
        <v>12.32</v>
      </c>
      <c r="Z114" s="63">
        <f>(W114+X114)-(Y114)</f>
        <v>11.577999999999996</v>
      </c>
      <c r="AA114" s="113">
        <v>22.22</v>
      </c>
      <c r="AB114" s="65">
        <v>27.28</v>
      </c>
      <c r="AC114" s="63">
        <f>(Z114+AA114)-(AB114)</f>
        <v>6.5179999999999936</v>
      </c>
      <c r="AD114" s="113">
        <v>49.06</v>
      </c>
      <c r="AE114" s="65">
        <v>6.16</v>
      </c>
      <c r="AF114" s="63">
        <f>(AC114+AD114)-(AE114)</f>
        <v>49.417999999999992</v>
      </c>
      <c r="AG114" s="113">
        <v>25.123999999999999</v>
      </c>
      <c r="AH114" s="115">
        <v>14.96</v>
      </c>
      <c r="AI114" s="63">
        <f>(AF114+AG114)-(AH114)</f>
        <v>59.581999999999987</v>
      </c>
      <c r="AJ114" s="113">
        <v>20.416</v>
      </c>
      <c r="AK114" s="65">
        <v>80</v>
      </c>
      <c r="AL114" s="63">
        <f>(AI114+AJ114)-(AK114)</f>
        <v>-2.0000000000095497E-3</v>
      </c>
      <c r="AM114" s="113">
        <v>49.28</v>
      </c>
      <c r="AN114" s="65">
        <v>29.92</v>
      </c>
      <c r="AO114" s="63">
        <f>(AL114+AM114)-(AN114)</f>
        <v>19.35799999999999</v>
      </c>
      <c r="AP114" s="113">
        <v>65.164000000000001</v>
      </c>
      <c r="AQ114" s="65">
        <v>63.36</v>
      </c>
      <c r="AR114" s="63">
        <f>(AO114+AP114)-(AQ114)</f>
        <v>21.161999999999992</v>
      </c>
      <c r="AS114" s="113">
        <v>91.08</v>
      </c>
      <c r="AT114" s="65">
        <v>59.84</v>
      </c>
      <c r="AU114" s="63">
        <f>(AR114+AS114)-(AT114)</f>
        <v>52.401999999999987</v>
      </c>
      <c r="AV114" s="113">
        <v>36.915999999999997</v>
      </c>
      <c r="AW114" s="65">
        <v>88</v>
      </c>
      <c r="AX114" s="63">
        <f t="shared" si="315"/>
        <v>1.3179999999999836</v>
      </c>
      <c r="AY114" s="113">
        <v>69.739999999999995</v>
      </c>
      <c r="AZ114" s="65">
        <v>66</v>
      </c>
      <c r="BA114" s="63">
        <f t="shared" si="316"/>
        <v>5.0579999999999785</v>
      </c>
      <c r="BB114" s="113">
        <v>86.372</v>
      </c>
      <c r="BC114" s="65">
        <v>75.680000000000007</v>
      </c>
      <c r="BD114" s="63">
        <v>15.752000000000001</v>
      </c>
      <c r="BE114" s="113">
        <v>147.31200000000001</v>
      </c>
      <c r="BF114" s="65">
        <v>110</v>
      </c>
      <c r="BG114" s="63">
        <f t="shared" si="317"/>
        <v>53.064000000000021</v>
      </c>
      <c r="BH114" s="113">
        <v>149.292</v>
      </c>
      <c r="BI114" s="65">
        <v>83.864000000000004</v>
      </c>
      <c r="BJ114" s="63">
        <f t="shared" si="318"/>
        <v>118.49200000000002</v>
      </c>
      <c r="BK114" s="113">
        <v>150.34800000000001</v>
      </c>
      <c r="BL114" s="65">
        <v>73.92</v>
      </c>
      <c r="BM114" s="63">
        <f t="shared" si="319"/>
        <v>194.92000000000002</v>
      </c>
      <c r="BN114" s="113">
        <v>0</v>
      </c>
      <c r="BO114" s="65">
        <v>147.84</v>
      </c>
      <c r="BP114" s="63">
        <v>47.08</v>
      </c>
      <c r="BQ114" s="113">
        <v>41.052</v>
      </c>
      <c r="BR114" s="65">
        <v>0</v>
      </c>
      <c r="BS114" s="63">
        <f t="shared" si="320"/>
        <v>88.132000000000005</v>
      </c>
      <c r="BT114" s="113">
        <v>72.819999999999993</v>
      </c>
      <c r="BU114" s="65">
        <v>102.96</v>
      </c>
      <c r="BV114" s="63">
        <f t="shared" si="321"/>
        <v>57.992000000000004</v>
      </c>
      <c r="BW114" s="113">
        <v>111.32</v>
      </c>
      <c r="BX114" s="65">
        <v>39.6</v>
      </c>
      <c r="BY114" s="63">
        <f>(BV114+BW114)-(BX114)</f>
        <v>129.71200000000002</v>
      </c>
      <c r="BZ114" s="113">
        <v>116.336</v>
      </c>
      <c r="CA114" s="65">
        <v>80.08</v>
      </c>
      <c r="CB114" s="63">
        <f t="shared" si="322"/>
        <v>165.96800000000002</v>
      </c>
      <c r="CC114" s="113">
        <v>143.88</v>
      </c>
      <c r="CD114" s="65">
        <v>139.91999999999999</v>
      </c>
      <c r="CE114" s="63">
        <f t="shared" si="323"/>
        <v>169.92800000000003</v>
      </c>
      <c r="CF114" s="113">
        <v>112.44</v>
      </c>
      <c r="CG114" s="65">
        <v>39.6</v>
      </c>
      <c r="CH114" s="63">
        <f t="shared" si="324"/>
        <v>242.76800000000006</v>
      </c>
      <c r="CI114" s="113">
        <v>140.34</v>
      </c>
      <c r="CJ114" s="65">
        <v>138.16</v>
      </c>
      <c r="CK114" s="69">
        <f>(CH114+CI114)-(CJ114)</f>
        <v>244.94800000000006</v>
      </c>
      <c r="CL114" s="117">
        <v>75.195999999999998</v>
      </c>
      <c r="CM114" s="71">
        <v>76.56</v>
      </c>
      <c r="CN114" s="63">
        <f t="shared" si="325"/>
        <v>243.58400000000006</v>
      </c>
      <c r="CO114" s="113">
        <v>49.103999999999999</v>
      </c>
      <c r="CP114" s="65">
        <v>100.32</v>
      </c>
      <c r="CQ114" s="63">
        <f t="shared" si="326"/>
        <v>192.36800000000005</v>
      </c>
      <c r="CR114" s="113">
        <v>98.298000000000002</v>
      </c>
      <c r="CS114" s="64">
        <v>112.64</v>
      </c>
      <c r="CT114" s="69">
        <f t="shared" si="327"/>
        <v>178.02600000000007</v>
      </c>
      <c r="CU114" s="119">
        <v>96.86</v>
      </c>
      <c r="CV114" s="65">
        <v>107.36</v>
      </c>
      <c r="CW114" s="63">
        <f t="shared" si="328"/>
        <v>167.52600000000007</v>
      </c>
      <c r="CX114" s="113">
        <v>90.244</v>
      </c>
      <c r="CY114" s="65">
        <v>69.52</v>
      </c>
      <c r="CZ114" s="63">
        <f t="shared" si="329"/>
        <v>188.25000000000011</v>
      </c>
      <c r="DA114" s="113">
        <v>81.531999999999996</v>
      </c>
      <c r="DB114" s="65">
        <v>55.44</v>
      </c>
      <c r="DC114" s="63">
        <f t="shared" si="330"/>
        <v>214.3420000000001</v>
      </c>
      <c r="DD114" s="113">
        <v>85.275999999999996</v>
      </c>
      <c r="DE114" s="65">
        <v>142.56</v>
      </c>
      <c r="DF114" s="63">
        <f>(DC114+DD114)-(DE114)</f>
        <v>157.05800000000011</v>
      </c>
      <c r="DG114" s="113">
        <v>127.16</v>
      </c>
      <c r="DH114" s="65">
        <v>71.28</v>
      </c>
      <c r="DI114" s="63">
        <f t="shared" si="331"/>
        <v>212.93800000000007</v>
      </c>
      <c r="DJ114" s="113">
        <v>129.88800000000001</v>
      </c>
      <c r="DK114" s="65">
        <v>0</v>
      </c>
      <c r="DL114" s="187">
        <f t="shared" si="332"/>
        <v>342.82600000000008</v>
      </c>
      <c r="DM114" s="113">
        <v>16.763999999999999</v>
      </c>
      <c r="DN114" s="65">
        <v>58.96</v>
      </c>
      <c r="DO114" s="187">
        <f>(DL114+DM114)-(DN114)</f>
        <v>300.63000000000011</v>
      </c>
      <c r="DP114" s="113">
        <v>85.588999999999999</v>
      </c>
      <c r="DQ114" s="65">
        <v>71.28</v>
      </c>
      <c r="DR114" s="187">
        <f t="shared" si="333"/>
        <v>314.93900000000008</v>
      </c>
      <c r="DS114" s="113">
        <v>77.364000000000004</v>
      </c>
      <c r="DT114" s="65">
        <v>71.28</v>
      </c>
      <c r="DU114" s="63">
        <f t="shared" si="334"/>
        <v>321.02300000000014</v>
      </c>
      <c r="DV114" s="113">
        <v>29.92</v>
      </c>
      <c r="DW114" s="65">
        <v>47.52</v>
      </c>
      <c r="DX114" s="753">
        <f t="shared" si="335"/>
        <v>303.42300000000017</v>
      </c>
      <c r="DY114" s="113">
        <v>22.44</v>
      </c>
      <c r="DZ114" s="65">
        <v>63.36</v>
      </c>
      <c r="EA114" s="187">
        <f t="shared" si="336"/>
        <v>262.50300000000016</v>
      </c>
      <c r="EB114" s="113">
        <v>3.52</v>
      </c>
      <c r="EC114" s="65">
        <v>31.68</v>
      </c>
      <c r="ED114" s="187">
        <f t="shared" si="337"/>
        <v>234.34300000000013</v>
      </c>
      <c r="EE114" s="113">
        <v>0</v>
      </c>
      <c r="EF114" s="65">
        <v>47.52</v>
      </c>
      <c r="EG114" s="753">
        <f t="shared" si="338"/>
        <v>186.82300000000012</v>
      </c>
      <c r="EH114" s="113">
        <v>0</v>
      </c>
      <c r="EI114" s="818">
        <v>15.8</v>
      </c>
      <c r="EJ114" s="187">
        <f t="shared" si="339"/>
        <v>171.02300000000011</v>
      </c>
      <c r="EK114" s="113">
        <v>30</v>
      </c>
      <c r="EL114" s="818">
        <v>47.88</v>
      </c>
      <c r="EM114" s="187">
        <f t="shared" si="340"/>
        <v>153.14300000000011</v>
      </c>
      <c r="EN114" s="113">
        <v>28.2</v>
      </c>
      <c r="EO114" s="818">
        <v>80.917000000000002</v>
      </c>
      <c r="EP114" s="753">
        <f t="shared" si="341"/>
        <v>100.4260000000001</v>
      </c>
      <c r="EQ114" s="113">
        <v>93</v>
      </c>
      <c r="ER114" s="65">
        <f>35+30</f>
        <v>65</v>
      </c>
      <c r="ES114" s="753">
        <f t="shared" si="342"/>
        <v>128.4260000000001</v>
      </c>
      <c r="ET114" s="113">
        <v>96.6</v>
      </c>
      <c r="EU114" s="65">
        <f>100+30</f>
        <v>130</v>
      </c>
      <c r="EV114" s="753">
        <f t="shared" si="343"/>
        <v>95.026000000000096</v>
      </c>
      <c r="EW114" s="113">
        <v>17</v>
      </c>
      <c r="EX114" s="65">
        <v>20</v>
      </c>
      <c r="EY114" s="753">
        <f t="shared" si="344"/>
        <v>92.026000000000096</v>
      </c>
    </row>
    <row r="115" spans="1:156" s="20" customFormat="1" ht="19.5">
      <c r="A115" s="183"/>
      <c r="B115" s="184"/>
      <c r="C115" s="61">
        <v>100243304</v>
      </c>
      <c r="D115" s="62" t="s">
        <v>394</v>
      </c>
      <c r="E115" s="63">
        <v>116.455</v>
      </c>
      <c r="F115" s="113">
        <v>411.77800000000002</v>
      </c>
      <c r="G115" s="115">
        <v>351</v>
      </c>
      <c r="H115" s="63">
        <f>(E115+F115)-(G115)</f>
        <v>177.23300000000006</v>
      </c>
      <c r="I115" s="113">
        <v>459.5</v>
      </c>
      <c r="J115" s="115">
        <v>440</v>
      </c>
      <c r="K115" s="63">
        <f>(H115+I115)-(J115)</f>
        <v>196.73300000000006</v>
      </c>
      <c r="L115" s="113">
        <v>560.92200000000003</v>
      </c>
      <c r="M115" s="115">
        <v>675</v>
      </c>
      <c r="N115" s="63">
        <f>(K115+L115)-(M115)</f>
        <v>82.655000000000086</v>
      </c>
      <c r="O115" s="113">
        <v>401.55</v>
      </c>
      <c r="P115" s="65">
        <v>306</v>
      </c>
      <c r="Q115" s="63">
        <f>(N115+O115)-(P115)</f>
        <v>178.2050000000001</v>
      </c>
      <c r="R115" s="113">
        <v>447.33</v>
      </c>
      <c r="S115" s="65">
        <v>432.21800000000002</v>
      </c>
      <c r="T115" s="63">
        <f>(Q115+R115)-(S115)</f>
        <v>193.31700000000006</v>
      </c>
      <c r="U115" s="113">
        <v>497.81599999999997</v>
      </c>
      <c r="V115" s="65">
        <v>495</v>
      </c>
      <c r="W115" s="63">
        <f>(T115+U115)-(V115)</f>
        <v>196.13300000000004</v>
      </c>
      <c r="X115" s="113">
        <v>517.45600000000002</v>
      </c>
      <c r="Y115" s="65">
        <v>648</v>
      </c>
      <c r="Z115" s="63">
        <f>(W115+X115)-(Y115)</f>
        <v>65.589000000000055</v>
      </c>
      <c r="AA115" s="113">
        <v>439.54399999999998</v>
      </c>
      <c r="AB115" s="65">
        <v>425</v>
      </c>
      <c r="AC115" s="63">
        <f>(Z115+AA115)-(AB115)</f>
        <v>80.133000000000038</v>
      </c>
      <c r="AD115" s="113">
        <v>349.7</v>
      </c>
      <c r="AE115" s="65">
        <v>189</v>
      </c>
      <c r="AF115" s="63">
        <f>(AC115+AD115)-(AE115)</f>
        <v>240.83300000000003</v>
      </c>
      <c r="AG115" s="113">
        <v>380.35</v>
      </c>
      <c r="AH115" s="65">
        <v>461</v>
      </c>
      <c r="AI115" s="63">
        <f>(AF115+AG115)-(AH115)</f>
        <v>160.18299999999999</v>
      </c>
      <c r="AJ115" s="113">
        <v>210.8</v>
      </c>
      <c r="AK115" s="65">
        <v>363</v>
      </c>
      <c r="AL115" s="63">
        <f>(AI115+AJ115)-(AK115)</f>
        <v>7.9830000000000041</v>
      </c>
      <c r="AM115" s="113">
        <v>0</v>
      </c>
      <c r="AN115" s="65">
        <v>0</v>
      </c>
      <c r="AO115" s="63">
        <f>(AL115+AM115)-(AN115)</f>
        <v>7.9830000000000041</v>
      </c>
      <c r="AP115" s="113">
        <v>178.71100000000001</v>
      </c>
      <c r="AQ115" s="65">
        <v>156.9</v>
      </c>
      <c r="AR115" s="63">
        <f>(AO115+AP115)-(AQ115)</f>
        <v>29.794000000000011</v>
      </c>
      <c r="AS115" s="113">
        <v>570.26400000000001</v>
      </c>
      <c r="AT115" s="65">
        <v>521.755</v>
      </c>
      <c r="AU115" s="63">
        <f>(AR115+AS115)-(AT115)</f>
        <v>78.302999999999997</v>
      </c>
      <c r="AV115" s="113">
        <v>341.90499999999997</v>
      </c>
      <c r="AW115" s="65">
        <v>349.73</v>
      </c>
      <c r="AX115" s="63">
        <f t="shared" si="315"/>
        <v>70.477999999999952</v>
      </c>
      <c r="AY115" s="113">
        <v>505.1</v>
      </c>
      <c r="AZ115" s="65">
        <v>480</v>
      </c>
      <c r="BA115" s="63">
        <f t="shared" si="316"/>
        <v>95.577999999999975</v>
      </c>
      <c r="BB115" s="113">
        <v>567.255</v>
      </c>
      <c r="BC115" s="65">
        <v>633</v>
      </c>
      <c r="BD115" s="63">
        <v>29.85</v>
      </c>
      <c r="BE115" s="113">
        <v>682.65</v>
      </c>
      <c r="BF115" s="65">
        <v>651.75</v>
      </c>
      <c r="BG115" s="63">
        <f t="shared" si="317"/>
        <v>60.75</v>
      </c>
      <c r="BH115" s="113">
        <v>695.54600000000005</v>
      </c>
      <c r="BI115" s="115">
        <v>741.673</v>
      </c>
      <c r="BJ115" s="63">
        <f t="shared" si="318"/>
        <v>14.623000000000047</v>
      </c>
      <c r="BK115" s="113">
        <v>654.80499999999995</v>
      </c>
      <c r="BL115" s="115">
        <v>625.649</v>
      </c>
      <c r="BM115" s="63">
        <f t="shared" si="319"/>
        <v>43.778999999999996</v>
      </c>
      <c r="BN115" s="113">
        <v>637.69600000000003</v>
      </c>
      <c r="BO115" s="115">
        <v>549</v>
      </c>
      <c r="BP115" s="63">
        <v>132.47499999999999</v>
      </c>
      <c r="BQ115" s="113">
        <v>742.69</v>
      </c>
      <c r="BR115" s="234">
        <v>666</v>
      </c>
      <c r="BS115" s="63">
        <f t="shared" si="320"/>
        <v>209.16500000000008</v>
      </c>
      <c r="BT115" s="113">
        <v>650.75</v>
      </c>
      <c r="BU115" s="65">
        <v>450</v>
      </c>
      <c r="BV115" s="63">
        <f t="shared" si="321"/>
        <v>409.91500000000008</v>
      </c>
      <c r="BW115" s="113">
        <v>529.43499999999995</v>
      </c>
      <c r="BX115" s="65">
        <v>108</v>
      </c>
      <c r="BY115" s="63">
        <f>(BV115+BW115)-(BX115)</f>
        <v>831.35</v>
      </c>
      <c r="BZ115" s="113">
        <v>537.35</v>
      </c>
      <c r="CA115" s="65">
        <v>737.096</v>
      </c>
      <c r="CB115" s="63">
        <f t="shared" si="322"/>
        <v>631.60400000000004</v>
      </c>
      <c r="CC115" s="113">
        <v>397.596</v>
      </c>
      <c r="CD115" s="65">
        <v>648.5</v>
      </c>
      <c r="CE115" s="63">
        <f t="shared" si="323"/>
        <v>380.70000000000005</v>
      </c>
      <c r="CF115" s="113">
        <v>248.3</v>
      </c>
      <c r="CG115" s="65">
        <v>612</v>
      </c>
      <c r="CH115" s="63">
        <f t="shared" si="324"/>
        <v>17</v>
      </c>
      <c r="CI115" s="113">
        <v>238.952</v>
      </c>
      <c r="CJ115" s="65">
        <v>81.762</v>
      </c>
      <c r="CK115" s="69">
        <f>(CH115+CI115)-(CJ115)</f>
        <v>174.19</v>
      </c>
      <c r="CL115" s="117">
        <v>268.34300000000002</v>
      </c>
      <c r="CM115" s="71">
        <v>371.59199999999998</v>
      </c>
      <c r="CN115" s="63">
        <f t="shared" si="325"/>
        <v>70.941000000000031</v>
      </c>
      <c r="CO115" s="113">
        <v>282</v>
      </c>
      <c r="CP115" s="65">
        <v>85</v>
      </c>
      <c r="CQ115" s="63">
        <f t="shared" si="326"/>
        <v>267.94100000000003</v>
      </c>
      <c r="CR115" s="113">
        <v>310</v>
      </c>
      <c r="CS115" s="65">
        <v>281.08</v>
      </c>
      <c r="CT115" s="69">
        <f t="shared" si="327"/>
        <v>296.86100000000005</v>
      </c>
      <c r="CU115" s="119">
        <v>-10.611000000000001</v>
      </c>
      <c r="CV115" s="65">
        <v>236.54599999999999</v>
      </c>
      <c r="CW115" s="63">
        <f t="shared" si="328"/>
        <v>49.704000000000065</v>
      </c>
      <c r="CX115" s="113">
        <v>83.335999999999999</v>
      </c>
      <c r="CY115" s="65">
        <v>0</v>
      </c>
      <c r="CZ115" s="63">
        <f t="shared" si="329"/>
        <v>133.04000000000008</v>
      </c>
      <c r="DA115" s="113">
        <v>208.54300000000001</v>
      </c>
      <c r="DB115" s="65">
        <v>224.733</v>
      </c>
      <c r="DC115" s="63">
        <f t="shared" si="330"/>
        <v>116.85000000000008</v>
      </c>
      <c r="DD115" s="113">
        <v>248.15</v>
      </c>
      <c r="DE115" s="65">
        <v>162</v>
      </c>
      <c r="DF115" s="63">
        <f>(DC115+DD115)-(DE115)</f>
        <v>203.00000000000011</v>
      </c>
      <c r="DG115" s="113">
        <v>271.39999999999998</v>
      </c>
      <c r="DH115" s="65">
        <v>216</v>
      </c>
      <c r="DI115" s="63">
        <f t="shared" si="331"/>
        <v>258.40000000000009</v>
      </c>
      <c r="DJ115" s="113">
        <v>260.39999999999998</v>
      </c>
      <c r="DK115" s="65">
        <v>135</v>
      </c>
      <c r="DL115" s="187">
        <f t="shared" si="332"/>
        <v>383.80000000000007</v>
      </c>
      <c r="DM115" s="113">
        <v>85.55</v>
      </c>
      <c r="DN115" s="65">
        <v>162</v>
      </c>
      <c r="DO115" s="187">
        <f>(DL115+DM115)-(DN115)</f>
        <v>307.35000000000008</v>
      </c>
      <c r="DP115" s="113">
        <v>85.85</v>
      </c>
      <c r="DQ115" s="65">
        <v>215.03899999999999</v>
      </c>
      <c r="DR115" s="187">
        <f t="shared" si="333"/>
        <v>178.16100000000006</v>
      </c>
      <c r="DS115" s="113">
        <v>43.95</v>
      </c>
      <c r="DT115" s="65">
        <v>81</v>
      </c>
      <c r="DU115" s="63">
        <f t="shared" si="334"/>
        <v>141.11100000000005</v>
      </c>
      <c r="DV115" s="113">
        <v>50.75</v>
      </c>
      <c r="DW115" s="65">
        <v>0</v>
      </c>
      <c r="DX115" s="753">
        <f t="shared" ref="DX115:DX118" si="345">(DU115+DV115)-(DW115)</f>
        <v>191.86100000000005</v>
      </c>
      <c r="DY115" s="113">
        <v>327.7</v>
      </c>
      <c r="DZ115" s="65">
        <v>351</v>
      </c>
      <c r="EA115" s="187">
        <f t="shared" si="336"/>
        <v>168.56100000000004</v>
      </c>
      <c r="EB115" s="113">
        <v>173.68899999999999</v>
      </c>
      <c r="EC115" s="65">
        <v>135.1</v>
      </c>
      <c r="ED115" s="187">
        <f t="shared" si="337"/>
        <v>207.15</v>
      </c>
      <c r="EE115" s="113">
        <v>0</v>
      </c>
      <c r="EF115" s="818">
        <f>54+81</f>
        <v>135</v>
      </c>
      <c r="EG115" s="753">
        <f t="shared" si="338"/>
        <v>72.150000000000006</v>
      </c>
      <c r="EH115" s="113">
        <v>153.79</v>
      </c>
      <c r="EI115" s="818">
        <v>-80.891999999999996</v>
      </c>
      <c r="EJ115" s="187">
        <f t="shared" si="339"/>
        <v>306.83199999999999</v>
      </c>
      <c r="EK115" s="113">
        <v>73.2</v>
      </c>
      <c r="EL115" s="818">
        <v>27</v>
      </c>
      <c r="EM115" s="187">
        <f t="shared" si="340"/>
        <v>353.03199999999998</v>
      </c>
      <c r="EN115" s="113">
        <v>0</v>
      </c>
      <c r="EO115" s="818">
        <v>135</v>
      </c>
      <c r="EP115" s="753">
        <f t="shared" si="341"/>
        <v>218.03199999999998</v>
      </c>
      <c r="EQ115" s="113">
        <v>29.28</v>
      </c>
      <c r="ER115" s="818">
        <v>100</v>
      </c>
      <c r="ES115" s="753">
        <f t="shared" si="342"/>
        <v>147.31199999999998</v>
      </c>
      <c r="ET115" s="113">
        <v>80.52</v>
      </c>
      <c r="EU115" s="818">
        <v>27</v>
      </c>
      <c r="EV115" s="753">
        <f t="shared" si="343"/>
        <v>200.83199999999999</v>
      </c>
      <c r="EW115" s="113">
        <v>33.28</v>
      </c>
      <c r="EX115" s="818">
        <v>27</v>
      </c>
      <c r="EY115" s="753">
        <f t="shared" si="344"/>
        <v>207.11199999999999</v>
      </c>
    </row>
    <row r="116" spans="1:156" s="20" customFormat="1" ht="19.5">
      <c r="A116" s="183"/>
      <c r="B116" s="184"/>
      <c r="C116" s="61">
        <v>100369030</v>
      </c>
      <c r="D116" s="62" t="s">
        <v>89</v>
      </c>
      <c r="E116" s="63">
        <v>829.80200000000002</v>
      </c>
      <c r="F116" s="113">
        <v>401.76600000000002</v>
      </c>
      <c r="G116" s="115">
        <v>791.08299999999997</v>
      </c>
      <c r="H116" s="63">
        <f>(E116+F116)-(G116)</f>
        <v>440.48500000000001</v>
      </c>
      <c r="I116" s="113">
        <v>230.542</v>
      </c>
      <c r="J116" s="115">
        <v>427.96600000000001</v>
      </c>
      <c r="K116" s="63">
        <f>(H116+I116)-(J116)</f>
        <v>243.06100000000004</v>
      </c>
      <c r="L116" s="113">
        <v>266.37</v>
      </c>
      <c r="M116" s="115">
        <v>428.08600000000001</v>
      </c>
      <c r="N116" s="63">
        <f>(K116+L116)-(M116)</f>
        <v>81.345000000000027</v>
      </c>
      <c r="O116" s="113">
        <v>395.96199999999999</v>
      </c>
      <c r="P116" s="115">
        <v>407.75799999999998</v>
      </c>
      <c r="Q116" s="63">
        <f>(N116+O116)-(P116)</f>
        <v>69.549000000000035</v>
      </c>
      <c r="R116" s="113">
        <v>417.738</v>
      </c>
      <c r="S116" s="115">
        <v>372.24</v>
      </c>
      <c r="T116" s="63">
        <f>(Q116+R116)-(S116)</f>
        <v>115.04700000000003</v>
      </c>
      <c r="U116" s="113">
        <v>174.02099999999999</v>
      </c>
      <c r="V116" s="115">
        <v>139.34700000000001</v>
      </c>
      <c r="W116" s="63">
        <f>(T116+U116)-(V116)</f>
        <v>149.72099999999998</v>
      </c>
      <c r="X116" s="113">
        <v>334.137</v>
      </c>
      <c r="Y116" s="115">
        <v>321.80500000000001</v>
      </c>
      <c r="Z116" s="63">
        <f>(W116+X116)-(Y116)</f>
        <v>162.05299999999994</v>
      </c>
      <c r="AA116" s="113">
        <v>346.94</v>
      </c>
      <c r="AB116" s="115">
        <v>262.62599999999998</v>
      </c>
      <c r="AC116" s="63">
        <f>(Z116+AA116)-(AB116)</f>
        <v>246.36699999999996</v>
      </c>
      <c r="AD116" s="113">
        <v>422.33699999999999</v>
      </c>
      <c r="AE116" s="115">
        <v>136.4</v>
      </c>
      <c r="AF116" s="63">
        <f>(AC116+AD116)-(AE116)</f>
        <v>532.30399999999997</v>
      </c>
      <c r="AG116" s="113">
        <v>405.899</v>
      </c>
      <c r="AH116" s="115">
        <v>560.59299999999996</v>
      </c>
      <c r="AI116" s="63">
        <f>(AF116+AG116)-(AH116)</f>
        <v>377.61</v>
      </c>
      <c r="AJ116" s="113">
        <v>234.89500000000001</v>
      </c>
      <c r="AK116" s="115">
        <v>458.48</v>
      </c>
      <c r="AL116" s="63">
        <f>(AI116+AJ116)-(AK116)</f>
        <v>154.02499999999998</v>
      </c>
      <c r="AM116" s="113">
        <v>122.206</v>
      </c>
      <c r="AN116" s="115">
        <v>113.526</v>
      </c>
      <c r="AO116" s="63">
        <f>(AL116+AM116)-(AN116)</f>
        <v>162.70499999999998</v>
      </c>
      <c r="AP116" s="113">
        <v>247.83500000000001</v>
      </c>
      <c r="AQ116" s="115">
        <v>319.51100000000002</v>
      </c>
      <c r="AR116" s="63" t="e">
        <f>(AO116+AP116)-(AQ116)-#REF!</f>
        <v>#REF!</v>
      </c>
      <c r="AS116" s="113">
        <v>546.02800000000002</v>
      </c>
      <c r="AT116" s="115">
        <v>491.04</v>
      </c>
      <c r="AU116" s="63" t="e">
        <f>(AR116+AS116)-(AT116)-94.06-2.6-2.6-4.4-2.106</f>
        <v>#REF!</v>
      </c>
      <c r="AV116" s="113">
        <v>363.125</v>
      </c>
      <c r="AW116" s="115">
        <f>369.7+1.92+0.311</f>
        <v>371.93099999999998</v>
      </c>
      <c r="AX116" s="63" t="e">
        <f t="shared" si="315"/>
        <v>#REF!</v>
      </c>
      <c r="AY116" s="113">
        <v>892.95500000000004</v>
      </c>
      <c r="AZ116" s="115">
        <f>825.44-10.6</f>
        <v>814.84</v>
      </c>
      <c r="BA116" s="63" t="e">
        <f t="shared" si="316"/>
        <v>#REF!</v>
      </c>
      <c r="BB116" s="113">
        <v>901.27700000000004</v>
      </c>
      <c r="BC116" s="115" t="e">
        <f>954.8-#REF!</f>
        <v>#REF!</v>
      </c>
      <c r="BD116" s="63">
        <v>53.2</v>
      </c>
      <c r="BE116" s="113">
        <v>964.03200000000004</v>
      </c>
      <c r="BF116" s="115">
        <v>978.24800000000005</v>
      </c>
      <c r="BG116" s="63">
        <f t="shared" si="317"/>
        <v>38.984000000000037</v>
      </c>
      <c r="BH116" s="113">
        <v>893.55200000000002</v>
      </c>
      <c r="BI116" s="115">
        <v>854.53</v>
      </c>
      <c r="BJ116" s="63">
        <f t="shared" si="318"/>
        <v>78.006000000000085</v>
      </c>
      <c r="BK116" s="113">
        <v>1029.336</v>
      </c>
      <c r="BL116" s="115">
        <v>972.9</v>
      </c>
      <c r="BM116" s="63">
        <f t="shared" si="319"/>
        <v>134.44200000000012</v>
      </c>
      <c r="BN116" s="113">
        <v>1029.3620000000001</v>
      </c>
      <c r="BO116" s="115">
        <v>1067.6600000000001</v>
      </c>
      <c r="BP116" s="63">
        <v>96.096000000000004</v>
      </c>
      <c r="BQ116" s="113">
        <v>1010.24</v>
      </c>
      <c r="BR116" s="234">
        <v>903.48400000000004</v>
      </c>
      <c r="BS116" s="63">
        <f t="shared" si="320"/>
        <v>202.85199999999998</v>
      </c>
      <c r="BT116" s="113">
        <v>1105.385</v>
      </c>
      <c r="BU116" s="65">
        <v>570.79700000000003</v>
      </c>
      <c r="BV116" s="63">
        <f t="shared" si="321"/>
        <v>737.44</v>
      </c>
      <c r="BW116" s="113">
        <v>719.91600000000005</v>
      </c>
      <c r="BX116" s="65">
        <v>836.72699999999998</v>
      </c>
      <c r="BY116" s="63">
        <f>(BV116+BW116)-(BX116)</f>
        <v>620.62900000000025</v>
      </c>
      <c r="BZ116" s="113">
        <v>713.28</v>
      </c>
      <c r="CA116" s="65">
        <v>1047.44</v>
      </c>
      <c r="CB116" s="63">
        <f t="shared" si="322"/>
        <v>286.46900000000005</v>
      </c>
      <c r="CC116" s="113">
        <v>844.08199999999999</v>
      </c>
      <c r="CD116" s="65">
        <v>951.28</v>
      </c>
      <c r="CE116" s="63">
        <f t="shared" si="323"/>
        <v>179.27099999999996</v>
      </c>
      <c r="CF116" s="113">
        <v>853.59199999999998</v>
      </c>
      <c r="CG116" s="65">
        <v>778.10400000000004</v>
      </c>
      <c r="CH116" s="63">
        <f t="shared" si="324"/>
        <v>254.75899999999979</v>
      </c>
      <c r="CI116" s="113">
        <v>869.15700000000004</v>
      </c>
      <c r="CJ116" s="65">
        <v>998.67200000000003</v>
      </c>
      <c r="CK116" s="69">
        <v>123.339</v>
      </c>
      <c r="CL116" s="117">
        <v>891.59199999999998</v>
      </c>
      <c r="CM116" s="71">
        <v>896.57100000000003</v>
      </c>
      <c r="CN116" s="63">
        <f t="shared" si="325"/>
        <v>118.36000000000001</v>
      </c>
      <c r="CO116" s="113">
        <v>897.28</v>
      </c>
      <c r="CP116" s="65">
        <v>642.87400000000002</v>
      </c>
      <c r="CQ116" s="63">
        <f t="shared" si="326"/>
        <v>372.76599999999996</v>
      </c>
      <c r="CR116" s="113">
        <v>819.11199999999997</v>
      </c>
      <c r="CS116" s="65">
        <v>954.84100000000001</v>
      </c>
      <c r="CT116" s="69">
        <f t="shared" si="327"/>
        <v>237.03699999999992</v>
      </c>
      <c r="CU116" s="119">
        <v>783.92399999999998</v>
      </c>
      <c r="CV116" s="65">
        <v>945.94</v>
      </c>
      <c r="CW116" s="63">
        <f t="shared" si="328"/>
        <v>75.020999999999844</v>
      </c>
      <c r="CX116" s="113">
        <v>800.49199999999996</v>
      </c>
      <c r="CY116" s="65">
        <v>310.44299999999998</v>
      </c>
      <c r="CZ116" s="63">
        <f t="shared" si="329"/>
        <v>565.06999999999982</v>
      </c>
      <c r="DA116" s="113">
        <v>737.49800000000005</v>
      </c>
      <c r="DB116" s="65">
        <v>906.43499999999995</v>
      </c>
      <c r="DC116" s="63">
        <f t="shared" si="330"/>
        <v>396.13299999999981</v>
      </c>
      <c r="DD116" s="113">
        <v>826.54200000000003</v>
      </c>
      <c r="DE116" s="65">
        <v>477.7</v>
      </c>
      <c r="DF116" s="63">
        <f>(DC116+DD116)-(DE116)</f>
        <v>744.97499999999968</v>
      </c>
      <c r="DG116" s="113">
        <v>752.02499999999998</v>
      </c>
      <c r="DH116" s="65">
        <v>1148.537</v>
      </c>
      <c r="DI116" s="63">
        <f t="shared" si="331"/>
        <v>348.46299999999951</v>
      </c>
      <c r="DJ116" s="113">
        <v>771.57</v>
      </c>
      <c r="DK116" s="65">
        <v>277.2</v>
      </c>
      <c r="DL116" s="63">
        <f t="shared" si="332"/>
        <v>842.8329999999994</v>
      </c>
      <c r="DM116" s="113">
        <v>646.37099999999998</v>
      </c>
      <c r="DN116" s="65">
        <v>689.04</v>
      </c>
      <c r="DO116" s="63">
        <v>797.62800000000004</v>
      </c>
      <c r="DP116" s="113">
        <v>475.08199999999999</v>
      </c>
      <c r="DQ116" s="65">
        <v>403.97800000000001</v>
      </c>
      <c r="DR116" s="63">
        <f t="shared" si="333"/>
        <v>868.73199999999997</v>
      </c>
      <c r="DS116" s="113">
        <v>432.67200000000003</v>
      </c>
      <c r="DT116" s="65">
        <v>570.62400000000002</v>
      </c>
      <c r="DU116" s="63">
        <f t="shared" si="334"/>
        <v>730.78</v>
      </c>
      <c r="DV116" s="113">
        <v>270.43099999999998</v>
      </c>
      <c r="DW116" s="65">
        <v>530.23500000000001</v>
      </c>
      <c r="DX116" s="753">
        <f t="shared" si="345"/>
        <v>470.976</v>
      </c>
      <c r="DY116" s="113">
        <v>419.98</v>
      </c>
      <c r="DZ116" s="65">
        <v>764.22799999999995</v>
      </c>
      <c r="EA116" s="187">
        <f t="shared" si="336"/>
        <v>126.72800000000007</v>
      </c>
      <c r="EB116" s="113">
        <v>420.89600000000002</v>
      </c>
      <c r="EC116" s="65">
        <v>478.84899999999999</v>
      </c>
      <c r="ED116" s="187">
        <f t="shared" si="337"/>
        <v>68.775000000000034</v>
      </c>
      <c r="EE116" s="113">
        <v>330.88</v>
      </c>
      <c r="EF116" s="65">
        <v>0</v>
      </c>
      <c r="EG116" s="753">
        <f t="shared" si="338"/>
        <v>399.65500000000003</v>
      </c>
      <c r="EH116" s="113">
        <v>293.26</v>
      </c>
      <c r="EI116" s="818">
        <v>142.52000000000001</v>
      </c>
      <c r="EJ116" s="187">
        <f t="shared" si="339"/>
        <v>550.39499999999998</v>
      </c>
      <c r="EK116" s="113">
        <v>352.5</v>
      </c>
      <c r="EL116" s="818">
        <v>451.4</v>
      </c>
      <c r="EM116" s="187">
        <f t="shared" si="340"/>
        <v>451.495</v>
      </c>
      <c r="EN116" s="113">
        <v>450</v>
      </c>
      <c r="EO116" s="818">
        <v>403.9</v>
      </c>
      <c r="EP116" s="753">
        <f t="shared" si="341"/>
        <v>497.59500000000003</v>
      </c>
      <c r="EQ116" s="113">
        <v>382.5</v>
      </c>
      <c r="ER116" s="818">
        <v>500</v>
      </c>
      <c r="ES116" s="753">
        <f t="shared" si="342"/>
        <v>380.09500000000003</v>
      </c>
      <c r="ET116" s="113">
        <v>427.5</v>
      </c>
      <c r="EU116" s="818">
        <v>213.84</v>
      </c>
      <c r="EV116" s="753">
        <f t="shared" si="343"/>
        <v>593.755</v>
      </c>
      <c r="EW116" s="113">
        <v>259.24</v>
      </c>
      <c r="EX116" s="818">
        <v>285.12</v>
      </c>
      <c r="EY116" s="753">
        <f t="shared" si="344"/>
        <v>567.875</v>
      </c>
    </row>
    <row r="117" spans="1:156" s="20" customFormat="1" ht="19.5">
      <c r="A117" s="183"/>
      <c r="B117" s="184"/>
      <c r="C117" s="61">
        <v>100519047</v>
      </c>
      <c r="D117" s="62" t="s">
        <v>395</v>
      </c>
      <c r="E117" s="63"/>
      <c r="F117" s="113"/>
      <c r="G117" s="115"/>
      <c r="H117" s="63"/>
      <c r="I117" s="113"/>
      <c r="J117" s="115"/>
      <c r="K117" s="63"/>
      <c r="L117" s="113"/>
      <c r="M117" s="115"/>
      <c r="N117" s="63"/>
      <c r="O117" s="113"/>
      <c r="P117" s="115"/>
      <c r="Q117" s="63"/>
      <c r="R117" s="113"/>
      <c r="S117" s="115"/>
      <c r="T117" s="63"/>
      <c r="U117" s="113"/>
      <c r="V117" s="115"/>
      <c r="W117" s="63"/>
      <c r="X117" s="113"/>
      <c r="Y117" s="115"/>
      <c r="Z117" s="63"/>
      <c r="AA117" s="113"/>
      <c r="AB117" s="115"/>
      <c r="AC117" s="63"/>
      <c r="AD117" s="113"/>
      <c r="AE117" s="115"/>
      <c r="AF117" s="63"/>
      <c r="AG117" s="113"/>
      <c r="AH117" s="115"/>
      <c r="AI117" s="63"/>
      <c r="AJ117" s="113"/>
      <c r="AK117" s="115"/>
      <c r="AL117" s="63"/>
      <c r="AM117" s="113"/>
      <c r="AN117" s="115"/>
      <c r="AO117" s="63"/>
      <c r="AP117" s="113">
        <v>0</v>
      </c>
      <c r="AQ117" s="115">
        <v>0</v>
      </c>
      <c r="AR117" s="63">
        <f>(AO117+AP117)-(AQ117)</f>
        <v>0</v>
      </c>
      <c r="AS117" s="113">
        <v>0</v>
      </c>
      <c r="AT117" s="115">
        <v>0</v>
      </c>
      <c r="AU117" s="63">
        <f>(AR117+AS117)-(AT117)</f>
        <v>0</v>
      </c>
      <c r="AV117" s="113">
        <f>3.572+1.75</f>
        <v>5.3220000000000001</v>
      </c>
      <c r="AW117" s="115">
        <f>3.572</f>
        <v>3.5720000000000001</v>
      </c>
      <c r="AX117" s="63">
        <f t="shared" si="315"/>
        <v>1.75</v>
      </c>
      <c r="AY117" s="113">
        <v>0</v>
      </c>
      <c r="AZ117" s="115">
        <v>1.75</v>
      </c>
      <c r="BA117" s="63">
        <f t="shared" si="316"/>
        <v>0</v>
      </c>
      <c r="BB117" s="113">
        <v>0.45</v>
      </c>
      <c r="BC117" s="115">
        <v>0.45</v>
      </c>
      <c r="BD117" s="63">
        <f>(BA117+BB117)-(BC117)</f>
        <v>0</v>
      </c>
      <c r="BE117" s="113">
        <v>3.5999999999999997E-2</v>
      </c>
      <c r="BF117" s="115">
        <v>3.5999999999999997E-2</v>
      </c>
      <c r="BG117" s="63">
        <f t="shared" si="317"/>
        <v>0</v>
      </c>
      <c r="BH117" s="113">
        <v>0</v>
      </c>
      <c r="BI117" s="115">
        <v>0</v>
      </c>
      <c r="BJ117" s="63">
        <f t="shared" si="318"/>
        <v>0</v>
      </c>
      <c r="BK117" s="113">
        <v>8.4649999999999999</v>
      </c>
      <c r="BL117" s="115">
        <v>5.1429999999999998</v>
      </c>
      <c r="BM117" s="63">
        <f t="shared" si="319"/>
        <v>3.3220000000000001</v>
      </c>
      <c r="BN117" s="113">
        <v>1.0189999999999999</v>
      </c>
      <c r="BO117" s="115">
        <f>3.322</f>
        <v>3.3220000000000001</v>
      </c>
      <c r="BP117" s="63">
        <v>0.90700000000000003</v>
      </c>
      <c r="BQ117" s="113">
        <v>1.0589999999999999</v>
      </c>
      <c r="BR117" s="234">
        <f>0.907+1.059</f>
        <v>1.966</v>
      </c>
      <c r="BS117" s="63">
        <f t="shared" si="320"/>
        <v>0</v>
      </c>
      <c r="BT117" s="113">
        <v>9.0709999999999997</v>
      </c>
      <c r="BU117" s="65">
        <v>9.0129999999999999</v>
      </c>
      <c r="BV117" s="63">
        <f t="shared" si="321"/>
        <v>5.7999999999999829E-2</v>
      </c>
      <c r="BW117" s="113"/>
      <c r="BX117" s="65"/>
      <c r="BY117" s="63"/>
      <c r="BZ117" s="113">
        <v>0</v>
      </c>
      <c r="CA117" s="65">
        <v>0</v>
      </c>
      <c r="CB117" s="63">
        <f t="shared" si="322"/>
        <v>0</v>
      </c>
      <c r="CC117" s="113">
        <v>187.6</v>
      </c>
      <c r="CD117" s="65">
        <v>85.5</v>
      </c>
      <c r="CE117" s="63">
        <f t="shared" si="323"/>
        <v>102.1</v>
      </c>
      <c r="CF117" s="113">
        <v>460.4</v>
      </c>
      <c r="CG117" s="65">
        <v>392</v>
      </c>
      <c r="CH117" s="63">
        <f t="shared" si="324"/>
        <v>170.5</v>
      </c>
      <c r="CI117" s="113">
        <v>475.80599999999998</v>
      </c>
      <c r="CJ117" s="65">
        <v>361.59899999999999</v>
      </c>
      <c r="CK117" s="69">
        <f>(CH117+CI117)-(CJ117)</f>
        <v>284.70700000000005</v>
      </c>
      <c r="CL117" s="117">
        <v>393.089</v>
      </c>
      <c r="CM117" s="71">
        <v>365.44799999999998</v>
      </c>
      <c r="CN117" s="63">
        <f t="shared" si="325"/>
        <v>312.34800000000007</v>
      </c>
      <c r="CO117" s="113">
        <v>357.55599999999998</v>
      </c>
      <c r="CP117" s="65">
        <v>253</v>
      </c>
      <c r="CQ117" s="63">
        <f t="shared" si="326"/>
        <v>416.904</v>
      </c>
      <c r="CR117" s="113">
        <v>433.95</v>
      </c>
      <c r="CS117" s="65">
        <v>619.34100000000001</v>
      </c>
      <c r="CT117" s="69">
        <f t="shared" si="327"/>
        <v>231.51300000000003</v>
      </c>
      <c r="CU117" s="119">
        <v>721.31700000000001</v>
      </c>
      <c r="CV117" s="65">
        <v>865.41399999999999</v>
      </c>
      <c r="CW117" s="63">
        <f t="shared" si="328"/>
        <v>87.416000000000054</v>
      </c>
      <c r="CX117" s="113">
        <v>303.19299999999998</v>
      </c>
      <c r="CY117" s="65">
        <v>225.702</v>
      </c>
      <c r="CZ117" s="63">
        <f t="shared" si="329"/>
        <v>164.90700000000004</v>
      </c>
      <c r="DA117" s="113">
        <v>438</v>
      </c>
      <c r="DB117" s="65">
        <v>0</v>
      </c>
      <c r="DC117" s="63">
        <f t="shared" si="330"/>
        <v>602.90700000000004</v>
      </c>
      <c r="DD117" s="113">
        <v>469.24200000000002</v>
      </c>
      <c r="DE117" s="65">
        <v>270.2</v>
      </c>
      <c r="DF117" s="63">
        <v>799.649</v>
      </c>
      <c r="DG117" s="113">
        <v>446.95</v>
      </c>
      <c r="DH117" s="65">
        <v>918</v>
      </c>
      <c r="DI117" s="63">
        <f t="shared" si="331"/>
        <v>328.59899999999993</v>
      </c>
      <c r="DJ117" s="113">
        <v>463.1</v>
      </c>
      <c r="DK117" s="65">
        <f>432-351</f>
        <v>81</v>
      </c>
      <c r="DL117" s="63">
        <f t="shared" si="332"/>
        <v>710.69899999999996</v>
      </c>
      <c r="DM117" s="113">
        <v>467.51499999999999</v>
      </c>
      <c r="DN117" s="65">
        <v>546</v>
      </c>
      <c r="DO117" s="63">
        <f>(DL117+DM117)-(DN117)</f>
        <v>632.21399999999994</v>
      </c>
      <c r="DP117" s="113">
        <v>257.95</v>
      </c>
      <c r="DQ117" s="65">
        <v>216</v>
      </c>
      <c r="DR117" s="63">
        <f t="shared" si="333"/>
        <v>674.16399999999999</v>
      </c>
      <c r="DS117" s="113">
        <v>511.82600000000002</v>
      </c>
      <c r="DT117" s="65">
        <v>567</v>
      </c>
      <c r="DU117" s="63">
        <f t="shared" si="334"/>
        <v>618.99</v>
      </c>
      <c r="DV117" s="113">
        <v>302.41000000000003</v>
      </c>
      <c r="DW117" s="65">
        <v>7.3999999999999996E-2</v>
      </c>
      <c r="DX117" s="753">
        <f t="shared" si="345"/>
        <v>921.32600000000014</v>
      </c>
      <c r="DY117" s="113">
        <v>138.6</v>
      </c>
      <c r="DZ117" s="65">
        <v>270</v>
      </c>
      <c r="EA117" s="187">
        <f t="shared" si="336"/>
        <v>789.92600000000016</v>
      </c>
      <c r="EB117" s="113">
        <v>150.46100000000001</v>
      </c>
      <c r="EC117" s="65">
        <v>216.06399999999999</v>
      </c>
      <c r="ED117" s="187">
        <f t="shared" si="337"/>
        <v>724.32300000000021</v>
      </c>
      <c r="EE117" s="113">
        <v>150</v>
      </c>
      <c r="EF117" s="65">
        <f>298+134+54</f>
        <v>486</v>
      </c>
      <c r="EG117" s="753">
        <f t="shared" si="338"/>
        <v>388.32300000000021</v>
      </c>
      <c r="EH117" s="113">
        <v>131.82</v>
      </c>
      <c r="EI117" s="818">
        <v>108</v>
      </c>
      <c r="EJ117" s="187">
        <f t="shared" si="339"/>
        <v>412.14300000000026</v>
      </c>
      <c r="EK117" s="113">
        <v>168.36</v>
      </c>
      <c r="EL117" s="818">
        <v>162</v>
      </c>
      <c r="EM117" s="187">
        <f t="shared" si="340"/>
        <v>418.50300000000027</v>
      </c>
      <c r="EN117" s="113">
        <v>234.24</v>
      </c>
      <c r="EO117" s="818">
        <v>162</v>
      </c>
      <c r="EP117" s="753">
        <f t="shared" si="341"/>
        <v>490.74300000000028</v>
      </c>
      <c r="EQ117" s="113">
        <v>36.6</v>
      </c>
      <c r="ER117" s="818">
        <v>189</v>
      </c>
      <c r="ES117" s="753">
        <f t="shared" si="342"/>
        <v>338.3430000000003</v>
      </c>
      <c r="ET117" s="113">
        <v>0</v>
      </c>
      <c r="EU117" s="818">
        <v>54</v>
      </c>
      <c r="EV117" s="753">
        <f t="shared" si="343"/>
        <v>284.3430000000003</v>
      </c>
      <c r="EW117" s="113">
        <v>76.2</v>
      </c>
      <c r="EX117" s="65">
        <v>100</v>
      </c>
      <c r="EY117" s="753">
        <f t="shared" si="344"/>
        <v>260.54300000000029</v>
      </c>
    </row>
    <row r="118" spans="1:156" ht="20.25" thickBot="1">
      <c r="A118" s="217"/>
      <c r="B118" s="184"/>
      <c r="C118" s="341" t="s">
        <v>396</v>
      </c>
      <c r="D118" s="342" t="s">
        <v>270</v>
      </c>
      <c r="E118" s="343"/>
      <c r="F118" s="344"/>
      <c r="G118" s="345"/>
      <c r="H118" s="343"/>
      <c r="I118" s="346"/>
      <c r="J118" s="347"/>
      <c r="K118" s="348"/>
      <c r="L118" s="346"/>
      <c r="M118" s="347"/>
      <c r="N118" s="348"/>
      <c r="O118" s="346"/>
      <c r="P118" s="347"/>
      <c r="Q118" s="348"/>
      <c r="R118" s="346"/>
      <c r="S118" s="347"/>
      <c r="T118" s="348"/>
      <c r="U118" s="346"/>
      <c r="V118" s="347"/>
      <c r="W118" s="348"/>
      <c r="X118" s="346"/>
      <c r="Y118" s="347"/>
      <c r="Z118" s="348"/>
      <c r="AA118" s="346"/>
      <c r="AB118" s="347"/>
      <c r="AC118" s="348"/>
      <c r="AD118" s="346"/>
      <c r="AE118" s="347"/>
      <c r="AF118" s="348"/>
      <c r="AG118" s="346"/>
      <c r="AH118" s="347"/>
      <c r="AI118" s="348"/>
      <c r="AJ118" s="349"/>
      <c r="AK118" s="350"/>
      <c r="AL118" s="348"/>
      <c r="AM118" s="346"/>
      <c r="AN118" s="347"/>
      <c r="AO118" s="348"/>
      <c r="AP118" s="346"/>
      <c r="AQ118" s="347"/>
      <c r="AR118" s="348"/>
      <c r="AS118" s="346"/>
      <c r="AT118" s="347"/>
      <c r="AU118" s="348"/>
      <c r="AV118" s="346"/>
      <c r="AW118" s="347"/>
      <c r="AX118" s="348"/>
      <c r="AY118" s="346"/>
      <c r="AZ118" s="347"/>
      <c r="BA118" s="348"/>
      <c r="BB118" s="346"/>
      <c r="BC118" s="347"/>
      <c r="BD118" s="348"/>
      <c r="BE118" s="349"/>
      <c r="BF118" s="350"/>
      <c r="BG118" s="348"/>
      <c r="BH118" s="346"/>
      <c r="BI118" s="347"/>
      <c r="BJ118" s="348"/>
      <c r="BK118" s="346"/>
      <c r="BL118" s="347"/>
      <c r="BM118" s="348"/>
      <c r="BN118" s="346"/>
      <c r="BO118" s="347"/>
      <c r="BP118" s="348"/>
      <c r="BQ118" s="346"/>
      <c r="BR118" s="347"/>
      <c r="BS118" s="348"/>
      <c r="BT118" s="346"/>
      <c r="BU118" s="347"/>
      <c r="BV118" s="348"/>
      <c r="BW118" s="346"/>
      <c r="BX118" s="347"/>
      <c r="BY118" s="348"/>
      <c r="BZ118" s="346"/>
      <c r="CA118" s="347"/>
      <c r="CB118" s="348"/>
      <c r="CC118" s="346"/>
      <c r="CD118" s="347"/>
      <c r="CE118" s="348"/>
      <c r="CF118" s="346"/>
      <c r="CG118" s="347"/>
      <c r="CH118" s="348"/>
      <c r="CI118" s="346"/>
      <c r="CJ118" s="347"/>
      <c r="CK118" s="351"/>
      <c r="CL118" s="352"/>
      <c r="CM118" s="353"/>
      <c r="CN118" s="348"/>
      <c r="CO118" s="346"/>
      <c r="CP118" s="347"/>
      <c r="CQ118" s="348"/>
      <c r="CR118" s="349"/>
      <c r="CS118" s="350"/>
      <c r="CT118" s="351"/>
      <c r="CU118" s="354"/>
      <c r="CV118" s="347"/>
      <c r="CW118" s="348"/>
      <c r="CX118" s="346"/>
      <c r="CY118" s="347"/>
      <c r="CZ118" s="348"/>
      <c r="DA118" s="346"/>
      <c r="DB118" s="347"/>
      <c r="DC118" s="348"/>
      <c r="DD118" s="346"/>
      <c r="DE118" s="347"/>
      <c r="DF118" s="348"/>
      <c r="DG118" s="346"/>
      <c r="DH118" s="347"/>
      <c r="DI118" s="348"/>
      <c r="DJ118" s="346"/>
      <c r="DK118" s="347"/>
      <c r="DL118" s="348"/>
      <c r="DM118" s="346">
        <v>0.01</v>
      </c>
      <c r="DN118" s="347">
        <v>0.01</v>
      </c>
      <c r="DO118" s="348">
        <f>(DL118+DM118)-(DN118)</f>
        <v>0</v>
      </c>
      <c r="DP118" s="346">
        <v>0.26500000000000001</v>
      </c>
      <c r="DQ118" s="347">
        <v>0.26500000000000001</v>
      </c>
      <c r="DR118" s="348">
        <f t="shared" si="333"/>
        <v>0</v>
      </c>
      <c r="DS118" s="346">
        <v>5.0000000000000001E-3</v>
      </c>
      <c r="DT118" s="347">
        <v>0</v>
      </c>
      <c r="DU118" s="348">
        <f t="shared" si="334"/>
        <v>5.0000000000000001E-3</v>
      </c>
      <c r="DV118" s="346">
        <v>0</v>
      </c>
      <c r="DW118" s="347">
        <v>0</v>
      </c>
      <c r="DX118" s="756">
        <f t="shared" si="345"/>
        <v>5.0000000000000001E-3</v>
      </c>
      <c r="DY118" s="346">
        <v>0.05</v>
      </c>
      <c r="DZ118" s="347">
        <v>5.5E-2</v>
      </c>
      <c r="EA118" s="348">
        <f t="shared" ref="EA118" si="346">(DX118+DY118)-(DZ118)</f>
        <v>0</v>
      </c>
      <c r="EB118" s="346">
        <v>0.2</v>
      </c>
      <c r="EC118" s="347">
        <v>0.2</v>
      </c>
      <c r="ED118" s="348">
        <f t="shared" ref="ED118" si="347">(EA118+EB118)-(EC118)</f>
        <v>0</v>
      </c>
      <c r="EE118" s="346">
        <v>2.4</v>
      </c>
      <c r="EF118" s="347">
        <f>0.486+1.882</f>
        <v>2.3679999999999999</v>
      </c>
      <c r="EG118" s="756">
        <f t="shared" ref="EG118" si="348">(ED118+EE118)-(EF118)</f>
        <v>3.2000000000000028E-2</v>
      </c>
      <c r="EH118" s="346">
        <f>1.371+4.852</f>
        <v>6.2230000000000008</v>
      </c>
      <c r="EI118" s="347">
        <f>1.371+4.852</f>
        <v>6.2230000000000008</v>
      </c>
      <c r="EJ118" s="348">
        <f t="shared" ref="EJ118" si="349">(EG118+EH118)-(EI118)</f>
        <v>3.2000000000000028E-2</v>
      </c>
      <c r="EK118" s="346">
        <v>0</v>
      </c>
      <c r="EL118" s="347">
        <v>0</v>
      </c>
      <c r="EM118" s="348">
        <f t="shared" ref="EM118" si="350">(EJ118+EK118)-(EL118)</f>
        <v>3.2000000000000028E-2</v>
      </c>
      <c r="EN118" s="346">
        <v>0</v>
      </c>
      <c r="EO118" s="347">
        <v>0</v>
      </c>
      <c r="EP118" s="756">
        <f t="shared" ref="EP118" si="351">(EM118+EN118)-(EO118)</f>
        <v>3.2000000000000028E-2</v>
      </c>
      <c r="EQ118" s="346">
        <v>0</v>
      </c>
      <c r="ER118" s="347">
        <v>0</v>
      </c>
      <c r="ES118" s="756">
        <f t="shared" ref="ES118" si="352">(EP118+EQ118)-(ER118)</f>
        <v>3.2000000000000028E-2</v>
      </c>
      <c r="ET118" s="346">
        <v>0</v>
      </c>
      <c r="EU118" s="347">
        <v>0</v>
      </c>
      <c r="EV118" s="756">
        <f t="shared" ref="EV118" si="353">(ES118+ET118)-(EU118)</f>
        <v>3.2000000000000028E-2</v>
      </c>
      <c r="EW118" s="346">
        <v>0</v>
      </c>
      <c r="EX118" s="347">
        <v>0</v>
      </c>
      <c r="EY118" s="756">
        <f t="shared" ref="EY118" si="354">(EV118+EW118)-(EX118)</f>
        <v>3.2000000000000028E-2</v>
      </c>
      <c r="EZ118" s="20"/>
    </row>
    <row r="119" spans="1:156" s="20" customFormat="1" ht="20.25" thickBot="1">
      <c r="A119" s="204"/>
      <c r="B119" s="355"/>
      <c r="C119" s="356"/>
      <c r="D119" s="357" t="s">
        <v>51</v>
      </c>
      <c r="E119" s="160">
        <v>1007.546</v>
      </c>
      <c r="F119" s="302">
        <f t="shared" ref="F119:AO119" si="355">SUM(F112:F116)</f>
        <v>853.58400000000006</v>
      </c>
      <c r="G119" s="162">
        <f t="shared" si="355"/>
        <v>1194.5309999999999</v>
      </c>
      <c r="H119" s="160">
        <f t="shared" si="355"/>
        <v>666.56400000000008</v>
      </c>
      <c r="I119" s="302">
        <f t="shared" si="355"/>
        <v>744.99800000000005</v>
      </c>
      <c r="J119" s="162">
        <f t="shared" si="355"/>
        <v>915.48599999999999</v>
      </c>
      <c r="K119" s="160">
        <f t="shared" si="355"/>
        <v>496.07600000000002</v>
      </c>
      <c r="L119" s="302">
        <f t="shared" si="355"/>
        <v>888.89200000000005</v>
      </c>
      <c r="M119" s="162">
        <f t="shared" si="355"/>
        <v>1179.646</v>
      </c>
      <c r="N119" s="160">
        <f t="shared" si="355"/>
        <v>205.32200000000006</v>
      </c>
      <c r="O119" s="302">
        <f t="shared" si="355"/>
        <v>826.81600000000003</v>
      </c>
      <c r="P119" s="162">
        <f t="shared" si="355"/>
        <v>758.81399999999996</v>
      </c>
      <c r="Q119" s="160">
        <f t="shared" si="355"/>
        <v>273.32400000000007</v>
      </c>
      <c r="R119" s="302">
        <f t="shared" si="355"/>
        <v>921.82799999999997</v>
      </c>
      <c r="S119" s="162">
        <f t="shared" si="355"/>
        <v>841.59400000000005</v>
      </c>
      <c r="T119" s="160">
        <f t="shared" si="355"/>
        <v>353.55799999999999</v>
      </c>
      <c r="U119" s="302">
        <f t="shared" si="355"/>
        <v>738.18899999999996</v>
      </c>
      <c r="V119" s="162">
        <f t="shared" si="355"/>
        <v>674.12299999999993</v>
      </c>
      <c r="W119" s="160">
        <f t="shared" si="355"/>
        <v>417.62399999999991</v>
      </c>
      <c r="X119" s="302">
        <f t="shared" si="355"/>
        <v>882.34899999999993</v>
      </c>
      <c r="Y119" s="162">
        <f t="shared" si="355"/>
        <v>1014.3330000000001</v>
      </c>
      <c r="Z119" s="160">
        <f t="shared" si="355"/>
        <v>285.63999999999993</v>
      </c>
      <c r="AA119" s="302">
        <f t="shared" si="355"/>
        <v>808.70399999999995</v>
      </c>
      <c r="AB119" s="162">
        <f t="shared" si="355"/>
        <v>739.01800000000003</v>
      </c>
      <c r="AC119" s="160">
        <f t="shared" si="355"/>
        <v>355.32599999999991</v>
      </c>
      <c r="AD119" s="302">
        <f t="shared" si="355"/>
        <v>828.62099999999998</v>
      </c>
      <c r="AE119" s="162">
        <f t="shared" si="355"/>
        <v>333.32</v>
      </c>
      <c r="AF119" s="160">
        <f t="shared" si="355"/>
        <v>850.62699999999995</v>
      </c>
      <c r="AG119" s="302">
        <f t="shared" si="355"/>
        <v>811.37300000000005</v>
      </c>
      <c r="AH119" s="162">
        <f t="shared" si="355"/>
        <v>1043.5929999999998</v>
      </c>
      <c r="AI119" s="160">
        <f t="shared" si="355"/>
        <v>618.40699999999993</v>
      </c>
      <c r="AJ119" s="302">
        <f t="shared" si="355"/>
        <v>466.11099999999999</v>
      </c>
      <c r="AK119" s="162">
        <f t="shared" si="355"/>
        <v>922.56799999999998</v>
      </c>
      <c r="AL119" s="160">
        <f t="shared" si="355"/>
        <v>161.9499999999999</v>
      </c>
      <c r="AM119" s="302">
        <f t="shared" si="355"/>
        <v>171.48599999999999</v>
      </c>
      <c r="AN119" s="162">
        <f t="shared" si="355"/>
        <v>143.446</v>
      </c>
      <c r="AO119" s="160">
        <f t="shared" si="355"/>
        <v>189.9899999999999</v>
      </c>
      <c r="AP119" s="302">
        <f t="shared" ref="AP119:DA119" si="356">SUM(AP112:AP118)</f>
        <v>491.71000000000004</v>
      </c>
      <c r="AQ119" s="162">
        <f t="shared" si="356"/>
        <v>539.77099999999996</v>
      </c>
      <c r="AR119" s="160" t="e">
        <f t="shared" si="356"/>
        <v>#REF!</v>
      </c>
      <c r="AS119" s="302">
        <f t="shared" si="356"/>
        <v>1243.8679999999999</v>
      </c>
      <c r="AT119" s="162">
        <f t="shared" si="356"/>
        <v>1081.4349999999999</v>
      </c>
      <c r="AU119" s="160" t="e">
        <f t="shared" si="356"/>
        <v>#REF!</v>
      </c>
      <c r="AV119" s="302">
        <f t="shared" si="356"/>
        <v>749.00599999999997</v>
      </c>
      <c r="AW119" s="162">
        <f t="shared" si="356"/>
        <v>813.23300000000006</v>
      </c>
      <c r="AX119" s="160" t="e">
        <f t="shared" si="356"/>
        <v>#REF!</v>
      </c>
      <c r="AY119" s="302">
        <f t="shared" si="356"/>
        <v>1467.7950000000001</v>
      </c>
      <c r="AZ119" s="162">
        <f t="shared" si="356"/>
        <v>1362.5900000000001</v>
      </c>
      <c r="BA119" s="160" t="e">
        <f t="shared" si="356"/>
        <v>#REF!</v>
      </c>
      <c r="BB119" s="302">
        <f t="shared" si="356"/>
        <v>1555.354</v>
      </c>
      <c r="BC119" s="162" t="e">
        <f t="shared" si="356"/>
        <v>#REF!</v>
      </c>
      <c r="BD119" s="160">
        <f t="shared" si="356"/>
        <v>124.02400000000002</v>
      </c>
      <c r="BE119" s="302">
        <f t="shared" si="356"/>
        <v>1794.0300000000002</v>
      </c>
      <c r="BF119" s="162">
        <f t="shared" si="356"/>
        <v>1746.194</v>
      </c>
      <c r="BG119" s="160">
        <f t="shared" si="356"/>
        <v>171.86000000000007</v>
      </c>
      <c r="BH119" s="302">
        <f t="shared" si="356"/>
        <v>1738.39</v>
      </c>
      <c r="BI119" s="162">
        <f t="shared" si="356"/>
        <v>1686.4349999999999</v>
      </c>
      <c r="BJ119" s="160">
        <f t="shared" si="356"/>
        <v>223.81500000000014</v>
      </c>
      <c r="BK119" s="302">
        <f t="shared" si="356"/>
        <v>1848.454</v>
      </c>
      <c r="BL119" s="162">
        <f t="shared" si="356"/>
        <v>1686.94</v>
      </c>
      <c r="BM119" s="160">
        <f t="shared" si="356"/>
        <v>385.32900000000012</v>
      </c>
      <c r="BN119" s="302">
        <f t="shared" si="356"/>
        <v>1671.47</v>
      </c>
      <c r="BO119" s="162">
        <f t="shared" si="356"/>
        <v>1768.702</v>
      </c>
      <c r="BP119" s="160">
        <f t="shared" si="356"/>
        <v>287.93699999999995</v>
      </c>
      <c r="BQ119" s="302">
        <f t="shared" si="356"/>
        <v>1795.0409999999999</v>
      </c>
      <c r="BR119" s="162">
        <f t="shared" si="356"/>
        <v>1575.85</v>
      </c>
      <c r="BS119" s="160">
        <f t="shared" si="356"/>
        <v>507.12800000000004</v>
      </c>
      <c r="BT119" s="302">
        <f t="shared" si="356"/>
        <v>1838.0259999999998</v>
      </c>
      <c r="BU119" s="162">
        <f t="shared" si="356"/>
        <v>1137.0160000000001</v>
      </c>
      <c r="BV119" s="160">
        <f t="shared" si="356"/>
        <v>1208.1380000000001</v>
      </c>
      <c r="BW119" s="302">
        <f t="shared" si="356"/>
        <v>1360.6709999999998</v>
      </c>
      <c r="BX119" s="162">
        <f t="shared" si="356"/>
        <v>984.327</v>
      </c>
      <c r="BY119" s="160">
        <f t="shared" si="356"/>
        <v>1584.4240000000004</v>
      </c>
      <c r="BZ119" s="302">
        <f t="shared" si="356"/>
        <v>1366.9659999999999</v>
      </c>
      <c r="CA119" s="162">
        <f t="shared" si="356"/>
        <v>1864.616</v>
      </c>
      <c r="CB119" s="160">
        <f t="shared" si="356"/>
        <v>1086.7740000000001</v>
      </c>
      <c r="CC119" s="302">
        <f t="shared" si="356"/>
        <v>1573.1579999999999</v>
      </c>
      <c r="CD119" s="162">
        <f t="shared" si="356"/>
        <v>1826.96</v>
      </c>
      <c r="CE119" s="160">
        <f t="shared" si="356"/>
        <v>832.97200000000009</v>
      </c>
      <c r="CF119" s="302">
        <f t="shared" si="356"/>
        <v>1674.732</v>
      </c>
      <c r="CG119" s="162">
        <f t="shared" si="356"/>
        <v>1821.7040000000002</v>
      </c>
      <c r="CH119" s="160">
        <f t="shared" si="356"/>
        <v>685.99999999999989</v>
      </c>
      <c r="CI119" s="302">
        <f t="shared" si="356"/>
        <v>1726.895</v>
      </c>
      <c r="CJ119" s="162">
        <f t="shared" si="356"/>
        <v>1581.953</v>
      </c>
      <c r="CK119" s="163">
        <f t="shared" si="356"/>
        <v>829.03700000000026</v>
      </c>
      <c r="CL119" s="358">
        <f t="shared" si="356"/>
        <v>1636.8319999999999</v>
      </c>
      <c r="CM119" s="165">
        <f t="shared" si="356"/>
        <v>1717.5630000000001</v>
      </c>
      <c r="CN119" s="160">
        <f t="shared" si="356"/>
        <v>748.30600000000015</v>
      </c>
      <c r="CO119" s="302">
        <f t="shared" si="356"/>
        <v>1618.896</v>
      </c>
      <c r="CP119" s="162">
        <f t="shared" si="356"/>
        <v>1110.7620000000002</v>
      </c>
      <c r="CQ119" s="160">
        <f t="shared" si="356"/>
        <v>1256.44</v>
      </c>
      <c r="CR119" s="302">
        <f t="shared" si="356"/>
        <v>1675.088</v>
      </c>
      <c r="CS119" s="162">
        <f t="shared" si="356"/>
        <v>1979.518</v>
      </c>
      <c r="CT119" s="163">
        <f t="shared" si="356"/>
        <v>952.0100000000001</v>
      </c>
      <c r="CU119" s="305">
        <f t="shared" si="356"/>
        <v>1604.1179999999999</v>
      </c>
      <c r="CV119" s="162">
        <f t="shared" si="356"/>
        <v>2165.6440000000002</v>
      </c>
      <c r="CW119" s="160">
        <f t="shared" si="356"/>
        <v>390.48400000000004</v>
      </c>
      <c r="CX119" s="302">
        <f t="shared" si="356"/>
        <v>1277.2649999999999</v>
      </c>
      <c r="CY119" s="162">
        <f t="shared" si="356"/>
        <v>609.88900000000001</v>
      </c>
      <c r="CZ119" s="160">
        <f t="shared" si="356"/>
        <v>1057.8600000000001</v>
      </c>
      <c r="DA119" s="302">
        <f t="shared" si="356"/>
        <v>1473.2730000000001</v>
      </c>
      <c r="DB119" s="162">
        <f t="shared" ref="DB119:EG119" si="357">SUM(DB112:DB118)</f>
        <v>1188.72</v>
      </c>
      <c r="DC119" s="160">
        <f t="shared" si="357"/>
        <v>1342.413</v>
      </c>
      <c r="DD119" s="302">
        <f t="shared" si="357"/>
        <v>1648.3500000000001</v>
      </c>
      <c r="DE119" s="162">
        <f t="shared" si="357"/>
        <v>1056.684</v>
      </c>
      <c r="DF119" s="160">
        <f t="shared" si="357"/>
        <v>1931.779</v>
      </c>
      <c r="DG119" s="302">
        <f t="shared" si="357"/>
        <v>1597.5350000000001</v>
      </c>
      <c r="DH119" s="162">
        <f t="shared" si="357"/>
        <v>2361.0329999999999</v>
      </c>
      <c r="DI119" s="160">
        <f t="shared" si="357"/>
        <v>1168.2809999999995</v>
      </c>
      <c r="DJ119" s="302">
        <f t="shared" si="357"/>
        <v>1624.9580000000001</v>
      </c>
      <c r="DK119" s="162">
        <f t="shared" si="357"/>
        <v>495.31200000000001</v>
      </c>
      <c r="DL119" s="160">
        <f t="shared" si="357"/>
        <v>2297.9269999999997</v>
      </c>
      <c r="DM119" s="302">
        <f t="shared" si="357"/>
        <v>1250.578</v>
      </c>
      <c r="DN119" s="162">
        <f t="shared" si="357"/>
        <v>1462.346</v>
      </c>
      <c r="DO119" s="160">
        <f t="shared" si="357"/>
        <v>2083.623</v>
      </c>
      <c r="DP119" s="302">
        <f t="shared" si="357"/>
        <v>919.69600000000003</v>
      </c>
      <c r="DQ119" s="162">
        <f t="shared" si="357"/>
        <v>915.01499999999999</v>
      </c>
      <c r="DR119" s="160">
        <f t="shared" si="357"/>
        <v>2088.3040000000001</v>
      </c>
      <c r="DS119" s="302">
        <f t="shared" si="357"/>
        <v>1065.817</v>
      </c>
      <c r="DT119" s="162">
        <f t="shared" si="357"/>
        <v>1293.952</v>
      </c>
      <c r="DU119" s="160">
        <f t="shared" si="357"/>
        <v>1860.1690000000003</v>
      </c>
      <c r="DV119" s="302">
        <f t="shared" si="357"/>
        <v>653.51099999999997</v>
      </c>
      <c r="DW119" s="162">
        <f t="shared" si="357"/>
        <v>584.16499999999996</v>
      </c>
      <c r="DX119" s="748">
        <f t="shared" si="357"/>
        <v>1929.5150000000006</v>
      </c>
      <c r="DY119" s="302">
        <f t="shared" si="357"/>
        <v>908.77</v>
      </c>
      <c r="DZ119" s="162">
        <f t="shared" si="357"/>
        <v>1453.923</v>
      </c>
      <c r="EA119" s="160">
        <f t="shared" si="357"/>
        <v>1384.3620000000005</v>
      </c>
      <c r="EB119" s="302">
        <f t="shared" si="357"/>
        <v>748.76600000000008</v>
      </c>
      <c r="EC119" s="162">
        <f t="shared" si="357"/>
        <v>865.06100000000004</v>
      </c>
      <c r="ED119" s="160">
        <f t="shared" si="357"/>
        <v>1268.0670000000005</v>
      </c>
      <c r="EE119" s="302">
        <f t="shared" si="357"/>
        <v>483.28</v>
      </c>
      <c r="EF119" s="162">
        <f t="shared" si="357"/>
        <v>676.16800000000001</v>
      </c>
      <c r="EG119" s="748">
        <f t="shared" si="357"/>
        <v>1075.1790000000003</v>
      </c>
      <c r="EH119" s="302">
        <f t="shared" ref="EH119:EJ119" si="358">SUM(EH112:EH118)</f>
        <v>585.09299999999985</v>
      </c>
      <c r="EI119" s="162">
        <f t="shared" si="358"/>
        <v>191.68100000000004</v>
      </c>
      <c r="EJ119" s="160">
        <f t="shared" si="358"/>
        <v>1468.5910000000003</v>
      </c>
      <c r="EK119" s="302">
        <f t="shared" ref="EK119:EM119" si="359">SUM(EK112:EK118)</f>
        <v>624.05999999999995</v>
      </c>
      <c r="EL119" s="162">
        <f t="shared" si="359"/>
        <v>690.22699999999998</v>
      </c>
      <c r="EM119" s="160">
        <f t="shared" si="359"/>
        <v>1402.4240000000002</v>
      </c>
      <c r="EN119" s="302">
        <f t="shared" ref="EN119:EP119" si="360">SUM(EN112:EN118)</f>
        <v>712.44</v>
      </c>
      <c r="EO119" s="162">
        <f t="shared" si="360"/>
        <v>787.63699999999994</v>
      </c>
      <c r="EP119" s="748">
        <f t="shared" si="360"/>
        <v>1327.2270000000003</v>
      </c>
      <c r="EQ119" s="302">
        <f t="shared" ref="EQ119:ES119" si="361">SUM(EQ112:EQ118)</f>
        <v>541.38</v>
      </c>
      <c r="ER119" s="162">
        <f t="shared" si="361"/>
        <v>857.45</v>
      </c>
      <c r="ES119" s="748">
        <f t="shared" si="361"/>
        <v>1011.1570000000005</v>
      </c>
      <c r="ET119" s="302">
        <f t="shared" ref="ET119:EV119" si="362">SUM(ET112:ET118)</f>
        <v>604.62</v>
      </c>
      <c r="EU119" s="162">
        <f t="shared" si="362"/>
        <v>424.84000000000003</v>
      </c>
      <c r="EV119" s="748">
        <f t="shared" si="362"/>
        <v>1190.9370000000004</v>
      </c>
      <c r="EW119" s="302">
        <f t="shared" ref="EW119:EY119" si="363">SUM(EW112:EW118)</f>
        <v>385.71999999999997</v>
      </c>
      <c r="EX119" s="162">
        <f t="shared" si="363"/>
        <v>432.12</v>
      </c>
      <c r="EY119" s="748">
        <f t="shared" si="363"/>
        <v>1144.5370000000003</v>
      </c>
    </row>
    <row r="120" spans="1:156" ht="19.5" hidden="1">
      <c r="A120" s="359">
        <v>8</v>
      </c>
      <c r="C120" s="360">
        <v>100439617</v>
      </c>
      <c r="D120" s="126" t="s">
        <v>117</v>
      </c>
      <c r="E120" s="77">
        <v>0</v>
      </c>
      <c r="F120" s="78">
        <v>5.2050000000000001</v>
      </c>
      <c r="G120" s="79">
        <v>5.2050000000000001</v>
      </c>
      <c r="H120" s="77">
        <f>(E120+F120)-(G120)</f>
        <v>0</v>
      </c>
      <c r="I120" s="78">
        <v>2.5099999999999998</v>
      </c>
      <c r="J120" s="79">
        <v>2.5099999999999998</v>
      </c>
      <c r="K120" s="77">
        <f>(H120+I120)-(J120)</f>
        <v>0</v>
      </c>
      <c r="L120" s="340">
        <v>15.569000000000001</v>
      </c>
      <c r="M120" s="65">
        <v>15.569000000000001</v>
      </c>
      <c r="N120" s="63">
        <f>(K120+L120)-(M120)</f>
        <v>0</v>
      </c>
      <c r="O120" s="340">
        <v>60.582000000000001</v>
      </c>
      <c r="P120" s="65">
        <v>60.582000000000001</v>
      </c>
      <c r="Q120" s="63">
        <f>(N120+O120)-(P120)</f>
        <v>0</v>
      </c>
      <c r="R120" s="340">
        <v>62.055999999999997</v>
      </c>
      <c r="S120" s="65">
        <v>62.055999999999997</v>
      </c>
      <c r="T120" s="63">
        <f>(Q120+R120)-(S120)</f>
        <v>0</v>
      </c>
      <c r="U120" s="64">
        <v>130.55000000000001</v>
      </c>
      <c r="V120" s="65">
        <v>128.80000000000001</v>
      </c>
      <c r="W120" s="63">
        <f>(T120+U120)-(V120)</f>
        <v>1.75</v>
      </c>
      <c r="X120" s="64">
        <v>94.85</v>
      </c>
      <c r="Y120" s="65">
        <v>76.650000000000006</v>
      </c>
      <c r="Z120" s="63">
        <f>(W120+X120)-(Y120)</f>
        <v>19.949999999999989</v>
      </c>
      <c r="AA120" s="64">
        <v>66.738</v>
      </c>
      <c r="AB120" s="65">
        <v>61.494</v>
      </c>
      <c r="AC120" s="63">
        <f>(Z120+AA120)-(AB120)</f>
        <v>25.193999999999988</v>
      </c>
      <c r="AD120" s="64">
        <v>67.45</v>
      </c>
      <c r="AE120" s="65">
        <v>62.55</v>
      </c>
      <c r="AF120" s="63">
        <f>(AC120+AD120)-(AE120)</f>
        <v>30.093999999999994</v>
      </c>
      <c r="AG120" s="64">
        <v>73.917000000000002</v>
      </c>
      <c r="AH120" s="361">
        <v>26.311</v>
      </c>
      <c r="AI120" s="63">
        <f>(AF120+AG120)-(AH120)</f>
        <v>77.699999999999989</v>
      </c>
      <c r="AJ120" s="64">
        <v>15.14</v>
      </c>
      <c r="AK120" s="65">
        <v>92</v>
      </c>
      <c r="AL120" s="63">
        <f>(AI120+AJ120)-(AK120)</f>
        <v>0.8399999999999892</v>
      </c>
      <c r="AM120" s="64">
        <v>12.05</v>
      </c>
      <c r="AN120" s="65">
        <v>10.65</v>
      </c>
      <c r="AO120" s="63">
        <f>(AL120+AM120)-(AN120)</f>
        <v>2.2399999999999896</v>
      </c>
      <c r="AP120" s="64">
        <v>84.7</v>
      </c>
      <c r="AQ120" s="65">
        <v>73.849999999999994</v>
      </c>
      <c r="AR120" s="63">
        <f>(AO120+AP120)-(AQ120)</f>
        <v>13.090000000000003</v>
      </c>
      <c r="AS120" s="64">
        <v>122.045</v>
      </c>
      <c r="AT120" s="65">
        <v>114.8</v>
      </c>
      <c r="AU120" s="63">
        <f>(AR120+AS120)-(AT120)</f>
        <v>20.334999999999994</v>
      </c>
      <c r="AV120" s="64">
        <v>19.600000000000001</v>
      </c>
      <c r="AW120" s="65">
        <v>37.799999999999997</v>
      </c>
      <c r="AX120" s="63">
        <f>(AU120+AV120)-(AW120)</f>
        <v>2.134999999999998</v>
      </c>
      <c r="AY120" s="64">
        <v>113.29600000000001</v>
      </c>
      <c r="AZ120" s="65">
        <v>115.334</v>
      </c>
      <c r="BA120" s="63">
        <f>(AX120+AY120)-(AZ120)</f>
        <v>9.7000000000008413E-2</v>
      </c>
      <c r="BB120" s="64">
        <v>85.578000000000003</v>
      </c>
      <c r="BC120" s="65">
        <v>64.563000000000002</v>
      </c>
      <c r="BD120" s="63">
        <v>21.015000000000001</v>
      </c>
      <c r="BE120" s="64">
        <v>85.19</v>
      </c>
      <c r="BF120" s="65">
        <v>105.59</v>
      </c>
      <c r="BG120" s="63">
        <f>(BD120+BE120)-(BF120)</f>
        <v>0.61499999999999488</v>
      </c>
      <c r="BH120" s="64">
        <v>31.95</v>
      </c>
      <c r="BI120" s="65">
        <v>16.015000000000001</v>
      </c>
      <c r="BJ120" s="63">
        <f>(BG120+BH120)-(BI120)</f>
        <v>16.549999999999997</v>
      </c>
      <c r="BK120" s="64">
        <v>4.9000000000000004</v>
      </c>
      <c r="BL120" s="65">
        <v>21.45</v>
      </c>
      <c r="BM120" s="63">
        <f>(BJ120+BK120)-(BL120)</f>
        <v>0</v>
      </c>
      <c r="BN120" s="64">
        <v>0</v>
      </c>
      <c r="BO120" s="65">
        <v>-0.13600000000000001</v>
      </c>
      <c r="BP120" s="63">
        <f>(BM120+BN120)-(BO120)</f>
        <v>0.13600000000000001</v>
      </c>
      <c r="BQ120" s="64">
        <v>74.05</v>
      </c>
      <c r="BR120" s="65">
        <v>74.05</v>
      </c>
      <c r="BS120" s="63">
        <f>(BP120+BQ120)-(BR120)</f>
        <v>0.13599999999999568</v>
      </c>
      <c r="BT120" s="64">
        <v>-0.13600000000000001</v>
      </c>
      <c r="BU120" s="65">
        <v>0</v>
      </c>
      <c r="BV120" s="63">
        <f>(BS120+BT120)-(BU120)</f>
        <v>-4.3298697960381105E-15</v>
      </c>
      <c r="BW120" s="64">
        <v>0</v>
      </c>
      <c r="BX120" s="65">
        <v>0</v>
      </c>
      <c r="BY120" s="63">
        <f t="shared" ref="BY120:BY126" si="364">(BV120+BW120)-(BX120)</f>
        <v>-4.3298697960381105E-15</v>
      </c>
      <c r="BZ120" s="64">
        <v>0</v>
      </c>
      <c r="CA120" s="65">
        <v>0</v>
      </c>
      <c r="CB120" s="63">
        <f t="shared" ref="CB120:CB128" si="365">(BY120+BZ120)-(CA120)</f>
        <v>-4.3298697960381105E-15</v>
      </c>
      <c r="CC120" s="64">
        <v>0</v>
      </c>
      <c r="CD120" s="65">
        <v>0</v>
      </c>
      <c r="CE120" s="63">
        <f t="shared" ref="CE120:CE128" si="366">(CB120+CC120)-(CD120)</f>
        <v>-4.3298697960381105E-15</v>
      </c>
      <c r="CF120" s="64">
        <v>0</v>
      </c>
      <c r="CG120" s="65">
        <v>0</v>
      </c>
      <c r="CH120" s="63">
        <f t="shared" ref="CH120:CH128" si="367">(CE120+CF120)-(CG120)</f>
        <v>-4.3298697960381105E-15</v>
      </c>
      <c r="CI120" s="64">
        <v>0</v>
      </c>
      <c r="CJ120" s="65">
        <v>0</v>
      </c>
      <c r="CK120" s="189">
        <f>(CH120+CI120)-(CJ120)</f>
        <v>-4.3298697960381105E-15</v>
      </c>
      <c r="CL120" s="70">
        <v>42.6</v>
      </c>
      <c r="CM120" s="71">
        <v>42.6</v>
      </c>
      <c r="CN120" s="63">
        <f t="shared" ref="CN120:CN128" si="368">(CK120+CL120)-(CM120)</f>
        <v>0</v>
      </c>
      <c r="CO120" s="64">
        <v>0</v>
      </c>
      <c r="CP120" s="65">
        <v>0</v>
      </c>
      <c r="CQ120" s="63">
        <f t="shared" ref="CQ120:CQ128" si="369">(CN120+CO120)-(CP120)</f>
        <v>0</v>
      </c>
      <c r="CR120" s="64">
        <v>0</v>
      </c>
      <c r="CS120" s="65">
        <v>0</v>
      </c>
      <c r="CT120" s="69">
        <f t="shared" ref="CT120:CT128" si="370">(CQ120+CR120)-(CS120)</f>
        <v>0</v>
      </c>
      <c r="CU120" s="81">
        <v>0</v>
      </c>
      <c r="CV120" s="65">
        <v>0</v>
      </c>
      <c r="CW120" s="63">
        <f t="shared" ref="CW120:CW128" si="371">(CT120+CU120)-(CV120)</f>
        <v>0</v>
      </c>
      <c r="CX120" s="64">
        <v>0</v>
      </c>
      <c r="CY120" s="65">
        <v>0</v>
      </c>
      <c r="CZ120" s="63">
        <f t="shared" ref="CZ120:CZ128" si="372">(CW120+CX120)-(CY120)</f>
        <v>0</v>
      </c>
      <c r="DA120" s="64">
        <v>0</v>
      </c>
      <c r="DB120" s="65">
        <v>0</v>
      </c>
      <c r="DC120" s="63">
        <f t="shared" ref="DC120:DC128" si="373">(CZ120+DA120)-(DB120)</f>
        <v>0</v>
      </c>
      <c r="DD120" s="64">
        <v>0</v>
      </c>
      <c r="DE120" s="65">
        <v>0</v>
      </c>
      <c r="DF120" s="63">
        <f t="shared" ref="DF120:DF126" si="374">(DC120+DD120)-(DE120)</f>
        <v>0</v>
      </c>
      <c r="DG120" s="64">
        <v>0</v>
      </c>
      <c r="DH120" s="65">
        <v>0</v>
      </c>
      <c r="DI120" s="63">
        <f t="shared" ref="DI120:DI128" si="375">(DF120+DG120)-(DH120)</f>
        <v>0</v>
      </c>
      <c r="DJ120" s="64">
        <v>0</v>
      </c>
      <c r="DK120" s="65">
        <v>0</v>
      </c>
      <c r="DL120" s="63">
        <f t="shared" ref="DL120:DL128" si="376">(DI120+DJ120)-(DK120)</f>
        <v>0</v>
      </c>
      <c r="DM120" s="64">
        <v>0</v>
      </c>
      <c r="DN120" s="65">
        <v>0</v>
      </c>
      <c r="DO120" s="63">
        <f t="shared" ref="DO120:DO128" si="377">(DL120+DM120)-(DN120)</f>
        <v>0</v>
      </c>
      <c r="DP120" s="64">
        <v>0</v>
      </c>
      <c r="DQ120" s="65">
        <v>0</v>
      </c>
      <c r="DR120" s="63">
        <f t="shared" ref="DR120:DR128" si="378">(DO120+DP120)-(DQ120)</f>
        <v>0</v>
      </c>
      <c r="DS120" s="64">
        <v>0</v>
      </c>
      <c r="DT120" s="65">
        <v>0</v>
      </c>
      <c r="DU120" s="63">
        <f t="shared" ref="DU120:DU128" si="379">(DR120+DS120)-(DT120)</f>
        <v>0</v>
      </c>
      <c r="DV120" s="64">
        <v>0</v>
      </c>
      <c r="DW120" s="65">
        <v>0</v>
      </c>
      <c r="DX120" s="744">
        <f t="shared" ref="DX120:DX128" si="380">(DU120+DV120)-(DW120)</f>
        <v>0</v>
      </c>
      <c r="DY120" s="64">
        <v>0</v>
      </c>
      <c r="DZ120" s="65">
        <v>0</v>
      </c>
      <c r="EA120" s="63">
        <f t="shared" ref="EA120:EA130" si="381">(DX120+DY120)-(DZ120)</f>
        <v>0</v>
      </c>
      <c r="EB120" s="64">
        <v>0</v>
      </c>
      <c r="EC120" s="65">
        <v>0</v>
      </c>
      <c r="ED120" s="63">
        <f t="shared" ref="ED120:EG130" si="382">(EA120+EB120)-(EC120)</f>
        <v>0</v>
      </c>
      <c r="EE120" s="64">
        <v>0</v>
      </c>
      <c r="EF120" s="65">
        <v>0</v>
      </c>
      <c r="EG120" s="744">
        <f t="shared" ref="EG120:EG128" si="383">(ED120+EE120)-(EF120)</f>
        <v>0</v>
      </c>
      <c r="EH120" s="64">
        <v>0</v>
      </c>
      <c r="EI120" s="65">
        <v>0</v>
      </c>
      <c r="EJ120" s="63">
        <f t="shared" ref="EJ120:EJ130" si="384">(EG120+EH120)-(EI120)</f>
        <v>0</v>
      </c>
      <c r="EK120" s="64">
        <v>0</v>
      </c>
      <c r="EL120" s="65">
        <v>0</v>
      </c>
      <c r="EM120" s="63">
        <f t="shared" ref="EM120:EM130" si="385">(EJ120+EK120)-(EL120)</f>
        <v>0</v>
      </c>
      <c r="EN120" s="64">
        <v>0</v>
      </c>
      <c r="EO120" s="65">
        <v>0</v>
      </c>
      <c r="EP120" s="744">
        <f t="shared" ref="EP120:EP130" si="386">(EM120+EN120)-(EO120)</f>
        <v>0</v>
      </c>
      <c r="EQ120" s="64">
        <v>0</v>
      </c>
      <c r="ER120" s="65">
        <v>0</v>
      </c>
      <c r="ES120" s="744">
        <f t="shared" ref="ES120:ES130" si="387">(EP120+EQ120)-(ER120)</f>
        <v>0</v>
      </c>
      <c r="ET120" s="64">
        <v>0</v>
      </c>
      <c r="EU120" s="65">
        <v>0</v>
      </c>
      <c r="EV120" s="744">
        <f t="shared" ref="EV120:EV130" si="388">(ES120+ET120)-(EU120)</f>
        <v>0</v>
      </c>
      <c r="EW120" s="64">
        <v>0</v>
      </c>
      <c r="EX120" s="65">
        <v>0</v>
      </c>
      <c r="EY120" s="744">
        <f t="shared" ref="EY120:EY130" si="389">(EV120+EW120)-(EX120)</f>
        <v>0</v>
      </c>
    </row>
    <row r="121" spans="1:156" ht="19.5" hidden="1" collapsed="1">
      <c r="A121" s="201"/>
      <c r="B121" s="184"/>
      <c r="C121" s="229">
        <v>100439839</v>
      </c>
      <c r="D121" s="259" t="s">
        <v>118</v>
      </c>
      <c r="E121" s="77">
        <v>0</v>
      </c>
      <c r="F121" s="78">
        <v>5.2050000000000001</v>
      </c>
      <c r="G121" s="79">
        <v>5.2050000000000001</v>
      </c>
      <c r="H121" s="77">
        <f>(E121+F121)-(G121)</f>
        <v>0</v>
      </c>
      <c r="I121" s="78">
        <v>2.5099999999999998</v>
      </c>
      <c r="J121" s="79">
        <v>2.5099999999999998</v>
      </c>
      <c r="K121" s="77">
        <f>(H121+I121)-(J121)</f>
        <v>0</v>
      </c>
      <c r="L121" s="340">
        <v>15.597</v>
      </c>
      <c r="M121" s="65">
        <v>15.597</v>
      </c>
      <c r="N121" s="63">
        <f>(K121+L121)-(M121)</f>
        <v>0</v>
      </c>
      <c r="O121" s="340">
        <v>80.52</v>
      </c>
      <c r="P121" s="65">
        <v>72.47</v>
      </c>
      <c r="Q121" s="63">
        <f>(N121+O121)-(P121)</f>
        <v>8.0499999999999972</v>
      </c>
      <c r="R121" s="340">
        <v>51.688000000000002</v>
      </c>
      <c r="S121" s="65">
        <v>38.738</v>
      </c>
      <c r="T121" s="63">
        <f>(Q121+R121)-(S121)</f>
        <v>21</v>
      </c>
      <c r="U121" s="64">
        <v>116.53400000000001</v>
      </c>
      <c r="V121" s="65">
        <v>134.73400000000001</v>
      </c>
      <c r="W121" s="63">
        <f>(T121+U121)-(V121)</f>
        <v>2.7999999999999829</v>
      </c>
      <c r="X121" s="64">
        <v>85.753</v>
      </c>
      <c r="Y121" s="65">
        <v>71.052999999999997</v>
      </c>
      <c r="Z121" s="63">
        <f>(W121+X121)-(Y121)</f>
        <v>17.499999999999986</v>
      </c>
      <c r="AA121" s="64">
        <v>89.491</v>
      </c>
      <c r="AB121" s="65">
        <v>84.363</v>
      </c>
      <c r="AC121" s="63">
        <f>(Z121+AA121)-(AB121)</f>
        <v>22.627999999999986</v>
      </c>
      <c r="AD121" s="64">
        <v>68.599999999999994</v>
      </c>
      <c r="AE121" s="65">
        <v>39.9</v>
      </c>
      <c r="AF121" s="63">
        <f>(AC121+AD121)-(AE121)</f>
        <v>51.327999999999982</v>
      </c>
      <c r="AG121" s="64">
        <v>71.022000000000006</v>
      </c>
      <c r="AH121" s="362">
        <v>51.548999999999999</v>
      </c>
      <c r="AI121" s="63">
        <f>(AF121+AG121)-(AH121)</f>
        <v>70.800999999999988</v>
      </c>
      <c r="AJ121" s="64">
        <v>1.4</v>
      </c>
      <c r="AK121" s="65">
        <v>69.471000000000004</v>
      </c>
      <c r="AL121" s="63">
        <f>(AI121+AJ121)-(AK121)</f>
        <v>2.7299999999999898</v>
      </c>
      <c r="AM121" s="64">
        <v>7.9000000000000001E-2</v>
      </c>
      <c r="AN121" s="65">
        <v>1.851</v>
      </c>
      <c r="AO121" s="63">
        <f>(AL121+AM121)-(AN121)</f>
        <v>0.95799999999998997</v>
      </c>
      <c r="AP121" s="64">
        <v>83.4</v>
      </c>
      <c r="AQ121" s="65">
        <v>83.478999999999999</v>
      </c>
      <c r="AR121" s="63">
        <f>(AO121+AP121)-(AQ121)</f>
        <v>0.87899999999999068</v>
      </c>
      <c r="AS121" s="64">
        <v>109.489</v>
      </c>
      <c r="AT121" s="65">
        <v>95.9</v>
      </c>
      <c r="AU121" s="63">
        <f>(AR121+AS121)-(AT121)</f>
        <v>14.467999999999989</v>
      </c>
      <c r="AV121" s="64">
        <v>30.8</v>
      </c>
      <c r="AW121" s="65">
        <v>42.35</v>
      </c>
      <c r="AX121" s="63">
        <f>(AU121+AV121)-(AW121)</f>
        <v>2.9179999999999851</v>
      </c>
      <c r="AY121" s="64">
        <v>77.885999999999996</v>
      </c>
      <c r="AZ121" s="65">
        <v>80.804000000000002</v>
      </c>
      <c r="BA121" s="63">
        <f>(AX121+AY121)-(AZ121)</f>
        <v>0</v>
      </c>
      <c r="BB121" s="64">
        <v>137.792</v>
      </c>
      <c r="BC121" s="65">
        <v>134.977</v>
      </c>
      <c r="BD121" s="63">
        <v>2.8149999999999999</v>
      </c>
      <c r="BE121" s="64">
        <v>135.44999999999999</v>
      </c>
      <c r="BF121" s="65">
        <v>122.63800000000001</v>
      </c>
      <c r="BG121" s="63">
        <f>(BD121+BE121)-(BF121)</f>
        <v>15.626999999999981</v>
      </c>
      <c r="BH121" s="64">
        <v>52.972999999999999</v>
      </c>
      <c r="BI121" s="65">
        <v>55.177</v>
      </c>
      <c r="BJ121" s="63">
        <f>(BG121+BH121)-(BI121)</f>
        <v>13.422999999999981</v>
      </c>
      <c r="BK121" s="64">
        <v>13.3</v>
      </c>
      <c r="BL121" s="65">
        <v>26.722999999999999</v>
      </c>
      <c r="BM121" s="63">
        <f>(BJ121+BK121)-(BL121)</f>
        <v>0</v>
      </c>
      <c r="BN121" s="64">
        <v>0</v>
      </c>
      <c r="BO121" s="65">
        <v>-0.41699999999999998</v>
      </c>
      <c r="BP121" s="63">
        <f>(BM121+BN121)-(BO121)</f>
        <v>0.41699999999999998</v>
      </c>
      <c r="BQ121" s="64">
        <v>54.16</v>
      </c>
      <c r="BR121" s="65">
        <v>54.16</v>
      </c>
      <c r="BS121" s="63">
        <f>(BP121+BQ121)-(BR121)</f>
        <v>0.41700000000000159</v>
      </c>
      <c r="BT121" s="64">
        <v>-0.41699999999999998</v>
      </c>
      <c r="BU121" s="65">
        <v>0</v>
      </c>
      <c r="BV121" s="63">
        <f>(BS121+BT121)-(BU121)</f>
        <v>1.609823385706477E-15</v>
      </c>
      <c r="BW121" s="64">
        <v>0</v>
      </c>
      <c r="BX121" s="65">
        <v>0</v>
      </c>
      <c r="BY121" s="63">
        <f t="shared" si="364"/>
        <v>1.609823385706477E-15</v>
      </c>
      <c r="BZ121" s="64">
        <v>0</v>
      </c>
      <c r="CA121" s="65">
        <v>0</v>
      </c>
      <c r="CB121" s="63">
        <f t="shared" si="365"/>
        <v>1.609823385706477E-15</v>
      </c>
      <c r="CC121" s="64">
        <v>0</v>
      </c>
      <c r="CD121" s="65">
        <v>0</v>
      </c>
      <c r="CE121" s="63">
        <f t="shared" si="366"/>
        <v>1.609823385706477E-15</v>
      </c>
      <c r="CF121" s="64">
        <v>0</v>
      </c>
      <c r="CG121" s="65">
        <v>0</v>
      </c>
      <c r="CH121" s="63">
        <f t="shared" si="367"/>
        <v>1.609823385706477E-15</v>
      </c>
      <c r="CI121" s="64">
        <v>0</v>
      </c>
      <c r="CJ121" s="65">
        <v>0</v>
      </c>
      <c r="CK121" s="69">
        <f>(CH121+CI121)-(CJ121)</f>
        <v>1.609823385706477E-15</v>
      </c>
      <c r="CL121" s="70">
        <v>39.6</v>
      </c>
      <c r="CM121" s="71">
        <v>39.6</v>
      </c>
      <c r="CN121" s="63">
        <f t="shared" si="368"/>
        <v>0</v>
      </c>
      <c r="CO121" s="64">
        <v>0</v>
      </c>
      <c r="CP121" s="65">
        <v>0</v>
      </c>
      <c r="CQ121" s="63">
        <f t="shared" si="369"/>
        <v>0</v>
      </c>
      <c r="CR121" s="64">
        <v>0</v>
      </c>
      <c r="CS121" s="65">
        <v>0</v>
      </c>
      <c r="CT121" s="69">
        <f t="shared" si="370"/>
        <v>0</v>
      </c>
      <c r="CU121" s="81">
        <v>0</v>
      </c>
      <c r="CV121" s="65">
        <v>0</v>
      </c>
      <c r="CW121" s="63">
        <f t="shared" si="371"/>
        <v>0</v>
      </c>
      <c r="CX121" s="64">
        <v>0</v>
      </c>
      <c r="CY121" s="65">
        <v>0</v>
      </c>
      <c r="CZ121" s="63">
        <f t="shared" si="372"/>
        <v>0</v>
      </c>
      <c r="DA121" s="64">
        <v>0</v>
      </c>
      <c r="DB121" s="65">
        <v>0</v>
      </c>
      <c r="DC121" s="63">
        <f t="shared" si="373"/>
        <v>0</v>
      </c>
      <c r="DD121" s="64">
        <v>0</v>
      </c>
      <c r="DE121" s="65">
        <v>0</v>
      </c>
      <c r="DF121" s="63">
        <f t="shared" si="374"/>
        <v>0</v>
      </c>
      <c r="DG121" s="64">
        <v>0</v>
      </c>
      <c r="DH121" s="65">
        <v>0</v>
      </c>
      <c r="DI121" s="63">
        <f t="shared" si="375"/>
        <v>0</v>
      </c>
      <c r="DJ121" s="64">
        <v>0</v>
      </c>
      <c r="DK121" s="65">
        <v>0</v>
      </c>
      <c r="DL121" s="63">
        <f t="shared" si="376"/>
        <v>0</v>
      </c>
      <c r="DM121" s="64">
        <v>0</v>
      </c>
      <c r="DN121" s="65">
        <v>0</v>
      </c>
      <c r="DO121" s="63">
        <f t="shared" si="377"/>
        <v>0</v>
      </c>
      <c r="DP121" s="64">
        <v>0</v>
      </c>
      <c r="DQ121" s="65">
        <v>0</v>
      </c>
      <c r="DR121" s="63">
        <f t="shared" si="378"/>
        <v>0</v>
      </c>
      <c r="DS121" s="64">
        <v>0</v>
      </c>
      <c r="DT121" s="65">
        <v>0</v>
      </c>
      <c r="DU121" s="63">
        <f t="shared" si="379"/>
        <v>0</v>
      </c>
      <c r="DV121" s="64">
        <v>0</v>
      </c>
      <c r="DW121" s="65">
        <v>0</v>
      </c>
      <c r="DX121" s="744">
        <f t="shared" si="380"/>
        <v>0</v>
      </c>
      <c r="DY121" s="64">
        <v>0</v>
      </c>
      <c r="DZ121" s="65">
        <v>0</v>
      </c>
      <c r="EA121" s="63">
        <f t="shared" si="381"/>
        <v>0</v>
      </c>
      <c r="EB121" s="64">
        <v>0</v>
      </c>
      <c r="EC121" s="65">
        <v>0</v>
      </c>
      <c r="ED121" s="63">
        <f t="shared" si="382"/>
        <v>0</v>
      </c>
      <c r="EE121" s="64">
        <v>0</v>
      </c>
      <c r="EF121" s="65">
        <v>0</v>
      </c>
      <c r="EG121" s="744">
        <f t="shared" si="383"/>
        <v>0</v>
      </c>
      <c r="EH121" s="64">
        <v>0</v>
      </c>
      <c r="EI121" s="65">
        <v>0</v>
      </c>
      <c r="EJ121" s="63">
        <f t="shared" si="384"/>
        <v>0</v>
      </c>
      <c r="EK121" s="64">
        <v>0</v>
      </c>
      <c r="EL121" s="65">
        <v>0</v>
      </c>
      <c r="EM121" s="63">
        <f t="shared" si="385"/>
        <v>0</v>
      </c>
      <c r="EN121" s="64">
        <v>0</v>
      </c>
      <c r="EO121" s="65">
        <v>0</v>
      </c>
      <c r="EP121" s="744">
        <f t="shared" si="386"/>
        <v>0</v>
      </c>
      <c r="EQ121" s="64">
        <v>0</v>
      </c>
      <c r="ER121" s="65">
        <v>0</v>
      </c>
      <c r="ES121" s="744">
        <f t="shared" si="387"/>
        <v>0</v>
      </c>
      <c r="ET121" s="64">
        <v>0</v>
      </c>
      <c r="EU121" s="65">
        <v>0</v>
      </c>
      <c r="EV121" s="744">
        <f t="shared" si="388"/>
        <v>0</v>
      </c>
      <c r="EW121" s="64">
        <v>0</v>
      </c>
      <c r="EX121" s="65">
        <v>0</v>
      </c>
      <c r="EY121" s="744">
        <f t="shared" si="389"/>
        <v>0</v>
      </c>
    </row>
    <row r="122" spans="1:156" ht="19.5" hidden="1" collapsed="1">
      <c r="A122" s="201"/>
      <c r="B122" s="209"/>
      <c r="C122" s="363">
        <v>100454067</v>
      </c>
      <c r="D122" s="364" t="s">
        <v>119</v>
      </c>
      <c r="E122" s="77">
        <v>0</v>
      </c>
      <c r="F122" s="78">
        <v>5.2050000000000001</v>
      </c>
      <c r="G122" s="79">
        <v>5.2050000000000001</v>
      </c>
      <c r="H122" s="77">
        <f>(E122+F122)-(G122)</f>
        <v>0</v>
      </c>
      <c r="I122" s="78">
        <v>2.5099999999999998</v>
      </c>
      <c r="J122" s="79">
        <v>2.5099999999999998</v>
      </c>
      <c r="K122" s="77">
        <f>(H122+I122)-(J122)</f>
        <v>0</v>
      </c>
      <c r="L122" s="340">
        <v>15.569000000000001</v>
      </c>
      <c r="M122" s="65">
        <v>15.569000000000001</v>
      </c>
      <c r="N122" s="63">
        <f>(K122+L122)-(M122)</f>
        <v>0</v>
      </c>
      <c r="O122" s="340">
        <v>60.582000000000001</v>
      </c>
      <c r="P122" s="65">
        <v>60.582000000000001</v>
      </c>
      <c r="Q122" s="63">
        <f>(N122+O122)-(P122)</f>
        <v>0</v>
      </c>
      <c r="R122" s="267">
        <v>0</v>
      </c>
      <c r="S122" s="78">
        <v>0</v>
      </c>
      <c r="T122" s="77">
        <f>(Q122+R122)-(S123)</f>
        <v>0</v>
      </c>
      <c r="U122" s="78">
        <v>0.05</v>
      </c>
      <c r="V122" s="79">
        <v>0.05</v>
      </c>
      <c r="W122" s="77">
        <f>(T122+U122)-(V122)</f>
        <v>0</v>
      </c>
      <c r="X122" s="78">
        <v>0.15</v>
      </c>
      <c r="Y122" s="79">
        <v>0.15</v>
      </c>
      <c r="Z122" s="77">
        <f>(W122+X122)-(Y122)</f>
        <v>0</v>
      </c>
      <c r="AA122" s="78">
        <v>1.4279999999999999</v>
      </c>
      <c r="AB122" s="79">
        <v>1.4279999999999999</v>
      </c>
      <c r="AC122" s="77">
        <f>(Z122+AA122)-(AB122)</f>
        <v>0</v>
      </c>
      <c r="AD122" s="78">
        <v>1.5149999999999999</v>
      </c>
      <c r="AE122" s="79">
        <v>0.81499999999999995</v>
      </c>
      <c r="AF122" s="77">
        <f>(AC122+AD122)-(AE122)</f>
        <v>0.7</v>
      </c>
      <c r="AG122" s="78">
        <v>8.3000000000000004E-2</v>
      </c>
      <c r="AH122" s="79">
        <v>0.78300000000000003</v>
      </c>
      <c r="AI122" s="77">
        <f>(AF122+AG122)-(AH122)</f>
        <v>0</v>
      </c>
      <c r="AJ122" s="78">
        <v>1.0569999999999999</v>
      </c>
      <c r="AK122" s="79">
        <v>1.0569999999999999</v>
      </c>
      <c r="AL122" s="77">
        <f>(AI122+AJ122)-(AK122)</f>
        <v>0</v>
      </c>
      <c r="AM122" s="78">
        <v>0.26500000000000001</v>
      </c>
      <c r="AN122" s="79">
        <v>0.26500000000000001</v>
      </c>
      <c r="AO122" s="77">
        <f>(AL122+AM122)-(AN122)</f>
        <v>0</v>
      </c>
      <c r="AP122" s="78">
        <v>0.5</v>
      </c>
      <c r="AQ122" s="79">
        <v>0.5</v>
      </c>
      <c r="AR122" s="77">
        <f>(AO122+AP122)-(AQ122)</f>
        <v>0</v>
      </c>
      <c r="AS122" s="78">
        <v>0</v>
      </c>
      <c r="AT122" s="79">
        <v>0</v>
      </c>
      <c r="AU122" s="77">
        <f>(AR122+AS122)-(AT122)</f>
        <v>0</v>
      </c>
      <c r="AV122" s="78">
        <v>6.5000000000000002E-2</v>
      </c>
      <c r="AW122" s="79">
        <v>6.5000000000000002E-2</v>
      </c>
      <c r="AX122" s="77">
        <f>(AU122+AV122)-(AW122)</f>
        <v>0</v>
      </c>
      <c r="AY122" s="78">
        <v>0</v>
      </c>
      <c r="AZ122" s="79">
        <v>0</v>
      </c>
      <c r="BA122" s="77">
        <f>(AX122+AY122)-(AZ122)</f>
        <v>0</v>
      </c>
      <c r="BB122" s="78">
        <v>0</v>
      </c>
      <c r="BC122" s="79">
        <v>0</v>
      </c>
      <c r="BD122" s="77">
        <f>(BA122+BB122)-(BC122)</f>
        <v>0</v>
      </c>
      <c r="BE122" s="227">
        <v>0.53900000000000003</v>
      </c>
      <c r="BF122" s="365">
        <v>0.48699999999999999</v>
      </c>
      <c r="BG122" s="366">
        <f>(BD122+BE122)-(BF122)</f>
        <v>5.2000000000000046E-2</v>
      </c>
      <c r="BH122" s="226">
        <v>0.01</v>
      </c>
      <c r="BI122" s="367">
        <v>0.01</v>
      </c>
      <c r="BJ122" s="366">
        <f>(BG122+BH122)-(BI122)</f>
        <v>5.2000000000000046E-2</v>
      </c>
      <c r="BK122" s="227">
        <v>1.6479999999999999</v>
      </c>
      <c r="BL122" s="365">
        <v>1.7</v>
      </c>
      <c r="BM122" s="366">
        <f>(BJ122+BK122)-(BL122)</f>
        <v>0</v>
      </c>
      <c r="BN122" s="64">
        <v>0</v>
      </c>
      <c r="BO122" s="65">
        <v>0</v>
      </c>
      <c r="BP122" s="63">
        <f>(BM122+BN122)-(BO122)</f>
        <v>0</v>
      </c>
      <c r="BQ122" s="64">
        <v>0</v>
      </c>
      <c r="BR122" s="65">
        <v>0</v>
      </c>
      <c r="BS122" s="63">
        <f>(BP122+BQ122)-(BR122)</f>
        <v>0</v>
      </c>
      <c r="BT122" s="64">
        <v>0</v>
      </c>
      <c r="BU122" s="65">
        <v>0</v>
      </c>
      <c r="BV122" s="63">
        <f>(BS122+BT122)-(BU122)</f>
        <v>0</v>
      </c>
      <c r="BW122" s="64">
        <v>0</v>
      </c>
      <c r="BX122" s="65">
        <v>0</v>
      </c>
      <c r="BY122" s="63">
        <f t="shared" si="364"/>
        <v>0</v>
      </c>
      <c r="BZ122" s="64">
        <v>0</v>
      </c>
      <c r="CA122" s="65">
        <v>0</v>
      </c>
      <c r="CB122" s="63">
        <f t="shared" si="365"/>
        <v>0</v>
      </c>
      <c r="CC122" s="64">
        <v>0</v>
      </c>
      <c r="CD122" s="65">
        <v>0</v>
      </c>
      <c r="CE122" s="63">
        <f t="shared" si="366"/>
        <v>0</v>
      </c>
      <c r="CF122" s="64">
        <v>0</v>
      </c>
      <c r="CG122" s="65">
        <v>0</v>
      </c>
      <c r="CH122" s="63">
        <f t="shared" si="367"/>
        <v>0</v>
      </c>
      <c r="CI122" s="64">
        <v>0</v>
      </c>
      <c r="CJ122" s="65">
        <v>0</v>
      </c>
      <c r="CK122" s="69">
        <f>(CH122+CI122)-(CJ122)</f>
        <v>0</v>
      </c>
      <c r="CL122" s="70">
        <v>0</v>
      </c>
      <c r="CM122" s="71">
        <v>0</v>
      </c>
      <c r="CN122" s="63">
        <f t="shared" si="368"/>
        <v>0</v>
      </c>
      <c r="CO122" s="64">
        <v>0</v>
      </c>
      <c r="CP122" s="65">
        <v>0</v>
      </c>
      <c r="CQ122" s="63">
        <f t="shared" si="369"/>
        <v>0</v>
      </c>
      <c r="CR122" s="64">
        <v>0</v>
      </c>
      <c r="CS122" s="65">
        <v>0</v>
      </c>
      <c r="CT122" s="69">
        <f t="shared" si="370"/>
        <v>0</v>
      </c>
      <c r="CU122" s="81">
        <v>0</v>
      </c>
      <c r="CV122" s="65">
        <v>0</v>
      </c>
      <c r="CW122" s="63">
        <f t="shared" si="371"/>
        <v>0</v>
      </c>
      <c r="CX122" s="64">
        <v>0</v>
      </c>
      <c r="CY122" s="65">
        <v>0</v>
      </c>
      <c r="CZ122" s="63">
        <f t="shared" si="372"/>
        <v>0</v>
      </c>
      <c r="DA122" s="64">
        <v>0</v>
      </c>
      <c r="DB122" s="65">
        <v>0</v>
      </c>
      <c r="DC122" s="63">
        <f t="shared" si="373"/>
        <v>0</v>
      </c>
      <c r="DD122" s="64">
        <v>0</v>
      </c>
      <c r="DE122" s="65">
        <v>0</v>
      </c>
      <c r="DF122" s="63">
        <f t="shared" si="374"/>
        <v>0</v>
      </c>
      <c r="DG122" s="64">
        <v>0</v>
      </c>
      <c r="DH122" s="65">
        <v>0</v>
      </c>
      <c r="DI122" s="63">
        <f t="shared" si="375"/>
        <v>0</v>
      </c>
      <c r="DJ122" s="64">
        <v>0</v>
      </c>
      <c r="DK122" s="65">
        <v>0</v>
      </c>
      <c r="DL122" s="63">
        <f t="shared" si="376"/>
        <v>0</v>
      </c>
      <c r="DM122" s="64">
        <v>0</v>
      </c>
      <c r="DN122" s="65">
        <v>0</v>
      </c>
      <c r="DO122" s="63">
        <f t="shared" si="377"/>
        <v>0</v>
      </c>
      <c r="DP122" s="64">
        <v>0</v>
      </c>
      <c r="DQ122" s="65">
        <v>0</v>
      </c>
      <c r="DR122" s="63">
        <f t="shared" si="378"/>
        <v>0</v>
      </c>
      <c r="DS122" s="64">
        <v>0</v>
      </c>
      <c r="DT122" s="65">
        <v>0</v>
      </c>
      <c r="DU122" s="63">
        <f t="shared" si="379"/>
        <v>0</v>
      </c>
      <c r="DV122" s="64">
        <v>0</v>
      </c>
      <c r="DW122" s="65">
        <v>0</v>
      </c>
      <c r="DX122" s="744">
        <f t="shared" si="380"/>
        <v>0</v>
      </c>
      <c r="DY122" s="64">
        <v>0</v>
      </c>
      <c r="DZ122" s="65">
        <v>0</v>
      </c>
      <c r="EA122" s="63">
        <f t="shared" si="381"/>
        <v>0</v>
      </c>
      <c r="EB122" s="64">
        <v>0</v>
      </c>
      <c r="EC122" s="65">
        <v>0</v>
      </c>
      <c r="ED122" s="63">
        <f t="shared" si="382"/>
        <v>0</v>
      </c>
      <c r="EE122" s="64">
        <v>0</v>
      </c>
      <c r="EF122" s="65">
        <v>0</v>
      </c>
      <c r="EG122" s="744">
        <f t="shared" si="383"/>
        <v>0</v>
      </c>
      <c r="EH122" s="64">
        <v>0</v>
      </c>
      <c r="EI122" s="65">
        <v>0</v>
      </c>
      <c r="EJ122" s="63">
        <f t="shared" si="384"/>
        <v>0</v>
      </c>
      <c r="EK122" s="64">
        <v>0</v>
      </c>
      <c r="EL122" s="65">
        <v>0</v>
      </c>
      <c r="EM122" s="63">
        <f t="shared" si="385"/>
        <v>0</v>
      </c>
      <c r="EN122" s="64">
        <v>0</v>
      </c>
      <c r="EO122" s="65">
        <v>0</v>
      </c>
      <c r="EP122" s="744">
        <f t="shared" si="386"/>
        <v>0</v>
      </c>
      <c r="EQ122" s="64">
        <v>0</v>
      </c>
      <c r="ER122" s="65">
        <v>0</v>
      </c>
      <c r="ES122" s="744">
        <f t="shared" si="387"/>
        <v>0</v>
      </c>
      <c r="ET122" s="64">
        <v>0</v>
      </c>
      <c r="EU122" s="65">
        <v>0</v>
      </c>
      <c r="EV122" s="744">
        <f t="shared" si="388"/>
        <v>0</v>
      </c>
      <c r="EW122" s="64">
        <v>0</v>
      </c>
      <c r="EX122" s="65">
        <v>0</v>
      </c>
      <c r="EY122" s="744">
        <f t="shared" si="389"/>
        <v>0</v>
      </c>
    </row>
    <row r="123" spans="1:156" ht="19.5" hidden="1" collapsed="1">
      <c r="A123" s="201"/>
      <c r="B123" s="184"/>
      <c r="C123" s="368">
        <v>100454114</v>
      </c>
      <c r="D123" s="369" t="s">
        <v>120</v>
      </c>
      <c r="E123" s="370">
        <v>0</v>
      </c>
      <c r="F123" s="371">
        <v>5.2050000000000001</v>
      </c>
      <c r="G123" s="372">
        <v>5.2050000000000001</v>
      </c>
      <c r="H123" s="370">
        <f>(E123+F123)-(G123)</f>
        <v>0</v>
      </c>
      <c r="I123" s="371">
        <v>2.5099999999999998</v>
      </c>
      <c r="J123" s="372">
        <v>2.5099999999999998</v>
      </c>
      <c r="K123" s="370">
        <f>(H123+I123)-(J123)</f>
        <v>0</v>
      </c>
      <c r="L123" s="373">
        <v>22</v>
      </c>
      <c r="M123" s="196">
        <v>15.597</v>
      </c>
      <c r="N123" s="194">
        <f>(K123+L123)-(M123)</f>
        <v>6.4030000000000005</v>
      </c>
      <c r="O123" s="373">
        <v>80.52</v>
      </c>
      <c r="P123" s="196">
        <v>72.47</v>
      </c>
      <c r="Q123" s="194">
        <f>(N123+O123)-(P123)</f>
        <v>14.453000000000003</v>
      </c>
      <c r="R123" s="374">
        <v>0</v>
      </c>
      <c r="S123" s="371">
        <v>0</v>
      </c>
      <c r="T123" s="370">
        <v>0</v>
      </c>
      <c r="U123" s="371">
        <v>0.05</v>
      </c>
      <c r="V123" s="372">
        <v>0.05</v>
      </c>
      <c r="W123" s="370">
        <f>(T123+U123)-(V123)</f>
        <v>0</v>
      </c>
      <c r="X123" s="371">
        <v>0.15</v>
      </c>
      <c r="Y123" s="372">
        <v>0.15</v>
      </c>
      <c r="Z123" s="370">
        <f>(W123+X123)-(Y123)</f>
        <v>0</v>
      </c>
      <c r="AA123" s="371">
        <v>1.423</v>
      </c>
      <c r="AB123" s="372">
        <v>1.423</v>
      </c>
      <c r="AC123" s="370">
        <f>(Z123+AA123)-(AB123)</f>
        <v>0</v>
      </c>
      <c r="AD123" s="371">
        <v>1.6</v>
      </c>
      <c r="AE123" s="372">
        <v>0.9</v>
      </c>
      <c r="AF123" s="370">
        <f>(AC123+AD123)-(AE123)</f>
        <v>0.70000000000000007</v>
      </c>
      <c r="AG123" s="371">
        <v>8.3000000000000004E-2</v>
      </c>
      <c r="AH123" s="372">
        <v>0.78300000000000003</v>
      </c>
      <c r="AI123" s="370">
        <f>(AF123+AG123)-(AH123)</f>
        <v>0</v>
      </c>
      <c r="AJ123" s="371">
        <v>1.8</v>
      </c>
      <c r="AK123" s="372">
        <v>1.8</v>
      </c>
      <c r="AL123" s="370">
        <f>(AI123+AJ123)-(AK123)</f>
        <v>0</v>
      </c>
      <c r="AM123" s="371">
        <v>1.4999999999999999E-2</v>
      </c>
      <c r="AN123" s="372">
        <v>1.4999999999999999E-2</v>
      </c>
      <c r="AO123" s="370">
        <f>(AL123+AM123)-(AN123)</f>
        <v>0</v>
      </c>
      <c r="AP123" s="371">
        <v>0.5</v>
      </c>
      <c r="AQ123" s="372">
        <v>0.5</v>
      </c>
      <c r="AR123" s="370">
        <f>(AO123+AP123)-(AQ123)</f>
        <v>0</v>
      </c>
      <c r="AS123" s="78">
        <v>0</v>
      </c>
      <c r="AT123" s="79">
        <v>0</v>
      </c>
      <c r="AU123" s="370">
        <f>(AR123+AS123)-(AT123)</f>
        <v>0</v>
      </c>
      <c r="AV123" s="371">
        <v>0</v>
      </c>
      <c r="AW123" s="372">
        <v>0</v>
      </c>
      <c r="AX123" s="370">
        <f>(AU123+AV123)-(AW123)</f>
        <v>0</v>
      </c>
      <c r="AY123" s="371">
        <v>0</v>
      </c>
      <c r="AZ123" s="372">
        <v>0</v>
      </c>
      <c r="BA123" s="370">
        <f>(AX123+AY123)-(AZ123)</f>
        <v>0</v>
      </c>
      <c r="BB123" s="371">
        <v>0</v>
      </c>
      <c r="BC123" s="372">
        <v>0</v>
      </c>
      <c r="BD123" s="370">
        <f>(BA123+BB123)-(BC123)</f>
        <v>0</v>
      </c>
      <c r="BE123" s="375">
        <v>0.66400000000000003</v>
      </c>
      <c r="BF123" s="376">
        <v>0.60299999999999998</v>
      </c>
      <c r="BG123" s="377">
        <f>(BD123+BE123)-(BF123)</f>
        <v>6.1000000000000054E-2</v>
      </c>
      <c r="BH123" s="226">
        <v>0.01</v>
      </c>
      <c r="BI123" s="378">
        <v>0.01</v>
      </c>
      <c r="BJ123" s="377">
        <f>(BG123+BH123)-(BI123)</f>
        <v>6.1000000000000047E-2</v>
      </c>
      <c r="BK123" s="227">
        <v>2.839</v>
      </c>
      <c r="BL123" s="376">
        <v>2.9</v>
      </c>
      <c r="BM123" s="377">
        <f>(BJ123+BK123)-(BL123)</f>
        <v>0</v>
      </c>
      <c r="BN123" s="195">
        <v>0</v>
      </c>
      <c r="BO123" s="196">
        <v>0</v>
      </c>
      <c r="BP123" s="194">
        <f>(BM123+BN123)-(BO123)</f>
        <v>0</v>
      </c>
      <c r="BQ123" s="195">
        <v>0</v>
      </c>
      <c r="BR123" s="196">
        <v>0</v>
      </c>
      <c r="BS123" s="194">
        <f>(BP123+BQ123)-(BR123)</f>
        <v>0</v>
      </c>
      <c r="BT123" s="195">
        <v>0</v>
      </c>
      <c r="BU123" s="196">
        <v>0</v>
      </c>
      <c r="BV123" s="194">
        <f>(BS123+BT123)-(BU123)</f>
        <v>0</v>
      </c>
      <c r="BW123" s="195">
        <v>0</v>
      </c>
      <c r="BX123" s="196">
        <v>0</v>
      </c>
      <c r="BY123" s="194">
        <f t="shared" si="364"/>
        <v>0</v>
      </c>
      <c r="BZ123" s="195">
        <v>0</v>
      </c>
      <c r="CA123" s="196">
        <v>0</v>
      </c>
      <c r="CB123" s="194">
        <f t="shared" si="365"/>
        <v>0</v>
      </c>
      <c r="CC123" s="195">
        <v>0</v>
      </c>
      <c r="CD123" s="196">
        <v>0</v>
      </c>
      <c r="CE123" s="194">
        <f t="shared" si="366"/>
        <v>0</v>
      </c>
      <c r="CF123" s="195">
        <v>0</v>
      </c>
      <c r="CG123" s="196">
        <v>0</v>
      </c>
      <c r="CH123" s="194">
        <f t="shared" si="367"/>
        <v>0</v>
      </c>
      <c r="CI123" s="195">
        <v>0</v>
      </c>
      <c r="CJ123" s="196">
        <v>0</v>
      </c>
      <c r="CK123" s="197">
        <f>(CH123+CI123)-(CJ123)</f>
        <v>0</v>
      </c>
      <c r="CL123" s="198">
        <v>0</v>
      </c>
      <c r="CM123" s="199">
        <v>0</v>
      </c>
      <c r="CN123" s="194">
        <f t="shared" si="368"/>
        <v>0</v>
      </c>
      <c r="CO123" s="195">
        <v>0</v>
      </c>
      <c r="CP123" s="196">
        <v>0</v>
      </c>
      <c r="CQ123" s="194">
        <f t="shared" si="369"/>
        <v>0</v>
      </c>
      <c r="CR123" s="195">
        <v>0</v>
      </c>
      <c r="CS123" s="196">
        <v>0</v>
      </c>
      <c r="CT123" s="197">
        <f t="shared" si="370"/>
        <v>0</v>
      </c>
      <c r="CU123" s="200">
        <v>0</v>
      </c>
      <c r="CV123" s="196">
        <v>0</v>
      </c>
      <c r="CW123" s="194">
        <f t="shared" si="371"/>
        <v>0</v>
      </c>
      <c r="CX123" s="195">
        <v>0</v>
      </c>
      <c r="CY123" s="196">
        <v>0</v>
      </c>
      <c r="CZ123" s="194">
        <f t="shared" si="372"/>
        <v>0</v>
      </c>
      <c r="DA123" s="195">
        <v>0</v>
      </c>
      <c r="DB123" s="196">
        <v>0</v>
      </c>
      <c r="DC123" s="194">
        <f t="shared" si="373"/>
        <v>0</v>
      </c>
      <c r="DD123" s="195">
        <v>0</v>
      </c>
      <c r="DE123" s="196">
        <v>0</v>
      </c>
      <c r="DF123" s="194">
        <f t="shared" si="374"/>
        <v>0</v>
      </c>
      <c r="DG123" s="195">
        <v>0</v>
      </c>
      <c r="DH123" s="196">
        <v>0</v>
      </c>
      <c r="DI123" s="194">
        <f t="shared" si="375"/>
        <v>0</v>
      </c>
      <c r="DJ123" s="195">
        <v>0</v>
      </c>
      <c r="DK123" s="196">
        <v>0</v>
      </c>
      <c r="DL123" s="194">
        <f t="shared" si="376"/>
        <v>0</v>
      </c>
      <c r="DM123" s="195">
        <v>0</v>
      </c>
      <c r="DN123" s="196">
        <v>0</v>
      </c>
      <c r="DO123" s="194">
        <f t="shared" si="377"/>
        <v>0</v>
      </c>
      <c r="DP123" s="195">
        <v>0</v>
      </c>
      <c r="DQ123" s="196">
        <v>0</v>
      </c>
      <c r="DR123" s="194">
        <f t="shared" si="378"/>
        <v>0</v>
      </c>
      <c r="DS123" s="195">
        <v>0</v>
      </c>
      <c r="DT123" s="196">
        <v>0</v>
      </c>
      <c r="DU123" s="194">
        <f t="shared" si="379"/>
        <v>0</v>
      </c>
      <c r="DV123" s="195">
        <v>0</v>
      </c>
      <c r="DW123" s="196">
        <v>0</v>
      </c>
      <c r="DX123" s="752">
        <f t="shared" si="380"/>
        <v>0</v>
      </c>
      <c r="DY123" s="195">
        <v>0</v>
      </c>
      <c r="DZ123" s="196">
        <v>0</v>
      </c>
      <c r="EA123" s="194">
        <f t="shared" si="381"/>
        <v>0</v>
      </c>
      <c r="EB123" s="195">
        <v>0</v>
      </c>
      <c r="EC123" s="196">
        <v>0</v>
      </c>
      <c r="ED123" s="194">
        <f t="shared" si="382"/>
        <v>0</v>
      </c>
      <c r="EE123" s="195">
        <v>0</v>
      </c>
      <c r="EF123" s="196">
        <v>0</v>
      </c>
      <c r="EG123" s="752">
        <f t="shared" si="383"/>
        <v>0</v>
      </c>
      <c r="EH123" s="195">
        <v>0</v>
      </c>
      <c r="EI123" s="196">
        <v>0</v>
      </c>
      <c r="EJ123" s="194">
        <f t="shared" si="384"/>
        <v>0</v>
      </c>
      <c r="EK123" s="195">
        <v>0</v>
      </c>
      <c r="EL123" s="196">
        <v>0</v>
      </c>
      <c r="EM123" s="194">
        <f t="shared" si="385"/>
        <v>0</v>
      </c>
      <c r="EN123" s="195">
        <v>0</v>
      </c>
      <c r="EO123" s="196">
        <v>0</v>
      </c>
      <c r="EP123" s="752">
        <f t="shared" si="386"/>
        <v>0</v>
      </c>
      <c r="EQ123" s="195">
        <v>0</v>
      </c>
      <c r="ER123" s="196">
        <v>0</v>
      </c>
      <c r="ES123" s="752">
        <f t="shared" si="387"/>
        <v>0</v>
      </c>
      <c r="ET123" s="195">
        <v>0</v>
      </c>
      <c r="EU123" s="196">
        <v>0</v>
      </c>
      <c r="EV123" s="752">
        <f t="shared" si="388"/>
        <v>0</v>
      </c>
      <c r="EW123" s="195">
        <v>0</v>
      </c>
      <c r="EX123" s="196">
        <v>0</v>
      </c>
      <c r="EY123" s="752">
        <f t="shared" si="389"/>
        <v>0</v>
      </c>
    </row>
    <row r="124" spans="1:156" ht="19.5" hidden="1" collapsed="1">
      <c r="A124" s="201"/>
      <c r="B124" s="209"/>
      <c r="C124" s="379"/>
      <c r="D124" s="380" t="s">
        <v>397</v>
      </c>
      <c r="E124" s="77"/>
      <c r="F124" s="274"/>
      <c r="G124" s="262"/>
      <c r="H124" s="77"/>
      <c r="I124" s="274"/>
      <c r="J124" s="262"/>
      <c r="K124" s="77"/>
      <c r="L124" s="381"/>
      <c r="M124" s="115"/>
      <c r="N124" s="63"/>
      <c r="O124" s="381"/>
      <c r="P124" s="115"/>
      <c r="Q124" s="63"/>
      <c r="R124" s="274"/>
      <c r="S124" s="274"/>
      <c r="T124" s="77"/>
      <c r="U124" s="274"/>
      <c r="V124" s="262"/>
      <c r="W124" s="77"/>
      <c r="X124" s="274"/>
      <c r="Y124" s="262"/>
      <c r="Z124" s="77"/>
      <c r="AA124" s="274"/>
      <c r="AB124" s="262"/>
      <c r="AC124" s="77"/>
      <c r="AD124" s="274"/>
      <c r="AE124" s="262"/>
      <c r="AF124" s="77"/>
      <c r="AG124" s="274"/>
      <c r="AH124" s="262"/>
      <c r="AI124" s="77"/>
      <c r="AJ124" s="274">
        <v>0</v>
      </c>
      <c r="AK124" s="262">
        <v>0</v>
      </c>
      <c r="AL124" s="77">
        <f>(AI124+AJ124)-(AK124)</f>
        <v>0</v>
      </c>
      <c r="AM124" s="274">
        <v>0</v>
      </c>
      <c r="AN124" s="262">
        <v>0</v>
      </c>
      <c r="AO124" s="77">
        <f>(AL124+AM124)-(AN124)</f>
        <v>0</v>
      </c>
      <c r="AP124" s="274">
        <v>2.85</v>
      </c>
      <c r="AQ124" s="262">
        <v>2.85</v>
      </c>
      <c r="AR124" s="77">
        <f>(AO124+AP124)-(AQ124)</f>
        <v>0</v>
      </c>
      <c r="AS124" s="274">
        <v>0</v>
      </c>
      <c r="AT124" s="262">
        <v>0</v>
      </c>
      <c r="AU124" s="77">
        <f>(AR124+AS124)-(AT124)</f>
        <v>0</v>
      </c>
      <c r="AV124" s="274">
        <v>0.04</v>
      </c>
      <c r="AW124" s="262">
        <v>0.04</v>
      </c>
      <c r="AX124" s="77">
        <f>(AU124+AV124)-(AW124)</f>
        <v>0</v>
      </c>
      <c r="AY124" s="274">
        <v>0</v>
      </c>
      <c r="AZ124" s="262">
        <v>0</v>
      </c>
      <c r="BA124" s="77">
        <f>(AX124+AY124)-(AZ124)</f>
        <v>0</v>
      </c>
      <c r="BB124" s="274">
        <v>0</v>
      </c>
      <c r="BC124" s="262">
        <v>0</v>
      </c>
      <c r="BD124" s="77">
        <f>(BA124+BB124)-(BC124)</f>
        <v>0</v>
      </c>
      <c r="BE124" s="274">
        <v>0</v>
      </c>
      <c r="BF124" s="262">
        <v>-4.0000000000000001E-3</v>
      </c>
      <c r="BG124" s="77">
        <f>(BD124+BE124)-(BF124)</f>
        <v>4.0000000000000001E-3</v>
      </c>
      <c r="BH124" s="274">
        <v>3.5859999999999999</v>
      </c>
      <c r="BI124" s="262">
        <v>3.5859999999999999</v>
      </c>
      <c r="BJ124" s="77">
        <f>(BG124+BH124)-(BI124)</f>
        <v>4.0000000000000036E-3</v>
      </c>
      <c r="BK124" s="274">
        <v>-4.0000000000000001E-3</v>
      </c>
      <c r="BL124" s="262">
        <v>0</v>
      </c>
      <c r="BM124" s="77">
        <f>(BJ124+BK124)-(BL124)</f>
        <v>3.4694469519536142E-18</v>
      </c>
      <c r="BN124" s="274">
        <v>0</v>
      </c>
      <c r="BO124" s="262">
        <v>0</v>
      </c>
      <c r="BP124" s="77">
        <f>(BM124+BN124)-(BO124)</f>
        <v>3.4694469519536142E-18</v>
      </c>
      <c r="BQ124" s="274">
        <v>0.81</v>
      </c>
      <c r="BR124" s="262">
        <v>0.81</v>
      </c>
      <c r="BS124" s="77">
        <f>(BP124+BQ124)-(BR124)</f>
        <v>0</v>
      </c>
      <c r="BT124" s="274">
        <v>2.42</v>
      </c>
      <c r="BU124" s="262">
        <v>2.31</v>
      </c>
      <c r="BV124" s="77">
        <f>(BS124+BT124)-(BU124)</f>
        <v>0.10999999999999988</v>
      </c>
      <c r="BW124" s="274">
        <v>1.9059999999999999</v>
      </c>
      <c r="BX124" s="262">
        <v>1.9059999999999999</v>
      </c>
      <c r="BY124" s="77">
        <f t="shared" si="364"/>
        <v>0.1100000000000001</v>
      </c>
      <c r="BZ124" s="382">
        <v>1.87</v>
      </c>
      <c r="CA124" s="383">
        <f>0.65+0.07</f>
        <v>0.72</v>
      </c>
      <c r="CB124" s="366">
        <f t="shared" si="365"/>
        <v>1.2600000000000002</v>
      </c>
      <c r="CC124" s="382">
        <v>5.9</v>
      </c>
      <c r="CD124" s="383">
        <v>7.12</v>
      </c>
      <c r="CE124" s="366">
        <f t="shared" si="366"/>
        <v>4.0000000000000036E-2</v>
      </c>
      <c r="CF124" s="113">
        <v>0</v>
      </c>
      <c r="CG124" s="115">
        <v>0</v>
      </c>
      <c r="CH124" s="63">
        <f t="shared" si="367"/>
        <v>4.0000000000000036E-2</v>
      </c>
      <c r="CI124" s="113">
        <v>0</v>
      </c>
      <c r="CJ124" s="115">
        <v>0</v>
      </c>
      <c r="CK124" s="69">
        <f>(CH124+CI124)-(CJ124)</f>
        <v>4.0000000000000036E-2</v>
      </c>
      <c r="CL124" s="117">
        <v>0</v>
      </c>
      <c r="CM124" s="118">
        <v>0</v>
      </c>
      <c r="CN124" s="63">
        <f t="shared" si="368"/>
        <v>4.0000000000000036E-2</v>
      </c>
      <c r="CO124" s="113">
        <v>0</v>
      </c>
      <c r="CP124" s="115">
        <v>0</v>
      </c>
      <c r="CQ124" s="63">
        <f t="shared" si="369"/>
        <v>4.0000000000000036E-2</v>
      </c>
      <c r="CR124" s="113">
        <v>0</v>
      </c>
      <c r="CS124" s="115">
        <v>0</v>
      </c>
      <c r="CT124" s="69">
        <f t="shared" si="370"/>
        <v>4.0000000000000036E-2</v>
      </c>
      <c r="CU124" s="119">
        <v>0</v>
      </c>
      <c r="CV124" s="115">
        <v>0</v>
      </c>
      <c r="CW124" s="63">
        <f t="shared" si="371"/>
        <v>4.0000000000000036E-2</v>
      </c>
      <c r="CX124" s="113">
        <v>0</v>
      </c>
      <c r="CY124" s="115">
        <v>0</v>
      </c>
      <c r="CZ124" s="63">
        <f t="shared" si="372"/>
        <v>4.0000000000000036E-2</v>
      </c>
      <c r="DA124" s="113">
        <v>0</v>
      </c>
      <c r="DB124" s="115">
        <v>0</v>
      </c>
      <c r="DC124" s="63">
        <f t="shared" si="373"/>
        <v>4.0000000000000036E-2</v>
      </c>
      <c r="DD124" s="113">
        <v>0</v>
      </c>
      <c r="DE124" s="115">
        <v>0</v>
      </c>
      <c r="DF124" s="63">
        <f t="shared" si="374"/>
        <v>4.0000000000000036E-2</v>
      </c>
      <c r="DG124" s="113">
        <v>0</v>
      </c>
      <c r="DH124" s="115">
        <v>0</v>
      </c>
      <c r="DI124" s="63">
        <f t="shared" si="375"/>
        <v>4.0000000000000036E-2</v>
      </c>
      <c r="DJ124" s="113">
        <v>0</v>
      </c>
      <c r="DK124" s="115">
        <v>0</v>
      </c>
      <c r="DL124" s="63">
        <f t="shared" si="376"/>
        <v>4.0000000000000036E-2</v>
      </c>
      <c r="DM124" s="113">
        <v>0</v>
      </c>
      <c r="DN124" s="115">
        <v>0</v>
      </c>
      <c r="DO124" s="63">
        <f t="shared" si="377"/>
        <v>4.0000000000000036E-2</v>
      </c>
      <c r="DP124" s="113">
        <v>0</v>
      </c>
      <c r="DQ124" s="115">
        <v>0</v>
      </c>
      <c r="DR124" s="63">
        <f t="shared" si="378"/>
        <v>4.0000000000000036E-2</v>
      </c>
      <c r="DS124" s="113">
        <v>0</v>
      </c>
      <c r="DT124" s="115">
        <v>0</v>
      </c>
      <c r="DU124" s="63">
        <f t="shared" si="379"/>
        <v>4.0000000000000036E-2</v>
      </c>
      <c r="DV124" s="113">
        <v>0</v>
      </c>
      <c r="DW124" s="115">
        <v>0</v>
      </c>
      <c r="DX124" s="744">
        <f t="shared" si="380"/>
        <v>4.0000000000000036E-2</v>
      </c>
      <c r="DY124" s="113">
        <v>0</v>
      </c>
      <c r="DZ124" s="115">
        <v>0</v>
      </c>
      <c r="EA124" s="63">
        <f t="shared" si="381"/>
        <v>4.0000000000000036E-2</v>
      </c>
      <c r="EB124" s="113">
        <v>0</v>
      </c>
      <c r="EC124" s="115">
        <v>0</v>
      </c>
      <c r="ED124" s="63">
        <f t="shared" si="382"/>
        <v>4.0000000000000036E-2</v>
      </c>
      <c r="EE124" s="113">
        <v>0</v>
      </c>
      <c r="EF124" s="115">
        <v>0</v>
      </c>
      <c r="EG124" s="744">
        <f t="shared" si="383"/>
        <v>4.0000000000000036E-2</v>
      </c>
      <c r="EH124" s="113">
        <v>0</v>
      </c>
      <c r="EI124" s="115">
        <v>0</v>
      </c>
      <c r="EJ124" s="63">
        <f t="shared" si="384"/>
        <v>4.0000000000000036E-2</v>
      </c>
      <c r="EK124" s="113">
        <v>0</v>
      </c>
      <c r="EL124" s="115">
        <v>0</v>
      </c>
      <c r="EM124" s="63">
        <f t="shared" si="385"/>
        <v>4.0000000000000036E-2</v>
      </c>
      <c r="EN124" s="113">
        <v>0</v>
      </c>
      <c r="EO124" s="115">
        <v>0</v>
      </c>
      <c r="EP124" s="744">
        <f t="shared" si="386"/>
        <v>4.0000000000000036E-2</v>
      </c>
      <c r="EQ124" s="113">
        <v>0</v>
      </c>
      <c r="ER124" s="115">
        <v>0</v>
      </c>
      <c r="ES124" s="744">
        <f t="shared" si="387"/>
        <v>4.0000000000000036E-2</v>
      </c>
      <c r="ET124" s="113">
        <v>0</v>
      </c>
      <c r="EU124" s="115">
        <v>0</v>
      </c>
      <c r="EV124" s="744">
        <f t="shared" si="388"/>
        <v>4.0000000000000036E-2</v>
      </c>
      <c r="EW124" s="113">
        <v>0</v>
      </c>
      <c r="EX124" s="115">
        <v>0</v>
      </c>
      <c r="EY124" s="744">
        <f t="shared" si="389"/>
        <v>4.0000000000000036E-2</v>
      </c>
    </row>
    <row r="125" spans="1:156" ht="19.5" hidden="1" collapsed="1">
      <c r="A125" s="201"/>
      <c r="B125" s="384"/>
      <c r="C125" s="223">
        <v>100529198</v>
      </c>
      <c r="D125" s="385" t="s">
        <v>111</v>
      </c>
      <c r="E125" s="77"/>
      <c r="F125" s="274"/>
      <c r="G125" s="262"/>
      <c r="H125" s="77"/>
      <c r="I125" s="274"/>
      <c r="J125" s="262"/>
      <c r="K125" s="77"/>
      <c r="L125" s="381"/>
      <c r="M125" s="115"/>
      <c r="N125" s="63"/>
      <c r="O125" s="381"/>
      <c r="P125" s="115"/>
      <c r="Q125" s="63"/>
      <c r="R125" s="274"/>
      <c r="S125" s="274"/>
      <c r="T125" s="77"/>
      <c r="U125" s="274"/>
      <c r="V125" s="262"/>
      <c r="W125" s="77"/>
      <c r="X125" s="274"/>
      <c r="Y125" s="262"/>
      <c r="Z125" s="77"/>
      <c r="AA125" s="274"/>
      <c r="AB125" s="262"/>
      <c r="AC125" s="77"/>
      <c r="AD125" s="274"/>
      <c r="AE125" s="262"/>
      <c r="AF125" s="77"/>
      <c r="AG125" s="274"/>
      <c r="AH125" s="262"/>
      <c r="AI125" s="77"/>
      <c r="AJ125" s="274"/>
      <c r="AK125" s="262"/>
      <c r="AL125" s="77"/>
      <c r="AM125" s="274"/>
      <c r="AN125" s="262"/>
      <c r="AO125" s="77"/>
      <c r="AP125" s="274"/>
      <c r="AQ125" s="262"/>
      <c r="AR125" s="77"/>
      <c r="AS125" s="274"/>
      <c r="AT125" s="262"/>
      <c r="AU125" s="77"/>
      <c r="AV125" s="274"/>
      <c r="AW125" s="262"/>
      <c r="AX125" s="77"/>
      <c r="AY125" s="274"/>
      <c r="AZ125" s="262"/>
      <c r="BA125" s="77"/>
      <c r="BB125" s="274"/>
      <c r="BC125" s="262"/>
      <c r="BD125" s="77"/>
      <c r="BE125" s="274"/>
      <c r="BF125" s="262"/>
      <c r="BG125" s="77"/>
      <c r="BH125" s="274"/>
      <c r="BI125" s="262"/>
      <c r="BJ125" s="77"/>
      <c r="BK125" s="274"/>
      <c r="BL125" s="262"/>
      <c r="BM125" s="77"/>
      <c r="BN125" s="274"/>
      <c r="BO125" s="262"/>
      <c r="BP125" s="77"/>
      <c r="BQ125" s="274"/>
      <c r="BR125" s="262"/>
      <c r="BS125" s="77"/>
      <c r="BT125" s="274"/>
      <c r="BU125" s="262"/>
      <c r="BV125" s="77"/>
      <c r="BW125" s="274"/>
      <c r="BX125" s="262"/>
      <c r="BY125" s="63">
        <f t="shared" si="364"/>
        <v>0</v>
      </c>
      <c r="BZ125" s="113">
        <v>0</v>
      </c>
      <c r="CA125" s="115">
        <v>0</v>
      </c>
      <c r="CB125" s="63">
        <f t="shared" si="365"/>
        <v>0</v>
      </c>
      <c r="CC125" s="113">
        <f>56.96-5.9</f>
        <v>51.06</v>
      </c>
      <c r="CD125" s="115">
        <v>0</v>
      </c>
      <c r="CE125" s="63">
        <f t="shared" si="366"/>
        <v>51.06</v>
      </c>
      <c r="CF125" s="113">
        <v>88.463999999999999</v>
      </c>
      <c r="CG125" s="115">
        <v>100.8</v>
      </c>
      <c r="CH125" s="63">
        <f t="shared" si="367"/>
        <v>38.724000000000004</v>
      </c>
      <c r="CI125" s="113">
        <v>47.414999999999999</v>
      </c>
      <c r="CJ125" s="115">
        <v>49</v>
      </c>
      <c r="CK125" s="69">
        <v>37.179000000000002</v>
      </c>
      <c r="CL125" s="117">
        <v>0</v>
      </c>
      <c r="CM125" s="118">
        <v>37.179000000000002</v>
      </c>
      <c r="CN125" s="63">
        <f t="shared" si="368"/>
        <v>0</v>
      </c>
      <c r="CO125" s="113">
        <v>0</v>
      </c>
      <c r="CP125" s="115">
        <v>0</v>
      </c>
      <c r="CQ125" s="63">
        <f t="shared" si="369"/>
        <v>0</v>
      </c>
      <c r="CR125" s="113">
        <v>0</v>
      </c>
      <c r="CS125" s="115">
        <v>0</v>
      </c>
      <c r="CT125" s="69">
        <f t="shared" si="370"/>
        <v>0</v>
      </c>
      <c r="CU125" s="119">
        <v>0</v>
      </c>
      <c r="CV125" s="115">
        <v>0</v>
      </c>
      <c r="CW125" s="63">
        <f t="shared" si="371"/>
        <v>0</v>
      </c>
      <c r="CX125" s="113">
        <v>0</v>
      </c>
      <c r="CY125" s="115">
        <v>0</v>
      </c>
      <c r="CZ125" s="63">
        <f t="shared" si="372"/>
        <v>0</v>
      </c>
      <c r="DA125" s="113">
        <v>0</v>
      </c>
      <c r="DB125" s="115">
        <v>0</v>
      </c>
      <c r="DC125" s="63">
        <f t="shared" si="373"/>
        <v>0</v>
      </c>
      <c r="DD125" s="113">
        <v>0</v>
      </c>
      <c r="DE125" s="115">
        <v>0</v>
      </c>
      <c r="DF125" s="63">
        <f t="shared" si="374"/>
        <v>0</v>
      </c>
      <c r="DG125" s="113">
        <v>0</v>
      </c>
      <c r="DH125" s="115">
        <v>0</v>
      </c>
      <c r="DI125" s="63">
        <f t="shared" si="375"/>
        <v>0</v>
      </c>
      <c r="DJ125" s="113">
        <v>0</v>
      </c>
      <c r="DK125" s="115">
        <v>0</v>
      </c>
      <c r="DL125" s="63">
        <f t="shared" si="376"/>
        <v>0</v>
      </c>
      <c r="DM125" s="113">
        <v>0</v>
      </c>
      <c r="DN125" s="115">
        <v>0</v>
      </c>
      <c r="DO125" s="63">
        <f t="shared" si="377"/>
        <v>0</v>
      </c>
      <c r="DP125" s="113">
        <v>0</v>
      </c>
      <c r="DQ125" s="115">
        <v>0</v>
      </c>
      <c r="DR125" s="63">
        <f t="shared" si="378"/>
        <v>0</v>
      </c>
      <c r="DS125" s="113">
        <v>0</v>
      </c>
      <c r="DT125" s="115">
        <v>0</v>
      </c>
      <c r="DU125" s="63">
        <f t="shared" si="379"/>
        <v>0</v>
      </c>
      <c r="DV125" s="113">
        <v>0</v>
      </c>
      <c r="DW125" s="115">
        <v>0</v>
      </c>
      <c r="DX125" s="744">
        <f t="shared" si="380"/>
        <v>0</v>
      </c>
      <c r="DY125" s="113">
        <v>0</v>
      </c>
      <c r="DZ125" s="115">
        <v>0</v>
      </c>
      <c r="EA125" s="63">
        <f t="shared" si="381"/>
        <v>0</v>
      </c>
      <c r="EB125" s="113">
        <v>0</v>
      </c>
      <c r="EC125" s="115">
        <v>0</v>
      </c>
      <c r="ED125" s="63">
        <f t="shared" si="382"/>
        <v>0</v>
      </c>
      <c r="EE125" s="113">
        <v>0</v>
      </c>
      <c r="EF125" s="115">
        <v>0</v>
      </c>
      <c r="EG125" s="744">
        <f t="shared" si="383"/>
        <v>0</v>
      </c>
      <c r="EH125" s="113">
        <v>0</v>
      </c>
      <c r="EI125" s="115">
        <v>0</v>
      </c>
      <c r="EJ125" s="63">
        <f t="shared" si="384"/>
        <v>0</v>
      </c>
      <c r="EK125" s="113">
        <v>0</v>
      </c>
      <c r="EL125" s="115">
        <v>0</v>
      </c>
      <c r="EM125" s="63">
        <f t="shared" si="385"/>
        <v>0</v>
      </c>
      <c r="EN125" s="113">
        <v>0</v>
      </c>
      <c r="EO125" s="115">
        <v>0</v>
      </c>
      <c r="EP125" s="744">
        <f t="shared" si="386"/>
        <v>0</v>
      </c>
      <c r="EQ125" s="113">
        <v>0</v>
      </c>
      <c r="ER125" s="115">
        <v>0</v>
      </c>
      <c r="ES125" s="744">
        <f t="shared" si="387"/>
        <v>0</v>
      </c>
      <c r="ET125" s="113">
        <v>0</v>
      </c>
      <c r="EU125" s="115">
        <v>0</v>
      </c>
      <c r="EV125" s="744">
        <f t="shared" si="388"/>
        <v>0</v>
      </c>
      <c r="EW125" s="113">
        <v>0</v>
      </c>
      <c r="EX125" s="115">
        <v>0</v>
      </c>
      <c r="EY125" s="744">
        <f t="shared" si="389"/>
        <v>0</v>
      </c>
    </row>
    <row r="126" spans="1:156" ht="19.5" hidden="1" collapsed="1">
      <c r="A126" s="201"/>
      <c r="B126" s="384"/>
      <c r="C126" s="223">
        <v>100529310</v>
      </c>
      <c r="D126" s="385" t="s">
        <v>112</v>
      </c>
      <c r="E126" s="77"/>
      <c r="F126" s="274"/>
      <c r="G126" s="262"/>
      <c r="H126" s="77"/>
      <c r="I126" s="274"/>
      <c r="J126" s="262"/>
      <c r="K126" s="77"/>
      <c r="L126" s="381"/>
      <c r="M126" s="115"/>
      <c r="N126" s="63"/>
      <c r="O126" s="381"/>
      <c r="P126" s="115"/>
      <c r="Q126" s="63"/>
      <c r="R126" s="274"/>
      <c r="S126" s="274"/>
      <c r="T126" s="77"/>
      <c r="U126" s="274"/>
      <c r="V126" s="262"/>
      <c r="W126" s="77"/>
      <c r="X126" s="274"/>
      <c r="Y126" s="262"/>
      <c r="Z126" s="77"/>
      <c r="AA126" s="274"/>
      <c r="AB126" s="262"/>
      <c r="AC126" s="77"/>
      <c r="AD126" s="274"/>
      <c r="AE126" s="262"/>
      <c r="AF126" s="77"/>
      <c r="AG126" s="274"/>
      <c r="AH126" s="262"/>
      <c r="AI126" s="77"/>
      <c r="AJ126" s="274"/>
      <c r="AK126" s="262"/>
      <c r="AL126" s="77"/>
      <c r="AM126" s="274"/>
      <c r="AN126" s="262"/>
      <c r="AO126" s="77"/>
      <c r="AP126" s="274"/>
      <c r="AQ126" s="262"/>
      <c r="AR126" s="77"/>
      <c r="AS126" s="274"/>
      <c r="AT126" s="262"/>
      <c r="AU126" s="77"/>
      <c r="AV126" s="274"/>
      <c r="AW126" s="262"/>
      <c r="AX126" s="77"/>
      <c r="AY126" s="274"/>
      <c r="AZ126" s="262"/>
      <c r="BA126" s="77"/>
      <c r="BB126" s="274"/>
      <c r="BC126" s="262"/>
      <c r="BD126" s="77"/>
      <c r="BE126" s="274"/>
      <c r="BF126" s="262"/>
      <c r="BG126" s="77"/>
      <c r="BH126" s="274"/>
      <c r="BI126" s="262"/>
      <c r="BJ126" s="77"/>
      <c r="BK126" s="274"/>
      <c r="BL126" s="262"/>
      <c r="BM126" s="77"/>
      <c r="BN126" s="274"/>
      <c r="BO126" s="262"/>
      <c r="BP126" s="77"/>
      <c r="BQ126" s="274"/>
      <c r="BR126" s="262"/>
      <c r="BS126" s="77"/>
      <c r="BT126" s="274"/>
      <c r="BU126" s="262"/>
      <c r="BV126" s="77"/>
      <c r="BW126" s="274"/>
      <c r="BX126" s="262"/>
      <c r="BY126" s="63">
        <f t="shared" si="364"/>
        <v>0</v>
      </c>
      <c r="BZ126" s="113">
        <v>0</v>
      </c>
      <c r="CA126" s="115">
        <v>0</v>
      </c>
      <c r="CB126" s="63">
        <f t="shared" si="365"/>
        <v>0</v>
      </c>
      <c r="CC126" s="113">
        <f>65.12-7.02</f>
        <v>58.100000000000009</v>
      </c>
      <c r="CD126" s="115">
        <f>44.82-7</f>
        <v>37.82</v>
      </c>
      <c r="CE126" s="63">
        <f t="shared" si="366"/>
        <v>20.280000000000008</v>
      </c>
      <c r="CF126" s="113">
        <v>43.491</v>
      </c>
      <c r="CG126" s="115">
        <v>62.040999999999997</v>
      </c>
      <c r="CH126" s="63">
        <f t="shared" si="367"/>
        <v>1.7300000000000111</v>
      </c>
      <c r="CI126" s="113">
        <v>143.85</v>
      </c>
      <c r="CJ126" s="115">
        <v>98</v>
      </c>
      <c r="CK126" s="69">
        <v>47.6</v>
      </c>
      <c r="CL126" s="117">
        <v>6.3</v>
      </c>
      <c r="CM126" s="118">
        <v>37.799999999999997</v>
      </c>
      <c r="CN126" s="63">
        <f t="shared" si="368"/>
        <v>16.100000000000001</v>
      </c>
      <c r="CO126" s="113">
        <v>0</v>
      </c>
      <c r="CP126" s="115">
        <v>0</v>
      </c>
      <c r="CQ126" s="63">
        <f t="shared" si="369"/>
        <v>16.100000000000001</v>
      </c>
      <c r="CR126" s="113">
        <v>0</v>
      </c>
      <c r="CS126" s="115">
        <f>16.1-16.1</f>
        <v>0</v>
      </c>
      <c r="CT126" s="69">
        <f t="shared" si="370"/>
        <v>16.100000000000001</v>
      </c>
      <c r="CU126" s="119">
        <v>0</v>
      </c>
      <c r="CV126" s="115">
        <v>16.100000000000001</v>
      </c>
      <c r="CW126" s="63">
        <f t="shared" si="371"/>
        <v>0</v>
      </c>
      <c r="CX126" s="113">
        <v>0</v>
      </c>
      <c r="CY126" s="115">
        <v>0</v>
      </c>
      <c r="CZ126" s="63">
        <f t="shared" si="372"/>
        <v>0</v>
      </c>
      <c r="DA126" s="113">
        <v>0</v>
      </c>
      <c r="DB126" s="115">
        <v>0</v>
      </c>
      <c r="DC126" s="63">
        <f t="shared" si="373"/>
        <v>0</v>
      </c>
      <c r="DD126" s="113">
        <v>0</v>
      </c>
      <c r="DE126" s="115">
        <v>0</v>
      </c>
      <c r="DF126" s="63">
        <f t="shared" si="374"/>
        <v>0</v>
      </c>
      <c r="DG126" s="113">
        <v>0</v>
      </c>
      <c r="DH126" s="115">
        <v>0</v>
      </c>
      <c r="DI126" s="63">
        <f t="shared" si="375"/>
        <v>0</v>
      </c>
      <c r="DJ126" s="113">
        <v>0</v>
      </c>
      <c r="DK126" s="115">
        <v>0</v>
      </c>
      <c r="DL126" s="63">
        <f t="shared" si="376"/>
        <v>0</v>
      </c>
      <c r="DM126" s="113">
        <v>0</v>
      </c>
      <c r="DN126" s="115">
        <v>0</v>
      </c>
      <c r="DO126" s="63">
        <f t="shared" si="377"/>
        <v>0</v>
      </c>
      <c r="DP126" s="113">
        <v>0</v>
      </c>
      <c r="DQ126" s="115">
        <v>0</v>
      </c>
      <c r="DR126" s="63">
        <f t="shared" si="378"/>
        <v>0</v>
      </c>
      <c r="DS126" s="113">
        <v>0</v>
      </c>
      <c r="DT126" s="115">
        <v>0</v>
      </c>
      <c r="DU126" s="63">
        <f t="shared" si="379"/>
        <v>0</v>
      </c>
      <c r="DV126" s="113">
        <v>0</v>
      </c>
      <c r="DW126" s="115">
        <v>0</v>
      </c>
      <c r="DX126" s="744">
        <f t="shared" si="380"/>
        <v>0</v>
      </c>
      <c r="DY126" s="113">
        <v>0</v>
      </c>
      <c r="DZ126" s="115">
        <v>0</v>
      </c>
      <c r="EA126" s="63">
        <f t="shared" si="381"/>
        <v>0</v>
      </c>
      <c r="EB126" s="113">
        <v>0</v>
      </c>
      <c r="EC126" s="115">
        <v>0</v>
      </c>
      <c r="ED126" s="63">
        <f t="shared" si="382"/>
        <v>0</v>
      </c>
      <c r="EE126" s="113">
        <v>0</v>
      </c>
      <c r="EF126" s="115">
        <v>0</v>
      </c>
      <c r="EG126" s="744">
        <f t="shared" si="383"/>
        <v>0</v>
      </c>
      <c r="EH126" s="113">
        <v>0</v>
      </c>
      <c r="EI126" s="115">
        <v>0</v>
      </c>
      <c r="EJ126" s="63">
        <f t="shared" si="384"/>
        <v>0</v>
      </c>
      <c r="EK126" s="113">
        <v>0</v>
      </c>
      <c r="EL126" s="115">
        <v>0</v>
      </c>
      <c r="EM126" s="63">
        <f t="shared" si="385"/>
        <v>0</v>
      </c>
      <c r="EN126" s="113">
        <v>0</v>
      </c>
      <c r="EO126" s="115">
        <v>0</v>
      </c>
      <c r="EP126" s="744">
        <f t="shared" si="386"/>
        <v>0</v>
      </c>
      <c r="EQ126" s="113">
        <v>0</v>
      </c>
      <c r="ER126" s="115">
        <v>0</v>
      </c>
      <c r="ES126" s="744">
        <f t="shared" si="387"/>
        <v>0</v>
      </c>
      <c r="ET126" s="113">
        <v>0</v>
      </c>
      <c r="EU126" s="115">
        <v>0</v>
      </c>
      <c r="EV126" s="744">
        <f t="shared" si="388"/>
        <v>0</v>
      </c>
      <c r="EW126" s="113">
        <v>0</v>
      </c>
      <c r="EX126" s="115">
        <v>0</v>
      </c>
      <c r="EY126" s="744">
        <f t="shared" si="389"/>
        <v>0</v>
      </c>
    </row>
    <row r="127" spans="1:156" ht="19.5" collapsed="1">
      <c r="A127" s="201"/>
      <c r="B127" s="384" t="s">
        <v>398</v>
      </c>
      <c r="C127" s="223">
        <v>100528390</v>
      </c>
      <c r="D127" s="385" t="s">
        <v>113</v>
      </c>
      <c r="E127" s="77"/>
      <c r="F127" s="274"/>
      <c r="G127" s="262"/>
      <c r="H127" s="77"/>
      <c r="I127" s="274"/>
      <c r="J127" s="262"/>
      <c r="K127" s="77"/>
      <c r="L127" s="381"/>
      <c r="M127" s="115"/>
      <c r="N127" s="63"/>
      <c r="O127" s="381"/>
      <c r="P127" s="115"/>
      <c r="Q127" s="63"/>
      <c r="R127" s="274"/>
      <c r="S127" s="274"/>
      <c r="T127" s="77"/>
      <c r="U127" s="274"/>
      <c r="V127" s="262"/>
      <c r="W127" s="77"/>
      <c r="X127" s="274"/>
      <c r="Y127" s="262"/>
      <c r="Z127" s="77"/>
      <c r="AA127" s="274"/>
      <c r="AB127" s="262"/>
      <c r="AC127" s="77"/>
      <c r="AD127" s="274"/>
      <c r="AE127" s="262"/>
      <c r="AF127" s="77"/>
      <c r="AG127" s="274"/>
      <c r="AH127" s="262"/>
      <c r="AI127" s="77"/>
      <c r="AJ127" s="274"/>
      <c r="AK127" s="262"/>
      <c r="AL127" s="77"/>
      <c r="AM127" s="274"/>
      <c r="AN127" s="262"/>
      <c r="AO127" s="77"/>
      <c r="AP127" s="274"/>
      <c r="AQ127" s="262"/>
      <c r="AR127" s="77"/>
      <c r="AS127" s="274"/>
      <c r="AT127" s="262"/>
      <c r="AU127" s="77"/>
      <c r="AV127" s="274"/>
      <c r="AW127" s="262"/>
      <c r="AX127" s="77"/>
      <c r="AY127" s="274"/>
      <c r="AZ127" s="262"/>
      <c r="BA127" s="77"/>
      <c r="BB127" s="274"/>
      <c r="BC127" s="262"/>
      <c r="BD127" s="77"/>
      <c r="BE127" s="274"/>
      <c r="BF127" s="262"/>
      <c r="BG127" s="77"/>
      <c r="BH127" s="274"/>
      <c r="BI127" s="262"/>
      <c r="BJ127" s="366"/>
      <c r="BK127" s="274"/>
      <c r="BL127" s="262"/>
      <c r="BM127" s="77"/>
      <c r="BN127" s="274"/>
      <c r="BO127" s="262"/>
      <c r="BP127" s="77"/>
      <c r="BQ127" s="274"/>
      <c r="BR127" s="262"/>
      <c r="BS127" s="77"/>
      <c r="BT127" s="274"/>
      <c r="BU127" s="262"/>
      <c r="BV127" s="77"/>
      <c r="BW127" s="274"/>
      <c r="BX127" s="262"/>
      <c r="BY127" s="63"/>
      <c r="BZ127" s="113">
        <v>0</v>
      </c>
      <c r="CA127" s="115">
        <v>0</v>
      </c>
      <c r="CB127" s="63">
        <f t="shared" si="365"/>
        <v>0</v>
      </c>
      <c r="CC127" s="113">
        <f>104.661-4.34</f>
        <v>100.321</v>
      </c>
      <c r="CD127" s="115">
        <f>44.8-7</f>
        <v>37.799999999999997</v>
      </c>
      <c r="CE127" s="63">
        <f t="shared" si="366"/>
        <v>62.521000000000001</v>
      </c>
      <c r="CF127" s="113">
        <v>54.183999999999997</v>
      </c>
      <c r="CG127" s="115">
        <v>109.127</v>
      </c>
      <c r="CH127" s="63">
        <f t="shared" si="367"/>
        <v>7.578000000000003</v>
      </c>
      <c r="CI127" s="113">
        <v>100.00700000000001</v>
      </c>
      <c r="CJ127" s="115">
        <v>82.128</v>
      </c>
      <c r="CK127" s="69">
        <v>25.457000000000001</v>
      </c>
      <c r="CL127" s="117">
        <v>151.9</v>
      </c>
      <c r="CM127" s="118">
        <v>136.85</v>
      </c>
      <c r="CN127" s="63">
        <f t="shared" si="368"/>
        <v>40.507000000000005</v>
      </c>
      <c r="CO127" s="113">
        <v>95.2</v>
      </c>
      <c r="CP127" s="115">
        <v>0</v>
      </c>
      <c r="CQ127" s="63">
        <f t="shared" si="369"/>
        <v>135.70699999999999</v>
      </c>
      <c r="CR127" s="113">
        <v>68.599999999999994</v>
      </c>
      <c r="CS127" s="115">
        <v>75.599999999999994</v>
      </c>
      <c r="CT127" s="69">
        <f t="shared" si="370"/>
        <v>128.70699999999999</v>
      </c>
      <c r="CU127" s="119">
        <v>63.7</v>
      </c>
      <c r="CV127" s="115">
        <v>126</v>
      </c>
      <c r="CW127" s="63">
        <f t="shared" si="371"/>
        <v>66.406999999999982</v>
      </c>
      <c r="CX127" s="113">
        <v>68.599999999999994</v>
      </c>
      <c r="CY127" s="113">
        <v>125.20699999999999</v>
      </c>
      <c r="CZ127" s="63">
        <f t="shared" si="372"/>
        <v>9.7999999999999829</v>
      </c>
      <c r="DA127" s="113">
        <v>87.15</v>
      </c>
      <c r="DB127" s="115">
        <v>37.799999999999997</v>
      </c>
      <c r="DC127" s="63">
        <f t="shared" si="373"/>
        <v>59.149999999999991</v>
      </c>
      <c r="DD127" s="113">
        <v>125.51</v>
      </c>
      <c r="DE127" s="115">
        <v>172.26400000000001</v>
      </c>
      <c r="DF127" s="63">
        <v>12.11</v>
      </c>
      <c r="DG127" s="113">
        <v>112</v>
      </c>
      <c r="DH127" s="115">
        <v>121.31</v>
      </c>
      <c r="DI127" s="63">
        <f t="shared" si="375"/>
        <v>2.7999999999999972</v>
      </c>
      <c r="DJ127" s="113">
        <v>210</v>
      </c>
      <c r="DK127" s="115">
        <f>130+39+13</f>
        <v>182</v>
      </c>
      <c r="DL127" s="63">
        <f t="shared" si="376"/>
        <v>30.800000000000011</v>
      </c>
      <c r="DM127" s="113">
        <v>69.650000000000006</v>
      </c>
      <c r="DN127" s="115">
        <v>38</v>
      </c>
      <c r="DO127" s="63">
        <f t="shared" si="377"/>
        <v>62.450000000000017</v>
      </c>
      <c r="DP127" s="113">
        <v>154</v>
      </c>
      <c r="DQ127" s="115">
        <v>162.4</v>
      </c>
      <c r="DR127" s="63">
        <f t="shared" si="378"/>
        <v>54.050000000000011</v>
      </c>
      <c r="DS127" s="113">
        <v>143.85</v>
      </c>
      <c r="DT127" s="115">
        <v>182.85</v>
      </c>
      <c r="DU127" s="63">
        <f t="shared" si="379"/>
        <v>15.050000000000011</v>
      </c>
      <c r="DV127" s="113">
        <v>140.35</v>
      </c>
      <c r="DW127" s="115">
        <v>86.8</v>
      </c>
      <c r="DX127" s="744">
        <f t="shared" si="380"/>
        <v>68.600000000000009</v>
      </c>
      <c r="DY127" s="113">
        <v>101.85</v>
      </c>
      <c r="DZ127" s="115">
        <v>0</v>
      </c>
      <c r="EA127" s="63">
        <f t="shared" si="381"/>
        <v>170.45</v>
      </c>
      <c r="EB127" s="113">
        <v>-170.45</v>
      </c>
      <c r="EC127" s="115">
        <v>0</v>
      </c>
      <c r="ED127" s="63">
        <f t="shared" si="382"/>
        <v>0</v>
      </c>
      <c r="EE127" s="113">
        <v>0</v>
      </c>
      <c r="EF127" s="115">
        <v>0</v>
      </c>
      <c r="EG127" s="744">
        <f t="shared" si="383"/>
        <v>0</v>
      </c>
      <c r="EH127" s="113">
        <v>0</v>
      </c>
      <c r="EI127" s="115">
        <v>0</v>
      </c>
      <c r="EJ127" s="63">
        <f t="shared" si="384"/>
        <v>0</v>
      </c>
      <c r="EK127" s="113">
        <v>0</v>
      </c>
      <c r="EL127" s="115">
        <v>0</v>
      </c>
      <c r="EM127" s="63">
        <f t="shared" si="385"/>
        <v>0</v>
      </c>
      <c r="EN127" s="113">
        <v>0</v>
      </c>
      <c r="EO127" s="115">
        <v>0</v>
      </c>
      <c r="EP127" s="744">
        <f t="shared" si="386"/>
        <v>0</v>
      </c>
      <c r="EQ127" s="113">
        <v>30</v>
      </c>
      <c r="ER127" s="115">
        <v>25.2</v>
      </c>
      <c r="ES127" s="744">
        <f t="shared" si="387"/>
        <v>4.8000000000000007</v>
      </c>
      <c r="ET127" s="113">
        <v>0</v>
      </c>
      <c r="EU127" s="115">
        <v>0</v>
      </c>
      <c r="EV127" s="744">
        <f t="shared" si="388"/>
        <v>4.8000000000000007</v>
      </c>
      <c r="EW127" s="113">
        <v>0</v>
      </c>
      <c r="EX127" s="115">
        <v>0</v>
      </c>
      <c r="EY127" s="744">
        <f t="shared" si="389"/>
        <v>4.8000000000000007</v>
      </c>
    </row>
    <row r="128" spans="1:156" ht="19.5">
      <c r="A128" s="201"/>
      <c r="B128" s="184"/>
      <c r="C128" s="223">
        <v>100528499</v>
      </c>
      <c r="D128" s="385" t="s">
        <v>114</v>
      </c>
      <c r="E128" s="77"/>
      <c r="F128" s="274"/>
      <c r="G128" s="262"/>
      <c r="H128" s="77"/>
      <c r="I128" s="274"/>
      <c r="J128" s="262"/>
      <c r="K128" s="77"/>
      <c r="L128" s="381"/>
      <c r="M128" s="115"/>
      <c r="N128" s="63"/>
      <c r="O128" s="381"/>
      <c r="P128" s="115"/>
      <c r="Q128" s="63"/>
      <c r="R128" s="274"/>
      <c r="S128" s="274"/>
      <c r="T128" s="77"/>
      <c r="U128" s="274"/>
      <c r="V128" s="262"/>
      <c r="W128" s="77"/>
      <c r="X128" s="274"/>
      <c r="Y128" s="262"/>
      <c r="Z128" s="77"/>
      <c r="AA128" s="274"/>
      <c r="AB128" s="262"/>
      <c r="AC128" s="77"/>
      <c r="AD128" s="274"/>
      <c r="AE128" s="262"/>
      <c r="AF128" s="77"/>
      <c r="AG128" s="274"/>
      <c r="AH128" s="262"/>
      <c r="AI128" s="77"/>
      <c r="AJ128" s="274"/>
      <c r="AK128" s="262"/>
      <c r="AL128" s="77"/>
      <c r="AM128" s="274"/>
      <c r="AN128" s="262"/>
      <c r="AO128" s="77"/>
      <c r="AP128" s="274"/>
      <c r="AQ128" s="262"/>
      <c r="AR128" s="77"/>
      <c r="AS128" s="274"/>
      <c r="AT128" s="262"/>
      <c r="AU128" s="77"/>
      <c r="AV128" s="274"/>
      <c r="AW128" s="262"/>
      <c r="AX128" s="77"/>
      <c r="AY128" s="274"/>
      <c r="AZ128" s="262"/>
      <c r="BA128" s="77"/>
      <c r="BB128" s="274"/>
      <c r="BC128" s="262"/>
      <c r="BD128" s="77"/>
      <c r="BE128" s="274"/>
      <c r="BF128" s="262"/>
      <c r="BG128" s="77"/>
      <c r="BH128" s="274"/>
      <c r="BI128" s="262"/>
      <c r="BJ128" s="366"/>
      <c r="BK128" s="274"/>
      <c r="BL128" s="262"/>
      <c r="BM128" s="77"/>
      <c r="BN128" s="274"/>
      <c r="BO128" s="262"/>
      <c r="BP128" s="77"/>
      <c r="BQ128" s="274"/>
      <c r="BR128" s="262"/>
      <c r="BS128" s="77"/>
      <c r="BT128" s="274"/>
      <c r="BU128" s="262"/>
      <c r="BV128" s="77"/>
      <c r="BW128" s="274"/>
      <c r="BX128" s="262"/>
      <c r="BY128" s="63"/>
      <c r="BZ128" s="113">
        <v>0</v>
      </c>
      <c r="CA128" s="115">
        <v>0</v>
      </c>
      <c r="CB128" s="63">
        <f t="shared" si="365"/>
        <v>0</v>
      </c>
      <c r="CC128" s="113">
        <f>135.061-7</f>
        <v>128.06100000000001</v>
      </c>
      <c r="CD128" s="115">
        <f>44.8-7</f>
        <v>37.799999999999997</v>
      </c>
      <c r="CE128" s="63">
        <f t="shared" si="366"/>
        <v>90.26100000000001</v>
      </c>
      <c r="CF128" s="113">
        <v>69.709000000000003</v>
      </c>
      <c r="CG128" s="115">
        <v>109.57</v>
      </c>
      <c r="CH128" s="63">
        <f t="shared" si="367"/>
        <v>50.400000000000034</v>
      </c>
      <c r="CI128" s="113">
        <v>91</v>
      </c>
      <c r="CJ128" s="115">
        <v>81.2</v>
      </c>
      <c r="CK128" s="69">
        <v>60.2</v>
      </c>
      <c r="CL128" s="117">
        <v>123.236</v>
      </c>
      <c r="CM128" s="118">
        <v>99.4</v>
      </c>
      <c r="CN128" s="63">
        <f t="shared" si="368"/>
        <v>84.036000000000001</v>
      </c>
      <c r="CO128" s="113">
        <v>129.15</v>
      </c>
      <c r="CP128" s="115">
        <v>75.599999999999994</v>
      </c>
      <c r="CQ128" s="63">
        <f t="shared" si="369"/>
        <v>137.58600000000001</v>
      </c>
      <c r="CR128" s="113">
        <v>103.6</v>
      </c>
      <c r="CS128" s="115">
        <v>37.799999999999997</v>
      </c>
      <c r="CT128" s="69">
        <f t="shared" si="370"/>
        <v>203.38600000000002</v>
      </c>
      <c r="CU128" s="119">
        <v>60.2</v>
      </c>
      <c r="CV128" s="115">
        <v>100.8</v>
      </c>
      <c r="CW128" s="63">
        <f t="shared" si="371"/>
        <v>162.786</v>
      </c>
      <c r="CX128" s="113">
        <v>70.948999999999998</v>
      </c>
      <c r="CY128" s="113">
        <v>163.73500000000001</v>
      </c>
      <c r="CZ128" s="63">
        <f t="shared" si="372"/>
        <v>70</v>
      </c>
      <c r="DA128" s="113">
        <v>36.75</v>
      </c>
      <c r="DB128" s="115">
        <v>37.799999999999997</v>
      </c>
      <c r="DC128" s="63">
        <f t="shared" si="373"/>
        <v>68.95</v>
      </c>
      <c r="DD128" s="113">
        <v>91.35</v>
      </c>
      <c r="DE128" s="115">
        <v>134.75</v>
      </c>
      <c r="DF128" s="63">
        <f>(DC128+DD128)-(DE128)</f>
        <v>25.550000000000011</v>
      </c>
      <c r="DG128" s="113">
        <v>155.4</v>
      </c>
      <c r="DH128" s="115">
        <v>113.4</v>
      </c>
      <c r="DI128" s="63">
        <f t="shared" si="375"/>
        <v>67.550000000000011</v>
      </c>
      <c r="DJ128" s="113">
        <v>53.2</v>
      </c>
      <c r="DK128" s="115">
        <f>88.2+3.15</f>
        <v>91.350000000000009</v>
      </c>
      <c r="DL128" s="63">
        <f t="shared" si="376"/>
        <v>29.400000000000006</v>
      </c>
      <c r="DM128" s="113">
        <v>225.4</v>
      </c>
      <c r="DN128" s="115">
        <v>222.8</v>
      </c>
      <c r="DO128" s="63">
        <f t="shared" si="377"/>
        <v>32</v>
      </c>
      <c r="DP128" s="113">
        <v>124.95</v>
      </c>
      <c r="DQ128" s="115">
        <v>63</v>
      </c>
      <c r="DR128" s="63">
        <f t="shared" si="378"/>
        <v>93.949999999999989</v>
      </c>
      <c r="DS128" s="113">
        <v>113.4</v>
      </c>
      <c r="DT128" s="115">
        <v>206.65</v>
      </c>
      <c r="DU128" s="63">
        <f t="shared" si="379"/>
        <v>0.69999999999998863</v>
      </c>
      <c r="DV128" s="113">
        <v>140.35</v>
      </c>
      <c r="DW128" s="115">
        <v>124.6</v>
      </c>
      <c r="DX128" s="744">
        <f t="shared" si="380"/>
        <v>16.449999999999989</v>
      </c>
      <c r="DY128" s="113">
        <v>147.35</v>
      </c>
      <c r="DZ128" s="115">
        <v>0</v>
      </c>
      <c r="EA128" s="63">
        <f t="shared" si="381"/>
        <v>163.79999999999998</v>
      </c>
      <c r="EB128" s="113">
        <v>-163.80000000000001</v>
      </c>
      <c r="EC128" s="115">
        <v>0</v>
      </c>
      <c r="ED128" s="63">
        <f t="shared" si="382"/>
        <v>-2.8421709430404007E-14</v>
      </c>
      <c r="EE128" s="113">
        <v>0</v>
      </c>
      <c r="EF128" s="115">
        <v>0</v>
      </c>
      <c r="EG128" s="744">
        <f t="shared" si="383"/>
        <v>-2.8421709430404007E-14</v>
      </c>
      <c r="EH128" s="113">
        <v>0</v>
      </c>
      <c r="EI128" s="115">
        <v>0</v>
      </c>
      <c r="EJ128" s="63">
        <f t="shared" si="384"/>
        <v>-2.8421709430404007E-14</v>
      </c>
      <c r="EK128" s="113">
        <v>0</v>
      </c>
      <c r="EL128" s="115">
        <v>0</v>
      </c>
      <c r="EM128" s="63">
        <f t="shared" si="385"/>
        <v>-2.8421709430404007E-14</v>
      </c>
      <c r="EN128" s="113">
        <v>0</v>
      </c>
      <c r="EO128" s="115">
        <v>0</v>
      </c>
      <c r="EP128" s="744">
        <f t="shared" si="386"/>
        <v>-2.8421709430404007E-14</v>
      </c>
      <c r="EQ128" s="113">
        <v>35</v>
      </c>
      <c r="ER128" s="115">
        <v>25.2</v>
      </c>
      <c r="ES128" s="744">
        <f t="shared" si="387"/>
        <v>9.7999999999999723</v>
      </c>
      <c r="ET128" s="113">
        <v>0</v>
      </c>
      <c r="EU128" s="115">
        <v>0</v>
      </c>
      <c r="EV128" s="744">
        <f t="shared" si="388"/>
        <v>9.7999999999999723</v>
      </c>
      <c r="EW128" s="113">
        <v>0</v>
      </c>
      <c r="EX128" s="115">
        <v>0</v>
      </c>
      <c r="EY128" s="744">
        <f t="shared" si="389"/>
        <v>9.7999999999999723</v>
      </c>
    </row>
    <row r="129" spans="1:155" ht="19.5">
      <c r="A129" s="201"/>
      <c r="B129" s="184"/>
      <c r="C129" s="794">
        <v>100618626</v>
      </c>
      <c r="D129" s="380" t="s">
        <v>441</v>
      </c>
      <c r="E129" s="77"/>
      <c r="F129" s="274"/>
      <c r="G129" s="262"/>
      <c r="H129" s="77"/>
      <c r="I129" s="274"/>
      <c r="J129" s="262"/>
      <c r="K129" s="77"/>
      <c r="L129" s="274"/>
      <c r="M129" s="262"/>
      <c r="N129" s="77"/>
      <c r="O129" s="274"/>
      <c r="P129" s="262"/>
      <c r="Q129" s="77"/>
      <c r="R129" s="274"/>
      <c r="S129" s="274"/>
      <c r="T129" s="77"/>
      <c r="U129" s="274"/>
      <c r="V129" s="262"/>
      <c r="W129" s="77"/>
      <c r="X129" s="274"/>
      <c r="Y129" s="262"/>
      <c r="Z129" s="77"/>
      <c r="AA129" s="274"/>
      <c r="AB129" s="262"/>
      <c r="AC129" s="77"/>
      <c r="AD129" s="274"/>
      <c r="AE129" s="262"/>
      <c r="AF129" s="77"/>
      <c r="AG129" s="274"/>
      <c r="AH129" s="262"/>
      <c r="AI129" s="77"/>
      <c r="AJ129" s="274"/>
      <c r="AK129" s="262"/>
      <c r="AL129" s="77"/>
      <c r="AM129" s="274"/>
      <c r="AN129" s="262"/>
      <c r="AO129" s="77"/>
      <c r="AP129" s="274"/>
      <c r="AQ129" s="262"/>
      <c r="AR129" s="77"/>
      <c r="AS129" s="274"/>
      <c r="AT129" s="262"/>
      <c r="AU129" s="77"/>
      <c r="AV129" s="274"/>
      <c r="AW129" s="262"/>
      <c r="AX129" s="77"/>
      <c r="AY129" s="274"/>
      <c r="AZ129" s="262"/>
      <c r="BA129" s="77"/>
      <c r="BB129" s="274"/>
      <c r="BC129" s="262"/>
      <c r="BD129" s="77"/>
      <c r="BE129" s="274"/>
      <c r="BF129" s="262"/>
      <c r="BG129" s="77"/>
      <c r="BH129" s="274"/>
      <c r="BI129" s="262"/>
      <c r="BJ129" s="77"/>
      <c r="BK129" s="274"/>
      <c r="BL129" s="262"/>
      <c r="BM129" s="77"/>
      <c r="BN129" s="274"/>
      <c r="BO129" s="262"/>
      <c r="BP129" s="77"/>
      <c r="BQ129" s="274"/>
      <c r="BR129" s="262"/>
      <c r="BS129" s="77"/>
      <c r="BT129" s="274"/>
      <c r="BU129" s="262"/>
      <c r="BV129" s="77"/>
      <c r="BW129" s="274"/>
      <c r="BX129" s="262"/>
      <c r="BY129" s="77"/>
      <c r="BZ129" s="274"/>
      <c r="CA129" s="262"/>
      <c r="CB129" s="77"/>
      <c r="CC129" s="274"/>
      <c r="CD129" s="262"/>
      <c r="CE129" s="77"/>
      <c r="CF129" s="274"/>
      <c r="CG129" s="262"/>
      <c r="CH129" s="77"/>
      <c r="CI129" s="274"/>
      <c r="CJ129" s="262"/>
      <c r="CK129" s="769"/>
      <c r="CL129" s="770"/>
      <c r="CM129" s="266"/>
      <c r="CN129" s="77"/>
      <c r="CO129" s="274"/>
      <c r="CP129" s="262"/>
      <c r="CQ129" s="77"/>
      <c r="CR129" s="274"/>
      <c r="CS129" s="262"/>
      <c r="CT129" s="769"/>
      <c r="CU129" s="771"/>
      <c r="CV129" s="262"/>
      <c r="CW129" s="77"/>
      <c r="CX129" s="274"/>
      <c r="CY129" s="274"/>
      <c r="CZ129" s="77"/>
      <c r="DA129" s="274"/>
      <c r="DB129" s="262"/>
      <c r="DC129" s="77"/>
      <c r="DD129" s="274"/>
      <c r="DE129" s="262"/>
      <c r="DF129" s="77"/>
      <c r="DG129" s="274"/>
      <c r="DH129" s="262"/>
      <c r="DI129" s="77"/>
      <c r="DJ129" s="274"/>
      <c r="DK129" s="262"/>
      <c r="DL129" s="77"/>
      <c r="DM129" s="274"/>
      <c r="DN129" s="262"/>
      <c r="DO129" s="77"/>
      <c r="DP129" s="274"/>
      <c r="DQ129" s="262"/>
      <c r="DR129" s="77"/>
      <c r="DS129" s="274"/>
      <c r="DT129" s="262"/>
      <c r="DU129" s="77"/>
      <c r="DV129" s="274"/>
      <c r="DW129" s="262"/>
      <c r="DX129" s="77">
        <v>0</v>
      </c>
      <c r="DY129" s="274">
        <v>0.68</v>
      </c>
      <c r="DZ129" s="262">
        <v>0.68</v>
      </c>
      <c r="EA129" s="77">
        <f t="shared" si="381"/>
        <v>0</v>
      </c>
      <c r="EB129" s="274">
        <v>0.03</v>
      </c>
      <c r="EC129" s="262">
        <v>0</v>
      </c>
      <c r="ED129" s="77">
        <f t="shared" si="382"/>
        <v>0.03</v>
      </c>
      <c r="EE129" s="274">
        <v>0.73</v>
      </c>
      <c r="EF129" s="262">
        <v>0.73</v>
      </c>
      <c r="EG129" s="744">
        <f t="shared" si="382"/>
        <v>3.0000000000000027E-2</v>
      </c>
      <c r="EH129" s="113">
        <v>0</v>
      </c>
      <c r="EI129" s="115">
        <v>0</v>
      </c>
      <c r="EJ129" s="63">
        <f t="shared" si="384"/>
        <v>3.0000000000000027E-2</v>
      </c>
      <c r="EK129" s="113">
        <v>0</v>
      </c>
      <c r="EL129" s="115">
        <v>0</v>
      </c>
      <c r="EM129" s="63">
        <f t="shared" si="385"/>
        <v>3.0000000000000027E-2</v>
      </c>
      <c r="EN129" s="113">
        <v>0</v>
      </c>
      <c r="EO129" s="115">
        <v>0</v>
      </c>
      <c r="EP129" s="744">
        <f t="shared" si="386"/>
        <v>3.0000000000000027E-2</v>
      </c>
      <c r="EQ129" s="113">
        <v>0</v>
      </c>
      <c r="ER129" s="115">
        <v>0</v>
      </c>
      <c r="ES129" s="744">
        <f t="shared" si="387"/>
        <v>3.0000000000000027E-2</v>
      </c>
      <c r="ET129" s="113">
        <v>0</v>
      </c>
      <c r="EU129" s="115">
        <v>0</v>
      </c>
      <c r="EV129" s="744">
        <f t="shared" si="388"/>
        <v>3.0000000000000027E-2</v>
      </c>
      <c r="EW129" s="113">
        <v>0</v>
      </c>
      <c r="EX129" s="115">
        <v>0</v>
      </c>
      <c r="EY129" s="744">
        <f t="shared" si="389"/>
        <v>3.0000000000000027E-2</v>
      </c>
    </row>
    <row r="130" spans="1:155" ht="20.25" thickBot="1">
      <c r="A130" s="201"/>
      <c r="B130" s="205"/>
      <c r="C130" s="795">
        <v>100618642</v>
      </c>
      <c r="D130" s="772" t="s">
        <v>442</v>
      </c>
      <c r="E130" s="86"/>
      <c r="F130" s="87"/>
      <c r="G130" s="88"/>
      <c r="H130" s="86"/>
      <c r="I130" s="87"/>
      <c r="J130" s="88"/>
      <c r="K130" s="86"/>
      <c r="L130" s="87"/>
      <c r="M130" s="88"/>
      <c r="N130" s="86"/>
      <c r="O130" s="87"/>
      <c r="P130" s="88"/>
      <c r="Q130" s="86"/>
      <c r="R130" s="87"/>
      <c r="S130" s="87"/>
      <c r="T130" s="86"/>
      <c r="U130" s="87"/>
      <c r="V130" s="88"/>
      <c r="W130" s="86"/>
      <c r="X130" s="87"/>
      <c r="Y130" s="88"/>
      <c r="Z130" s="86"/>
      <c r="AA130" s="87"/>
      <c r="AB130" s="88"/>
      <c r="AC130" s="86"/>
      <c r="AD130" s="87"/>
      <c r="AE130" s="88"/>
      <c r="AF130" s="86"/>
      <c r="AG130" s="87"/>
      <c r="AH130" s="88"/>
      <c r="AI130" s="86"/>
      <c r="AJ130" s="87"/>
      <c r="AK130" s="88"/>
      <c r="AL130" s="86"/>
      <c r="AM130" s="87"/>
      <c r="AN130" s="88"/>
      <c r="AO130" s="86"/>
      <c r="AP130" s="87"/>
      <c r="AQ130" s="88"/>
      <c r="AR130" s="86"/>
      <c r="AS130" s="87"/>
      <c r="AT130" s="88"/>
      <c r="AU130" s="86"/>
      <c r="AV130" s="87"/>
      <c r="AW130" s="88"/>
      <c r="AX130" s="86"/>
      <c r="AY130" s="87"/>
      <c r="AZ130" s="88"/>
      <c r="BA130" s="86"/>
      <c r="BB130" s="87"/>
      <c r="BC130" s="88"/>
      <c r="BD130" s="86"/>
      <c r="BE130" s="87"/>
      <c r="BF130" s="88"/>
      <c r="BG130" s="86"/>
      <c r="BH130" s="87"/>
      <c r="BI130" s="88"/>
      <c r="BJ130" s="86"/>
      <c r="BK130" s="87"/>
      <c r="BL130" s="88"/>
      <c r="BM130" s="86"/>
      <c r="BN130" s="87"/>
      <c r="BO130" s="88"/>
      <c r="BP130" s="86"/>
      <c r="BQ130" s="87"/>
      <c r="BR130" s="88"/>
      <c r="BS130" s="86"/>
      <c r="BT130" s="87"/>
      <c r="BU130" s="88"/>
      <c r="BV130" s="86"/>
      <c r="BW130" s="87"/>
      <c r="BX130" s="88"/>
      <c r="BY130" s="86"/>
      <c r="BZ130" s="87"/>
      <c r="CA130" s="88"/>
      <c r="CB130" s="86"/>
      <c r="CC130" s="87"/>
      <c r="CD130" s="88"/>
      <c r="CE130" s="86"/>
      <c r="CF130" s="87"/>
      <c r="CG130" s="88"/>
      <c r="CH130" s="86"/>
      <c r="CI130" s="87"/>
      <c r="CJ130" s="88"/>
      <c r="CK130" s="773"/>
      <c r="CL130" s="774"/>
      <c r="CM130" s="775"/>
      <c r="CN130" s="86"/>
      <c r="CO130" s="87"/>
      <c r="CP130" s="88"/>
      <c r="CQ130" s="86"/>
      <c r="CR130" s="776"/>
      <c r="CS130" s="88"/>
      <c r="CT130" s="773"/>
      <c r="CU130" s="776"/>
      <c r="CV130" s="88"/>
      <c r="CW130" s="86"/>
      <c r="CX130" s="87"/>
      <c r="CY130" s="88"/>
      <c r="CZ130" s="86"/>
      <c r="DA130" s="87"/>
      <c r="DB130" s="88"/>
      <c r="DC130" s="86"/>
      <c r="DD130" s="87"/>
      <c r="DE130" s="88"/>
      <c r="DF130" s="86"/>
      <c r="DG130" s="87"/>
      <c r="DH130" s="88"/>
      <c r="DI130" s="86"/>
      <c r="DJ130" s="87"/>
      <c r="DK130" s="88"/>
      <c r="DL130" s="86"/>
      <c r="DM130" s="87"/>
      <c r="DN130" s="88"/>
      <c r="DO130" s="86"/>
      <c r="DP130" s="87"/>
      <c r="DQ130" s="88"/>
      <c r="DR130" s="86"/>
      <c r="DS130" s="87"/>
      <c r="DT130" s="262"/>
      <c r="DU130" s="86"/>
      <c r="DV130" s="87"/>
      <c r="DW130" s="262"/>
      <c r="DX130" s="86">
        <v>0</v>
      </c>
      <c r="DY130" s="87">
        <v>0.68</v>
      </c>
      <c r="DZ130" s="88">
        <v>0.68</v>
      </c>
      <c r="EA130" s="86">
        <f t="shared" si="381"/>
        <v>0</v>
      </c>
      <c r="EB130" s="87">
        <v>0.03</v>
      </c>
      <c r="EC130" s="88">
        <v>0</v>
      </c>
      <c r="ED130" s="86">
        <f t="shared" si="382"/>
        <v>0.03</v>
      </c>
      <c r="EE130" s="87">
        <v>0.73</v>
      </c>
      <c r="EF130" s="88">
        <v>0.73</v>
      </c>
      <c r="EG130" s="745">
        <f t="shared" si="382"/>
        <v>3.0000000000000027E-2</v>
      </c>
      <c r="EH130" s="93">
        <v>0</v>
      </c>
      <c r="EI130" s="95">
        <v>0</v>
      </c>
      <c r="EJ130" s="94">
        <f t="shared" si="384"/>
        <v>3.0000000000000027E-2</v>
      </c>
      <c r="EK130" s="93">
        <v>0</v>
      </c>
      <c r="EL130" s="95">
        <v>0</v>
      </c>
      <c r="EM130" s="94">
        <f t="shared" si="385"/>
        <v>3.0000000000000027E-2</v>
      </c>
      <c r="EN130" s="93">
        <v>0</v>
      </c>
      <c r="EO130" s="95">
        <v>0</v>
      </c>
      <c r="EP130" s="745">
        <f t="shared" si="386"/>
        <v>3.0000000000000027E-2</v>
      </c>
      <c r="EQ130" s="93">
        <v>0</v>
      </c>
      <c r="ER130" s="95">
        <v>0</v>
      </c>
      <c r="ES130" s="745">
        <f t="shared" si="387"/>
        <v>3.0000000000000027E-2</v>
      </c>
      <c r="ET130" s="93">
        <v>0</v>
      </c>
      <c r="EU130" s="95">
        <v>0</v>
      </c>
      <c r="EV130" s="745">
        <f t="shared" si="388"/>
        <v>3.0000000000000027E-2</v>
      </c>
      <c r="EW130" s="93">
        <v>0</v>
      </c>
      <c r="EX130" s="95">
        <v>0</v>
      </c>
      <c r="EY130" s="745">
        <f t="shared" si="389"/>
        <v>3.0000000000000027E-2</v>
      </c>
    </row>
    <row r="131" spans="1:155" s="20" customFormat="1" ht="20.25" thickBot="1">
      <c r="A131" s="183"/>
      <c r="B131" s="386"/>
      <c r="C131" s="387"/>
      <c r="D131" s="357" t="s">
        <v>69</v>
      </c>
      <c r="E131" s="160">
        <v>0</v>
      </c>
      <c r="F131" s="302">
        <f t="shared" ref="F131:Q131" si="390">F120+F121</f>
        <v>10.41</v>
      </c>
      <c r="G131" s="162">
        <f t="shared" si="390"/>
        <v>10.41</v>
      </c>
      <c r="H131" s="160">
        <f t="shared" si="390"/>
        <v>0</v>
      </c>
      <c r="I131" s="302">
        <f t="shared" si="390"/>
        <v>5.0199999999999996</v>
      </c>
      <c r="J131" s="162">
        <f t="shared" si="390"/>
        <v>5.0199999999999996</v>
      </c>
      <c r="K131" s="160">
        <f t="shared" si="390"/>
        <v>0</v>
      </c>
      <c r="L131" s="302">
        <f t="shared" si="390"/>
        <v>31.166</v>
      </c>
      <c r="M131" s="162">
        <f t="shared" si="390"/>
        <v>31.166</v>
      </c>
      <c r="N131" s="160">
        <f t="shared" si="390"/>
        <v>0</v>
      </c>
      <c r="O131" s="302">
        <f t="shared" si="390"/>
        <v>141.102</v>
      </c>
      <c r="P131" s="162">
        <f t="shared" si="390"/>
        <v>133.05199999999999</v>
      </c>
      <c r="Q131" s="160">
        <f t="shared" si="390"/>
        <v>8.0499999999999972</v>
      </c>
      <c r="R131" s="302">
        <f t="shared" ref="R131:AI131" si="391">R120+R121+R122+R123</f>
        <v>113.744</v>
      </c>
      <c r="S131" s="162">
        <f t="shared" si="391"/>
        <v>100.794</v>
      </c>
      <c r="T131" s="160">
        <f t="shared" si="391"/>
        <v>21</v>
      </c>
      <c r="U131" s="302">
        <f t="shared" si="391"/>
        <v>247.18400000000003</v>
      </c>
      <c r="V131" s="162">
        <f t="shared" si="391"/>
        <v>263.63400000000001</v>
      </c>
      <c r="W131" s="160">
        <f t="shared" si="391"/>
        <v>4.5499999999999829</v>
      </c>
      <c r="X131" s="302">
        <f t="shared" si="391"/>
        <v>180.90300000000002</v>
      </c>
      <c r="Y131" s="162">
        <f t="shared" si="391"/>
        <v>148.00300000000001</v>
      </c>
      <c r="Z131" s="160">
        <f t="shared" si="391"/>
        <v>37.449999999999974</v>
      </c>
      <c r="AA131" s="302">
        <f t="shared" si="391"/>
        <v>159.07999999999998</v>
      </c>
      <c r="AB131" s="162">
        <f t="shared" si="391"/>
        <v>148.708</v>
      </c>
      <c r="AC131" s="160">
        <f t="shared" si="391"/>
        <v>47.821999999999974</v>
      </c>
      <c r="AD131" s="302">
        <f t="shared" si="391"/>
        <v>139.16499999999999</v>
      </c>
      <c r="AE131" s="162">
        <f t="shared" si="391"/>
        <v>104.16499999999999</v>
      </c>
      <c r="AF131" s="160">
        <f t="shared" si="391"/>
        <v>82.821999999999974</v>
      </c>
      <c r="AG131" s="302">
        <f t="shared" si="391"/>
        <v>145.10500000000002</v>
      </c>
      <c r="AH131" s="162">
        <f t="shared" si="391"/>
        <v>79.426000000000002</v>
      </c>
      <c r="AI131" s="160">
        <f t="shared" si="391"/>
        <v>148.50099999999998</v>
      </c>
      <c r="AJ131" s="302" t="e">
        <f>AJ120+AJ121+AJ122+AJ123+AJ124+#REF!+#REF!+#REF!</f>
        <v>#REF!</v>
      </c>
      <c r="AK131" s="162" t="e">
        <f>AK120+AK121+AK122+AK123+AK124+#REF!+#REF!+#REF!</f>
        <v>#REF!</v>
      </c>
      <c r="AL131" s="160" t="e">
        <f>AL120+AL121+AL122+AL123+AL124+#REF!+#REF!+#REF!</f>
        <v>#REF!</v>
      </c>
      <c r="AM131" s="302" t="e">
        <f>AM120+AM121+AM122+AM123+AM124+#REF!+#REF!+#REF!</f>
        <v>#REF!</v>
      </c>
      <c r="AN131" s="162" t="e">
        <f>AN120+AN121+AN122+AN123+AN124+#REF!+#REF!+#REF!</f>
        <v>#REF!</v>
      </c>
      <c r="AO131" s="160" t="e">
        <f>AO120+AO121+AO122+AO123+AO124+#REF!+#REF!+#REF!</f>
        <v>#REF!</v>
      </c>
      <c r="AP131" s="302" t="e">
        <f>AP120+AP121+AP122+AP123+AP124+#REF!+#REF!+#REF!</f>
        <v>#REF!</v>
      </c>
      <c r="AQ131" s="162" t="e">
        <f>AQ120+AQ121+AQ122+AQ123+AQ124+#REF!+#REF!+#REF!</f>
        <v>#REF!</v>
      </c>
      <c r="AR131" s="160" t="e">
        <f>AR120+AR121+AR122+AR123+AR124+#REF!+#REF!+#REF!</f>
        <v>#REF!</v>
      </c>
      <c r="AS131" s="302" t="e">
        <f>AS120+AS121+AS122+AS123+AS124+#REF!+#REF!+#REF!</f>
        <v>#REF!</v>
      </c>
      <c r="AT131" s="162" t="e">
        <f>AT120+AT121+AT122+AT123+AT124+#REF!+#REF!+#REF!</f>
        <v>#REF!</v>
      </c>
      <c r="AU131" s="160" t="e">
        <f>AU120+AU121+AU122+AU123+AU124+#REF!+#REF!+#REF!</f>
        <v>#REF!</v>
      </c>
      <c r="AV131" s="302" t="e">
        <f>AV120+AV121+AV122+AV123+AV124+#REF!+#REF!+#REF!</f>
        <v>#REF!</v>
      </c>
      <c r="AW131" s="162" t="e">
        <f>AW120+AW121+AW122+AW123+AW124+#REF!+#REF!+#REF!</f>
        <v>#REF!</v>
      </c>
      <c r="AX131" s="160" t="e">
        <f>AX120+AX121+AX122+AX123+AX124+#REF!+#REF!+#REF!</f>
        <v>#REF!</v>
      </c>
      <c r="AY131" s="302" t="e">
        <f>AY120+AY121+AY122+AY123+AY124+#REF!+#REF!+#REF!</f>
        <v>#REF!</v>
      </c>
      <c r="AZ131" s="162" t="e">
        <f>AZ120+AZ121+AZ122+AZ123+AZ124+#REF!+#REF!+#REF!</f>
        <v>#REF!</v>
      </c>
      <c r="BA131" s="160" t="e">
        <f>BA120+BA121+BA122+BA123+BA124+#REF!+#REF!+#REF!</f>
        <v>#REF!</v>
      </c>
      <c r="BB131" s="302" t="e">
        <f>BB120+BB121+BB122+BB123+BB124+#REF!+#REF!+#REF!</f>
        <v>#REF!</v>
      </c>
      <c r="BC131" s="162" t="e">
        <f>BC120+BC121+BC122+BC123+BC124+#REF!+#REF!+#REF!</f>
        <v>#REF!</v>
      </c>
      <c r="BD131" s="160" t="e">
        <f>BD120+BD121+BD122+BD123+BD124+#REF!+#REF!+#REF!</f>
        <v>#REF!</v>
      </c>
      <c r="BE131" s="302" t="e">
        <f>BE120+BE121+BE122+BE123+BE124+#REF!+#REF!+#REF!</f>
        <v>#REF!</v>
      </c>
      <c r="BF131" s="162" t="e">
        <f>BF120+BF121+BF122+BF123+BF124+#REF!+#REF!+#REF!</f>
        <v>#REF!</v>
      </c>
      <c r="BG131" s="160" t="e">
        <f>BG120+BG121+BG122+BG123+BG124+#REF!+#REF!+#REF!</f>
        <v>#REF!</v>
      </c>
      <c r="BH131" s="302" t="e">
        <f>BH120+BH121+BH122+BH123+BH124+#REF!+#REF!+#REF!</f>
        <v>#REF!</v>
      </c>
      <c r="BI131" s="162" t="e">
        <f>BI120+BI121+BI122+BI123+BI124+#REF!+#REF!+#REF!</f>
        <v>#REF!</v>
      </c>
      <c r="BJ131" s="160" t="e">
        <f>BJ120+BJ121+BJ122+BJ123+BJ124+#REF!+#REF!+#REF!</f>
        <v>#REF!</v>
      </c>
      <c r="BK131" s="302" t="e">
        <f>BK120+BK121+BK122+BK123+BK124+#REF!+#REF!+#REF!</f>
        <v>#REF!</v>
      </c>
      <c r="BL131" s="162" t="e">
        <f>BL120+BL121+BL122+BL123+BL124+#REF!+#REF!+#REF!</f>
        <v>#REF!</v>
      </c>
      <c r="BM131" s="160" t="e">
        <f>BM120+BM121+BM122+BM123+BM124+#REF!+#REF!+#REF!</f>
        <v>#REF!</v>
      </c>
      <c r="BN131" s="302" t="e">
        <f>BN120+BN121+BN122+BN123+BN124+#REF!+#REF!+#REF!</f>
        <v>#REF!</v>
      </c>
      <c r="BO131" s="162" t="e">
        <f>BO120+BO121+BO122+BO123+BO124+#REF!+#REF!+#REF!</f>
        <v>#REF!</v>
      </c>
      <c r="BP131" s="160" t="e">
        <f>BP120+BP121+BP122+BP123+BP124+#REF!+#REF!+#REF!</f>
        <v>#REF!</v>
      </c>
      <c r="BQ131" s="302" t="e">
        <f>BQ120+BQ121+BQ122+BQ123+BQ124+#REF!+#REF!+#REF!</f>
        <v>#REF!</v>
      </c>
      <c r="BR131" s="162" t="e">
        <f>BR120+BR121+BR122+BR123+BR124+#REF!+#REF!+#REF!</f>
        <v>#REF!</v>
      </c>
      <c r="BS131" s="160" t="e">
        <f>BS120+BS121+BS122+BS123+BS124+#REF!+#REF!+#REF!</f>
        <v>#REF!</v>
      </c>
      <c r="BT131" s="302" t="e">
        <f>BT120+BT121+BT122+BT123+BT124+#REF!+#REF!+#REF!</f>
        <v>#REF!</v>
      </c>
      <c r="BU131" s="162" t="e">
        <f>BU120+BU121+BU122+BU123+BU124+#REF!+#REF!+#REF!</f>
        <v>#REF!</v>
      </c>
      <c r="BV131" s="160" t="e">
        <f>BV120+BV121+BV122+BV123+BV124+#REF!+#REF!+#REF!</f>
        <v>#REF!</v>
      </c>
      <c r="BW131" s="302" t="e">
        <f>BW120+BW121+BW122+BW123+BW124+#REF!+#REF!+#REF!</f>
        <v>#REF!</v>
      </c>
      <c r="BX131" s="162" t="e">
        <f>BX120+BX121+BX122+BX123+BX124+#REF!+#REF!+#REF!</f>
        <v>#REF!</v>
      </c>
      <c r="BY131" s="160" t="e">
        <f>BY120+BY121+BY122+BY123+BY124+#REF!+#REF!+#REF!</f>
        <v>#REF!</v>
      </c>
      <c r="BZ131" s="302" t="e">
        <f>BZ120+BZ121+BZ122+BZ123+BZ124+#REF!+#REF!+#REF!+BZ125+BZ126+BZ127+BZ128</f>
        <v>#REF!</v>
      </c>
      <c r="CA131" s="162" t="e">
        <f>CA120+CA121+CA122+CA123+CA124+#REF!+#REF!+#REF!+CA125+CA126+CA127+CA128</f>
        <v>#REF!</v>
      </c>
      <c r="CB131" s="160" t="e">
        <f>CB120+CB121+CB122+CB123+CB124+#REF!+#REF!+#REF!+CB125+CB126+CB127+CB128</f>
        <v>#REF!</v>
      </c>
      <c r="CC131" s="302" t="e">
        <f>CC120+CC121+CC122+CC123+CC124+#REF!+#REF!+#REF!+CC125+CC126+CC127+CC128</f>
        <v>#REF!</v>
      </c>
      <c r="CD131" s="162" t="e">
        <f>CD120+CD121+CD122+CD123+CD124+#REF!+#REF!+#REF!+CD125+CD126+CD127+CD128</f>
        <v>#REF!</v>
      </c>
      <c r="CE131" s="160" t="e">
        <f>CE120+CE121+CE122+CE123+CE124+#REF!+#REF!+#REF!+CE125+CE126+CE127+CE128</f>
        <v>#REF!</v>
      </c>
      <c r="CF131" s="302" t="e">
        <f>CF120+CF121+CF122+CF123+CF124+#REF!+#REF!+#REF!+CF125+CF126+CF127+CF128</f>
        <v>#REF!</v>
      </c>
      <c r="CG131" s="162" t="e">
        <f>CG120+CG121+CG122+CG123+CG124+#REF!+#REF!+#REF!+CG125+CG126+CG127+CG128</f>
        <v>#REF!</v>
      </c>
      <c r="CH131" s="160" t="e">
        <f>CH120+CH121+CH122+CH123+CH124+#REF!+#REF!+#REF!+CH125+CH126+CH127+CH128</f>
        <v>#REF!</v>
      </c>
      <c r="CI131" s="302" t="e">
        <f>CI120+CI121+CI122+CI123+CI124+#REF!+#REF!+#REF!+CI125+CI126+CI127+CI128</f>
        <v>#REF!</v>
      </c>
      <c r="CJ131" s="162" t="e">
        <f>CJ120+CJ121+CJ122+CJ123+CJ124+#REF!+#REF!+#REF!+CJ125+CJ126+CJ127+CJ128</f>
        <v>#REF!</v>
      </c>
      <c r="CK131" s="163" t="e">
        <f>CK120+CK121+CK122+CK123+CK124+#REF!+#REF!+#REF!+CK125+CK126+CK127+CK128</f>
        <v>#REF!</v>
      </c>
      <c r="CL131" s="358" t="e">
        <f>CL120+CL121+CL122+CL123+CL124+#REF!+#REF!+#REF!+CL125+CL126+CL127+CL128</f>
        <v>#REF!</v>
      </c>
      <c r="CM131" s="165" t="e">
        <f>CM120+CM121+CM122+CM123+CM124+#REF!+#REF!+#REF!+CM125+CM126+CM127+CM128</f>
        <v>#REF!</v>
      </c>
      <c r="CN131" s="160">
        <f t="shared" ref="CN131:DE131" si="392">CN120+CN121+CN122+CN123+CN124+CN125+CN126+CN127+CN128</f>
        <v>140.68299999999999</v>
      </c>
      <c r="CO131" s="302">
        <f t="shared" si="392"/>
        <v>224.35000000000002</v>
      </c>
      <c r="CP131" s="162">
        <f t="shared" si="392"/>
        <v>75.599999999999994</v>
      </c>
      <c r="CQ131" s="160">
        <f t="shared" si="392"/>
        <v>289.43299999999999</v>
      </c>
      <c r="CR131" s="302">
        <f t="shared" si="392"/>
        <v>172.2</v>
      </c>
      <c r="CS131" s="162">
        <f t="shared" si="392"/>
        <v>113.39999999999999</v>
      </c>
      <c r="CT131" s="163">
        <f t="shared" si="392"/>
        <v>348.233</v>
      </c>
      <c r="CU131" s="305">
        <f t="shared" si="392"/>
        <v>123.9</v>
      </c>
      <c r="CV131" s="162">
        <f t="shared" si="392"/>
        <v>242.89999999999998</v>
      </c>
      <c r="CW131" s="160">
        <f t="shared" si="392"/>
        <v>229.233</v>
      </c>
      <c r="CX131" s="166">
        <f t="shared" si="392"/>
        <v>139.54899999999998</v>
      </c>
      <c r="CY131" s="162">
        <f t="shared" si="392"/>
        <v>288.94200000000001</v>
      </c>
      <c r="CZ131" s="388">
        <f t="shared" si="392"/>
        <v>79.839999999999975</v>
      </c>
      <c r="DA131" s="166">
        <f t="shared" si="392"/>
        <v>123.9</v>
      </c>
      <c r="DB131" s="162">
        <f t="shared" si="392"/>
        <v>75.599999999999994</v>
      </c>
      <c r="DC131" s="388">
        <f t="shared" si="392"/>
        <v>128.13999999999999</v>
      </c>
      <c r="DD131" s="166">
        <f t="shared" si="392"/>
        <v>216.86</v>
      </c>
      <c r="DE131" s="162">
        <f t="shared" si="392"/>
        <v>307.01400000000001</v>
      </c>
      <c r="DF131" s="388">
        <f>DF127+DF128</f>
        <v>37.660000000000011</v>
      </c>
      <c r="DG131" s="166">
        <f>DG120+DG121+DG122+DG123+DG124+DG125+DG126+DG127+DG128</f>
        <v>267.39999999999998</v>
      </c>
      <c r="DH131" s="162">
        <f>DH120+DH121+DH122+DH123+DH124+DH125+DH126+DH127+DH128</f>
        <v>234.71</v>
      </c>
      <c r="DI131" s="388">
        <f t="shared" ref="DI131:DW131" si="393">DI127+DI128</f>
        <v>70.350000000000009</v>
      </c>
      <c r="DJ131" s="166">
        <f t="shared" si="393"/>
        <v>263.2</v>
      </c>
      <c r="DK131" s="162">
        <f t="shared" si="393"/>
        <v>273.35000000000002</v>
      </c>
      <c r="DL131" s="388">
        <f t="shared" si="393"/>
        <v>60.200000000000017</v>
      </c>
      <c r="DM131" s="166">
        <f t="shared" si="393"/>
        <v>295.05</v>
      </c>
      <c r="DN131" s="162">
        <f t="shared" si="393"/>
        <v>260.8</v>
      </c>
      <c r="DO131" s="388">
        <f t="shared" si="393"/>
        <v>94.450000000000017</v>
      </c>
      <c r="DP131" s="166">
        <f t="shared" si="393"/>
        <v>278.95</v>
      </c>
      <c r="DQ131" s="162">
        <f t="shared" si="393"/>
        <v>225.4</v>
      </c>
      <c r="DR131" s="388">
        <f t="shared" si="393"/>
        <v>148</v>
      </c>
      <c r="DS131" s="166">
        <f t="shared" si="393"/>
        <v>257.25</v>
      </c>
      <c r="DT131" s="162">
        <f t="shared" si="393"/>
        <v>389.5</v>
      </c>
      <c r="DU131" s="388">
        <f t="shared" si="393"/>
        <v>15.75</v>
      </c>
      <c r="DV131" s="166">
        <f t="shared" si="393"/>
        <v>280.7</v>
      </c>
      <c r="DW131" s="162">
        <f t="shared" si="393"/>
        <v>211.39999999999998</v>
      </c>
      <c r="DX131" s="759">
        <f>DX127+DX128+DX129+DX130</f>
        <v>85.05</v>
      </c>
      <c r="DY131" s="166">
        <f>DY127+DY128+DY129+DY130</f>
        <v>250.56</v>
      </c>
      <c r="DZ131" s="162">
        <f>DZ127+DZ128+DZ129+DZ130</f>
        <v>1.36</v>
      </c>
      <c r="EA131" s="388">
        <f t="shared" ref="EA131:EP131" si="394">EA127+EA128+EA129+EA130</f>
        <v>334.25</v>
      </c>
      <c r="EB131" s="166">
        <f t="shared" si="394"/>
        <v>-334.19000000000005</v>
      </c>
      <c r="EC131" s="162">
        <f t="shared" si="394"/>
        <v>0</v>
      </c>
      <c r="ED131" s="388">
        <f t="shared" si="394"/>
        <v>5.9999999999971576E-2</v>
      </c>
      <c r="EE131" s="166">
        <f t="shared" si="394"/>
        <v>1.46</v>
      </c>
      <c r="EF131" s="162">
        <f t="shared" si="394"/>
        <v>1.46</v>
      </c>
      <c r="EG131" s="759">
        <f t="shared" si="394"/>
        <v>5.9999999999971632E-2</v>
      </c>
      <c r="EH131" s="166">
        <f t="shared" si="394"/>
        <v>0</v>
      </c>
      <c r="EI131" s="162">
        <f t="shared" si="394"/>
        <v>0</v>
      </c>
      <c r="EJ131" s="388">
        <f t="shared" si="394"/>
        <v>5.9999999999971632E-2</v>
      </c>
      <c r="EK131" s="166">
        <f t="shared" si="394"/>
        <v>0</v>
      </c>
      <c r="EL131" s="162">
        <f t="shared" si="394"/>
        <v>0</v>
      </c>
      <c r="EM131" s="388">
        <f t="shared" si="394"/>
        <v>5.9999999999971632E-2</v>
      </c>
      <c r="EN131" s="166">
        <f t="shared" si="394"/>
        <v>0</v>
      </c>
      <c r="EO131" s="162">
        <f t="shared" si="394"/>
        <v>0</v>
      </c>
      <c r="EP131" s="759">
        <f t="shared" si="394"/>
        <v>5.9999999999971632E-2</v>
      </c>
      <c r="EQ131" s="166">
        <f t="shared" ref="EQ131:ES131" si="395">EQ127+EQ128+EQ129+EQ130</f>
        <v>65</v>
      </c>
      <c r="ER131" s="162">
        <f t="shared" si="395"/>
        <v>50.4</v>
      </c>
      <c r="ES131" s="759">
        <f t="shared" si="395"/>
        <v>14.659999999999972</v>
      </c>
      <c r="ET131" s="166">
        <f t="shared" ref="ET131:EV131" si="396">ET127+ET128+ET129+ET130</f>
        <v>0</v>
      </c>
      <c r="EU131" s="162">
        <f t="shared" si="396"/>
        <v>0</v>
      </c>
      <c r="EV131" s="759">
        <f t="shared" si="396"/>
        <v>14.659999999999972</v>
      </c>
      <c r="EW131" s="166">
        <f t="shared" ref="EW131:EY131" si="397">EW127+EW128+EW129+EW130</f>
        <v>0</v>
      </c>
      <c r="EX131" s="162">
        <f t="shared" si="397"/>
        <v>0</v>
      </c>
      <c r="EY131" s="759">
        <f t="shared" si="397"/>
        <v>14.659999999999972</v>
      </c>
    </row>
    <row r="132" spans="1:155" s="20" customFormat="1" ht="20.25" hidden="1" thickBot="1">
      <c r="A132" s="59"/>
      <c r="B132" s="60" t="s">
        <v>264</v>
      </c>
      <c r="C132" s="389">
        <v>100592486</v>
      </c>
      <c r="D132" s="390" t="s">
        <v>263</v>
      </c>
      <c r="E132" s="391"/>
      <c r="F132" s="392"/>
      <c r="G132" s="392"/>
      <c r="H132" s="391"/>
      <c r="I132" s="392"/>
      <c r="J132" s="392"/>
      <c r="K132" s="391"/>
      <c r="L132" s="392"/>
      <c r="M132" s="392"/>
      <c r="N132" s="391"/>
      <c r="O132" s="392"/>
      <c r="P132" s="392"/>
      <c r="Q132" s="391"/>
      <c r="R132" s="392"/>
      <c r="S132" s="392"/>
      <c r="T132" s="391"/>
      <c r="U132" s="392"/>
      <c r="V132" s="392"/>
      <c r="W132" s="391"/>
      <c r="X132" s="392"/>
      <c r="Y132" s="392"/>
      <c r="Z132" s="391"/>
      <c r="AA132" s="392"/>
      <c r="AB132" s="392"/>
      <c r="AC132" s="391"/>
      <c r="AD132" s="392"/>
      <c r="AE132" s="392"/>
      <c r="AF132" s="391"/>
      <c r="AG132" s="392"/>
      <c r="AH132" s="392"/>
      <c r="AI132" s="391"/>
      <c r="AJ132" s="392"/>
      <c r="AK132" s="392"/>
      <c r="AL132" s="391"/>
      <c r="AM132" s="392"/>
      <c r="AN132" s="392"/>
      <c r="AO132" s="391"/>
      <c r="AP132" s="392"/>
      <c r="AQ132" s="392"/>
      <c r="AR132" s="391"/>
      <c r="AS132" s="392"/>
      <c r="AT132" s="392"/>
      <c r="AU132" s="391"/>
      <c r="AV132" s="392"/>
      <c r="AW132" s="392"/>
      <c r="AX132" s="391"/>
      <c r="AY132" s="392"/>
      <c r="AZ132" s="392"/>
      <c r="BA132" s="391"/>
      <c r="BB132" s="392"/>
      <c r="BC132" s="392"/>
      <c r="BD132" s="391"/>
      <c r="BE132" s="392"/>
      <c r="BF132" s="392"/>
      <c r="BG132" s="391"/>
      <c r="BH132" s="392"/>
      <c r="BI132" s="392"/>
      <c r="BJ132" s="391"/>
      <c r="BK132" s="392"/>
      <c r="BL132" s="392"/>
      <c r="BM132" s="391"/>
      <c r="BN132" s="392"/>
      <c r="BO132" s="392"/>
      <c r="BP132" s="391"/>
      <c r="BQ132" s="392"/>
      <c r="BR132" s="392"/>
      <c r="BS132" s="391"/>
      <c r="BT132" s="392"/>
      <c r="BU132" s="392"/>
      <c r="BV132" s="391"/>
      <c r="BW132" s="392"/>
      <c r="BX132" s="392"/>
      <c r="BY132" s="391"/>
      <c r="BZ132" s="392"/>
      <c r="CA132" s="392"/>
      <c r="CB132" s="391"/>
      <c r="CC132" s="392"/>
      <c r="CD132" s="392"/>
      <c r="CE132" s="391"/>
      <c r="CF132" s="392"/>
      <c r="CG132" s="392"/>
      <c r="CH132" s="391"/>
      <c r="CI132" s="392"/>
      <c r="CJ132" s="392"/>
      <c r="CK132" s="392"/>
      <c r="CL132" s="393"/>
      <c r="CM132" s="394"/>
      <c r="CN132" s="391">
        <v>0</v>
      </c>
      <c r="CO132" s="392"/>
      <c r="CP132" s="392"/>
      <c r="CQ132" s="391"/>
      <c r="CR132" s="392"/>
      <c r="CS132" s="392"/>
      <c r="CT132" s="392"/>
      <c r="CU132" s="395"/>
      <c r="CV132" s="392"/>
      <c r="CW132" s="391">
        <v>0</v>
      </c>
      <c r="CX132" s="392">
        <v>0</v>
      </c>
      <c r="CY132" s="216">
        <v>0</v>
      </c>
      <c r="CZ132" s="391">
        <f>(CW132+CX132)-(CY132)</f>
        <v>0</v>
      </c>
      <c r="DA132" s="392">
        <v>0</v>
      </c>
      <c r="DB132" s="216">
        <v>0</v>
      </c>
      <c r="DC132" s="391">
        <f>(CZ132+DA132)-(DB132)</f>
        <v>0</v>
      </c>
      <c r="DD132" s="392">
        <v>36.549999999999997</v>
      </c>
      <c r="DE132" s="216">
        <v>12.904999999999999</v>
      </c>
      <c r="DF132" s="391">
        <f>(DC132+DD132)-(DE132)</f>
        <v>23.644999999999996</v>
      </c>
      <c r="DG132" s="392">
        <v>16.010000000000002</v>
      </c>
      <c r="DH132" s="216">
        <v>27.437000000000001</v>
      </c>
      <c r="DI132" s="391">
        <f>(DF132+DG132)-(DH132)</f>
        <v>12.218</v>
      </c>
      <c r="DJ132" s="392">
        <v>7.9669999999999996</v>
      </c>
      <c r="DK132" s="216">
        <v>11.018000000000001</v>
      </c>
      <c r="DL132" s="391">
        <v>3.6989999999999998</v>
      </c>
      <c r="DM132" s="392">
        <v>0</v>
      </c>
      <c r="DN132" s="216">
        <v>6.0999999999999999E-2</v>
      </c>
      <c r="DO132" s="391">
        <f>(DL132+DM132)-(DN132)</f>
        <v>3.6379999999999999</v>
      </c>
      <c r="DP132" s="396">
        <v>0</v>
      </c>
      <c r="DQ132" s="361">
        <v>0</v>
      </c>
      <c r="DR132" s="397">
        <f>(DO132+DP132)-(DQ132)</f>
        <v>3.6379999999999999</v>
      </c>
      <c r="DS132" s="396">
        <v>-3.6379999999999999</v>
      </c>
      <c r="DT132" s="361">
        <v>0</v>
      </c>
      <c r="DU132" s="397">
        <f>(DR132+DS132)-(DT132)</f>
        <v>0</v>
      </c>
      <c r="DV132" s="396">
        <v>0</v>
      </c>
      <c r="DW132" s="361">
        <v>0</v>
      </c>
      <c r="DX132" s="760">
        <f>(DU132+DV132)-(DW132)</f>
        <v>0</v>
      </c>
      <c r="DY132" s="396">
        <v>0</v>
      </c>
      <c r="DZ132" s="361">
        <v>0</v>
      </c>
      <c r="EA132" s="397">
        <f>(DX132+DY132)-(DZ132)</f>
        <v>0</v>
      </c>
      <c r="EB132" s="396">
        <v>0</v>
      </c>
      <c r="EC132" s="361">
        <v>0</v>
      </c>
      <c r="ED132" s="397">
        <f>(EA132+EB132)-(EC132)</f>
        <v>0</v>
      </c>
      <c r="EE132" s="396">
        <v>0</v>
      </c>
      <c r="EF132" s="361">
        <v>0</v>
      </c>
      <c r="EG132" s="760">
        <f>(ED132+EE132)-(EF132)</f>
        <v>0</v>
      </c>
      <c r="EH132" s="396">
        <v>0</v>
      </c>
      <c r="EI132" s="361">
        <v>0</v>
      </c>
      <c r="EJ132" s="397">
        <f>(EG132+EH132)-(EI132)</f>
        <v>0</v>
      </c>
      <c r="EK132" s="396">
        <v>0</v>
      </c>
      <c r="EL132" s="361">
        <v>0</v>
      </c>
      <c r="EM132" s="397">
        <f>(EJ132+EK132)-(EL132)</f>
        <v>0</v>
      </c>
      <c r="EN132" s="396">
        <v>0</v>
      </c>
      <c r="EO132" s="361">
        <v>0</v>
      </c>
      <c r="EP132" s="760">
        <f>(EM132+EN132)-(EO132)</f>
        <v>0</v>
      </c>
      <c r="EQ132" s="396">
        <v>0</v>
      </c>
      <c r="ER132" s="361">
        <v>0</v>
      </c>
      <c r="ES132" s="760">
        <f>(EP132+EQ132)-(ER132)</f>
        <v>0</v>
      </c>
      <c r="ET132" s="396">
        <v>0</v>
      </c>
      <c r="EU132" s="361">
        <v>0</v>
      </c>
      <c r="EV132" s="760">
        <f>(ES132+ET132)-(EU132)</f>
        <v>0</v>
      </c>
      <c r="EW132" s="396">
        <v>0</v>
      </c>
      <c r="EX132" s="361">
        <v>0</v>
      </c>
      <c r="EY132" s="760">
        <f>(EV132+EW132)-(EX132)</f>
        <v>0</v>
      </c>
    </row>
    <row r="133" spans="1:155" s="20" customFormat="1" ht="20.25" hidden="1" collapsed="1" thickBot="1">
      <c r="A133" s="59"/>
      <c r="B133" s="60"/>
      <c r="C133" s="398">
        <v>100592490</v>
      </c>
      <c r="D133" s="399" t="s">
        <v>262</v>
      </c>
      <c r="E133" s="400"/>
      <c r="F133" s="401"/>
      <c r="G133" s="401"/>
      <c r="H133" s="400"/>
      <c r="I133" s="401"/>
      <c r="J133" s="401"/>
      <c r="K133" s="400"/>
      <c r="L133" s="401"/>
      <c r="M133" s="401"/>
      <c r="N133" s="400"/>
      <c r="O133" s="401"/>
      <c r="P133" s="401"/>
      <c r="Q133" s="400"/>
      <c r="R133" s="401"/>
      <c r="S133" s="401"/>
      <c r="T133" s="400"/>
      <c r="U133" s="401"/>
      <c r="V133" s="401"/>
      <c r="W133" s="400"/>
      <c r="X133" s="401"/>
      <c r="Y133" s="401"/>
      <c r="Z133" s="400"/>
      <c r="AA133" s="401"/>
      <c r="AB133" s="401"/>
      <c r="AC133" s="400"/>
      <c r="AD133" s="401"/>
      <c r="AE133" s="401"/>
      <c r="AF133" s="400"/>
      <c r="AG133" s="401"/>
      <c r="AH133" s="401"/>
      <c r="AI133" s="400"/>
      <c r="AJ133" s="401"/>
      <c r="AK133" s="401"/>
      <c r="AL133" s="400"/>
      <c r="AM133" s="401"/>
      <c r="AN133" s="401"/>
      <c r="AO133" s="400"/>
      <c r="AP133" s="401"/>
      <c r="AQ133" s="401"/>
      <c r="AR133" s="400"/>
      <c r="AS133" s="401"/>
      <c r="AT133" s="401"/>
      <c r="AU133" s="400"/>
      <c r="AV133" s="401"/>
      <c r="AW133" s="401"/>
      <c r="AX133" s="400"/>
      <c r="AY133" s="401"/>
      <c r="AZ133" s="401"/>
      <c r="BA133" s="400"/>
      <c r="BB133" s="401"/>
      <c r="BC133" s="401"/>
      <c r="BD133" s="400"/>
      <c r="BE133" s="401"/>
      <c r="BF133" s="401"/>
      <c r="BG133" s="400"/>
      <c r="BH133" s="401"/>
      <c r="BI133" s="401"/>
      <c r="BJ133" s="400"/>
      <c r="BK133" s="401"/>
      <c r="BL133" s="401"/>
      <c r="BM133" s="400"/>
      <c r="BN133" s="401"/>
      <c r="BO133" s="401"/>
      <c r="BP133" s="400"/>
      <c r="BQ133" s="401"/>
      <c r="BR133" s="401"/>
      <c r="BS133" s="400"/>
      <c r="BT133" s="401"/>
      <c r="BU133" s="401"/>
      <c r="BV133" s="400"/>
      <c r="BW133" s="401"/>
      <c r="BX133" s="401"/>
      <c r="BY133" s="400"/>
      <c r="BZ133" s="401"/>
      <c r="CA133" s="401"/>
      <c r="CB133" s="400"/>
      <c r="CC133" s="401"/>
      <c r="CD133" s="401"/>
      <c r="CE133" s="400"/>
      <c r="CF133" s="401"/>
      <c r="CG133" s="401"/>
      <c r="CH133" s="400"/>
      <c r="CI133" s="401"/>
      <c r="CJ133" s="401"/>
      <c r="CK133" s="401"/>
      <c r="CL133" s="402"/>
      <c r="CM133" s="403"/>
      <c r="CN133" s="400">
        <v>0</v>
      </c>
      <c r="CO133" s="401"/>
      <c r="CP133" s="401"/>
      <c r="CQ133" s="400"/>
      <c r="CR133" s="401"/>
      <c r="CS133" s="401"/>
      <c r="CT133" s="401"/>
      <c r="CU133" s="404"/>
      <c r="CV133" s="401"/>
      <c r="CW133" s="400">
        <v>0</v>
      </c>
      <c r="CX133" s="401">
        <v>0</v>
      </c>
      <c r="CY133" s="88">
        <v>0</v>
      </c>
      <c r="CZ133" s="400">
        <f>(CW133+CX133)-(CY133)</f>
        <v>0</v>
      </c>
      <c r="DA133" s="401">
        <v>0</v>
      </c>
      <c r="DB133" s="88">
        <v>0</v>
      </c>
      <c r="DC133" s="400">
        <f>(CZ133+DA133)-(DB133)</f>
        <v>0</v>
      </c>
      <c r="DD133" s="401">
        <v>1.84</v>
      </c>
      <c r="DE133" s="88">
        <v>1.84</v>
      </c>
      <c r="DF133" s="400">
        <f>(DC133+DD133)-(DE133)</f>
        <v>0</v>
      </c>
      <c r="DG133" s="401">
        <v>19.187000000000001</v>
      </c>
      <c r="DH133" s="88">
        <v>11.515000000000001</v>
      </c>
      <c r="DI133" s="400">
        <f>(DF133+DG133)-(DH133)</f>
        <v>7.6720000000000006</v>
      </c>
      <c r="DJ133" s="401">
        <v>0.1</v>
      </c>
      <c r="DK133" s="88">
        <v>7.798</v>
      </c>
      <c r="DL133" s="400">
        <f>(DI133+DJ133)-(DK133)</f>
        <v>-2.5999999999999801E-2</v>
      </c>
      <c r="DM133" s="401">
        <v>0</v>
      </c>
      <c r="DN133" s="88">
        <v>0</v>
      </c>
      <c r="DO133" s="400">
        <f>(DL133+DM133)-(DN133)</f>
        <v>-2.5999999999999801E-2</v>
      </c>
      <c r="DP133" s="405">
        <v>0</v>
      </c>
      <c r="DQ133" s="95">
        <v>0</v>
      </c>
      <c r="DR133" s="720">
        <f>(DO133+DP133)-(DQ133)</f>
        <v>-2.5999999999999801E-2</v>
      </c>
      <c r="DS133" s="405">
        <v>0</v>
      </c>
      <c r="DT133" s="95">
        <v>0</v>
      </c>
      <c r="DU133" s="720">
        <f>(DR133+DS133)-(DT133)</f>
        <v>-2.5999999999999801E-2</v>
      </c>
      <c r="DV133" s="405">
        <v>0</v>
      </c>
      <c r="DW133" s="95">
        <v>0</v>
      </c>
      <c r="DX133" s="761">
        <f>(DU133+DV133)-(DW133)</f>
        <v>-2.5999999999999801E-2</v>
      </c>
      <c r="DY133" s="405">
        <v>0</v>
      </c>
      <c r="DZ133" s="95">
        <v>0</v>
      </c>
      <c r="EA133" s="720">
        <f>(DX133+DY133)-(DZ133)</f>
        <v>-2.5999999999999801E-2</v>
      </c>
      <c r="EB133" s="405">
        <v>0</v>
      </c>
      <c r="EC133" s="95">
        <v>0</v>
      </c>
      <c r="ED133" s="720">
        <f>(EA133+EB133)-(EC133)</f>
        <v>-2.5999999999999801E-2</v>
      </c>
      <c r="EE133" s="405">
        <v>0</v>
      </c>
      <c r="EF133" s="95">
        <v>0</v>
      </c>
      <c r="EG133" s="761">
        <f>(ED133+EE133)-(EF133)</f>
        <v>-2.5999999999999801E-2</v>
      </c>
      <c r="EH133" s="405">
        <v>0</v>
      </c>
      <c r="EI133" s="95">
        <v>0</v>
      </c>
      <c r="EJ133" s="720">
        <f>(EG133+EH133)-(EI133)</f>
        <v>-2.5999999999999801E-2</v>
      </c>
      <c r="EK133" s="405">
        <v>0</v>
      </c>
      <c r="EL133" s="95">
        <v>0</v>
      </c>
      <c r="EM133" s="720">
        <f>(EJ133+EK133)-(EL133)</f>
        <v>-2.5999999999999801E-2</v>
      </c>
      <c r="EN133" s="405">
        <v>0</v>
      </c>
      <c r="EO133" s="95">
        <v>0</v>
      </c>
      <c r="EP133" s="761">
        <f>(EM133+EN133)-(EO133)</f>
        <v>-2.5999999999999801E-2</v>
      </c>
      <c r="EQ133" s="405">
        <v>0</v>
      </c>
      <c r="ER133" s="95">
        <v>0</v>
      </c>
      <c r="ES133" s="761">
        <f>(EP133+EQ133)-(ER133)</f>
        <v>-2.5999999999999801E-2</v>
      </c>
      <c r="ET133" s="405">
        <v>0</v>
      </c>
      <c r="EU133" s="95">
        <v>0</v>
      </c>
      <c r="EV133" s="761">
        <f>(ES133+ET133)-(EU133)</f>
        <v>-2.5999999999999801E-2</v>
      </c>
      <c r="EW133" s="405">
        <v>0</v>
      </c>
      <c r="EX133" s="95">
        <v>0</v>
      </c>
      <c r="EY133" s="761">
        <f>(EV133+EW133)-(EX133)</f>
        <v>-2.5999999999999801E-2</v>
      </c>
    </row>
    <row r="134" spans="1:155" s="20" customFormat="1" ht="20.25" hidden="1" collapsed="1" thickBot="1">
      <c r="A134" s="59"/>
      <c r="B134" s="60"/>
      <c r="C134" s="387"/>
      <c r="D134" s="357" t="s">
        <v>399</v>
      </c>
      <c r="E134" s="160"/>
      <c r="F134" s="302"/>
      <c r="G134" s="162"/>
      <c r="H134" s="160"/>
      <c r="I134" s="302"/>
      <c r="J134" s="162"/>
      <c r="K134" s="160"/>
      <c r="L134" s="302"/>
      <c r="M134" s="162"/>
      <c r="N134" s="160"/>
      <c r="O134" s="302"/>
      <c r="P134" s="162"/>
      <c r="Q134" s="160"/>
      <c r="R134" s="302"/>
      <c r="S134" s="162"/>
      <c r="T134" s="160"/>
      <c r="U134" s="302"/>
      <c r="V134" s="162"/>
      <c r="W134" s="160"/>
      <c r="X134" s="302"/>
      <c r="Y134" s="162"/>
      <c r="Z134" s="160"/>
      <c r="AA134" s="302"/>
      <c r="AB134" s="162"/>
      <c r="AC134" s="160"/>
      <c r="AD134" s="302"/>
      <c r="AE134" s="162"/>
      <c r="AF134" s="160"/>
      <c r="AG134" s="302"/>
      <c r="AH134" s="162"/>
      <c r="AI134" s="160"/>
      <c r="AJ134" s="302"/>
      <c r="AK134" s="162"/>
      <c r="AL134" s="160"/>
      <c r="AM134" s="302"/>
      <c r="AN134" s="162"/>
      <c r="AO134" s="160"/>
      <c r="AP134" s="302"/>
      <c r="AQ134" s="162"/>
      <c r="AR134" s="160"/>
      <c r="AS134" s="302"/>
      <c r="AT134" s="162"/>
      <c r="AU134" s="160"/>
      <c r="AV134" s="302"/>
      <c r="AW134" s="162"/>
      <c r="AX134" s="160"/>
      <c r="AY134" s="302"/>
      <c r="AZ134" s="162"/>
      <c r="BA134" s="160"/>
      <c r="BB134" s="302"/>
      <c r="BC134" s="162"/>
      <c r="BD134" s="160"/>
      <c r="BE134" s="302"/>
      <c r="BF134" s="162"/>
      <c r="BG134" s="160"/>
      <c r="BH134" s="302"/>
      <c r="BI134" s="162"/>
      <c r="BJ134" s="160"/>
      <c r="BK134" s="302"/>
      <c r="BL134" s="162"/>
      <c r="BM134" s="160"/>
      <c r="BN134" s="302"/>
      <c r="BO134" s="162"/>
      <c r="BP134" s="160"/>
      <c r="BQ134" s="302"/>
      <c r="BR134" s="162"/>
      <c r="BS134" s="160"/>
      <c r="BT134" s="302"/>
      <c r="BU134" s="162"/>
      <c r="BV134" s="160"/>
      <c r="BW134" s="302"/>
      <c r="BX134" s="162"/>
      <c r="BY134" s="160"/>
      <c r="BZ134" s="302"/>
      <c r="CA134" s="162"/>
      <c r="CB134" s="160"/>
      <c r="CC134" s="302"/>
      <c r="CD134" s="162"/>
      <c r="CE134" s="160"/>
      <c r="CF134" s="302"/>
      <c r="CG134" s="162"/>
      <c r="CH134" s="160"/>
      <c r="CI134" s="302"/>
      <c r="CJ134" s="162"/>
      <c r="CK134" s="163"/>
      <c r="CL134" s="358"/>
      <c r="CM134" s="165"/>
      <c r="CN134" s="160">
        <f>CN132+CN133</f>
        <v>0</v>
      </c>
      <c r="CO134" s="302"/>
      <c r="CP134" s="162"/>
      <c r="CQ134" s="160"/>
      <c r="CR134" s="302"/>
      <c r="CS134" s="162"/>
      <c r="CT134" s="163"/>
      <c r="CU134" s="305"/>
      <c r="CV134" s="162"/>
      <c r="CW134" s="160">
        <f t="shared" ref="CW134:EG134" si="398">CW132+CW133</f>
        <v>0</v>
      </c>
      <c r="CX134" s="166">
        <f t="shared" si="398"/>
        <v>0</v>
      </c>
      <c r="CY134" s="162">
        <f t="shared" si="398"/>
        <v>0</v>
      </c>
      <c r="CZ134" s="388">
        <f t="shared" si="398"/>
        <v>0</v>
      </c>
      <c r="DA134" s="166">
        <f t="shared" si="398"/>
        <v>0</v>
      </c>
      <c r="DB134" s="162">
        <f t="shared" si="398"/>
        <v>0</v>
      </c>
      <c r="DC134" s="388">
        <f t="shared" si="398"/>
        <v>0</v>
      </c>
      <c r="DD134" s="166">
        <f t="shared" si="398"/>
        <v>38.39</v>
      </c>
      <c r="DE134" s="162">
        <f t="shared" si="398"/>
        <v>14.744999999999999</v>
      </c>
      <c r="DF134" s="388">
        <f t="shared" si="398"/>
        <v>23.644999999999996</v>
      </c>
      <c r="DG134" s="166">
        <f t="shared" si="398"/>
        <v>35.197000000000003</v>
      </c>
      <c r="DH134" s="162">
        <f t="shared" si="398"/>
        <v>38.951999999999998</v>
      </c>
      <c r="DI134" s="388">
        <f t="shared" si="398"/>
        <v>19.89</v>
      </c>
      <c r="DJ134" s="166">
        <f t="shared" si="398"/>
        <v>8.0670000000000002</v>
      </c>
      <c r="DK134" s="162">
        <f t="shared" si="398"/>
        <v>18.816000000000003</v>
      </c>
      <c r="DL134" s="388">
        <f t="shared" si="398"/>
        <v>3.673</v>
      </c>
      <c r="DM134" s="166">
        <f t="shared" si="398"/>
        <v>0</v>
      </c>
      <c r="DN134" s="162">
        <f t="shared" si="398"/>
        <v>6.0999999999999999E-2</v>
      </c>
      <c r="DO134" s="388">
        <f t="shared" si="398"/>
        <v>3.6120000000000001</v>
      </c>
      <c r="DP134" s="166">
        <f t="shared" si="398"/>
        <v>0</v>
      </c>
      <c r="DQ134" s="162">
        <f t="shared" si="398"/>
        <v>0</v>
      </c>
      <c r="DR134" s="388">
        <f t="shared" si="398"/>
        <v>3.6120000000000001</v>
      </c>
      <c r="DS134" s="166">
        <f t="shared" si="398"/>
        <v>-3.6379999999999999</v>
      </c>
      <c r="DT134" s="162">
        <f t="shared" si="398"/>
        <v>0</v>
      </c>
      <c r="DU134" s="388">
        <f t="shared" si="398"/>
        <v>-2.5999999999999801E-2</v>
      </c>
      <c r="DV134" s="166">
        <f t="shared" si="398"/>
        <v>0</v>
      </c>
      <c r="DW134" s="162">
        <f t="shared" si="398"/>
        <v>0</v>
      </c>
      <c r="DX134" s="759">
        <f t="shared" si="398"/>
        <v>-2.5999999999999801E-2</v>
      </c>
      <c r="DY134" s="166">
        <f t="shared" si="398"/>
        <v>0</v>
      </c>
      <c r="DZ134" s="162">
        <f t="shared" si="398"/>
        <v>0</v>
      </c>
      <c r="EA134" s="388">
        <f t="shared" si="398"/>
        <v>-2.5999999999999801E-2</v>
      </c>
      <c r="EB134" s="166">
        <f t="shared" si="398"/>
        <v>0</v>
      </c>
      <c r="EC134" s="162">
        <f t="shared" si="398"/>
        <v>0</v>
      </c>
      <c r="ED134" s="388">
        <f t="shared" si="398"/>
        <v>-2.5999999999999801E-2</v>
      </c>
      <c r="EE134" s="166">
        <f t="shared" si="398"/>
        <v>0</v>
      </c>
      <c r="EF134" s="162">
        <f t="shared" si="398"/>
        <v>0</v>
      </c>
      <c r="EG134" s="759">
        <f t="shared" si="398"/>
        <v>-2.5999999999999801E-2</v>
      </c>
      <c r="EH134" s="166">
        <f t="shared" ref="EH134:EJ134" si="399">EH132+EH133</f>
        <v>0</v>
      </c>
      <c r="EI134" s="162">
        <f t="shared" si="399"/>
        <v>0</v>
      </c>
      <c r="EJ134" s="388">
        <f t="shared" si="399"/>
        <v>-2.5999999999999801E-2</v>
      </c>
      <c r="EK134" s="166">
        <f t="shared" ref="EK134:EM134" si="400">EK132+EK133</f>
        <v>0</v>
      </c>
      <c r="EL134" s="162">
        <f t="shared" si="400"/>
        <v>0</v>
      </c>
      <c r="EM134" s="388">
        <f t="shared" si="400"/>
        <v>-2.5999999999999801E-2</v>
      </c>
      <c r="EN134" s="166">
        <f t="shared" ref="EN134:EP134" si="401">EN132+EN133</f>
        <v>0</v>
      </c>
      <c r="EO134" s="162">
        <f t="shared" si="401"/>
        <v>0</v>
      </c>
      <c r="EP134" s="759">
        <f t="shared" si="401"/>
        <v>-2.5999999999999801E-2</v>
      </c>
      <c r="EQ134" s="166">
        <f t="shared" ref="EQ134:ES134" si="402">EQ132+EQ133</f>
        <v>0</v>
      </c>
      <c r="ER134" s="162">
        <f t="shared" si="402"/>
        <v>0</v>
      </c>
      <c r="ES134" s="759">
        <f t="shared" si="402"/>
        <v>-2.5999999999999801E-2</v>
      </c>
      <c r="ET134" s="166">
        <f t="shared" ref="ET134:EV134" si="403">ET132+ET133</f>
        <v>0</v>
      </c>
      <c r="EU134" s="162">
        <f t="shared" si="403"/>
        <v>0</v>
      </c>
      <c r="EV134" s="759">
        <f t="shared" si="403"/>
        <v>-2.5999999999999801E-2</v>
      </c>
      <c r="EW134" s="166">
        <f t="shared" ref="EW134:EY134" si="404">EW132+EW133</f>
        <v>0</v>
      </c>
      <c r="EX134" s="162">
        <f t="shared" si="404"/>
        <v>0</v>
      </c>
      <c r="EY134" s="759">
        <f t="shared" si="404"/>
        <v>-2.5999999999999801E-2</v>
      </c>
    </row>
    <row r="135" spans="1:155" ht="33">
      <c r="A135" s="201">
        <v>7</v>
      </c>
      <c r="B135" s="175" t="s">
        <v>137</v>
      </c>
      <c r="C135" s="111">
        <v>100542721</v>
      </c>
      <c r="D135" s="406" t="s">
        <v>400</v>
      </c>
      <c r="E135" s="187">
        <v>44.000000000000099</v>
      </c>
      <c r="F135" s="64">
        <v>0</v>
      </c>
      <c r="G135" s="65">
        <v>19.36</v>
      </c>
      <c r="H135" s="187">
        <f>(E135+F135)-(G135)</f>
        <v>24.6400000000001</v>
      </c>
      <c r="I135" s="64">
        <v>0</v>
      </c>
      <c r="J135" s="65">
        <v>7.92</v>
      </c>
      <c r="K135" s="187">
        <f>(H135+I135)-(J135)</f>
        <v>16.720000000000098</v>
      </c>
      <c r="L135" s="64">
        <v>0</v>
      </c>
      <c r="M135" s="65">
        <v>3.52</v>
      </c>
      <c r="N135" s="187">
        <f>(K135+L135)-(M135)</f>
        <v>13.200000000000099</v>
      </c>
      <c r="O135" s="64">
        <v>0</v>
      </c>
      <c r="P135" s="65">
        <v>7.04</v>
      </c>
      <c r="Q135" s="187">
        <f>(N135+O135)-(P135)</f>
        <v>6.1600000000000987</v>
      </c>
      <c r="R135" s="64">
        <v>0</v>
      </c>
      <c r="S135" s="65">
        <v>0.88</v>
      </c>
      <c r="T135" s="187">
        <f>(Q135+R135)-(S135)</f>
        <v>5.2800000000000988</v>
      </c>
      <c r="U135" s="64">
        <v>9.0640000000000001</v>
      </c>
      <c r="V135" s="65">
        <v>3.52</v>
      </c>
      <c r="W135" s="187">
        <f>(T135+U135)-(V135)</f>
        <v>10.824000000000099</v>
      </c>
      <c r="X135" s="64">
        <v>0</v>
      </c>
      <c r="Y135" s="65">
        <v>2.64</v>
      </c>
      <c r="Z135" s="187">
        <f>(W135+X135)-(Y135)</f>
        <v>8.1840000000000988</v>
      </c>
      <c r="AA135" s="64">
        <v>0</v>
      </c>
      <c r="AB135" s="65">
        <v>6.16</v>
      </c>
      <c r="AC135" s="187">
        <f>(Z135+AA135)-(AB135)</f>
        <v>2.0240000000000986</v>
      </c>
      <c r="AD135" s="64">
        <v>7.524</v>
      </c>
      <c r="AE135" s="65">
        <v>1.76</v>
      </c>
      <c r="AF135" s="187">
        <f>(AC135+AD135)-(AE135)</f>
        <v>7.788000000000098</v>
      </c>
      <c r="AG135" s="64">
        <v>0</v>
      </c>
      <c r="AH135" s="65">
        <v>1.76</v>
      </c>
      <c r="AI135" s="187">
        <f>(AF135+AG135)-(AH135)</f>
        <v>6.0280000000000982</v>
      </c>
      <c r="AJ135" s="64">
        <v>0</v>
      </c>
      <c r="AK135" s="65">
        <v>6.04</v>
      </c>
      <c r="AL135" s="187">
        <f>(AI135+AJ135)-(AK135)</f>
        <v>-1.1999999999901867E-2</v>
      </c>
      <c r="AM135" s="64">
        <v>0</v>
      </c>
      <c r="AN135" s="65">
        <v>0</v>
      </c>
      <c r="AO135" s="187">
        <f>(AL135+AM135)-(AN135)</f>
        <v>-1.1999999999901867E-2</v>
      </c>
      <c r="AP135" s="64">
        <v>0</v>
      </c>
      <c r="AQ135" s="65">
        <v>0</v>
      </c>
      <c r="AR135" s="187">
        <f>(AO135+AP135)-(AQ135)</f>
        <v>-1.1999999999901867E-2</v>
      </c>
      <c r="AS135" s="64">
        <v>16.047999999999998</v>
      </c>
      <c r="AT135" s="65">
        <v>8.8000000000000007</v>
      </c>
      <c r="AU135" s="187">
        <f>(AR135+AS135)-(AT135)</f>
        <v>7.2360000000000966</v>
      </c>
      <c r="AV135" s="64">
        <v>0</v>
      </c>
      <c r="AW135" s="65">
        <v>0</v>
      </c>
      <c r="AX135" s="187">
        <f>(AU135+AV135)-(AW135)</f>
        <v>7.2360000000000966</v>
      </c>
      <c r="AY135" s="64">
        <v>0</v>
      </c>
      <c r="AZ135" s="65">
        <v>0</v>
      </c>
      <c r="BA135" s="187">
        <f>(AX135+AY135)-(AZ135)</f>
        <v>7.2360000000000966</v>
      </c>
      <c r="BB135" s="64">
        <v>0</v>
      </c>
      <c r="BC135" s="65">
        <v>0</v>
      </c>
      <c r="BD135" s="187">
        <v>7.2480000000000002</v>
      </c>
      <c r="BE135" s="64">
        <v>0</v>
      </c>
      <c r="BF135" s="65">
        <v>6.16</v>
      </c>
      <c r="BG135" s="187">
        <f>(BD135+BE135)-(BF135)</f>
        <v>1.0880000000000001</v>
      </c>
      <c r="BH135" s="64">
        <v>0</v>
      </c>
      <c r="BI135" s="65">
        <v>1.0880000000000001</v>
      </c>
      <c r="BJ135" s="187">
        <f>(BG135+BH135)-(BI135)</f>
        <v>0</v>
      </c>
      <c r="BK135" s="340">
        <v>5.5</v>
      </c>
      <c r="BL135" s="65">
        <v>0.88</v>
      </c>
      <c r="BM135" s="187">
        <f>(BJ135+BK135)-(BL135)</f>
        <v>4.62</v>
      </c>
      <c r="BN135" s="340">
        <f>1.54+1.553+0.3</f>
        <v>3.3929999999999998</v>
      </c>
      <c r="BO135" s="65">
        <v>0.88</v>
      </c>
      <c r="BP135" s="187">
        <v>7.133</v>
      </c>
      <c r="BQ135" s="64">
        <v>0</v>
      </c>
      <c r="BR135" s="65">
        <v>4.4000000000000004</v>
      </c>
      <c r="BS135" s="187">
        <f>(BP135+BQ135)-(BR135)</f>
        <v>2.7329999999999997</v>
      </c>
      <c r="BT135" s="64">
        <v>0</v>
      </c>
      <c r="BU135" s="65">
        <v>0</v>
      </c>
      <c r="BV135" s="187">
        <f>(BS135+BT135)-(BU135)</f>
        <v>2.7329999999999997</v>
      </c>
      <c r="BW135" s="64">
        <v>0</v>
      </c>
      <c r="BX135" s="65">
        <v>0</v>
      </c>
      <c r="BY135" s="187">
        <f>(BV135+BW135)-(BX135)</f>
        <v>2.7329999999999997</v>
      </c>
      <c r="BZ135" s="64">
        <v>0</v>
      </c>
      <c r="CA135" s="65">
        <v>0</v>
      </c>
      <c r="CB135" s="187">
        <f>(BY135+BZ135)-(CA135)</f>
        <v>2.7329999999999997</v>
      </c>
      <c r="CC135" s="64">
        <v>0</v>
      </c>
      <c r="CD135" s="65">
        <v>1.76</v>
      </c>
      <c r="CE135" s="187">
        <f>(CB135+CC135)-(CD135)</f>
        <v>0.97299999999999964</v>
      </c>
      <c r="CF135" s="64">
        <v>0</v>
      </c>
      <c r="CG135" s="64">
        <v>0</v>
      </c>
      <c r="CH135" s="187">
        <f>(CE135+CF135)-(CG135)</f>
        <v>0.97299999999999964</v>
      </c>
      <c r="CI135" s="64">
        <v>2.64</v>
      </c>
      <c r="CJ135" s="64">
        <v>1.76</v>
      </c>
      <c r="CK135" s="220">
        <f>(CH135+CI135)-(CJ135)</f>
        <v>1.8529999999999995</v>
      </c>
      <c r="CL135" s="70">
        <v>1</v>
      </c>
      <c r="CM135" s="221">
        <v>0</v>
      </c>
      <c r="CN135" s="187">
        <f>(CK135+CL135)-(CM135)</f>
        <v>2.8529999999999998</v>
      </c>
      <c r="CO135" s="64">
        <v>0</v>
      </c>
      <c r="CP135" s="64">
        <v>0</v>
      </c>
      <c r="CQ135" s="187">
        <f>(CN135+CO135)-(CP135)</f>
        <v>2.8529999999999998</v>
      </c>
      <c r="CR135" s="64">
        <v>0</v>
      </c>
      <c r="CS135" s="64">
        <v>0</v>
      </c>
      <c r="CT135" s="220">
        <f>(CQ135+CR135)-(CS135)</f>
        <v>2.8529999999999998</v>
      </c>
      <c r="CU135" s="81">
        <v>1.056</v>
      </c>
      <c r="CV135" s="64">
        <v>0.88</v>
      </c>
      <c r="CW135" s="187">
        <f>(CT135+CU135)-(CV135)</f>
        <v>3.0289999999999999</v>
      </c>
      <c r="CX135" s="64">
        <v>0</v>
      </c>
      <c r="CY135" s="64">
        <v>0</v>
      </c>
      <c r="CZ135" s="187">
        <v>17.423999999999999</v>
      </c>
      <c r="DA135" s="64">
        <v>7.3639999999999999</v>
      </c>
      <c r="DB135" s="64">
        <v>24.788</v>
      </c>
      <c r="DC135" s="187">
        <f t="shared" ref="DC135:DC141" si="405">(CZ135+DA135)-(DB135)</f>
        <v>0</v>
      </c>
      <c r="DD135" s="64">
        <v>37.619999999999997</v>
      </c>
      <c r="DE135" s="64">
        <v>28.512</v>
      </c>
      <c r="DF135" s="187">
        <f>(DC135+DD135)-(DE135)</f>
        <v>9.107999999999997</v>
      </c>
      <c r="DG135" s="64">
        <v>54.252000000000002</v>
      </c>
      <c r="DH135" s="64">
        <v>57.024000000000001</v>
      </c>
      <c r="DI135" s="187">
        <f t="shared" ref="DI135:DI141" si="406">(DF135+DG135)-(DH135)</f>
        <v>6.3359999999999985</v>
      </c>
      <c r="DJ135" s="64">
        <v>49.896000000000001</v>
      </c>
      <c r="DK135" s="64">
        <v>28.512</v>
      </c>
      <c r="DL135" s="187">
        <f t="shared" ref="DL135:DL152" si="407">(DI135+DJ135)-(DK135)</f>
        <v>27.72</v>
      </c>
      <c r="DM135" s="64">
        <v>91.543999999999997</v>
      </c>
      <c r="DN135" s="64">
        <v>98.603999999999999</v>
      </c>
      <c r="DO135" s="187">
        <f t="shared" ref="DO135:DO152" si="408">(DL135+DM135)-(DN135)</f>
        <v>20.659999999999997</v>
      </c>
      <c r="DP135" s="64">
        <v>101.18899999999999</v>
      </c>
      <c r="DQ135" s="64">
        <v>42.768000000000001</v>
      </c>
      <c r="DR135" s="187">
        <f t="shared" ref="DR135:DR152" si="409">(DO135+DP135)-(DQ135)</f>
        <v>79.080999999999989</v>
      </c>
      <c r="DS135" s="64">
        <v>88.022999999999996</v>
      </c>
      <c r="DT135" s="64">
        <v>106.92</v>
      </c>
      <c r="DU135" s="187">
        <f t="shared" ref="DU135:DU152" si="410">(DR135+DS135)-(DT135)</f>
        <v>60.183999999999983</v>
      </c>
      <c r="DV135" s="64">
        <v>102.16800000000001</v>
      </c>
      <c r="DW135" s="64">
        <v>92.664000000000001</v>
      </c>
      <c r="DX135" s="753">
        <f t="shared" ref="DX135:DX152" si="411">(DU135+DV135)-(DW135)</f>
        <v>69.687999999999974</v>
      </c>
      <c r="DY135" s="64">
        <v>123.518</v>
      </c>
      <c r="DZ135" s="64">
        <v>0</v>
      </c>
      <c r="EA135" s="187">
        <f t="shared" ref="EA135:EA152" si="412">(DX135+DY135)-(DZ135)</f>
        <v>193.20599999999996</v>
      </c>
      <c r="EB135" s="64">
        <v>50.292000000000002</v>
      </c>
      <c r="EC135" s="64">
        <v>0</v>
      </c>
      <c r="ED135" s="187">
        <f t="shared" ref="ED135:ED152" si="413">(EA135+EB135)-(EC135)</f>
        <v>243.49799999999996</v>
      </c>
      <c r="EE135" s="64">
        <v>0</v>
      </c>
      <c r="EF135" s="64">
        <v>0</v>
      </c>
      <c r="EG135" s="753">
        <f t="shared" ref="EG135:EG152" si="414">(ED135+EE135)-(EF135)</f>
        <v>243.49799999999996</v>
      </c>
      <c r="EH135" s="64">
        <v>0</v>
      </c>
      <c r="EI135" s="821">
        <v>0</v>
      </c>
      <c r="EJ135" s="187">
        <f t="shared" ref="EJ135:EJ152" si="415">(EG135+EH135)-(EI135)</f>
        <v>243.49799999999996</v>
      </c>
      <c r="EK135" s="64">
        <v>0</v>
      </c>
      <c r="EL135" s="821">
        <v>0</v>
      </c>
      <c r="EM135" s="187">
        <f t="shared" ref="EM135:EM152" si="416">(EJ135+EK135)-(EL135)</f>
        <v>243.49799999999996</v>
      </c>
      <c r="EN135" s="64">
        <v>0</v>
      </c>
      <c r="EO135" s="64">
        <v>99.792000000000002</v>
      </c>
      <c r="EP135" s="753">
        <f t="shared" ref="EP135:EP152" si="417">(EM135+EN135)-(EO135)</f>
        <v>143.70599999999996</v>
      </c>
      <c r="EQ135" s="64">
        <v>0</v>
      </c>
      <c r="ER135" s="821">
        <v>0</v>
      </c>
      <c r="ES135" s="753">
        <f t="shared" ref="ES135:ES152" si="418">(EP135+EQ135)-(ER135)</f>
        <v>143.70599999999996</v>
      </c>
      <c r="ET135" s="64">
        <v>0</v>
      </c>
      <c r="EU135" s="821">
        <v>0</v>
      </c>
      <c r="EV135" s="753">
        <f t="shared" ref="EV135:EV152" si="419">(ES135+ET135)-(EU135)</f>
        <v>143.70599999999996</v>
      </c>
      <c r="EW135" s="64">
        <v>0</v>
      </c>
      <c r="EX135" s="821">
        <v>99.792000000000002</v>
      </c>
      <c r="EY135" s="753">
        <f t="shared" ref="EY135:EY152" si="420">(EV135+EW135)-(EX135)</f>
        <v>43.913999999999959</v>
      </c>
    </row>
    <row r="136" spans="1:155" ht="33">
      <c r="A136" s="201"/>
      <c r="B136" s="184"/>
      <c r="C136" s="111">
        <v>100541010</v>
      </c>
      <c r="D136" s="406" t="s">
        <v>451</v>
      </c>
      <c r="E136" s="187"/>
      <c r="F136" s="64"/>
      <c r="G136" s="65"/>
      <c r="H136" s="187"/>
      <c r="I136" s="64"/>
      <c r="J136" s="65"/>
      <c r="K136" s="187"/>
      <c r="L136" s="64"/>
      <c r="M136" s="65"/>
      <c r="N136" s="187"/>
      <c r="O136" s="64"/>
      <c r="P136" s="65"/>
      <c r="Q136" s="187"/>
      <c r="R136" s="64"/>
      <c r="S136" s="65"/>
      <c r="T136" s="187"/>
      <c r="U136" s="64"/>
      <c r="V136" s="65"/>
      <c r="W136" s="187"/>
      <c r="X136" s="64"/>
      <c r="Y136" s="65"/>
      <c r="Z136" s="187"/>
      <c r="AA136" s="64"/>
      <c r="AB136" s="65"/>
      <c r="AC136" s="187"/>
      <c r="AD136" s="64"/>
      <c r="AE136" s="65"/>
      <c r="AF136" s="187"/>
      <c r="AG136" s="64"/>
      <c r="AH136" s="65"/>
      <c r="AI136" s="187"/>
      <c r="AJ136" s="64"/>
      <c r="AK136" s="65"/>
      <c r="AL136" s="187"/>
      <c r="AM136" s="64"/>
      <c r="AN136" s="65"/>
      <c r="AO136" s="187"/>
      <c r="AP136" s="64"/>
      <c r="AQ136" s="65"/>
      <c r="AR136" s="187"/>
      <c r="AS136" s="64"/>
      <c r="AT136" s="65"/>
      <c r="AU136" s="187"/>
      <c r="AV136" s="64"/>
      <c r="AW136" s="65"/>
      <c r="AX136" s="187"/>
      <c r="AY136" s="64"/>
      <c r="AZ136" s="65"/>
      <c r="BA136" s="187"/>
      <c r="BB136" s="64"/>
      <c r="BC136" s="65"/>
      <c r="BD136" s="187"/>
      <c r="BE136" s="64"/>
      <c r="BF136" s="65"/>
      <c r="BG136" s="187"/>
      <c r="BH136" s="64"/>
      <c r="BI136" s="65"/>
      <c r="BJ136" s="187"/>
      <c r="BK136" s="340"/>
      <c r="BL136" s="65"/>
      <c r="BM136" s="187"/>
      <c r="BN136" s="340"/>
      <c r="BO136" s="65"/>
      <c r="BP136" s="187"/>
      <c r="BQ136" s="64"/>
      <c r="BR136" s="65"/>
      <c r="BS136" s="187"/>
      <c r="BT136" s="64"/>
      <c r="BU136" s="65"/>
      <c r="BV136" s="187"/>
      <c r="BW136" s="64"/>
      <c r="BX136" s="65"/>
      <c r="BY136" s="187"/>
      <c r="BZ136" s="64"/>
      <c r="CA136" s="65"/>
      <c r="CB136" s="187"/>
      <c r="CC136" s="64"/>
      <c r="CD136" s="65"/>
      <c r="CE136" s="187"/>
      <c r="CF136" s="64"/>
      <c r="CG136" s="64"/>
      <c r="CH136" s="187"/>
      <c r="CI136" s="64"/>
      <c r="CJ136" s="64"/>
      <c r="CK136" s="220"/>
      <c r="CL136" s="70"/>
      <c r="CM136" s="221"/>
      <c r="CN136" s="187">
        <v>0</v>
      </c>
      <c r="CO136" s="64"/>
      <c r="CP136" s="64"/>
      <c r="CQ136" s="187"/>
      <c r="CR136" s="64"/>
      <c r="CS136" s="64"/>
      <c r="CT136" s="220"/>
      <c r="CU136" s="81"/>
      <c r="CV136" s="64"/>
      <c r="CW136" s="187"/>
      <c r="CX136" s="64"/>
      <c r="CY136" s="64"/>
      <c r="CZ136" s="187">
        <v>13.973000000000001</v>
      </c>
      <c r="DA136" s="64">
        <v>0</v>
      </c>
      <c r="DB136" s="64">
        <v>0</v>
      </c>
      <c r="DC136" s="187">
        <f t="shared" si="405"/>
        <v>13.973000000000001</v>
      </c>
      <c r="DD136" s="64">
        <v>22.751999999999999</v>
      </c>
      <c r="DE136" s="64">
        <v>13.968</v>
      </c>
      <c r="DF136" s="187">
        <f>(DC136+DD136)-(DE136)</f>
        <v>22.757000000000001</v>
      </c>
      <c r="DG136" s="64">
        <v>13.752000000000001</v>
      </c>
      <c r="DH136" s="64">
        <v>0</v>
      </c>
      <c r="DI136" s="187">
        <f t="shared" si="406"/>
        <v>36.509</v>
      </c>
      <c r="DJ136" s="64">
        <v>56.951999999999998</v>
      </c>
      <c r="DK136" s="64">
        <v>0</v>
      </c>
      <c r="DL136" s="187">
        <f t="shared" si="407"/>
        <v>93.460999999999999</v>
      </c>
      <c r="DM136" s="64">
        <v>65.016000000000005</v>
      </c>
      <c r="DN136" s="64">
        <v>62.207999999999998</v>
      </c>
      <c r="DO136" s="187">
        <f t="shared" si="408"/>
        <v>96.269000000000005</v>
      </c>
      <c r="DP136" s="64">
        <v>62.136000000000003</v>
      </c>
      <c r="DQ136" s="64">
        <v>0</v>
      </c>
      <c r="DR136" s="187">
        <f t="shared" si="409"/>
        <v>158.405</v>
      </c>
      <c r="DS136" s="64">
        <v>69.335999999999999</v>
      </c>
      <c r="DT136" s="64">
        <v>60.48</v>
      </c>
      <c r="DU136" s="187">
        <f t="shared" si="410"/>
        <v>167.261</v>
      </c>
      <c r="DV136" s="64">
        <v>68.760000000000005</v>
      </c>
      <c r="DW136" s="64">
        <v>60.48</v>
      </c>
      <c r="DX136" s="753">
        <f t="shared" si="411"/>
        <v>175.54100000000003</v>
      </c>
      <c r="DY136" s="64">
        <v>2.0880000000000001</v>
      </c>
      <c r="DZ136" s="64">
        <v>48.384</v>
      </c>
      <c r="EA136" s="187">
        <f t="shared" si="412"/>
        <v>129.245</v>
      </c>
      <c r="EB136" s="64">
        <v>0</v>
      </c>
      <c r="EC136" s="64">
        <v>32.875999999999998</v>
      </c>
      <c r="ED136" s="187">
        <f t="shared" si="413"/>
        <v>96.369</v>
      </c>
      <c r="EE136" s="64">
        <v>-41.472000000000001</v>
      </c>
      <c r="EF136" s="64">
        <v>3.456</v>
      </c>
      <c r="EG136" s="753">
        <f t="shared" si="414"/>
        <v>51.440999999999995</v>
      </c>
      <c r="EH136" s="64">
        <v>-51.441000000000003</v>
      </c>
      <c r="EI136" s="64">
        <v>0</v>
      </c>
      <c r="EJ136" s="187">
        <f t="shared" si="415"/>
        <v>-7.1054273576010019E-15</v>
      </c>
      <c r="EK136" s="64">
        <v>0</v>
      </c>
      <c r="EL136" s="64">
        <v>0</v>
      </c>
      <c r="EM136" s="187">
        <f t="shared" si="416"/>
        <v>-7.1054273576010019E-15</v>
      </c>
      <c r="EN136" s="64">
        <v>0</v>
      </c>
      <c r="EO136" s="64">
        <v>0</v>
      </c>
      <c r="EP136" s="753">
        <f t="shared" si="417"/>
        <v>-7.1054273576010019E-15</v>
      </c>
      <c r="EQ136" s="64">
        <v>0</v>
      </c>
      <c r="ER136" s="64">
        <v>0</v>
      </c>
      <c r="ES136" s="753">
        <f t="shared" si="418"/>
        <v>-7.1054273576010019E-15</v>
      </c>
      <c r="ET136" s="64">
        <v>0</v>
      </c>
      <c r="EU136" s="64">
        <v>0</v>
      </c>
      <c r="EV136" s="753">
        <f t="shared" si="419"/>
        <v>-7.1054273576010019E-15</v>
      </c>
      <c r="EW136" s="64">
        <v>0</v>
      </c>
      <c r="EX136" s="64">
        <v>0</v>
      </c>
      <c r="EY136" s="753">
        <f t="shared" si="420"/>
        <v>-7.1054273576010019E-15</v>
      </c>
    </row>
    <row r="137" spans="1:155" ht="22.5" customHeight="1">
      <c r="A137" s="201"/>
      <c r="B137" s="184"/>
      <c r="C137" s="797">
        <v>100557589</v>
      </c>
      <c r="D137" s="406" t="s">
        <v>452</v>
      </c>
      <c r="E137" s="187"/>
      <c r="F137" s="64"/>
      <c r="G137" s="65"/>
      <c r="H137" s="187"/>
      <c r="I137" s="64"/>
      <c r="J137" s="65"/>
      <c r="K137" s="187"/>
      <c r="L137" s="64"/>
      <c r="M137" s="65"/>
      <c r="N137" s="187"/>
      <c r="O137" s="64"/>
      <c r="P137" s="65"/>
      <c r="Q137" s="187"/>
      <c r="R137" s="64"/>
      <c r="S137" s="65"/>
      <c r="T137" s="187"/>
      <c r="U137" s="64"/>
      <c r="V137" s="65"/>
      <c r="W137" s="187"/>
      <c r="X137" s="64"/>
      <c r="Y137" s="65"/>
      <c r="Z137" s="187"/>
      <c r="AA137" s="64"/>
      <c r="AB137" s="65"/>
      <c r="AC137" s="187"/>
      <c r="AD137" s="64"/>
      <c r="AE137" s="65"/>
      <c r="AF137" s="187"/>
      <c r="AG137" s="64"/>
      <c r="AH137" s="65"/>
      <c r="AI137" s="187"/>
      <c r="AJ137" s="64"/>
      <c r="AK137" s="65"/>
      <c r="AL137" s="187"/>
      <c r="AM137" s="64"/>
      <c r="AN137" s="65"/>
      <c r="AO137" s="187"/>
      <c r="AP137" s="64"/>
      <c r="AQ137" s="65"/>
      <c r="AR137" s="187"/>
      <c r="AS137" s="64"/>
      <c r="AT137" s="65"/>
      <c r="AU137" s="187"/>
      <c r="AV137" s="64"/>
      <c r="AW137" s="65"/>
      <c r="AX137" s="187"/>
      <c r="AY137" s="64"/>
      <c r="AZ137" s="65"/>
      <c r="BA137" s="187"/>
      <c r="BB137" s="64"/>
      <c r="BC137" s="65"/>
      <c r="BD137" s="187"/>
      <c r="BE137" s="64"/>
      <c r="BF137" s="65"/>
      <c r="BG137" s="187"/>
      <c r="BH137" s="64"/>
      <c r="BI137" s="65"/>
      <c r="BJ137" s="187"/>
      <c r="BK137" s="340"/>
      <c r="BL137" s="65"/>
      <c r="BM137" s="187"/>
      <c r="BN137" s="340"/>
      <c r="BO137" s="65"/>
      <c r="BP137" s="187"/>
      <c r="BQ137" s="64"/>
      <c r="BR137" s="65"/>
      <c r="BS137" s="187"/>
      <c r="BT137" s="64"/>
      <c r="BU137" s="65"/>
      <c r="BV137" s="187"/>
      <c r="BW137" s="64"/>
      <c r="BX137" s="65"/>
      <c r="BY137" s="187"/>
      <c r="BZ137" s="64"/>
      <c r="CA137" s="65"/>
      <c r="CB137" s="187"/>
      <c r="CC137" s="64"/>
      <c r="CD137" s="65"/>
      <c r="CE137" s="187"/>
      <c r="CF137" s="64"/>
      <c r="CG137" s="64"/>
      <c r="CH137" s="187"/>
      <c r="CI137" s="64"/>
      <c r="CJ137" s="64"/>
      <c r="CK137" s="220"/>
      <c r="CL137" s="70"/>
      <c r="CM137" s="221"/>
      <c r="CN137" s="187"/>
      <c r="CO137" s="64"/>
      <c r="CP137" s="64"/>
      <c r="CQ137" s="187"/>
      <c r="CR137" s="64"/>
      <c r="CS137" s="64"/>
      <c r="CT137" s="220"/>
      <c r="CU137" s="81"/>
      <c r="CV137" s="64"/>
      <c r="CW137" s="187"/>
      <c r="CX137" s="64"/>
      <c r="CY137" s="64"/>
      <c r="CZ137" s="187"/>
      <c r="DA137" s="64"/>
      <c r="DB137" s="64"/>
      <c r="DC137" s="187"/>
      <c r="DD137" s="64"/>
      <c r="DE137" s="64"/>
      <c r="DF137" s="187"/>
      <c r="DG137" s="64"/>
      <c r="DH137" s="64"/>
      <c r="DI137" s="187"/>
      <c r="DJ137" s="64"/>
      <c r="DK137" s="64"/>
      <c r="DL137" s="187"/>
      <c r="DM137" s="64"/>
      <c r="DN137" s="64"/>
      <c r="DO137" s="187"/>
      <c r="DP137" s="64"/>
      <c r="DQ137" s="64"/>
      <c r="DR137" s="187"/>
      <c r="DS137" s="64"/>
      <c r="DT137" s="64"/>
      <c r="DU137" s="187"/>
      <c r="DV137" s="64"/>
      <c r="DW137" s="64"/>
      <c r="DX137" s="753">
        <v>0</v>
      </c>
      <c r="DY137" s="64"/>
      <c r="DZ137" s="64"/>
      <c r="EA137" s="187">
        <v>0</v>
      </c>
      <c r="EB137" s="64">
        <v>0</v>
      </c>
      <c r="EC137" s="64">
        <v>0</v>
      </c>
      <c r="ED137" s="187">
        <f t="shared" si="413"/>
        <v>0</v>
      </c>
      <c r="EE137" s="64">
        <v>41.472000000000001</v>
      </c>
      <c r="EF137" s="64">
        <v>41.472000000000001</v>
      </c>
      <c r="EG137" s="753">
        <f t="shared" si="414"/>
        <v>0</v>
      </c>
      <c r="EH137" s="64">
        <v>132</v>
      </c>
      <c r="EI137" s="821">
        <v>73.44</v>
      </c>
      <c r="EJ137" s="187">
        <f t="shared" si="415"/>
        <v>58.56</v>
      </c>
      <c r="EK137" s="64">
        <v>80</v>
      </c>
      <c r="EL137" s="821">
        <v>76.031999999999996</v>
      </c>
      <c r="EM137" s="187">
        <f t="shared" si="416"/>
        <v>62.528000000000006</v>
      </c>
      <c r="EN137" s="64">
        <v>80</v>
      </c>
      <c r="EO137" s="821">
        <v>42</v>
      </c>
      <c r="EP137" s="753">
        <f t="shared" si="417"/>
        <v>100.52800000000002</v>
      </c>
      <c r="EQ137" s="64">
        <v>40</v>
      </c>
      <c r="ER137" s="821">
        <v>0</v>
      </c>
      <c r="ES137" s="753">
        <f t="shared" si="418"/>
        <v>140.52800000000002</v>
      </c>
      <c r="ET137" s="64">
        <v>40</v>
      </c>
      <c r="EU137" s="821">
        <v>0</v>
      </c>
      <c r="EV137" s="753">
        <f t="shared" si="419"/>
        <v>180.52800000000002</v>
      </c>
      <c r="EW137" s="64">
        <v>0</v>
      </c>
      <c r="EX137" s="821">
        <v>42</v>
      </c>
      <c r="EY137" s="753">
        <f t="shared" si="420"/>
        <v>138.52800000000002</v>
      </c>
    </row>
    <row r="138" spans="1:155" ht="33">
      <c r="A138" s="201"/>
      <c r="B138" s="184"/>
      <c r="C138" s="111">
        <v>100540497</v>
      </c>
      <c r="D138" s="406" t="s">
        <v>450</v>
      </c>
      <c r="E138" s="187"/>
      <c r="F138" s="64"/>
      <c r="G138" s="65"/>
      <c r="H138" s="187"/>
      <c r="I138" s="64"/>
      <c r="J138" s="65"/>
      <c r="K138" s="187"/>
      <c r="L138" s="64"/>
      <c r="M138" s="65"/>
      <c r="N138" s="187"/>
      <c r="O138" s="64"/>
      <c r="P138" s="65"/>
      <c r="Q138" s="187"/>
      <c r="R138" s="64"/>
      <c r="S138" s="65"/>
      <c r="T138" s="187"/>
      <c r="U138" s="64"/>
      <c r="V138" s="65"/>
      <c r="W138" s="187"/>
      <c r="X138" s="64"/>
      <c r="Y138" s="65"/>
      <c r="Z138" s="187"/>
      <c r="AA138" s="64"/>
      <c r="AB138" s="65"/>
      <c r="AC138" s="187"/>
      <c r="AD138" s="64"/>
      <c r="AE138" s="65"/>
      <c r="AF138" s="187"/>
      <c r="AG138" s="64"/>
      <c r="AH138" s="65"/>
      <c r="AI138" s="187"/>
      <c r="AJ138" s="64"/>
      <c r="AK138" s="65"/>
      <c r="AL138" s="187"/>
      <c r="AM138" s="64"/>
      <c r="AN138" s="65"/>
      <c r="AO138" s="187"/>
      <c r="AP138" s="64"/>
      <c r="AQ138" s="65"/>
      <c r="AR138" s="187"/>
      <c r="AS138" s="64"/>
      <c r="AT138" s="65"/>
      <c r="AU138" s="187"/>
      <c r="AV138" s="64"/>
      <c r="AW138" s="65"/>
      <c r="AX138" s="187"/>
      <c r="AY138" s="64"/>
      <c r="AZ138" s="65"/>
      <c r="BA138" s="187"/>
      <c r="BB138" s="64"/>
      <c r="BC138" s="65"/>
      <c r="BD138" s="187"/>
      <c r="BE138" s="64"/>
      <c r="BF138" s="65"/>
      <c r="BG138" s="187"/>
      <c r="BH138" s="64"/>
      <c r="BI138" s="65"/>
      <c r="BJ138" s="187"/>
      <c r="BK138" s="340"/>
      <c r="BL138" s="65"/>
      <c r="BM138" s="187"/>
      <c r="BN138" s="340"/>
      <c r="BO138" s="65"/>
      <c r="BP138" s="187"/>
      <c r="BQ138" s="64"/>
      <c r="BR138" s="65"/>
      <c r="BS138" s="187"/>
      <c r="BT138" s="64"/>
      <c r="BU138" s="65"/>
      <c r="BV138" s="187"/>
      <c r="BW138" s="64"/>
      <c r="BX138" s="65"/>
      <c r="BY138" s="187"/>
      <c r="BZ138" s="64"/>
      <c r="CA138" s="65"/>
      <c r="CB138" s="187"/>
      <c r="CC138" s="64"/>
      <c r="CD138" s="65"/>
      <c r="CE138" s="187"/>
      <c r="CF138" s="64"/>
      <c r="CG138" s="64"/>
      <c r="CH138" s="187"/>
      <c r="CI138" s="64"/>
      <c r="CJ138" s="64"/>
      <c r="CK138" s="220"/>
      <c r="CL138" s="70"/>
      <c r="CM138" s="221"/>
      <c r="CN138" s="187">
        <v>0</v>
      </c>
      <c r="CO138" s="64"/>
      <c r="CP138" s="64"/>
      <c r="CQ138" s="187"/>
      <c r="CR138" s="64"/>
      <c r="CS138" s="64"/>
      <c r="CT138" s="220"/>
      <c r="CU138" s="81"/>
      <c r="CV138" s="64"/>
      <c r="CW138" s="187"/>
      <c r="CX138" s="64"/>
      <c r="CY138" s="64"/>
      <c r="CZ138" s="187">
        <v>40.14</v>
      </c>
      <c r="DA138" s="64">
        <v>0</v>
      </c>
      <c r="DB138" s="64">
        <v>0</v>
      </c>
      <c r="DC138" s="187">
        <f t="shared" si="405"/>
        <v>40.14</v>
      </c>
      <c r="DD138" s="64">
        <v>0</v>
      </c>
      <c r="DE138" s="64">
        <v>0</v>
      </c>
      <c r="DF138" s="187">
        <v>40.14</v>
      </c>
      <c r="DG138" s="64">
        <v>5.53</v>
      </c>
      <c r="DH138" s="64">
        <v>0</v>
      </c>
      <c r="DI138" s="187">
        <f t="shared" si="406"/>
        <v>45.67</v>
      </c>
      <c r="DJ138" s="64">
        <v>21.983000000000001</v>
      </c>
      <c r="DK138" s="64">
        <v>42.003</v>
      </c>
      <c r="DL138" s="187">
        <f t="shared" si="407"/>
        <v>25.650000000000006</v>
      </c>
      <c r="DM138" s="64">
        <v>20.02</v>
      </c>
      <c r="DN138" s="64">
        <v>0</v>
      </c>
      <c r="DO138" s="187">
        <f t="shared" si="408"/>
        <v>45.67</v>
      </c>
      <c r="DP138" s="64">
        <v>10.15</v>
      </c>
      <c r="DQ138" s="64">
        <v>0</v>
      </c>
      <c r="DR138" s="187">
        <f t="shared" si="409"/>
        <v>55.82</v>
      </c>
      <c r="DS138" s="64">
        <v>0</v>
      </c>
      <c r="DT138" s="64">
        <v>0</v>
      </c>
      <c r="DU138" s="187">
        <f t="shared" si="410"/>
        <v>55.82</v>
      </c>
      <c r="DV138" s="64">
        <v>0</v>
      </c>
      <c r="DW138" s="64">
        <v>0</v>
      </c>
      <c r="DX138" s="753">
        <f t="shared" si="411"/>
        <v>55.82</v>
      </c>
      <c r="DY138" s="64">
        <v>1.1200000000000001</v>
      </c>
      <c r="DZ138" s="64">
        <v>0</v>
      </c>
      <c r="EA138" s="187">
        <f t="shared" si="412"/>
        <v>56.94</v>
      </c>
      <c r="EB138" s="64">
        <v>0</v>
      </c>
      <c r="EC138" s="64">
        <v>0</v>
      </c>
      <c r="ED138" s="187">
        <f t="shared" si="413"/>
        <v>56.94</v>
      </c>
      <c r="EE138" s="64">
        <v>0</v>
      </c>
      <c r="EF138" s="64">
        <v>0</v>
      </c>
      <c r="EG138" s="753">
        <f t="shared" si="414"/>
        <v>56.94</v>
      </c>
      <c r="EH138" s="64">
        <v>0</v>
      </c>
      <c r="EI138" s="64">
        <v>0</v>
      </c>
      <c r="EJ138" s="187">
        <f t="shared" si="415"/>
        <v>56.94</v>
      </c>
      <c r="EK138" s="64">
        <v>0</v>
      </c>
      <c r="EL138" s="64">
        <v>0</v>
      </c>
      <c r="EM138" s="187">
        <f t="shared" si="416"/>
        <v>56.94</v>
      </c>
      <c r="EN138" s="64">
        <v>0</v>
      </c>
      <c r="EO138" s="64">
        <v>0</v>
      </c>
      <c r="EP138" s="753">
        <f t="shared" si="417"/>
        <v>56.94</v>
      </c>
      <c r="EQ138" s="64">
        <v>0</v>
      </c>
      <c r="ER138" s="64">
        <v>0</v>
      </c>
      <c r="ES138" s="753">
        <f t="shared" si="418"/>
        <v>56.94</v>
      </c>
      <c r="ET138" s="64">
        <v>0</v>
      </c>
      <c r="EU138" s="64">
        <v>0</v>
      </c>
      <c r="EV138" s="753">
        <f t="shared" si="419"/>
        <v>56.94</v>
      </c>
      <c r="EW138" s="64">
        <v>0</v>
      </c>
      <c r="EX138" s="64">
        <v>0</v>
      </c>
      <c r="EY138" s="753">
        <f t="shared" si="420"/>
        <v>56.94</v>
      </c>
    </row>
    <row r="139" spans="1:155" ht="33">
      <c r="A139" s="201"/>
      <c r="B139" s="184"/>
      <c r="C139" s="111">
        <v>100540904</v>
      </c>
      <c r="D139" s="406" t="s">
        <v>401</v>
      </c>
      <c r="E139" s="187"/>
      <c r="F139" s="64"/>
      <c r="G139" s="65"/>
      <c r="H139" s="187"/>
      <c r="I139" s="64"/>
      <c r="J139" s="65"/>
      <c r="K139" s="187"/>
      <c r="L139" s="64"/>
      <c r="M139" s="65"/>
      <c r="N139" s="187"/>
      <c r="O139" s="64"/>
      <c r="P139" s="65"/>
      <c r="Q139" s="187"/>
      <c r="R139" s="64"/>
      <c r="S139" s="65"/>
      <c r="T139" s="187"/>
      <c r="U139" s="64"/>
      <c r="V139" s="65"/>
      <c r="W139" s="187"/>
      <c r="X139" s="64"/>
      <c r="Y139" s="65"/>
      <c r="Z139" s="187"/>
      <c r="AA139" s="64"/>
      <c r="AB139" s="65"/>
      <c r="AC139" s="187"/>
      <c r="AD139" s="64"/>
      <c r="AE139" s="65"/>
      <c r="AF139" s="187"/>
      <c r="AG139" s="64"/>
      <c r="AH139" s="65"/>
      <c r="AI139" s="187"/>
      <c r="AJ139" s="64"/>
      <c r="AK139" s="65"/>
      <c r="AL139" s="187"/>
      <c r="AM139" s="64"/>
      <c r="AN139" s="65"/>
      <c r="AO139" s="187"/>
      <c r="AP139" s="64"/>
      <c r="AQ139" s="65"/>
      <c r="AR139" s="187"/>
      <c r="AS139" s="64"/>
      <c r="AT139" s="65"/>
      <c r="AU139" s="187"/>
      <c r="AV139" s="64"/>
      <c r="AW139" s="65"/>
      <c r="AX139" s="187"/>
      <c r="AY139" s="64"/>
      <c r="AZ139" s="65"/>
      <c r="BA139" s="187"/>
      <c r="BB139" s="64"/>
      <c r="BC139" s="65"/>
      <c r="BD139" s="187"/>
      <c r="BE139" s="64"/>
      <c r="BF139" s="65"/>
      <c r="BG139" s="187"/>
      <c r="BH139" s="64"/>
      <c r="BI139" s="65"/>
      <c r="BJ139" s="187"/>
      <c r="BK139" s="340"/>
      <c r="BL139" s="65"/>
      <c r="BM139" s="187"/>
      <c r="BN139" s="340"/>
      <c r="BO139" s="65"/>
      <c r="BP139" s="187"/>
      <c r="BQ139" s="64"/>
      <c r="BR139" s="65"/>
      <c r="BS139" s="187"/>
      <c r="BT139" s="64"/>
      <c r="BU139" s="65"/>
      <c r="BV139" s="187"/>
      <c r="BW139" s="64"/>
      <c r="BX139" s="65"/>
      <c r="BY139" s="187"/>
      <c r="BZ139" s="64"/>
      <c r="CA139" s="65"/>
      <c r="CB139" s="187"/>
      <c r="CC139" s="64"/>
      <c r="CD139" s="65"/>
      <c r="CE139" s="187"/>
      <c r="CF139" s="64"/>
      <c r="CG139" s="64"/>
      <c r="CH139" s="187"/>
      <c r="CI139" s="64"/>
      <c r="CJ139" s="64"/>
      <c r="CK139" s="220"/>
      <c r="CL139" s="70"/>
      <c r="CM139" s="221"/>
      <c r="CN139" s="187">
        <v>0</v>
      </c>
      <c r="CO139" s="64"/>
      <c r="CP139" s="64"/>
      <c r="CQ139" s="187"/>
      <c r="CR139" s="64"/>
      <c r="CS139" s="64"/>
      <c r="CT139" s="220"/>
      <c r="CU139" s="81"/>
      <c r="CV139" s="64"/>
      <c r="CW139" s="187"/>
      <c r="CX139" s="64"/>
      <c r="CY139" s="64"/>
      <c r="CZ139" s="187">
        <v>4.4199999999999982</v>
      </c>
      <c r="DA139" s="64">
        <v>-4.32</v>
      </c>
      <c r="DB139" s="64">
        <v>0</v>
      </c>
      <c r="DC139" s="187">
        <f t="shared" si="405"/>
        <v>9.9999999999997868E-2</v>
      </c>
      <c r="DD139" s="64">
        <v>0</v>
      </c>
      <c r="DE139" s="64">
        <v>0</v>
      </c>
      <c r="DF139" s="187">
        <f>(DC139+DD139)-(DE139)</f>
        <v>9.9999999999997868E-2</v>
      </c>
      <c r="DG139" s="64">
        <v>0</v>
      </c>
      <c r="DH139" s="64">
        <v>0</v>
      </c>
      <c r="DI139" s="187">
        <f t="shared" si="406"/>
        <v>9.9999999999997868E-2</v>
      </c>
      <c r="DJ139" s="64">
        <v>0</v>
      </c>
      <c r="DK139" s="64">
        <v>0</v>
      </c>
      <c r="DL139" s="187">
        <f t="shared" si="407"/>
        <v>9.9999999999997868E-2</v>
      </c>
      <c r="DM139" s="64">
        <v>0</v>
      </c>
      <c r="DN139" s="64">
        <v>0</v>
      </c>
      <c r="DO139" s="187">
        <f t="shared" si="408"/>
        <v>9.9999999999997868E-2</v>
      </c>
      <c r="DP139" s="64">
        <v>0</v>
      </c>
      <c r="DQ139" s="64">
        <v>0</v>
      </c>
      <c r="DR139" s="187">
        <f t="shared" si="409"/>
        <v>9.9999999999997868E-2</v>
      </c>
      <c r="DS139" s="64">
        <v>0</v>
      </c>
      <c r="DT139" s="64">
        <v>0</v>
      </c>
      <c r="DU139" s="187">
        <f t="shared" si="410"/>
        <v>9.9999999999997868E-2</v>
      </c>
      <c r="DV139" s="64">
        <v>0</v>
      </c>
      <c r="DW139" s="64">
        <v>0</v>
      </c>
      <c r="DX139" s="753">
        <f t="shared" si="411"/>
        <v>9.9999999999997868E-2</v>
      </c>
      <c r="DY139" s="64">
        <v>0</v>
      </c>
      <c r="DZ139" s="64">
        <v>0</v>
      </c>
      <c r="EA139" s="187">
        <f t="shared" si="412"/>
        <v>9.9999999999997868E-2</v>
      </c>
      <c r="EB139" s="64">
        <v>8.2799999999999994</v>
      </c>
      <c r="EC139" s="64">
        <v>0</v>
      </c>
      <c r="ED139" s="187">
        <f t="shared" si="413"/>
        <v>8.3799999999999972</v>
      </c>
      <c r="EE139" s="64">
        <v>0</v>
      </c>
      <c r="EF139" s="64">
        <v>0</v>
      </c>
      <c r="EG139" s="753">
        <f t="shared" si="414"/>
        <v>8.3799999999999972</v>
      </c>
      <c r="EH139" s="64">
        <v>0</v>
      </c>
      <c r="EI139" s="64">
        <v>0</v>
      </c>
      <c r="EJ139" s="187">
        <f t="shared" si="415"/>
        <v>8.3799999999999972</v>
      </c>
      <c r="EK139" s="64">
        <v>41.62</v>
      </c>
      <c r="EL139" s="64">
        <v>50</v>
      </c>
      <c r="EM139" s="187">
        <f t="shared" si="416"/>
        <v>0</v>
      </c>
      <c r="EN139" s="64">
        <v>50</v>
      </c>
      <c r="EO139" s="64">
        <v>50</v>
      </c>
      <c r="EP139" s="753">
        <f t="shared" si="417"/>
        <v>0</v>
      </c>
      <c r="EQ139" s="64">
        <v>0</v>
      </c>
      <c r="ER139" s="64">
        <v>0</v>
      </c>
      <c r="ES139" s="753">
        <f t="shared" si="418"/>
        <v>0</v>
      </c>
      <c r="ET139" s="64">
        <v>0</v>
      </c>
      <c r="EU139" s="64">
        <v>0</v>
      </c>
      <c r="EV139" s="753">
        <f t="shared" si="419"/>
        <v>0</v>
      </c>
      <c r="EW139" s="64">
        <v>0</v>
      </c>
      <c r="EX139" s="64">
        <v>0</v>
      </c>
      <c r="EY139" s="753">
        <f t="shared" si="420"/>
        <v>0</v>
      </c>
    </row>
    <row r="140" spans="1:155" ht="33">
      <c r="A140" s="201"/>
      <c r="B140" s="184"/>
      <c r="C140" s="111">
        <v>100556111</v>
      </c>
      <c r="D140" s="406" t="s">
        <v>431</v>
      </c>
      <c r="E140" s="187"/>
      <c r="F140" s="64"/>
      <c r="G140" s="65"/>
      <c r="H140" s="187"/>
      <c r="I140" s="64"/>
      <c r="J140" s="65"/>
      <c r="K140" s="187"/>
      <c r="L140" s="64"/>
      <c r="M140" s="65"/>
      <c r="N140" s="187"/>
      <c r="O140" s="64"/>
      <c r="P140" s="65"/>
      <c r="Q140" s="187"/>
      <c r="R140" s="64"/>
      <c r="S140" s="65"/>
      <c r="T140" s="187"/>
      <c r="U140" s="64"/>
      <c r="V140" s="65"/>
      <c r="W140" s="187"/>
      <c r="X140" s="64"/>
      <c r="Y140" s="65"/>
      <c r="Z140" s="187"/>
      <c r="AA140" s="64"/>
      <c r="AB140" s="65"/>
      <c r="AC140" s="187"/>
      <c r="AD140" s="64"/>
      <c r="AE140" s="65"/>
      <c r="AF140" s="187"/>
      <c r="AG140" s="64"/>
      <c r="AH140" s="65"/>
      <c r="AI140" s="187"/>
      <c r="AJ140" s="64"/>
      <c r="AK140" s="65"/>
      <c r="AL140" s="187"/>
      <c r="AM140" s="64"/>
      <c r="AN140" s="65"/>
      <c r="AO140" s="187"/>
      <c r="AP140" s="64"/>
      <c r="AQ140" s="65"/>
      <c r="AR140" s="187"/>
      <c r="AS140" s="64"/>
      <c r="AT140" s="65"/>
      <c r="AU140" s="187"/>
      <c r="AV140" s="64"/>
      <c r="AW140" s="65"/>
      <c r="AX140" s="187"/>
      <c r="AY140" s="64"/>
      <c r="AZ140" s="65"/>
      <c r="BA140" s="187"/>
      <c r="BB140" s="64"/>
      <c r="BC140" s="65"/>
      <c r="BD140" s="187"/>
      <c r="BE140" s="64"/>
      <c r="BF140" s="65"/>
      <c r="BG140" s="187"/>
      <c r="BH140" s="64"/>
      <c r="BI140" s="65"/>
      <c r="BJ140" s="187"/>
      <c r="BK140" s="340"/>
      <c r="BL140" s="65"/>
      <c r="BM140" s="187"/>
      <c r="BN140" s="340"/>
      <c r="BO140" s="65"/>
      <c r="BP140" s="187"/>
      <c r="BQ140" s="64"/>
      <c r="BR140" s="65"/>
      <c r="BS140" s="187"/>
      <c r="BT140" s="64"/>
      <c r="BU140" s="65"/>
      <c r="BV140" s="187"/>
      <c r="BW140" s="64"/>
      <c r="BX140" s="65"/>
      <c r="BY140" s="187"/>
      <c r="BZ140" s="64"/>
      <c r="CA140" s="65"/>
      <c r="CB140" s="187"/>
      <c r="CC140" s="64"/>
      <c r="CD140" s="65"/>
      <c r="CE140" s="187"/>
      <c r="CF140" s="64"/>
      <c r="CG140" s="64"/>
      <c r="CH140" s="187"/>
      <c r="CI140" s="64"/>
      <c r="CJ140" s="64"/>
      <c r="CK140" s="220"/>
      <c r="CL140" s="70"/>
      <c r="CM140" s="221"/>
      <c r="CN140" s="187">
        <v>0</v>
      </c>
      <c r="CO140" s="64"/>
      <c r="CP140" s="64"/>
      <c r="CQ140" s="187"/>
      <c r="CR140" s="64"/>
      <c r="CS140" s="64"/>
      <c r="CT140" s="220"/>
      <c r="CU140" s="81"/>
      <c r="CV140" s="64"/>
      <c r="CW140" s="187"/>
      <c r="CX140" s="64"/>
      <c r="CY140" s="64"/>
      <c r="CZ140" s="187">
        <v>0</v>
      </c>
      <c r="DA140" s="64">
        <v>34.22</v>
      </c>
      <c r="DB140" s="64">
        <v>5.0000000000000001E-3</v>
      </c>
      <c r="DC140" s="187">
        <f t="shared" si="405"/>
        <v>34.214999999999996</v>
      </c>
      <c r="DD140" s="64">
        <v>56.88</v>
      </c>
      <c r="DE140" s="64">
        <v>48.384</v>
      </c>
      <c r="DF140" s="187">
        <f>(DC140+DD140)-(DE140)</f>
        <v>42.710999999999999</v>
      </c>
      <c r="DG140" s="64">
        <v>43.243000000000002</v>
      </c>
      <c r="DH140" s="64">
        <v>0</v>
      </c>
      <c r="DI140" s="187">
        <f t="shared" si="406"/>
        <v>85.954000000000008</v>
      </c>
      <c r="DJ140" s="64">
        <v>0</v>
      </c>
      <c r="DK140" s="64">
        <v>0</v>
      </c>
      <c r="DL140" s="187">
        <f t="shared" si="407"/>
        <v>85.954000000000008</v>
      </c>
      <c r="DM140" s="64">
        <v>2.2080000000000002</v>
      </c>
      <c r="DN140" s="64">
        <v>46.08</v>
      </c>
      <c r="DO140" s="187">
        <f t="shared" si="408"/>
        <v>42.082000000000008</v>
      </c>
      <c r="DP140" s="64">
        <v>70.367999999999995</v>
      </c>
      <c r="DQ140" s="64">
        <v>0</v>
      </c>
      <c r="DR140" s="187">
        <f t="shared" si="409"/>
        <v>112.45</v>
      </c>
      <c r="DS140" s="64">
        <v>53.05</v>
      </c>
      <c r="DT140" s="64">
        <v>35.722000000000001</v>
      </c>
      <c r="DU140" s="187">
        <f t="shared" si="410"/>
        <v>129.77799999999999</v>
      </c>
      <c r="DV140" s="64">
        <v>50.975999999999999</v>
      </c>
      <c r="DW140" s="64">
        <v>0</v>
      </c>
      <c r="DX140" s="753">
        <f t="shared" si="411"/>
        <v>180.75399999999999</v>
      </c>
      <c r="DY140" s="64">
        <v>10.032</v>
      </c>
      <c r="DZ140" s="64">
        <v>0</v>
      </c>
      <c r="EA140" s="187">
        <f t="shared" si="412"/>
        <v>190.786</v>
      </c>
      <c r="EB140" s="64">
        <v>0</v>
      </c>
      <c r="EC140" s="64">
        <v>0</v>
      </c>
      <c r="ED140" s="187">
        <f t="shared" si="413"/>
        <v>190.786</v>
      </c>
      <c r="EE140" s="64">
        <v>0</v>
      </c>
      <c r="EF140" s="64">
        <v>0</v>
      </c>
      <c r="EG140" s="753">
        <f t="shared" si="414"/>
        <v>190.786</v>
      </c>
      <c r="EH140" s="64">
        <v>0</v>
      </c>
      <c r="EI140" s="64">
        <v>0</v>
      </c>
      <c r="EJ140" s="187">
        <f t="shared" si="415"/>
        <v>190.786</v>
      </c>
      <c r="EK140" s="64">
        <v>0</v>
      </c>
      <c r="EL140" s="64">
        <v>0</v>
      </c>
      <c r="EM140" s="187">
        <f t="shared" si="416"/>
        <v>190.786</v>
      </c>
      <c r="EN140" s="64">
        <v>0</v>
      </c>
      <c r="EO140" s="64">
        <v>26.591999999999999</v>
      </c>
      <c r="EP140" s="753">
        <f t="shared" si="417"/>
        <v>164.19400000000002</v>
      </c>
      <c r="EQ140" s="64">
        <v>0</v>
      </c>
      <c r="ER140" s="64">
        <v>0</v>
      </c>
      <c r="ES140" s="753">
        <f t="shared" si="418"/>
        <v>164.19400000000002</v>
      </c>
      <c r="ET140" s="64">
        <v>0</v>
      </c>
      <c r="EU140" s="64">
        <v>7</v>
      </c>
      <c r="EV140" s="753">
        <f t="shared" si="419"/>
        <v>157.19400000000002</v>
      </c>
      <c r="EW140" s="64">
        <v>0</v>
      </c>
      <c r="EX140" s="64">
        <v>20</v>
      </c>
      <c r="EY140" s="753">
        <f t="shared" si="420"/>
        <v>137.19400000000002</v>
      </c>
    </row>
    <row r="141" spans="1:155" ht="33">
      <c r="A141" s="201"/>
      <c r="B141" s="184"/>
      <c r="C141" s="111">
        <v>100534364</v>
      </c>
      <c r="D141" s="406" t="s">
        <v>402</v>
      </c>
      <c r="E141" s="187"/>
      <c r="F141" s="64"/>
      <c r="G141" s="65"/>
      <c r="H141" s="187"/>
      <c r="I141" s="64"/>
      <c r="J141" s="65"/>
      <c r="K141" s="187"/>
      <c r="L141" s="64"/>
      <c r="M141" s="65"/>
      <c r="N141" s="187"/>
      <c r="O141" s="64"/>
      <c r="P141" s="65"/>
      <c r="Q141" s="187"/>
      <c r="R141" s="64"/>
      <c r="S141" s="65"/>
      <c r="T141" s="187"/>
      <c r="U141" s="64"/>
      <c r="V141" s="65"/>
      <c r="W141" s="187"/>
      <c r="X141" s="64"/>
      <c r="Y141" s="65"/>
      <c r="Z141" s="187"/>
      <c r="AA141" s="64"/>
      <c r="AB141" s="65"/>
      <c r="AC141" s="187"/>
      <c r="AD141" s="64"/>
      <c r="AE141" s="65"/>
      <c r="AF141" s="187"/>
      <c r="AG141" s="64"/>
      <c r="AH141" s="65"/>
      <c r="AI141" s="187"/>
      <c r="AJ141" s="64"/>
      <c r="AK141" s="65"/>
      <c r="AL141" s="187"/>
      <c r="AM141" s="64"/>
      <c r="AN141" s="65"/>
      <c r="AO141" s="187"/>
      <c r="AP141" s="64"/>
      <c r="AQ141" s="65"/>
      <c r="AR141" s="187"/>
      <c r="AS141" s="64"/>
      <c r="AT141" s="65"/>
      <c r="AU141" s="187"/>
      <c r="AV141" s="64"/>
      <c r="AW141" s="65"/>
      <c r="AX141" s="187"/>
      <c r="AY141" s="64"/>
      <c r="AZ141" s="65"/>
      <c r="BA141" s="187"/>
      <c r="BB141" s="64"/>
      <c r="BC141" s="65"/>
      <c r="BD141" s="187"/>
      <c r="BE141" s="64"/>
      <c r="BF141" s="65"/>
      <c r="BG141" s="187"/>
      <c r="BH141" s="64"/>
      <c r="BI141" s="65"/>
      <c r="BJ141" s="187"/>
      <c r="BK141" s="64"/>
      <c r="BL141" s="65"/>
      <c r="BM141" s="187"/>
      <c r="BN141" s="64"/>
      <c r="BO141" s="65"/>
      <c r="BP141" s="187"/>
      <c r="BQ141" s="64"/>
      <c r="BR141" s="65"/>
      <c r="BS141" s="187"/>
      <c r="BT141" s="64"/>
      <c r="BU141" s="65"/>
      <c r="BV141" s="187"/>
      <c r="BW141" s="64"/>
      <c r="BX141" s="65"/>
      <c r="BY141" s="187"/>
      <c r="BZ141" s="64"/>
      <c r="CA141" s="65"/>
      <c r="CB141" s="187"/>
      <c r="CC141" s="64"/>
      <c r="CD141" s="65"/>
      <c r="CE141" s="187"/>
      <c r="CF141" s="64"/>
      <c r="CG141" s="64"/>
      <c r="CH141" s="187"/>
      <c r="CI141" s="64"/>
      <c r="CJ141" s="64"/>
      <c r="CK141" s="220"/>
      <c r="CL141" s="70"/>
      <c r="CM141" s="221"/>
      <c r="CN141" s="187">
        <v>0</v>
      </c>
      <c r="CO141" s="78"/>
      <c r="CP141" s="78"/>
      <c r="CQ141" s="218"/>
      <c r="CR141" s="78"/>
      <c r="CS141" s="78"/>
      <c r="CT141" s="407"/>
      <c r="CU141" s="267"/>
      <c r="CV141" s="78"/>
      <c r="CW141" s="218"/>
      <c r="CX141" s="78"/>
      <c r="CY141" s="78"/>
      <c r="CZ141" s="218">
        <v>0</v>
      </c>
      <c r="DA141" s="78">
        <v>0</v>
      </c>
      <c r="DB141" s="78">
        <v>0</v>
      </c>
      <c r="DC141" s="218">
        <f t="shared" si="405"/>
        <v>0</v>
      </c>
      <c r="DD141" s="78">
        <v>0</v>
      </c>
      <c r="DE141" s="78">
        <v>0</v>
      </c>
      <c r="DF141" s="218">
        <f>(DC141+DD141)-(DE141)</f>
        <v>0</v>
      </c>
      <c r="DG141" s="78">
        <v>0</v>
      </c>
      <c r="DH141" s="78">
        <v>0</v>
      </c>
      <c r="DI141" s="218">
        <f t="shared" si="406"/>
        <v>0</v>
      </c>
      <c r="DJ141" s="78">
        <v>0</v>
      </c>
      <c r="DK141" s="78">
        <v>0</v>
      </c>
      <c r="DL141" s="218">
        <f t="shared" si="407"/>
        <v>0</v>
      </c>
      <c r="DM141" s="78">
        <v>3</v>
      </c>
      <c r="DN141" s="78">
        <v>0.9</v>
      </c>
      <c r="DO141" s="218">
        <f t="shared" si="408"/>
        <v>2.1</v>
      </c>
      <c r="DP141" s="64">
        <v>1.92</v>
      </c>
      <c r="DQ141" s="64">
        <v>0</v>
      </c>
      <c r="DR141" s="187">
        <f t="shared" si="409"/>
        <v>4.0199999999999996</v>
      </c>
      <c r="DS141" s="64">
        <v>0</v>
      </c>
      <c r="DT141" s="64">
        <v>0</v>
      </c>
      <c r="DU141" s="187">
        <f t="shared" si="410"/>
        <v>4.0199999999999996</v>
      </c>
      <c r="DV141" s="64">
        <v>0</v>
      </c>
      <c r="DW141" s="64">
        <v>0</v>
      </c>
      <c r="DX141" s="753">
        <f t="shared" si="411"/>
        <v>4.0199999999999996</v>
      </c>
      <c r="DY141" s="64">
        <v>0</v>
      </c>
      <c r="DZ141" s="64">
        <v>0</v>
      </c>
      <c r="EA141" s="187">
        <f t="shared" si="412"/>
        <v>4.0199999999999996</v>
      </c>
      <c r="EB141" s="64">
        <v>0</v>
      </c>
      <c r="EC141" s="64">
        <v>0</v>
      </c>
      <c r="ED141" s="187">
        <f t="shared" si="413"/>
        <v>4.0199999999999996</v>
      </c>
      <c r="EE141" s="64">
        <v>0</v>
      </c>
      <c r="EF141" s="64">
        <v>0</v>
      </c>
      <c r="EG141" s="753">
        <f t="shared" si="414"/>
        <v>4.0199999999999996</v>
      </c>
      <c r="EH141" s="64">
        <v>0</v>
      </c>
      <c r="EI141" s="64">
        <v>0</v>
      </c>
      <c r="EJ141" s="187">
        <f t="shared" si="415"/>
        <v>4.0199999999999996</v>
      </c>
      <c r="EK141" s="64">
        <v>0</v>
      </c>
      <c r="EL141" s="64">
        <v>0</v>
      </c>
      <c r="EM141" s="187">
        <f t="shared" si="416"/>
        <v>4.0199999999999996</v>
      </c>
      <c r="EN141" s="64">
        <v>0</v>
      </c>
      <c r="EO141" s="64">
        <v>0</v>
      </c>
      <c r="EP141" s="753">
        <f t="shared" si="417"/>
        <v>4.0199999999999996</v>
      </c>
      <c r="EQ141" s="64">
        <v>0</v>
      </c>
      <c r="ER141" s="64">
        <v>0</v>
      </c>
      <c r="ES141" s="753">
        <f t="shared" si="418"/>
        <v>4.0199999999999996</v>
      </c>
      <c r="ET141" s="64">
        <v>0</v>
      </c>
      <c r="EU141" s="64">
        <v>0</v>
      </c>
      <c r="EV141" s="753">
        <f t="shared" si="419"/>
        <v>4.0199999999999996</v>
      </c>
      <c r="EW141" s="64">
        <v>0</v>
      </c>
      <c r="EX141" s="64">
        <v>0</v>
      </c>
      <c r="EY141" s="753">
        <f t="shared" si="420"/>
        <v>4.0199999999999996</v>
      </c>
    </row>
    <row r="142" spans="1:155" ht="33">
      <c r="A142" s="201"/>
      <c r="B142" s="184"/>
      <c r="C142" s="111">
        <v>100607641</v>
      </c>
      <c r="D142" s="406" t="s">
        <v>271</v>
      </c>
      <c r="E142" s="187"/>
      <c r="F142" s="64"/>
      <c r="G142" s="65"/>
      <c r="H142" s="187"/>
      <c r="I142" s="64"/>
      <c r="J142" s="65"/>
      <c r="K142" s="187"/>
      <c r="L142" s="64"/>
      <c r="M142" s="65"/>
      <c r="N142" s="187"/>
      <c r="O142" s="64"/>
      <c r="P142" s="65"/>
      <c r="Q142" s="187"/>
      <c r="R142" s="64"/>
      <c r="S142" s="65"/>
      <c r="T142" s="187"/>
      <c r="U142" s="64"/>
      <c r="V142" s="65"/>
      <c r="W142" s="187"/>
      <c r="X142" s="64"/>
      <c r="Y142" s="65"/>
      <c r="Z142" s="187"/>
      <c r="AA142" s="64"/>
      <c r="AB142" s="65"/>
      <c r="AC142" s="187"/>
      <c r="AD142" s="64"/>
      <c r="AE142" s="65"/>
      <c r="AF142" s="187"/>
      <c r="AG142" s="64"/>
      <c r="AH142" s="65"/>
      <c r="AI142" s="187"/>
      <c r="AJ142" s="64"/>
      <c r="AK142" s="65"/>
      <c r="AL142" s="187"/>
      <c r="AM142" s="64"/>
      <c r="AN142" s="65"/>
      <c r="AO142" s="187"/>
      <c r="AP142" s="64"/>
      <c r="AQ142" s="65"/>
      <c r="AR142" s="187"/>
      <c r="AS142" s="64"/>
      <c r="AT142" s="65"/>
      <c r="AU142" s="187"/>
      <c r="AV142" s="64"/>
      <c r="AW142" s="65"/>
      <c r="AX142" s="187"/>
      <c r="AY142" s="64"/>
      <c r="AZ142" s="65"/>
      <c r="BA142" s="187"/>
      <c r="BB142" s="64"/>
      <c r="BC142" s="65"/>
      <c r="BD142" s="187"/>
      <c r="BE142" s="64"/>
      <c r="BF142" s="65"/>
      <c r="BG142" s="187"/>
      <c r="BH142" s="64"/>
      <c r="BI142" s="65"/>
      <c r="BJ142" s="187"/>
      <c r="BK142" s="64"/>
      <c r="BL142" s="65"/>
      <c r="BM142" s="187"/>
      <c r="BN142" s="64"/>
      <c r="BO142" s="65"/>
      <c r="BP142" s="187"/>
      <c r="BQ142" s="64"/>
      <c r="BR142" s="65"/>
      <c r="BS142" s="187"/>
      <c r="BT142" s="64"/>
      <c r="BU142" s="65"/>
      <c r="BV142" s="187"/>
      <c r="BW142" s="64"/>
      <c r="BX142" s="65"/>
      <c r="BY142" s="187"/>
      <c r="BZ142" s="64"/>
      <c r="CA142" s="65"/>
      <c r="CB142" s="187"/>
      <c r="CC142" s="64"/>
      <c r="CD142" s="65"/>
      <c r="CE142" s="187"/>
      <c r="CF142" s="64"/>
      <c r="CG142" s="64"/>
      <c r="CH142" s="187"/>
      <c r="CI142" s="64"/>
      <c r="CJ142" s="64"/>
      <c r="CK142" s="220"/>
      <c r="CL142" s="70"/>
      <c r="CM142" s="221"/>
      <c r="CN142" s="187">
        <v>0</v>
      </c>
      <c r="CO142" s="78"/>
      <c r="CP142" s="78"/>
      <c r="CQ142" s="218"/>
      <c r="CR142" s="78"/>
      <c r="CS142" s="78"/>
      <c r="CT142" s="407"/>
      <c r="CU142" s="267"/>
      <c r="CV142" s="78"/>
      <c r="CW142" s="218"/>
      <c r="CX142" s="78"/>
      <c r="CY142" s="78"/>
      <c r="CZ142" s="218"/>
      <c r="DA142" s="78"/>
      <c r="DB142" s="78"/>
      <c r="DC142" s="218"/>
      <c r="DD142" s="78"/>
      <c r="DE142" s="78"/>
      <c r="DF142" s="218">
        <v>0</v>
      </c>
      <c r="DG142" s="78"/>
      <c r="DH142" s="78"/>
      <c r="DI142" s="218">
        <v>0</v>
      </c>
      <c r="DJ142" s="78">
        <v>0</v>
      </c>
      <c r="DK142" s="78">
        <v>0</v>
      </c>
      <c r="DL142" s="218">
        <f t="shared" si="407"/>
        <v>0</v>
      </c>
      <c r="DM142" s="78">
        <v>0</v>
      </c>
      <c r="DN142" s="78">
        <v>0</v>
      </c>
      <c r="DO142" s="218">
        <f t="shared" si="408"/>
        <v>0</v>
      </c>
      <c r="DP142" s="64">
        <v>0</v>
      </c>
      <c r="DQ142" s="64">
        <v>0</v>
      </c>
      <c r="DR142" s="187">
        <f t="shared" si="409"/>
        <v>0</v>
      </c>
      <c r="DS142" s="64">
        <v>0</v>
      </c>
      <c r="DT142" s="64">
        <v>0</v>
      </c>
      <c r="DU142" s="187">
        <f t="shared" si="410"/>
        <v>0</v>
      </c>
      <c r="DV142" s="64">
        <v>0</v>
      </c>
      <c r="DW142" s="64">
        <v>0</v>
      </c>
      <c r="DX142" s="753">
        <f t="shared" si="411"/>
        <v>0</v>
      </c>
      <c r="DY142" s="64">
        <v>0</v>
      </c>
      <c r="DZ142" s="64">
        <v>0</v>
      </c>
      <c r="EA142" s="187">
        <f t="shared" si="412"/>
        <v>0</v>
      </c>
      <c r="EB142" s="64">
        <v>0</v>
      </c>
      <c r="EC142" s="64">
        <v>0</v>
      </c>
      <c r="ED142" s="187">
        <f t="shared" si="413"/>
        <v>0</v>
      </c>
      <c r="EE142" s="64">
        <v>0</v>
      </c>
      <c r="EF142" s="64">
        <v>0</v>
      </c>
      <c r="EG142" s="753">
        <f t="shared" si="414"/>
        <v>0</v>
      </c>
      <c r="EH142" s="64">
        <v>0</v>
      </c>
      <c r="EI142" s="64">
        <v>0</v>
      </c>
      <c r="EJ142" s="187">
        <f t="shared" si="415"/>
        <v>0</v>
      </c>
      <c r="EK142" s="64">
        <v>0</v>
      </c>
      <c r="EL142" s="64">
        <v>0</v>
      </c>
      <c r="EM142" s="187">
        <f t="shared" si="416"/>
        <v>0</v>
      </c>
      <c r="EN142" s="64">
        <v>0</v>
      </c>
      <c r="EO142" s="64">
        <v>0</v>
      </c>
      <c r="EP142" s="753">
        <f t="shared" si="417"/>
        <v>0</v>
      </c>
      <c r="EQ142" s="64">
        <v>0</v>
      </c>
      <c r="ER142" s="64">
        <v>0</v>
      </c>
      <c r="ES142" s="753">
        <f t="shared" si="418"/>
        <v>0</v>
      </c>
      <c r="ET142" s="64">
        <v>0</v>
      </c>
      <c r="EU142" s="64">
        <v>0</v>
      </c>
      <c r="EV142" s="753">
        <f t="shared" si="419"/>
        <v>0</v>
      </c>
      <c r="EW142" s="64">
        <v>0</v>
      </c>
      <c r="EX142" s="64">
        <v>0</v>
      </c>
      <c r="EY142" s="753">
        <f t="shared" si="420"/>
        <v>0</v>
      </c>
    </row>
    <row r="143" spans="1:155" ht="33">
      <c r="A143" s="201"/>
      <c r="B143" s="184"/>
      <c r="C143" s="111">
        <v>100586060</v>
      </c>
      <c r="D143" s="406" t="s">
        <v>403</v>
      </c>
      <c r="E143" s="187"/>
      <c r="F143" s="64"/>
      <c r="G143" s="65"/>
      <c r="H143" s="187"/>
      <c r="I143" s="64"/>
      <c r="J143" s="65"/>
      <c r="K143" s="187"/>
      <c r="L143" s="64"/>
      <c r="M143" s="65"/>
      <c r="N143" s="187"/>
      <c r="O143" s="64"/>
      <c r="P143" s="65"/>
      <c r="Q143" s="187"/>
      <c r="R143" s="64"/>
      <c r="S143" s="65"/>
      <c r="T143" s="187"/>
      <c r="U143" s="64"/>
      <c r="V143" s="65"/>
      <c r="W143" s="187"/>
      <c r="X143" s="64"/>
      <c r="Y143" s="65"/>
      <c r="Z143" s="187"/>
      <c r="AA143" s="64"/>
      <c r="AB143" s="65"/>
      <c r="AC143" s="187"/>
      <c r="AD143" s="64"/>
      <c r="AE143" s="65"/>
      <c r="AF143" s="187"/>
      <c r="AG143" s="64"/>
      <c r="AH143" s="65"/>
      <c r="AI143" s="187"/>
      <c r="AJ143" s="64"/>
      <c r="AK143" s="65"/>
      <c r="AL143" s="187"/>
      <c r="AM143" s="64"/>
      <c r="AN143" s="65"/>
      <c r="AO143" s="187"/>
      <c r="AP143" s="64"/>
      <c r="AQ143" s="65"/>
      <c r="AR143" s="187"/>
      <c r="AS143" s="64"/>
      <c r="AT143" s="65"/>
      <c r="AU143" s="187"/>
      <c r="AV143" s="64"/>
      <c r="AW143" s="65"/>
      <c r="AX143" s="187"/>
      <c r="AY143" s="64"/>
      <c r="AZ143" s="65"/>
      <c r="BA143" s="187"/>
      <c r="BB143" s="64"/>
      <c r="BC143" s="65"/>
      <c r="BD143" s="187"/>
      <c r="BE143" s="64"/>
      <c r="BF143" s="65"/>
      <c r="BG143" s="187"/>
      <c r="BH143" s="64"/>
      <c r="BI143" s="65"/>
      <c r="BJ143" s="187"/>
      <c r="BK143" s="340"/>
      <c r="BL143" s="65"/>
      <c r="BM143" s="187"/>
      <c r="BN143" s="340"/>
      <c r="BO143" s="65"/>
      <c r="BP143" s="187"/>
      <c r="BQ143" s="64"/>
      <c r="BR143" s="65"/>
      <c r="BS143" s="187"/>
      <c r="BT143" s="64"/>
      <c r="BU143" s="65"/>
      <c r="BV143" s="187"/>
      <c r="BW143" s="64"/>
      <c r="BX143" s="65"/>
      <c r="BY143" s="187"/>
      <c r="BZ143" s="64"/>
      <c r="CA143" s="65"/>
      <c r="CB143" s="187"/>
      <c r="CC143" s="64"/>
      <c r="CD143" s="65"/>
      <c r="CE143" s="187"/>
      <c r="CF143" s="64"/>
      <c r="CG143" s="64"/>
      <c r="CH143" s="187"/>
      <c r="CI143" s="64"/>
      <c r="CJ143" s="64"/>
      <c r="CK143" s="220"/>
      <c r="CL143" s="70"/>
      <c r="CM143" s="221"/>
      <c r="CN143" s="187">
        <v>0</v>
      </c>
      <c r="CO143" s="64"/>
      <c r="CP143" s="64"/>
      <c r="CQ143" s="187"/>
      <c r="CR143" s="64"/>
      <c r="CS143" s="64"/>
      <c r="CT143" s="220"/>
      <c r="CU143" s="81"/>
      <c r="CV143" s="64"/>
      <c r="CW143" s="187"/>
      <c r="CX143" s="64"/>
      <c r="CY143" s="64"/>
      <c r="CZ143" s="187">
        <v>0</v>
      </c>
      <c r="DA143" s="64">
        <v>1.5549999999999999</v>
      </c>
      <c r="DB143" s="64">
        <v>1.4999999999999999E-2</v>
      </c>
      <c r="DC143" s="187">
        <f t="shared" ref="DC143:DC152" si="421">(CZ143+DA143)-(DB143)</f>
        <v>1.54</v>
      </c>
      <c r="DD143" s="64">
        <v>0.99</v>
      </c>
      <c r="DE143" s="64">
        <v>0</v>
      </c>
      <c r="DF143" s="187">
        <v>0</v>
      </c>
      <c r="DG143" s="64">
        <v>2.218</v>
      </c>
      <c r="DH143" s="64">
        <v>0</v>
      </c>
      <c r="DI143" s="187">
        <f t="shared" ref="DI143:DI152" si="422">(DF143+DG143)-(DH143)</f>
        <v>2.218</v>
      </c>
      <c r="DJ143" s="64">
        <v>0.84799999999999998</v>
      </c>
      <c r="DK143" s="64">
        <v>6.6000000000000003E-2</v>
      </c>
      <c r="DL143" s="187">
        <f t="shared" si="407"/>
        <v>3</v>
      </c>
      <c r="DM143" s="64">
        <v>1.1519999999999999</v>
      </c>
      <c r="DN143" s="64">
        <v>2.016</v>
      </c>
      <c r="DO143" s="187">
        <f t="shared" si="408"/>
        <v>2.1360000000000001</v>
      </c>
      <c r="DP143" s="64">
        <v>0</v>
      </c>
      <c r="DQ143" s="64">
        <v>9.6000000000000002E-2</v>
      </c>
      <c r="DR143" s="187">
        <f t="shared" si="409"/>
        <v>2.04</v>
      </c>
      <c r="DS143" s="64">
        <v>0</v>
      </c>
      <c r="DT143" s="64">
        <v>0</v>
      </c>
      <c r="DU143" s="187">
        <f t="shared" si="410"/>
        <v>2.04</v>
      </c>
      <c r="DV143" s="64">
        <v>3.24</v>
      </c>
      <c r="DW143" s="64">
        <v>0.3</v>
      </c>
      <c r="DX143" s="753">
        <f t="shared" si="411"/>
        <v>4.9800000000000004</v>
      </c>
      <c r="DY143" s="64">
        <v>11.43</v>
      </c>
      <c r="DZ143" s="64">
        <f>0.793</f>
        <v>0.79300000000000004</v>
      </c>
      <c r="EA143" s="187">
        <f t="shared" si="412"/>
        <v>15.617000000000001</v>
      </c>
      <c r="EB143" s="64">
        <v>0</v>
      </c>
      <c r="EC143" s="64">
        <v>0</v>
      </c>
      <c r="ED143" s="187">
        <f t="shared" si="413"/>
        <v>15.617000000000001</v>
      </c>
      <c r="EE143" s="64">
        <v>0</v>
      </c>
      <c r="EF143" s="64">
        <v>0</v>
      </c>
      <c r="EG143" s="753">
        <f t="shared" si="414"/>
        <v>15.617000000000001</v>
      </c>
      <c r="EH143" s="64">
        <v>0</v>
      </c>
      <c r="EI143" s="821">
        <v>1.1000000000000001</v>
      </c>
      <c r="EJ143" s="187">
        <f t="shared" si="415"/>
        <v>14.517000000000001</v>
      </c>
      <c r="EK143" s="64">
        <v>0</v>
      </c>
      <c r="EL143" s="821">
        <v>0</v>
      </c>
      <c r="EM143" s="187">
        <f t="shared" si="416"/>
        <v>14.517000000000001</v>
      </c>
      <c r="EN143" s="64">
        <v>0</v>
      </c>
      <c r="EO143" s="821">
        <v>0</v>
      </c>
      <c r="EP143" s="753">
        <f t="shared" si="417"/>
        <v>14.517000000000001</v>
      </c>
      <c r="EQ143" s="64">
        <v>0</v>
      </c>
      <c r="ER143" s="64">
        <v>0</v>
      </c>
      <c r="ES143" s="753">
        <f t="shared" si="418"/>
        <v>14.517000000000001</v>
      </c>
      <c r="ET143" s="64">
        <v>0</v>
      </c>
      <c r="EU143" s="64">
        <v>0</v>
      </c>
      <c r="EV143" s="753">
        <f t="shared" si="419"/>
        <v>14.517000000000001</v>
      </c>
      <c r="EW143" s="64">
        <v>0</v>
      </c>
      <c r="EX143" s="64">
        <v>0</v>
      </c>
      <c r="EY143" s="753">
        <f t="shared" si="420"/>
        <v>14.517000000000001</v>
      </c>
    </row>
    <row r="144" spans="1:155" ht="33">
      <c r="A144" s="201"/>
      <c r="B144" s="184"/>
      <c r="C144" s="111"/>
      <c r="D144" s="406" t="s">
        <v>404</v>
      </c>
      <c r="E144" s="187"/>
      <c r="F144" s="64"/>
      <c r="G144" s="65"/>
      <c r="H144" s="187"/>
      <c r="I144" s="64"/>
      <c r="J144" s="65"/>
      <c r="K144" s="187"/>
      <c r="L144" s="64"/>
      <c r="M144" s="65"/>
      <c r="N144" s="187"/>
      <c r="O144" s="64"/>
      <c r="P144" s="65"/>
      <c r="Q144" s="187"/>
      <c r="R144" s="64"/>
      <c r="S144" s="65"/>
      <c r="T144" s="187"/>
      <c r="U144" s="64"/>
      <c r="V144" s="65"/>
      <c r="W144" s="187"/>
      <c r="X144" s="64"/>
      <c r="Y144" s="65"/>
      <c r="Z144" s="187"/>
      <c r="AA144" s="64"/>
      <c r="AB144" s="65"/>
      <c r="AC144" s="187"/>
      <c r="AD144" s="64"/>
      <c r="AE144" s="65"/>
      <c r="AF144" s="187"/>
      <c r="AG144" s="64"/>
      <c r="AH144" s="65"/>
      <c r="AI144" s="187"/>
      <c r="AJ144" s="64"/>
      <c r="AK144" s="65"/>
      <c r="AL144" s="187"/>
      <c r="AM144" s="64"/>
      <c r="AN144" s="65"/>
      <c r="AO144" s="187"/>
      <c r="AP144" s="64"/>
      <c r="AQ144" s="65"/>
      <c r="AR144" s="187"/>
      <c r="AS144" s="64"/>
      <c r="AT144" s="65"/>
      <c r="AU144" s="187"/>
      <c r="AV144" s="64"/>
      <c r="AW144" s="65"/>
      <c r="AX144" s="187"/>
      <c r="AY144" s="64"/>
      <c r="AZ144" s="65"/>
      <c r="BA144" s="187"/>
      <c r="BB144" s="64"/>
      <c r="BC144" s="65"/>
      <c r="BD144" s="187"/>
      <c r="BE144" s="64"/>
      <c r="BF144" s="65"/>
      <c r="BG144" s="187"/>
      <c r="BH144" s="64"/>
      <c r="BI144" s="65"/>
      <c r="BJ144" s="187"/>
      <c r="BK144" s="340"/>
      <c r="BL144" s="65"/>
      <c r="BM144" s="187"/>
      <c r="BN144" s="340"/>
      <c r="BO144" s="65"/>
      <c r="BP144" s="187"/>
      <c r="BQ144" s="64"/>
      <c r="BR144" s="65"/>
      <c r="BS144" s="187"/>
      <c r="BT144" s="64"/>
      <c r="BU144" s="65"/>
      <c r="BV144" s="187"/>
      <c r="BW144" s="64"/>
      <c r="BX144" s="65"/>
      <c r="BY144" s="187"/>
      <c r="BZ144" s="64"/>
      <c r="CA144" s="65"/>
      <c r="CB144" s="187"/>
      <c r="CC144" s="64"/>
      <c r="CD144" s="65"/>
      <c r="CE144" s="187"/>
      <c r="CF144" s="64"/>
      <c r="CG144" s="64"/>
      <c r="CH144" s="187"/>
      <c r="CI144" s="64"/>
      <c r="CJ144" s="64"/>
      <c r="CK144" s="220"/>
      <c r="CL144" s="70"/>
      <c r="CM144" s="221"/>
      <c r="CN144" s="187">
        <v>0</v>
      </c>
      <c r="CO144" s="64"/>
      <c r="CP144" s="64"/>
      <c r="CQ144" s="187"/>
      <c r="CR144" s="64"/>
      <c r="CS144" s="64"/>
      <c r="CT144" s="220"/>
      <c r="CU144" s="81"/>
      <c r="CV144" s="64"/>
      <c r="CW144" s="187"/>
      <c r="CX144" s="64"/>
      <c r="CY144" s="64"/>
      <c r="CZ144" s="187">
        <v>0</v>
      </c>
      <c r="DA144" s="64">
        <v>0</v>
      </c>
      <c r="DB144" s="64">
        <v>0</v>
      </c>
      <c r="DC144" s="187">
        <f t="shared" si="421"/>
        <v>0</v>
      </c>
      <c r="DD144" s="64">
        <v>0</v>
      </c>
      <c r="DE144" s="64">
        <v>0</v>
      </c>
      <c r="DF144" s="187">
        <f t="shared" ref="DF144:DF152" si="423">(DC144+DD144)-(DE144)</f>
        <v>0</v>
      </c>
      <c r="DG144" s="64">
        <v>0</v>
      </c>
      <c r="DH144" s="64">
        <v>0</v>
      </c>
      <c r="DI144" s="187">
        <f t="shared" si="422"/>
        <v>0</v>
      </c>
      <c r="DJ144" s="64">
        <v>0</v>
      </c>
      <c r="DK144" s="64">
        <v>0</v>
      </c>
      <c r="DL144" s="187">
        <f t="shared" si="407"/>
        <v>0</v>
      </c>
      <c r="DM144" s="64">
        <v>0</v>
      </c>
      <c r="DN144" s="64">
        <v>0</v>
      </c>
      <c r="DO144" s="187">
        <f t="shared" si="408"/>
        <v>0</v>
      </c>
      <c r="DP144" s="64">
        <v>0</v>
      </c>
      <c r="DQ144" s="64">
        <v>0</v>
      </c>
      <c r="DR144" s="187">
        <f t="shared" si="409"/>
        <v>0</v>
      </c>
      <c r="DS144" s="64">
        <v>0</v>
      </c>
      <c r="DT144" s="64">
        <v>0</v>
      </c>
      <c r="DU144" s="187">
        <f t="shared" si="410"/>
        <v>0</v>
      </c>
      <c r="DV144" s="64">
        <v>0</v>
      </c>
      <c r="DW144" s="64">
        <v>0</v>
      </c>
      <c r="DX144" s="753">
        <f t="shared" si="411"/>
        <v>0</v>
      </c>
      <c r="DY144" s="64">
        <v>0</v>
      </c>
      <c r="DZ144" s="64">
        <v>0</v>
      </c>
      <c r="EA144" s="187">
        <f t="shared" si="412"/>
        <v>0</v>
      </c>
      <c r="EB144" s="64">
        <v>0</v>
      </c>
      <c r="EC144" s="64">
        <v>0</v>
      </c>
      <c r="ED144" s="187">
        <f t="shared" si="413"/>
        <v>0</v>
      </c>
      <c r="EE144" s="64">
        <v>0</v>
      </c>
      <c r="EF144" s="64">
        <v>0</v>
      </c>
      <c r="EG144" s="753">
        <f t="shared" si="414"/>
        <v>0</v>
      </c>
      <c r="EH144" s="64">
        <v>0</v>
      </c>
      <c r="EI144" s="64">
        <v>0</v>
      </c>
      <c r="EJ144" s="187">
        <f t="shared" si="415"/>
        <v>0</v>
      </c>
      <c r="EK144" s="64">
        <v>0</v>
      </c>
      <c r="EL144" s="64">
        <v>0</v>
      </c>
      <c r="EM144" s="187">
        <f t="shared" si="416"/>
        <v>0</v>
      </c>
      <c r="EN144" s="64">
        <v>0</v>
      </c>
      <c r="EO144" s="64">
        <v>0</v>
      </c>
      <c r="EP144" s="753">
        <f t="shared" si="417"/>
        <v>0</v>
      </c>
      <c r="EQ144" s="64">
        <v>0</v>
      </c>
      <c r="ER144" s="64">
        <v>0</v>
      </c>
      <c r="ES144" s="753">
        <f t="shared" si="418"/>
        <v>0</v>
      </c>
      <c r="ET144" s="64">
        <v>0</v>
      </c>
      <c r="EU144" s="64">
        <v>0</v>
      </c>
      <c r="EV144" s="753">
        <f t="shared" si="419"/>
        <v>0</v>
      </c>
      <c r="EW144" s="64">
        <v>0</v>
      </c>
      <c r="EX144" s="64">
        <v>0</v>
      </c>
      <c r="EY144" s="753">
        <f t="shared" si="420"/>
        <v>0</v>
      </c>
    </row>
    <row r="145" spans="1:155" ht="33">
      <c r="A145" s="201"/>
      <c r="B145" s="184"/>
      <c r="C145" s="777" t="s">
        <v>432</v>
      </c>
      <c r="D145" s="728" t="s">
        <v>405</v>
      </c>
      <c r="E145" s="729"/>
      <c r="F145" s="730"/>
      <c r="G145" s="731"/>
      <c r="H145" s="729"/>
      <c r="I145" s="730"/>
      <c r="J145" s="731"/>
      <c r="K145" s="729"/>
      <c r="L145" s="730"/>
      <c r="M145" s="731"/>
      <c r="N145" s="729"/>
      <c r="O145" s="730"/>
      <c r="P145" s="731"/>
      <c r="Q145" s="729"/>
      <c r="R145" s="730"/>
      <c r="S145" s="731"/>
      <c r="T145" s="729"/>
      <c r="U145" s="730"/>
      <c r="V145" s="731"/>
      <c r="W145" s="729"/>
      <c r="X145" s="730"/>
      <c r="Y145" s="731"/>
      <c r="Z145" s="729"/>
      <c r="AA145" s="730"/>
      <c r="AB145" s="731"/>
      <c r="AC145" s="729"/>
      <c r="AD145" s="730"/>
      <c r="AE145" s="731"/>
      <c r="AF145" s="729"/>
      <c r="AG145" s="730"/>
      <c r="AH145" s="731"/>
      <c r="AI145" s="729"/>
      <c r="AJ145" s="730"/>
      <c r="AK145" s="731"/>
      <c r="AL145" s="729"/>
      <c r="AM145" s="730"/>
      <c r="AN145" s="731"/>
      <c r="AO145" s="729"/>
      <c r="AP145" s="730"/>
      <c r="AQ145" s="731"/>
      <c r="AR145" s="729"/>
      <c r="AS145" s="730"/>
      <c r="AT145" s="731"/>
      <c r="AU145" s="729"/>
      <c r="AV145" s="730"/>
      <c r="AW145" s="731"/>
      <c r="AX145" s="729"/>
      <c r="AY145" s="730"/>
      <c r="AZ145" s="731"/>
      <c r="BA145" s="729"/>
      <c r="BB145" s="730"/>
      <c r="BC145" s="731"/>
      <c r="BD145" s="729"/>
      <c r="BE145" s="730"/>
      <c r="BF145" s="731"/>
      <c r="BG145" s="729"/>
      <c r="BH145" s="730"/>
      <c r="BI145" s="731"/>
      <c r="BJ145" s="729"/>
      <c r="BK145" s="730"/>
      <c r="BL145" s="731"/>
      <c r="BM145" s="729"/>
      <c r="BN145" s="730"/>
      <c r="BO145" s="731"/>
      <c r="BP145" s="729"/>
      <c r="BQ145" s="730"/>
      <c r="BR145" s="731"/>
      <c r="BS145" s="729"/>
      <c r="BT145" s="730"/>
      <c r="BU145" s="731"/>
      <c r="BV145" s="729"/>
      <c r="BW145" s="730"/>
      <c r="BX145" s="731"/>
      <c r="BY145" s="729"/>
      <c r="BZ145" s="730"/>
      <c r="CA145" s="731"/>
      <c r="CB145" s="729"/>
      <c r="CC145" s="730"/>
      <c r="CD145" s="731"/>
      <c r="CE145" s="729"/>
      <c r="CF145" s="730"/>
      <c r="CG145" s="730"/>
      <c r="CH145" s="729"/>
      <c r="CI145" s="730"/>
      <c r="CJ145" s="730"/>
      <c r="CK145" s="732"/>
      <c r="CL145" s="733"/>
      <c r="CM145" s="734"/>
      <c r="CN145" s="729">
        <v>0</v>
      </c>
      <c r="CO145" s="730"/>
      <c r="CP145" s="730"/>
      <c r="CQ145" s="729"/>
      <c r="CR145" s="730"/>
      <c r="CS145" s="730"/>
      <c r="CT145" s="732"/>
      <c r="CU145" s="735"/>
      <c r="CV145" s="730"/>
      <c r="CW145" s="729"/>
      <c r="CX145" s="730"/>
      <c r="CY145" s="730"/>
      <c r="CZ145" s="729">
        <v>0</v>
      </c>
      <c r="DA145" s="730">
        <v>0</v>
      </c>
      <c r="DB145" s="730">
        <v>0</v>
      </c>
      <c r="DC145" s="729">
        <f t="shared" si="421"/>
        <v>0</v>
      </c>
      <c r="DD145" s="730">
        <v>0</v>
      </c>
      <c r="DE145" s="730">
        <v>0</v>
      </c>
      <c r="DF145" s="729">
        <f t="shared" si="423"/>
        <v>0</v>
      </c>
      <c r="DG145" s="730">
        <v>0</v>
      </c>
      <c r="DH145" s="730">
        <v>0</v>
      </c>
      <c r="DI145" s="729">
        <f t="shared" si="422"/>
        <v>0</v>
      </c>
      <c r="DJ145" s="730">
        <v>0</v>
      </c>
      <c r="DK145" s="730">
        <v>0</v>
      </c>
      <c r="DL145" s="729">
        <f t="shared" si="407"/>
        <v>0</v>
      </c>
      <c r="DM145" s="730">
        <v>0</v>
      </c>
      <c r="DN145" s="730">
        <v>0</v>
      </c>
      <c r="DO145" s="729">
        <f t="shared" si="408"/>
        <v>0</v>
      </c>
      <c r="DP145" s="730">
        <v>0</v>
      </c>
      <c r="DQ145" s="730">
        <v>0</v>
      </c>
      <c r="DR145" s="729">
        <f t="shared" si="409"/>
        <v>0</v>
      </c>
      <c r="DS145" s="730">
        <v>0</v>
      </c>
      <c r="DT145" s="730">
        <v>0</v>
      </c>
      <c r="DU145" s="729">
        <f t="shared" si="410"/>
        <v>0</v>
      </c>
      <c r="DV145" s="730">
        <v>0</v>
      </c>
      <c r="DW145" s="730">
        <v>0</v>
      </c>
      <c r="DX145" s="753">
        <f t="shared" si="411"/>
        <v>0</v>
      </c>
      <c r="DY145" s="730">
        <v>0</v>
      </c>
      <c r="DZ145" s="730">
        <v>0</v>
      </c>
      <c r="EA145" s="729">
        <f t="shared" si="412"/>
        <v>0</v>
      </c>
      <c r="EB145" s="730">
        <v>0.51200000000000001</v>
      </c>
      <c r="EC145" s="730">
        <v>0.51200000000000001</v>
      </c>
      <c r="ED145" s="729">
        <f t="shared" si="413"/>
        <v>0</v>
      </c>
      <c r="EE145" s="730">
        <v>0</v>
      </c>
      <c r="EF145" s="730">
        <v>0</v>
      </c>
      <c r="EG145" s="753">
        <f t="shared" si="414"/>
        <v>0</v>
      </c>
      <c r="EH145" s="730">
        <v>0.4</v>
      </c>
      <c r="EI145" s="730">
        <v>0.4</v>
      </c>
      <c r="EJ145" s="729">
        <f t="shared" si="415"/>
        <v>0</v>
      </c>
      <c r="EK145" s="730">
        <v>0</v>
      </c>
      <c r="EL145" s="730">
        <v>0</v>
      </c>
      <c r="EM145" s="729">
        <f t="shared" si="416"/>
        <v>0</v>
      </c>
      <c r="EN145" s="730">
        <v>0</v>
      </c>
      <c r="EO145" s="730">
        <v>0</v>
      </c>
      <c r="EP145" s="753">
        <f t="shared" si="417"/>
        <v>0</v>
      </c>
      <c r="EQ145" s="730">
        <v>0</v>
      </c>
      <c r="ER145" s="730">
        <v>0</v>
      </c>
      <c r="ES145" s="753">
        <f t="shared" si="418"/>
        <v>0</v>
      </c>
      <c r="ET145" s="730">
        <v>0</v>
      </c>
      <c r="EU145" s="730">
        <v>0</v>
      </c>
      <c r="EV145" s="753">
        <f t="shared" si="419"/>
        <v>0</v>
      </c>
      <c r="EW145" s="730">
        <v>0</v>
      </c>
      <c r="EX145" s="730">
        <v>0</v>
      </c>
      <c r="EY145" s="753">
        <f t="shared" si="420"/>
        <v>0</v>
      </c>
    </row>
    <row r="146" spans="1:155" ht="33">
      <c r="A146" s="201"/>
      <c r="B146" s="184"/>
      <c r="C146" s="777"/>
      <c r="D146" s="728" t="s">
        <v>457</v>
      </c>
      <c r="E146" s="729"/>
      <c r="F146" s="730"/>
      <c r="G146" s="731"/>
      <c r="H146" s="729"/>
      <c r="I146" s="730"/>
      <c r="J146" s="731"/>
      <c r="K146" s="729"/>
      <c r="L146" s="730"/>
      <c r="M146" s="731"/>
      <c r="N146" s="729"/>
      <c r="O146" s="730"/>
      <c r="P146" s="731"/>
      <c r="Q146" s="729"/>
      <c r="R146" s="730"/>
      <c r="S146" s="731"/>
      <c r="T146" s="729"/>
      <c r="U146" s="730"/>
      <c r="V146" s="731"/>
      <c r="W146" s="729"/>
      <c r="X146" s="730"/>
      <c r="Y146" s="731"/>
      <c r="Z146" s="729"/>
      <c r="AA146" s="730"/>
      <c r="AB146" s="731"/>
      <c r="AC146" s="729"/>
      <c r="AD146" s="730"/>
      <c r="AE146" s="731"/>
      <c r="AF146" s="729"/>
      <c r="AG146" s="730"/>
      <c r="AH146" s="731"/>
      <c r="AI146" s="729"/>
      <c r="AJ146" s="730"/>
      <c r="AK146" s="731"/>
      <c r="AL146" s="729"/>
      <c r="AM146" s="730"/>
      <c r="AN146" s="731"/>
      <c r="AO146" s="729"/>
      <c r="AP146" s="730"/>
      <c r="AQ146" s="731"/>
      <c r="AR146" s="729"/>
      <c r="AS146" s="730"/>
      <c r="AT146" s="731"/>
      <c r="AU146" s="729"/>
      <c r="AV146" s="730"/>
      <c r="AW146" s="731"/>
      <c r="AX146" s="729"/>
      <c r="AY146" s="730"/>
      <c r="AZ146" s="731"/>
      <c r="BA146" s="729"/>
      <c r="BB146" s="730"/>
      <c r="BC146" s="731"/>
      <c r="BD146" s="729"/>
      <c r="BE146" s="730"/>
      <c r="BF146" s="731"/>
      <c r="BG146" s="729"/>
      <c r="BH146" s="730"/>
      <c r="BI146" s="731"/>
      <c r="BJ146" s="729"/>
      <c r="BK146" s="730"/>
      <c r="BL146" s="731"/>
      <c r="BM146" s="729"/>
      <c r="BN146" s="730"/>
      <c r="BO146" s="731"/>
      <c r="BP146" s="729"/>
      <c r="BQ146" s="730"/>
      <c r="BR146" s="731"/>
      <c r="BS146" s="729"/>
      <c r="BT146" s="730"/>
      <c r="BU146" s="731"/>
      <c r="BV146" s="729"/>
      <c r="BW146" s="730"/>
      <c r="BX146" s="731"/>
      <c r="BY146" s="729"/>
      <c r="BZ146" s="730"/>
      <c r="CA146" s="731"/>
      <c r="CB146" s="729"/>
      <c r="CC146" s="730"/>
      <c r="CD146" s="731"/>
      <c r="CE146" s="729"/>
      <c r="CF146" s="730"/>
      <c r="CG146" s="730"/>
      <c r="CH146" s="729"/>
      <c r="CI146" s="730"/>
      <c r="CJ146" s="730"/>
      <c r="CK146" s="732"/>
      <c r="CL146" s="733"/>
      <c r="CM146" s="734"/>
      <c r="CN146" s="729"/>
      <c r="CO146" s="730"/>
      <c r="CP146" s="730"/>
      <c r="CQ146" s="729"/>
      <c r="CR146" s="730"/>
      <c r="CS146" s="730"/>
      <c r="CT146" s="732"/>
      <c r="CU146" s="735"/>
      <c r="CV146" s="730"/>
      <c r="CW146" s="729"/>
      <c r="CX146" s="730"/>
      <c r="CY146" s="730"/>
      <c r="CZ146" s="729"/>
      <c r="DA146" s="730"/>
      <c r="DB146" s="730"/>
      <c r="DC146" s="729"/>
      <c r="DD146" s="730"/>
      <c r="DE146" s="730"/>
      <c r="DF146" s="729"/>
      <c r="DG146" s="730"/>
      <c r="DH146" s="730"/>
      <c r="DI146" s="729"/>
      <c r="DJ146" s="730"/>
      <c r="DK146" s="730"/>
      <c r="DL146" s="729"/>
      <c r="DM146" s="730"/>
      <c r="DN146" s="730"/>
      <c r="DO146" s="729"/>
      <c r="DP146" s="730"/>
      <c r="DQ146" s="730"/>
      <c r="DR146" s="729"/>
      <c r="DS146" s="730"/>
      <c r="DT146" s="730"/>
      <c r="DU146" s="729"/>
      <c r="DV146" s="730"/>
      <c r="DW146" s="730"/>
      <c r="DX146" s="753"/>
      <c r="DY146" s="730"/>
      <c r="DZ146" s="730"/>
      <c r="EA146" s="729"/>
      <c r="EB146" s="730"/>
      <c r="EC146" s="730"/>
      <c r="ED146" s="729">
        <v>0</v>
      </c>
      <c r="EE146" s="730">
        <v>0</v>
      </c>
      <c r="EF146" s="730">
        <v>0</v>
      </c>
      <c r="EG146" s="753">
        <f t="shared" si="414"/>
        <v>0</v>
      </c>
      <c r="EH146" s="730">
        <v>0</v>
      </c>
      <c r="EI146" s="730">
        <v>0</v>
      </c>
      <c r="EJ146" s="729">
        <f t="shared" ref="EJ146" si="424">(EG146+EH146)-(EI146)</f>
        <v>0</v>
      </c>
      <c r="EK146" s="730">
        <v>0</v>
      </c>
      <c r="EL146" s="730">
        <v>0</v>
      </c>
      <c r="EM146" s="729">
        <f t="shared" ref="EM146" si="425">(EJ146+EK146)-(EL146)</f>
        <v>0</v>
      </c>
      <c r="EN146" s="730">
        <v>0.6</v>
      </c>
      <c r="EO146" s="829">
        <v>0.3</v>
      </c>
      <c r="EP146" s="753">
        <f t="shared" si="417"/>
        <v>0.3</v>
      </c>
      <c r="EQ146" s="730">
        <v>0</v>
      </c>
      <c r="ER146" s="730">
        <v>0</v>
      </c>
      <c r="ES146" s="753">
        <f t="shared" si="418"/>
        <v>0.3</v>
      </c>
      <c r="ET146" s="730">
        <v>0</v>
      </c>
      <c r="EU146" s="730">
        <v>0</v>
      </c>
      <c r="EV146" s="753">
        <f t="shared" si="419"/>
        <v>0.3</v>
      </c>
      <c r="EW146" s="730">
        <v>0</v>
      </c>
      <c r="EX146" s="730">
        <v>0</v>
      </c>
      <c r="EY146" s="753">
        <f t="shared" si="420"/>
        <v>0.3</v>
      </c>
    </row>
    <row r="147" spans="1:155" ht="19.5">
      <c r="A147" s="201"/>
      <c r="B147" s="184"/>
      <c r="C147" s="111">
        <v>100547065</v>
      </c>
      <c r="D147" s="75" t="s">
        <v>166</v>
      </c>
      <c r="E147" s="187"/>
      <c r="F147" s="64"/>
      <c r="G147" s="65"/>
      <c r="H147" s="187"/>
      <c r="I147" s="64"/>
      <c r="J147" s="65"/>
      <c r="K147" s="187"/>
      <c r="L147" s="64"/>
      <c r="M147" s="65"/>
      <c r="N147" s="187"/>
      <c r="O147" s="64"/>
      <c r="P147" s="65"/>
      <c r="Q147" s="187"/>
      <c r="R147" s="64"/>
      <c r="S147" s="65"/>
      <c r="T147" s="187"/>
      <c r="U147" s="64"/>
      <c r="V147" s="65"/>
      <c r="W147" s="187"/>
      <c r="X147" s="64"/>
      <c r="Y147" s="65"/>
      <c r="Z147" s="187"/>
      <c r="AA147" s="64"/>
      <c r="AB147" s="65"/>
      <c r="AC147" s="187"/>
      <c r="AD147" s="64"/>
      <c r="AE147" s="65"/>
      <c r="AF147" s="187"/>
      <c r="AG147" s="64"/>
      <c r="AH147" s="65"/>
      <c r="AI147" s="187"/>
      <c r="AJ147" s="64"/>
      <c r="AK147" s="65"/>
      <c r="AL147" s="187"/>
      <c r="AM147" s="64"/>
      <c r="AN147" s="65"/>
      <c r="AO147" s="187"/>
      <c r="AP147" s="64"/>
      <c r="AQ147" s="65"/>
      <c r="AR147" s="187"/>
      <c r="AS147" s="64"/>
      <c r="AT147" s="65"/>
      <c r="AU147" s="187"/>
      <c r="AV147" s="64"/>
      <c r="AW147" s="65"/>
      <c r="AX147" s="187"/>
      <c r="AY147" s="64"/>
      <c r="AZ147" s="65"/>
      <c r="BA147" s="187"/>
      <c r="BB147" s="64"/>
      <c r="BC147" s="65"/>
      <c r="BD147" s="187"/>
      <c r="BE147" s="64"/>
      <c r="BF147" s="65"/>
      <c r="BG147" s="187"/>
      <c r="BH147" s="64"/>
      <c r="BI147" s="65"/>
      <c r="BJ147" s="187"/>
      <c r="BK147" s="340"/>
      <c r="BL147" s="65"/>
      <c r="BM147" s="187"/>
      <c r="BN147" s="340"/>
      <c r="BO147" s="65"/>
      <c r="BP147" s="187"/>
      <c r="BQ147" s="64"/>
      <c r="BR147" s="65"/>
      <c r="BS147" s="187"/>
      <c r="BT147" s="64"/>
      <c r="BU147" s="65"/>
      <c r="BV147" s="187"/>
      <c r="BW147" s="64"/>
      <c r="BX147" s="65"/>
      <c r="BY147" s="187"/>
      <c r="BZ147" s="64"/>
      <c r="CA147" s="65"/>
      <c r="CB147" s="187"/>
      <c r="CC147" s="64"/>
      <c r="CD147" s="65"/>
      <c r="CE147" s="187"/>
      <c r="CF147" s="64"/>
      <c r="CG147" s="64"/>
      <c r="CH147" s="187"/>
      <c r="CI147" s="64"/>
      <c r="CJ147" s="64"/>
      <c r="CK147" s="220"/>
      <c r="CL147" s="70"/>
      <c r="CM147" s="221"/>
      <c r="CN147" s="187">
        <v>0</v>
      </c>
      <c r="CO147" s="64"/>
      <c r="CP147" s="64"/>
      <c r="CQ147" s="187"/>
      <c r="CR147" s="64"/>
      <c r="CS147" s="64"/>
      <c r="CT147" s="220"/>
      <c r="CU147" s="81"/>
      <c r="CV147" s="64"/>
      <c r="CW147" s="187"/>
      <c r="CX147" s="64"/>
      <c r="CY147" s="64"/>
      <c r="CZ147" s="187">
        <v>17.010000000000009</v>
      </c>
      <c r="DA147" s="64">
        <v>23.92</v>
      </c>
      <c r="DB147" s="64">
        <v>19.2</v>
      </c>
      <c r="DC147" s="187">
        <f t="shared" si="421"/>
        <v>21.730000000000008</v>
      </c>
      <c r="DD147" s="64">
        <v>25.27</v>
      </c>
      <c r="DE147" s="64">
        <v>38.4</v>
      </c>
      <c r="DF147" s="187">
        <f t="shared" si="423"/>
        <v>8.6000000000000085</v>
      </c>
      <c r="DG147" s="64">
        <v>40.340000000000003</v>
      </c>
      <c r="DH147" s="64">
        <v>38.4</v>
      </c>
      <c r="DI147" s="187">
        <f t="shared" si="422"/>
        <v>10.540000000000013</v>
      </c>
      <c r="DJ147" s="64">
        <v>10.92</v>
      </c>
      <c r="DK147" s="64">
        <v>19.2</v>
      </c>
      <c r="DL147" s="187">
        <f t="shared" si="407"/>
        <v>2.2600000000000158</v>
      </c>
      <c r="DM147" s="64">
        <v>18.079999999999998</v>
      </c>
      <c r="DN147" s="64">
        <v>0</v>
      </c>
      <c r="DO147" s="187">
        <f t="shared" si="408"/>
        <v>20.340000000000014</v>
      </c>
      <c r="DP147" s="64">
        <v>0</v>
      </c>
      <c r="DQ147" s="64">
        <v>19.2</v>
      </c>
      <c r="DR147" s="187">
        <f t="shared" si="409"/>
        <v>1.1400000000000148</v>
      </c>
      <c r="DS147" s="64">
        <v>20.59</v>
      </c>
      <c r="DT147" s="64">
        <v>0</v>
      </c>
      <c r="DU147" s="187">
        <f t="shared" si="410"/>
        <v>21.730000000000015</v>
      </c>
      <c r="DV147" s="64">
        <v>21.59</v>
      </c>
      <c r="DW147" s="64">
        <v>0</v>
      </c>
      <c r="DX147" s="753">
        <f t="shared" si="411"/>
        <v>43.320000000000014</v>
      </c>
      <c r="DY147" s="64">
        <v>20.11</v>
      </c>
      <c r="DZ147" s="64">
        <v>0</v>
      </c>
      <c r="EA147" s="187">
        <f t="shared" si="412"/>
        <v>63.430000000000014</v>
      </c>
      <c r="EB147" s="64">
        <v>0</v>
      </c>
      <c r="EC147" s="64">
        <v>0</v>
      </c>
      <c r="ED147" s="187">
        <f t="shared" si="413"/>
        <v>63.430000000000014</v>
      </c>
      <c r="EE147" s="64">
        <v>0</v>
      </c>
      <c r="EF147" s="64">
        <v>0</v>
      </c>
      <c r="EG147" s="753">
        <f t="shared" si="414"/>
        <v>63.430000000000014</v>
      </c>
      <c r="EH147" s="64">
        <v>20</v>
      </c>
      <c r="EI147" s="821">
        <v>0</v>
      </c>
      <c r="EJ147" s="187">
        <f t="shared" si="415"/>
        <v>83.43</v>
      </c>
      <c r="EK147" s="64">
        <v>0</v>
      </c>
      <c r="EL147" s="821">
        <v>0</v>
      </c>
      <c r="EM147" s="187">
        <f t="shared" si="416"/>
        <v>83.43</v>
      </c>
      <c r="EN147" s="64">
        <v>46.1</v>
      </c>
      <c r="EO147" s="64">
        <v>57.6</v>
      </c>
      <c r="EP147" s="753">
        <f t="shared" si="417"/>
        <v>71.930000000000007</v>
      </c>
      <c r="EQ147" s="64">
        <v>55.5</v>
      </c>
      <c r="ER147" s="64">
        <v>57.6</v>
      </c>
      <c r="ES147" s="753">
        <f t="shared" si="418"/>
        <v>69.830000000000013</v>
      </c>
      <c r="ET147" s="64">
        <v>63</v>
      </c>
      <c r="EU147" s="64">
        <v>57.6</v>
      </c>
      <c r="EV147" s="753">
        <f t="shared" si="419"/>
        <v>75.230000000000018</v>
      </c>
      <c r="EW147" s="64">
        <v>61.5</v>
      </c>
      <c r="EX147" s="64">
        <v>57.6</v>
      </c>
      <c r="EY147" s="753">
        <f t="shared" si="420"/>
        <v>79.130000000000024</v>
      </c>
    </row>
    <row r="148" spans="1:155" ht="20.25" thickBot="1">
      <c r="A148" s="201"/>
      <c r="B148" s="184"/>
      <c r="C148" s="111">
        <v>100547059</v>
      </c>
      <c r="D148" s="75" t="s">
        <v>167</v>
      </c>
      <c r="E148" s="187"/>
      <c r="F148" s="64"/>
      <c r="G148" s="65"/>
      <c r="H148" s="187"/>
      <c r="I148" s="64"/>
      <c r="J148" s="65"/>
      <c r="K148" s="187"/>
      <c r="L148" s="64"/>
      <c r="M148" s="65"/>
      <c r="N148" s="187"/>
      <c r="O148" s="64"/>
      <c r="P148" s="65"/>
      <c r="Q148" s="187"/>
      <c r="R148" s="64"/>
      <c r="S148" s="65"/>
      <c r="T148" s="187"/>
      <c r="U148" s="64"/>
      <c r="V148" s="65"/>
      <c r="W148" s="187"/>
      <c r="X148" s="64"/>
      <c r="Y148" s="65"/>
      <c r="Z148" s="187"/>
      <c r="AA148" s="64"/>
      <c r="AB148" s="65"/>
      <c r="AC148" s="187"/>
      <c r="AD148" s="64"/>
      <c r="AE148" s="65"/>
      <c r="AF148" s="187"/>
      <c r="AG148" s="64"/>
      <c r="AH148" s="65"/>
      <c r="AI148" s="187"/>
      <c r="AJ148" s="64"/>
      <c r="AK148" s="65"/>
      <c r="AL148" s="187"/>
      <c r="AM148" s="64"/>
      <c r="AN148" s="65"/>
      <c r="AO148" s="187"/>
      <c r="AP148" s="64"/>
      <c r="AQ148" s="65"/>
      <c r="AR148" s="187"/>
      <c r="AS148" s="64"/>
      <c r="AT148" s="65"/>
      <c r="AU148" s="187"/>
      <c r="AV148" s="64"/>
      <c r="AW148" s="65"/>
      <c r="AX148" s="187"/>
      <c r="AY148" s="64"/>
      <c r="AZ148" s="65"/>
      <c r="BA148" s="187"/>
      <c r="BB148" s="64"/>
      <c r="BC148" s="65"/>
      <c r="BD148" s="187"/>
      <c r="BE148" s="64"/>
      <c r="BF148" s="65"/>
      <c r="BG148" s="187"/>
      <c r="BH148" s="64"/>
      <c r="BI148" s="65"/>
      <c r="BJ148" s="187"/>
      <c r="BK148" s="340"/>
      <c r="BL148" s="65"/>
      <c r="BM148" s="187"/>
      <c r="BN148" s="340"/>
      <c r="BO148" s="65"/>
      <c r="BP148" s="187"/>
      <c r="BQ148" s="64"/>
      <c r="BR148" s="65"/>
      <c r="BS148" s="187"/>
      <c r="BT148" s="64"/>
      <c r="BU148" s="65"/>
      <c r="BV148" s="187"/>
      <c r="BW148" s="64"/>
      <c r="BX148" s="65"/>
      <c r="BY148" s="187"/>
      <c r="BZ148" s="64"/>
      <c r="CA148" s="65"/>
      <c r="CB148" s="187"/>
      <c r="CC148" s="64"/>
      <c r="CD148" s="65"/>
      <c r="CE148" s="187"/>
      <c r="CF148" s="64"/>
      <c r="CG148" s="64"/>
      <c r="CH148" s="187"/>
      <c r="CI148" s="64"/>
      <c r="CJ148" s="64"/>
      <c r="CK148" s="220"/>
      <c r="CL148" s="70"/>
      <c r="CM148" s="221"/>
      <c r="CN148" s="187">
        <v>0</v>
      </c>
      <c r="CO148" s="64"/>
      <c r="CP148" s="64"/>
      <c r="CQ148" s="187"/>
      <c r="CR148" s="64"/>
      <c r="CS148" s="64"/>
      <c r="CT148" s="220"/>
      <c r="CU148" s="81"/>
      <c r="CV148" s="64"/>
      <c r="CW148" s="187"/>
      <c r="CX148" s="64"/>
      <c r="CY148" s="64"/>
      <c r="CZ148" s="187">
        <v>51.66</v>
      </c>
      <c r="DA148" s="64">
        <v>61.99</v>
      </c>
      <c r="DB148" s="64">
        <v>70.56</v>
      </c>
      <c r="DC148" s="187">
        <f t="shared" si="421"/>
        <v>43.09</v>
      </c>
      <c r="DD148" s="64">
        <v>60.58</v>
      </c>
      <c r="DE148" s="64">
        <v>50.88</v>
      </c>
      <c r="DF148" s="187">
        <f t="shared" si="423"/>
        <v>52.79</v>
      </c>
      <c r="DG148" s="64">
        <v>41.56</v>
      </c>
      <c r="DH148" s="64">
        <v>74.88</v>
      </c>
      <c r="DI148" s="187">
        <f t="shared" si="422"/>
        <v>19.47</v>
      </c>
      <c r="DJ148" s="64">
        <v>69.78</v>
      </c>
      <c r="DK148" s="64">
        <v>53.86</v>
      </c>
      <c r="DL148" s="187">
        <f t="shared" si="407"/>
        <v>35.39</v>
      </c>
      <c r="DM148" s="64">
        <v>74.06</v>
      </c>
      <c r="DN148" s="64">
        <v>19.2</v>
      </c>
      <c r="DO148" s="187">
        <f t="shared" si="408"/>
        <v>90.25</v>
      </c>
      <c r="DP148" s="64">
        <v>82.27</v>
      </c>
      <c r="DQ148" s="64">
        <v>75.84</v>
      </c>
      <c r="DR148" s="187">
        <f t="shared" si="409"/>
        <v>96.679999999999978</v>
      </c>
      <c r="DS148" s="64">
        <v>60.14</v>
      </c>
      <c r="DT148" s="64">
        <v>80.64</v>
      </c>
      <c r="DU148" s="187">
        <f t="shared" si="410"/>
        <v>76.179999999999993</v>
      </c>
      <c r="DV148" s="64">
        <v>30</v>
      </c>
      <c r="DW148" s="64">
        <v>0</v>
      </c>
      <c r="DX148" s="753">
        <f t="shared" si="411"/>
        <v>106.17999999999999</v>
      </c>
      <c r="DY148" s="64">
        <v>32.67</v>
      </c>
      <c r="DZ148" s="64">
        <v>15.36</v>
      </c>
      <c r="EA148" s="187">
        <f t="shared" si="412"/>
        <v>123.49</v>
      </c>
      <c r="EB148" s="64">
        <v>70</v>
      </c>
      <c r="EC148" s="64">
        <v>38.4</v>
      </c>
      <c r="ED148" s="187">
        <f t="shared" si="413"/>
        <v>155.09</v>
      </c>
      <c r="EE148" s="64">
        <v>12.8</v>
      </c>
      <c r="EF148" s="64">
        <v>19.2</v>
      </c>
      <c r="EG148" s="753">
        <f t="shared" si="414"/>
        <v>148.69000000000003</v>
      </c>
      <c r="EH148" s="64">
        <v>50</v>
      </c>
      <c r="EI148" s="821">
        <v>19.2</v>
      </c>
      <c r="EJ148" s="187">
        <f t="shared" si="415"/>
        <v>179.49000000000004</v>
      </c>
      <c r="EK148" s="64">
        <v>20</v>
      </c>
      <c r="EL148" s="821">
        <v>38.4</v>
      </c>
      <c r="EM148" s="187">
        <f t="shared" si="416"/>
        <v>161.09000000000003</v>
      </c>
      <c r="EN148" s="64">
        <v>20</v>
      </c>
      <c r="EO148" s="64">
        <v>67.2</v>
      </c>
      <c r="EP148" s="753">
        <f t="shared" si="417"/>
        <v>113.89000000000003</v>
      </c>
      <c r="EQ148" s="64">
        <v>51.9</v>
      </c>
      <c r="ER148" s="64">
        <v>67.2</v>
      </c>
      <c r="ES148" s="753">
        <f t="shared" si="418"/>
        <v>98.590000000000018</v>
      </c>
      <c r="ET148" s="64">
        <v>50</v>
      </c>
      <c r="EU148" s="64">
        <v>67.2</v>
      </c>
      <c r="EV148" s="753">
        <f t="shared" si="419"/>
        <v>81.390000000000029</v>
      </c>
      <c r="EW148" s="64">
        <v>68.5</v>
      </c>
      <c r="EX148" s="64">
        <v>67.2</v>
      </c>
      <c r="EY148" s="753">
        <f t="shared" si="420"/>
        <v>82.69000000000004</v>
      </c>
    </row>
    <row r="149" spans="1:155" ht="20.25" hidden="1" thickBot="1">
      <c r="A149" s="201"/>
      <c r="B149" s="184"/>
      <c r="C149" s="61">
        <v>100549171</v>
      </c>
      <c r="D149" s="62" t="s">
        <v>199</v>
      </c>
      <c r="E149" s="63">
        <v>0.70399999999984397</v>
      </c>
      <c r="F149" s="64">
        <v>40.04</v>
      </c>
      <c r="G149" s="65">
        <v>19.007999999999999</v>
      </c>
      <c r="H149" s="63">
        <f>(E149+F149)-(G149)</f>
        <v>21.735999999999844</v>
      </c>
      <c r="I149" s="64">
        <v>32.603999999999999</v>
      </c>
      <c r="J149" s="65">
        <v>36.96</v>
      </c>
      <c r="K149" s="63">
        <f>(H149+I149)-(J149)</f>
        <v>17.379999999999846</v>
      </c>
      <c r="L149" s="64">
        <v>49.323999999999998</v>
      </c>
      <c r="M149" s="65">
        <v>58.08</v>
      </c>
      <c r="N149" s="63">
        <f>(K149+L149)-(M149)</f>
        <v>8.6239999999998389</v>
      </c>
      <c r="O149" s="64">
        <v>22.088000000000001</v>
      </c>
      <c r="P149" s="65">
        <v>27.456</v>
      </c>
      <c r="Q149" s="63">
        <f>(N149+O149)-(P149)</f>
        <v>3.2559999999998404</v>
      </c>
      <c r="R149" s="64">
        <v>56.76</v>
      </c>
      <c r="S149" s="65">
        <v>27.456</v>
      </c>
      <c r="T149" s="63">
        <f>(Q149+R149)-(S149)</f>
        <v>32.559999999999832</v>
      </c>
      <c r="U149" s="64">
        <v>41.975999999999999</v>
      </c>
      <c r="V149" s="65">
        <v>27.456</v>
      </c>
      <c r="W149" s="63">
        <f>(T149+U149)-(V149)</f>
        <v>47.079999999999828</v>
      </c>
      <c r="X149" s="64">
        <v>20.724</v>
      </c>
      <c r="Y149" s="65">
        <v>29.568000000000001</v>
      </c>
      <c r="Z149" s="63">
        <f>(W149+X149)-(Y149)</f>
        <v>38.235999999999834</v>
      </c>
      <c r="AA149" s="64">
        <v>0</v>
      </c>
      <c r="AB149" s="65">
        <v>17.952000000000002</v>
      </c>
      <c r="AC149" s="63">
        <f>(Z149+AA149)-(AB149)</f>
        <v>20.283999999999832</v>
      </c>
      <c r="AD149" s="64">
        <v>0</v>
      </c>
      <c r="AE149" s="65">
        <v>0</v>
      </c>
      <c r="AF149" s="63">
        <f>(AC149+AD149)-(AE149)</f>
        <v>20.283999999999832</v>
      </c>
      <c r="AG149" s="64">
        <v>0</v>
      </c>
      <c r="AH149" s="65">
        <v>5.28</v>
      </c>
      <c r="AI149" s="63">
        <f>(AF149+AG149)-(AH149)</f>
        <v>15.003999999999831</v>
      </c>
      <c r="AJ149" s="64">
        <v>0</v>
      </c>
      <c r="AK149" s="65">
        <v>15.048</v>
      </c>
      <c r="AL149" s="63">
        <f>(AI149+AJ149)-(AK149)</f>
        <v>-4.4000000000169237E-2</v>
      </c>
      <c r="AM149" s="64">
        <v>0</v>
      </c>
      <c r="AN149" s="65">
        <v>0</v>
      </c>
      <c r="AO149" s="63">
        <f>(AL149+AM149)-(AN149)</f>
        <v>-4.4000000000169237E-2</v>
      </c>
      <c r="AP149" s="64">
        <v>0</v>
      </c>
      <c r="AQ149" s="65">
        <v>0</v>
      </c>
      <c r="AR149" s="63">
        <f>(AO149+AP149)-(AQ149)</f>
        <v>-4.4000000000169237E-2</v>
      </c>
      <c r="AS149" s="64">
        <v>20.448</v>
      </c>
      <c r="AT149" s="65">
        <v>0</v>
      </c>
      <c r="AU149" s="63">
        <f>(AR149+AS149)-(AT149)</f>
        <v>20.403999999999833</v>
      </c>
      <c r="AV149" s="64">
        <v>1.738</v>
      </c>
      <c r="AW149" s="65">
        <v>0</v>
      </c>
      <c r="AX149" s="63">
        <f>(AU149+AV149)-(AW149)</f>
        <v>22.141999999999832</v>
      </c>
      <c r="AY149" s="64">
        <v>0</v>
      </c>
      <c r="AZ149" s="65">
        <v>0</v>
      </c>
      <c r="BA149" s="63">
        <f>(AX149+AY149)-(AZ149)</f>
        <v>22.141999999999832</v>
      </c>
      <c r="BB149" s="64">
        <v>0</v>
      </c>
      <c r="BC149" s="65">
        <v>4.2240000000000002</v>
      </c>
      <c r="BD149" s="63">
        <v>17.974</v>
      </c>
      <c r="BE149" s="64">
        <v>0</v>
      </c>
      <c r="BF149" s="65">
        <v>0</v>
      </c>
      <c r="BG149" s="63">
        <f>(BD149+BE149)-(BF149)</f>
        <v>17.974</v>
      </c>
      <c r="BH149" s="64">
        <v>0</v>
      </c>
      <c r="BI149" s="65">
        <v>5.28</v>
      </c>
      <c r="BJ149" s="63">
        <f>(BG149+BH149)-(BI149)</f>
        <v>12.693999999999999</v>
      </c>
      <c r="BK149" s="64">
        <v>0</v>
      </c>
      <c r="BL149" s="65">
        <v>8.4480000000000004</v>
      </c>
      <c r="BM149" s="63">
        <f>(BJ149+BK149)-(BL149)</f>
        <v>4.2459999999999987</v>
      </c>
      <c r="BN149" s="64">
        <v>0</v>
      </c>
      <c r="BO149" s="65">
        <v>0</v>
      </c>
      <c r="BP149" s="63">
        <v>4.2460000000000004</v>
      </c>
      <c r="BQ149" s="64">
        <v>0</v>
      </c>
      <c r="BR149" s="65">
        <v>0</v>
      </c>
      <c r="BS149" s="63">
        <f>(BP149+BQ149)-(BR149)</f>
        <v>4.2460000000000004</v>
      </c>
      <c r="BT149" s="64">
        <v>0</v>
      </c>
      <c r="BU149" s="65">
        <v>4.2460000000000004</v>
      </c>
      <c r="BV149" s="63">
        <f>(BS149+BT149)-(BU149)</f>
        <v>0</v>
      </c>
      <c r="BW149" s="64">
        <v>0</v>
      </c>
      <c r="BX149" s="65">
        <v>0</v>
      </c>
      <c r="BY149" s="63">
        <f>(BV149+BW149)-(BX149)</f>
        <v>0</v>
      </c>
      <c r="BZ149" s="64">
        <v>0</v>
      </c>
      <c r="CA149" s="65">
        <v>0</v>
      </c>
      <c r="CB149" s="63">
        <f>(BY149+BZ149)-(CA149)</f>
        <v>0</v>
      </c>
      <c r="CC149" s="64">
        <v>0</v>
      </c>
      <c r="CD149" s="65">
        <v>0</v>
      </c>
      <c r="CE149" s="63">
        <f>(CB149+CC149)-(CD149)</f>
        <v>0</v>
      </c>
      <c r="CF149" s="64">
        <v>0</v>
      </c>
      <c r="CG149" s="65">
        <v>0</v>
      </c>
      <c r="CH149" s="63">
        <f>(CE149+CF149)-(CG149)</f>
        <v>0</v>
      </c>
      <c r="CI149" s="64">
        <v>0</v>
      </c>
      <c r="CJ149" s="65">
        <v>0</v>
      </c>
      <c r="CK149" s="69">
        <f>(CH149+CI149)-(CJ149)</f>
        <v>0</v>
      </c>
      <c r="CL149" s="70">
        <v>7.6120000000000001</v>
      </c>
      <c r="CM149" s="221">
        <v>7.3920000000000003</v>
      </c>
      <c r="CN149" s="63">
        <f>(CK149+CL149)-(CM149)</f>
        <v>0.21999999999999975</v>
      </c>
      <c r="CO149" s="64">
        <v>32.956000000000003</v>
      </c>
      <c r="CP149" s="64">
        <v>29.568000000000001</v>
      </c>
      <c r="CQ149" s="63">
        <f>(CN149+CO149)-(CP149)</f>
        <v>3.6080000000000005</v>
      </c>
      <c r="CR149" s="64">
        <v>13.728</v>
      </c>
      <c r="CS149" s="64">
        <v>11.616</v>
      </c>
      <c r="CT149" s="69">
        <f>(CQ149+CR149)-(CS149)</f>
        <v>5.7199999999999989</v>
      </c>
      <c r="CU149" s="81">
        <v>11.571999999999999</v>
      </c>
      <c r="CV149" s="64">
        <v>9.5039999999999996</v>
      </c>
      <c r="CW149" s="63">
        <f>(CT149+CU149)-(CV149)</f>
        <v>7.7879999999999985</v>
      </c>
      <c r="CX149" s="64">
        <v>0</v>
      </c>
      <c r="CY149" s="64">
        <v>4.2240000000000002</v>
      </c>
      <c r="CZ149" s="63">
        <v>4.41</v>
      </c>
      <c r="DA149" s="64">
        <v>0.26400000000000001</v>
      </c>
      <c r="DB149" s="64">
        <v>4.6740000000000004</v>
      </c>
      <c r="DC149" s="63">
        <f t="shared" si="421"/>
        <v>0</v>
      </c>
      <c r="DD149" s="64">
        <v>0</v>
      </c>
      <c r="DE149" s="64">
        <v>0</v>
      </c>
      <c r="DF149" s="63">
        <f t="shared" si="423"/>
        <v>0</v>
      </c>
      <c r="DG149" s="64">
        <v>0</v>
      </c>
      <c r="DH149" s="64">
        <v>0</v>
      </c>
      <c r="DI149" s="63">
        <f t="shared" si="422"/>
        <v>0</v>
      </c>
      <c r="DJ149" s="64">
        <v>0</v>
      </c>
      <c r="DK149" s="64">
        <v>0</v>
      </c>
      <c r="DL149" s="187">
        <f t="shared" si="407"/>
        <v>0</v>
      </c>
      <c r="DM149" s="64">
        <v>0</v>
      </c>
      <c r="DN149" s="64">
        <v>0</v>
      </c>
      <c r="DO149" s="187">
        <f t="shared" si="408"/>
        <v>0</v>
      </c>
      <c r="DP149" s="64">
        <v>0</v>
      </c>
      <c r="DQ149" s="64">
        <v>0</v>
      </c>
      <c r="DR149" s="187">
        <f t="shared" si="409"/>
        <v>0</v>
      </c>
      <c r="DS149" s="64">
        <v>0</v>
      </c>
      <c r="DT149" s="64">
        <v>0</v>
      </c>
      <c r="DU149" s="63">
        <f t="shared" si="410"/>
        <v>0</v>
      </c>
      <c r="DV149" s="64">
        <v>0</v>
      </c>
      <c r="DW149" s="64">
        <v>0</v>
      </c>
      <c r="DX149" s="753">
        <f t="shared" si="411"/>
        <v>0</v>
      </c>
      <c r="DY149" s="64">
        <v>0</v>
      </c>
      <c r="DZ149" s="64">
        <v>0</v>
      </c>
      <c r="EA149" s="187">
        <f t="shared" si="412"/>
        <v>0</v>
      </c>
      <c r="EB149" s="64">
        <v>0</v>
      </c>
      <c r="EC149" s="64">
        <v>0</v>
      </c>
      <c r="ED149" s="187">
        <f t="shared" si="413"/>
        <v>0</v>
      </c>
      <c r="EE149" s="64">
        <v>0</v>
      </c>
      <c r="EF149" s="64">
        <v>0</v>
      </c>
      <c r="EG149" s="753">
        <f t="shared" si="414"/>
        <v>0</v>
      </c>
      <c r="EH149" s="64">
        <v>0</v>
      </c>
      <c r="EI149" s="64">
        <v>0</v>
      </c>
      <c r="EJ149" s="187">
        <f t="shared" si="415"/>
        <v>0</v>
      </c>
      <c r="EK149" s="64">
        <v>0</v>
      </c>
      <c r="EL149" s="64">
        <v>0</v>
      </c>
      <c r="EM149" s="187">
        <f t="shared" si="416"/>
        <v>0</v>
      </c>
      <c r="EN149" s="64">
        <v>0</v>
      </c>
      <c r="EO149" s="64">
        <v>0</v>
      </c>
      <c r="EP149" s="753">
        <f t="shared" si="417"/>
        <v>0</v>
      </c>
      <c r="EQ149" s="64">
        <v>0</v>
      </c>
      <c r="ER149" s="64">
        <v>0</v>
      </c>
      <c r="ES149" s="753">
        <f t="shared" si="418"/>
        <v>0</v>
      </c>
      <c r="ET149" s="64">
        <v>0</v>
      </c>
      <c r="EU149" s="64">
        <v>0</v>
      </c>
      <c r="EV149" s="753">
        <f t="shared" si="419"/>
        <v>0</v>
      </c>
      <c r="EW149" s="64">
        <v>0</v>
      </c>
      <c r="EX149" s="64">
        <v>0</v>
      </c>
      <c r="EY149" s="753">
        <f t="shared" si="420"/>
        <v>0</v>
      </c>
    </row>
    <row r="150" spans="1:155" s="20" customFormat="1" ht="20.25" hidden="1" thickBot="1">
      <c r="A150" s="183"/>
      <c r="B150" s="184"/>
      <c r="C150" s="76"/>
      <c r="D150" s="408" t="s">
        <v>151</v>
      </c>
      <c r="E150" s="194">
        <v>16.55</v>
      </c>
      <c r="F150" s="409">
        <v>0</v>
      </c>
      <c r="G150" s="214">
        <v>14.08</v>
      </c>
      <c r="H150" s="194">
        <f>(E150+F150)-(G150)</f>
        <v>2.4700000000000006</v>
      </c>
      <c r="I150" s="409">
        <v>22.352</v>
      </c>
      <c r="J150" s="214">
        <v>2.64</v>
      </c>
      <c r="K150" s="194">
        <f>(H150+I150)-(J150)</f>
        <v>22.182000000000002</v>
      </c>
      <c r="L150" s="409">
        <v>12.276</v>
      </c>
      <c r="M150" s="214">
        <v>14.96</v>
      </c>
      <c r="N150" s="194">
        <f>(K150+L150)-(M150)</f>
        <v>19.497999999999998</v>
      </c>
      <c r="O150" s="409">
        <v>7.2160000000000002</v>
      </c>
      <c r="P150" s="214">
        <v>10.56</v>
      </c>
      <c r="Q150" s="194">
        <f>(N150+O150)-(P150)</f>
        <v>16.153999999999996</v>
      </c>
      <c r="R150" s="409">
        <v>0</v>
      </c>
      <c r="S150" s="214">
        <v>8.8000000000000007</v>
      </c>
      <c r="T150" s="194">
        <f>(Q150+R150)-(S150)</f>
        <v>7.3539999999999957</v>
      </c>
      <c r="U150" s="409">
        <v>15.311999999999999</v>
      </c>
      <c r="V150" s="214">
        <v>8.8000000000000007</v>
      </c>
      <c r="W150" s="194">
        <f>(T150+U150)-(V150)</f>
        <v>13.865999999999996</v>
      </c>
      <c r="X150" s="409">
        <v>10.032</v>
      </c>
      <c r="Y150" s="214">
        <v>12.32</v>
      </c>
      <c r="Z150" s="194">
        <f>(W150+X150)-(Y150)</f>
        <v>11.577999999999996</v>
      </c>
      <c r="AA150" s="409">
        <v>22.22</v>
      </c>
      <c r="AB150" s="214">
        <v>27.28</v>
      </c>
      <c r="AC150" s="194">
        <f>(Z150+AA150)-(AB150)</f>
        <v>6.5179999999999936</v>
      </c>
      <c r="AD150" s="409">
        <v>49.06</v>
      </c>
      <c r="AE150" s="214">
        <v>6.16</v>
      </c>
      <c r="AF150" s="194">
        <f>(AC150+AD150)-(AE150)</f>
        <v>49.417999999999992</v>
      </c>
      <c r="AG150" s="409">
        <v>25.123999999999999</v>
      </c>
      <c r="AH150" s="214">
        <v>14.96</v>
      </c>
      <c r="AI150" s="194">
        <f>(AF150+AG150)-(AH150)</f>
        <v>59.581999999999987</v>
      </c>
      <c r="AJ150" s="409">
        <v>20.416</v>
      </c>
      <c r="AK150" s="214">
        <v>80</v>
      </c>
      <c r="AL150" s="194">
        <f>(AI150+AJ150)-(AK150)</f>
        <v>-2.0000000000095497E-3</v>
      </c>
      <c r="AM150" s="409">
        <v>49.28</v>
      </c>
      <c r="AN150" s="214">
        <v>29.92</v>
      </c>
      <c r="AO150" s="194">
        <f>(AL150+AM150)-(AN150)</f>
        <v>19.35799999999999</v>
      </c>
      <c r="AP150" s="409">
        <v>65.164000000000001</v>
      </c>
      <c r="AQ150" s="214">
        <v>63.36</v>
      </c>
      <c r="AR150" s="194">
        <f>(AO150+AP150)-(AQ150)</f>
        <v>21.161999999999992</v>
      </c>
      <c r="AS150" s="409">
        <v>91.08</v>
      </c>
      <c r="AT150" s="214">
        <v>59.84</v>
      </c>
      <c r="AU150" s="194">
        <f>(AR150+AS150)-(AT150)</f>
        <v>52.401999999999987</v>
      </c>
      <c r="AV150" s="409">
        <v>36.915999999999997</v>
      </c>
      <c r="AW150" s="214">
        <v>88</v>
      </c>
      <c r="AX150" s="194">
        <f>(AU150+AV150)-(AW150)</f>
        <v>1.3179999999999836</v>
      </c>
      <c r="AY150" s="409">
        <v>69.739999999999995</v>
      </c>
      <c r="AZ150" s="214">
        <v>66</v>
      </c>
      <c r="BA150" s="194">
        <f>(AX150+AY150)-(AZ150)</f>
        <v>5.0579999999999785</v>
      </c>
      <c r="BB150" s="409">
        <v>86.372</v>
      </c>
      <c r="BC150" s="214">
        <v>75.680000000000007</v>
      </c>
      <c r="BD150" s="194">
        <v>15.752000000000001</v>
      </c>
      <c r="BE150" s="409">
        <v>147.31200000000001</v>
      </c>
      <c r="BF150" s="214">
        <v>110</v>
      </c>
      <c r="BG150" s="194">
        <f>(BD150+BE150)-(BF150)</f>
        <v>53.064000000000021</v>
      </c>
      <c r="BH150" s="409">
        <v>149.292</v>
      </c>
      <c r="BI150" s="214">
        <v>83.864000000000004</v>
      </c>
      <c r="BJ150" s="194">
        <f>(BG150+BH150)-(BI150)</f>
        <v>118.49200000000002</v>
      </c>
      <c r="BK150" s="409">
        <v>150.34800000000001</v>
      </c>
      <c r="BL150" s="214">
        <v>73.92</v>
      </c>
      <c r="BM150" s="194">
        <f>(BJ150+BK150)-(BL150)</f>
        <v>194.92000000000002</v>
      </c>
      <c r="BN150" s="409">
        <v>0</v>
      </c>
      <c r="BO150" s="214">
        <v>147.84</v>
      </c>
      <c r="BP150" s="194">
        <v>47.08</v>
      </c>
      <c r="BQ150" s="409">
        <v>41.052</v>
      </c>
      <c r="BR150" s="214">
        <v>0</v>
      </c>
      <c r="BS150" s="194">
        <f>(BP150+BQ150)-(BR150)</f>
        <v>88.132000000000005</v>
      </c>
      <c r="BT150" s="409">
        <v>72.819999999999993</v>
      </c>
      <c r="BU150" s="214">
        <v>102.96</v>
      </c>
      <c r="BV150" s="194">
        <f>(BS150+BT150)-(BU150)</f>
        <v>57.992000000000004</v>
      </c>
      <c r="BW150" s="409">
        <v>111.32</v>
      </c>
      <c r="BX150" s="214">
        <v>39.6</v>
      </c>
      <c r="BY150" s="194">
        <f>(BV150+BW150)-(BX150)</f>
        <v>129.71200000000002</v>
      </c>
      <c r="BZ150" s="409">
        <v>116.336</v>
      </c>
      <c r="CA150" s="214">
        <v>80.08</v>
      </c>
      <c r="CB150" s="194">
        <f>(BY150+BZ150)-(CA150)</f>
        <v>165.96800000000002</v>
      </c>
      <c r="CC150" s="409">
        <v>143.88</v>
      </c>
      <c r="CD150" s="214">
        <v>139.91999999999999</v>
      </c>
      <c r="CE150" s="194">
        <f>(CB150+CC150)-(CD150)</f>
        <v>169.92800000000003</v>
      </c>
      <c r="CF150" s="409">
        <v>112.44</v>
      </c>
      <c r="CG150" s="214">
        <v>39.6</v>
      </c>
      <c r="CH150" s="194">
        <f>(CE150+CF150)-(CG150)</f>
        <v>242.76800000000006</v>
      </c>
      <c r="CI150" s="409">
        <v>140.34</v>
      </c>
      <c r="CJ150" s="214">
        <v>138.16</v>
      </c>
      <c r="CK150" s="197">
        <f>(CH150+CI150)-(CJ150)</f>
        <v>244.94800000000006</v>
      </c>
      <c r="CL150" s="410">
        <v>75.195999999999998</v>
      </c>
      <c r="CM150" s="215">
        <v>76.56</v>
      </c>
      <c r="CN150" s="194">
        <v>0</v>
      </c>
      <c r="CO150" s="409">
        <v>49.103999999999999</v>
      </c>
      <c r="CP150" s="214">
        <v>100.32</v>
      </c>
      <c r="CQ150" s="194">
        <f>(CN150+CO150)-(CP150)</f>
        <v>-51.215999999999994</v>
      </c>
      <c r="CR150" s="409">
        <v>98.298000000000002</v>
      </c>
      <c r="CS150" s="409">
        <v>112.64</v>
      </c>
      <c r="CT150" s="197">
        <f>(CQ150+CR150)-(CS150)</f>
        <v>-65.557999999999993</v>
      </c>
      <c r="CU150" s="411">
        <v>96.86</v>
      </c>
      <c r="CV150" s="214">
        <v>107.36</v>
      </c>
      <c r="CW150" s="194">
        <f>(CT150+CU150)-(CV150)</f>
        <v>-76.057999999999993</v>
      </c>
      <c r="CX150" s="409">
        <v>90.244</v>
      </c>
      <c r="CY150" s="214">
        <v>69.52</v>
      </c>
      <c r="CZ150" s="194">
        <v>0</v>
      </c>
      <c r="DA150" s="409">
        <v>0</v>
      </c>
      <c r="DB150" s="214">
        <v>0</v>
      </c>
      <c r="DC150" s="194">
        <f t="shared" si="421"/>
        <v>0</v>
      </c>
      <c r="DD150" s="409">
        <v>0</v>
      </c>
      <c r="DE150" s="214">
        <v>0</v>
      </c>
      <c r="DF150" s="194">
        <f t="shared" si="423"/>
        <v>0</v>
      </c>
      <c r="DG150" s="409">
        <v>0</v>
      </c>
      <c r="DH150" s="214">
        <v>0</v>
      </c>
      <c r="DI150" s="194">
        <f t="shared" si="422"/>
        <v>0</v>
      </c>
      <c r="DJ150" s="409">
        <v>0</v>
      </c>
      <c r="DK150" s="214">
        <v>0</v>
      </c>
      <c r="DL150" s="194">
        <f t="shared" si="407"/>
        <v>0</v>
      </c>
      <c r="DM150" s="409">
        <v>0</v>
      </c>
      <c r="DN150" s="214">
        <v>0</v>
      </c>
      <c r="DO150" s="194">
        <f t="shared" si="408"/>
        <v>0</v>
      </c>
      <c r="DP150" s="409">
        <v>0</v>
      </c>
      <c r="DQ150" s="214">
        <v>0</v>
      </c>
      <c r="DR150" s="194">
        <f t="shared" si="409"/>
        <v>0</v>
      </c>
      <c r="DS150" s="409">
        <v>0</v>
      </c>
      <c r="DT150" s="214">
        <v>0</v>
      </c>
      <c r="DU150" s="194">
        <f t="shared" si="410"/>
        <v>0</v>
      </c>
      <c r="DV150" s="409">
        <v>0</v>
      </c>
      <c r="DW150" s="214">
        <v>0</v>
      </c>
      <c r="DX150" s="752">
        <f t="shared" si="411"/>
        <v>0</v>
      </c>
      <c r="DY150" s="409">
        <v>0</v>
      </c>
      <c r="DZ150" s="214">
        <v>0</v>
      </c>
      <c r="EA150" s="194">
        <f t="shared" si="412"/>
        <v>0</v>
      </c>
      <c r="EB150" s="409">
        <v>0</v>
      </c>
      <c r="EC150" s="214">
        <v>0</v>
      </c>
      <c r="ED150" s="194">
        <f t="shared" si="413"/>
        <v>0</v>
      </c>
      <c r="EE150" s="409">
        <v>0</v>
      </c>
      <c r="EF150" s="214">
        <v>0</v>
      </c>
      <c r="EG150" s="752">
        <f t="shared" si="414"/>
        <v>0</v>
      </c>
      <c r="EH150" s="409">
        <v>0</v>
      </c>
      <c r="EI150" s="214">
        <v>0</v>
      </c>
      <c r="EJ150" s="194">
        <f t="shared" si="415"/>
        <v>0</v>
      </c>
      <c r="EK150" s="409">
        <v>0</v>
      </c>
      <c r="EL150" s="214">
        <v>0</v>
      </c>
      <c r="EM150" s="194">
        <f t="shared" si="416"/>
        <v>0</v>
      </c>
      <c r="EN150" s="409">
        <v>0</v>
      </c>
      <c r="EO150" s="214">
        <v>0</v>
      </c>
      <c r="EP150" s="752">
        <f t="shared" si="417"/>
        <v>0</v>
      </c>
      <c r="EQ150" s="409">
        <v>0</v>
      </c>
      <c r="ER150" s="214">
        <v>0</v>
      </c>
      <c r="ES150" s="752">
        <f t="shared" si="418"/>
        <v>0</v>
      </c>
      <c r="ET150" s="409">
        <v>0</v>
      </c>
      <c r="EU150" s="214">
        <v>0</v>
      </c>
      <c r="EV150" s="752">
        <f t="shared" si="419"/>
        <v>0</v>
      </c>
      <c r="EW150" s="409">
        <v>0</v>
      </c>
      <c r="EX150" s="214">
        <v>0</v>
      </c>
      <c r="EY150" s="752">
        <f t="shared" si="420"/>
        <v>0</v>
      </c>
    </row>
    <row r="151" spans="1:155" s="20" customFormat="1" ht="20.25" hidden="1" thickBot="1">
      <c r="A151" s="183"/>
      <c r="B151" s="184"/>
      <c r="C151" s="76"/>
      <c r="D151" s="412" t="s">
        <v>233</v>
      </c>
      <c r="E151" s="63"/>
      <c r="F151" s="113"/>
      <c r="G151" s="115"/>
      <c r="H151" s="63"/>
      <c r="I151" s="113"/>
      <c r="J151" s="115"/>
      <c r="K151" s="63"/>
      <c r="L151" s="113"/>
      <c r="M151" s="115"/>
      <c r="N151" s="63"/>
      <c r="O151" s="113"/>
      <c r="P151" s="115"/>
      <c r="Q151" s="63"/>
      <c r="R151" s="113"/>
      <c r="S151" s="115"/>
      <c r="T151" s="63"/>
      <c r="U151" s="113"/>
      <c r="V151" s="115"/>
      <c r="W151" s="63"/>
      <c r="X151" s="113"/>
      <c r="Y151" s="115"/>
      <c r="Z151" s="63"/>
      <c r="AA151" s="113"/>
      <c r="AB151" s="115"/>
      <c r="AC151" s="63"/>
      <c r="AD151" s="113"/>
      <c r="AE151" s="115"/>
      <c r="AF151" s="63"/>
      <c r="AG151" s="113"/>
      <c r="AH151" s="115"/>
      <c r="AI151" s="63"/>
      <c r="AJ151" s="113"/>
      <c r="AK151" s="115"/>
      <c r="AL151" s="63"/>
      <c r="AM151" s="113"/>
      <c r="AN151" s="115"/>
      <c r="AO151" s="63"/>
      <c r="AP151" s="113"/>
      <c r="AQ151" s="115"/>
      <c r="AR151" s="63"/>
      <c r="AS151" s="113"/>
      <c r="AT151" s="115"/>
      <c r="AU151" s="63"/>
      <c r="AV151" s="113"/>
      <c r="AW151" s="115"/>
      <c r="AX151" s="63"/>
      <c r="AY151" s="113"/>
      <c r="AZ151" s="115"/>
      <c r="BA151" s="63"/>
      <c r="BB151" s="113"/>
      <c r="BC151" s="115"/>
      <c r="BD151" s="63"/>
      <c r="BE151" s="113"/>
      <c r="BF151" s="115"/>
      <c r="BG151" s="63"/>
      <c r="BH151" s="113"/>
      <c r="BI151" s="115"/>
      <c r="BJ151" s="63"/>
      <c r="BK151" s="113"/>
      <c r="BL151" s="115"/>
      <c r="BM151" s="63"/>
      <c r="BN151" s="113"/>
      <c r="BO151" s="115"/>
      <c r="BP151" s="63"/>
      <c r="BQ151" s="113"/>
      <c r="BR151" s="115"/>
      <c r="BS151" s="63"/>
      <c r="BT151" s="113"/>
      <c r="BU151" s="115"/>
      <c r="BV151" s="63"/>
      <c r="BW151" s="113"/>
      <c r="BX151" s="115"/>
      <c r="BY151" s="63"/>
      <c r="BZ151" s="113"/>
      <c r="CA151" s="115"/>
      <c r="CB151" s="63"/>
      <c r="CC151" s="113"/>
      <c r="CD151" s="115"/>
      <c r="CE151" s="63"/>
      <c r="CF151" s="113"/>
      <c r="CG151" s="115"/>
      <c r="CH151" s="63"/>
      <c r="CI151" s="113"/>
      <c r="CJ151" s="115"/>
      <c r="CK151" s="69"/>
      <c r="CL151" s="117"/>
      <c r="CM151" s="118"/>
      <c r="CN151" s="63">
        <v>0</v>
      </c>
      <c r="CO151" s="113"/>
      <c r="CP151" s="115"/>
      <c r="CQ151" s="63"/>
      <c r="CR151" s="113"/>
      <c r="CS151" s="113"/>
      <c r="CT151" s="69"/>
      <c r="CU151" s="119"/>
      <c r="CV151" s="115"/>
      <c r="CW151" s="63"/>
      <c r="CX151" s="113"/>
      <c r="CY151" s="115"/>
      <c r="CZ151" s="63">
        <v>0</v>
      </c>
      <c r="DA151" s="413">
        <v>0.03</v>
      </c>
      <c r="DB151" s="414">
        <v>0.03</v>
      </c>
      <c r="DC151" s="63">
        <f t="shared" si="421"/>
        <v>0</v>
      </c>
      <c r="DD151" s="113">
        <v>0</v>
      </c>
      <c r="DE151" s="115">
        <v>0</v>
      </c>
      <c r="DF151" s="63">
        <f t="shared" si="423"/>
        <v>0</v>
      </c>
      <c r="DG151" s="113">
        <v>0</v>
      </c>
      <c r="DH151" s="115">
        <v>0</v>
      </c>
      <c r="DI151" s="63">
        <f t="shared" si="422"/>
        <v>0</v>
      </c>
      <c r="DJ151" s="113">
        <v>0</v>
      </c>
      <c r="DK151" s="115">
        <v>0</v>
      </c>
      <c r="DL151" s="63">
        <f t="shared" si="407"/>
        <v>0</v>
      </c>
      <c r="DM151" s="113">
        <v>0</v>
      </c>
      <c r="DN151" s="115">
        <v>0</v>
      </c>
      <c r="DO151" s="63">
        <f t="shared" si="408"/>
        <v>0</v>
      </c>
      <c r="DP151" s="113">
        <v>0</v>
      </c>
      <c r="DQ151" s="115">
        <v>0</v>
      </c>
      <c r="DR151" s="63">
        <f t="shared" si="409"/>
        <v>0</v>
      </c>
      <c r="DS151" s="113">
        <v>0</v>
      </c>
      <c r="DT151" s="115">
        <v>0</v>
      </c>
      <c r="DU151" s="63">
        <f t="shared" si="410"/>
        <v>0</v>
      </c>
      <c r="DV151" s="113">
        <v>0</v>
      </c>
      <c r="DW151" s="115">
        <v>0</v>
      </c>
      <c r="DX151" s="744">
        <f t="shared" si="411"/>
        <v>0</v>
      </c>
      <c r="DY151" s="113">
        <v>0</v>
      </c>
      <c r="DZ151" s="115">
        <v>0</v>
      </c>
      <c r="EA151" s="63">
        <f t="shared" si="412"/>
        <v>0</v>
      </c>
      <c r="EB151" s="113">
        <v>0</v>
      </c>
      <c r="EC151" s="115">
        <v>0</v>
      </c>
      <c r="ED151" s="63">
        <f t="shared" si="413"/>
        <v>0</v>
      </c>
      <c r="EE151" s="113">
        <v>0</v>
      </c>
      <c r="EF151" s="115">
        <v>0</v>
      </c>
      <c r="EG151" s="744">
        <f t="shared" si="414"/>
        <v>0</v>
      </c>
      <c r="EH151" s="113">
        <v>0</v>
      </c>
      <c r="EI151" s="115">
        <v>0</v>
      </c>
      <c r="EJ151" s="63">
        <f t="shared" si="415"/>
        <v>0</v>
      </c>
      <c r="EK151" s="113">
        <v>0</v>
      </c>
      <c r="EL151" s="115">
        <v>0</v>
      </c>
      <c r="EM151" s="63">
        <f t="shared" si="416"/>
        <v>0</v>
      </c>
      <c r="EN151" s="113">
        <v>0</v>
      </c>
      <c r="EO151" s="115">
        <v>0</v>
      </c>
      <c r="EP151" s="744">
        <f t="shared" si="417"/>
        <v>0</v>
      </c>
      <c r="EQ151" s="113">
        <v>0</v>
      </c>
      <c r="ER151" s="115">
        <v>0</v>
      </c>
      <c r="ES151" s="744">
        <f t="shared" si="418"/>
        <v>0</v>
      </c>
      <c r="ET151" s="113">
        <v>0</v>
      </c>
      <c r="EU151" s="115">
        <v>0</v>
      </c>
      <c r="EV151" s="744">
        <f t="shared" si="419"/>
        <v>0</v>
      </c>
      <c r="EW151" s="113">
        <v>0</v>
      </c>
      <c r="EX151" s="115">
        <v>0</v>
      </c>
      <c r="EY151" s="744">
        <f t="shared" si="420"/>
        <v>0</v>
      </c>
    </row>
    <row r="152" spans="1:155" s="20" customFormat="1" ht="20.25" hidden="1" thickBot="1">
      <c r="A152" s="183"/>
      <c r="B152" s="184"/>
      <c r="C152" s="415"/>
      <c r="D152" s="416" t="s">
        <v>234</v>
      </c>
      <c r="E152" s="103"/>
      <c r="F152" s="109"/>
      <c r="G152" s="105"/>
      <c r="H152" s="103"/>
      <c r="I152" s="109"/>
      <c r="J152" s="105"/>
      <c r="K152" s="103"/>
      <c r="L152" s="109"/>
      <c r="M152" s="105"/>
      <c r="N152" s="103"/>
      <c r="O152" s="109"/>
      <c r="P152" s="105"/>
      <c r="Q152" s="103"/>
      <c r="R152" s="109"/>
      <c r="S152" s="105"/>
      <c r="T152" s="103"/>
      <c r="U152" s="109"/>
      <c r="V152" s="105"/>
      <c r="W152" s="103"/>
      <c r="X152" s="109"/>
      <c r="Y152" s="105"/>
      <c r="Z152" s="103"/>
      <c r="AA152" s="109"/>
      <c r="AB152" s="105"/>
      <c r="AC152" s="103"/>
      <c r="AD152" s="109"/>
      <c r="AE152" s="105"/>
      <c r="AF152" s="103"/>
      <c r="AG152" s="109"/>
      <c r="AH152" s="105"/>
      <c r="AI152" s="103"/>
      <c r="AJ152" s="109"/>
      <c r="AK152" s="105"/>
      <c r="AL152" s="103"/>
      <c r="AM152" s="109"/>
      <c r="AN152" s="105"/>
      <c r="AO152" s="103"/>
      <c r="AP152" s="109"/>
      <c r="AQ152" s="105"/>
      <c r="AR152" s="103"/>
      <c r="AS152" s="109"/>
      <c r="AT152" s="105"/>
      <c r="AU152" s="103"/>
      <c r="AV152" s="109"/>
      <c r="AW152" s="105"/>
      <c r="AX152" s="103"/>
      <c r="AY152" s="109"/>
      <c r="AZ152" s="105"/>
      <c r="BA152" s="103"/>
      <c r="BB152" s="109"/>
      <c r="BC152" s="105"/>
      <c r="BD152" s="103"/>
      <c r="BE152" s="109"/>
      <c r="BF152" s="105"/>
      <c r="BG152" s="103"/>
      <c r="BH152" s="109"/>
      <c r="BI152" s="105"/>
      <c r="BJ152" s="103"/>
      <c r="BK152" s="109"/>
      <c r="BL152" s="105"/>
      <c r="BM152" s="103"/>
      <c r="BN152" s="109"/>
      <c r="BO152" s="105"/>
      <c r="BP152" s="103"/>
      <c r="BQ152" s="109"/>
      <c r="BR152" s="105"/>
      <c r="BS152" s="103"/>
      <c r="BT152" s="109"/>
      <c r="BU152" s="105"/>
      <c r="BV152" s="103"/>
      <c r="BW152" s="109"/>
      <c r="BX152" s="105"/>
      <c r="BY152" s="103"/>
      <c r="BZ152" s="109"/>
      <c r="CA152" s="105"/>
      <c r="CB152" s="103"/>
      <c r="CC152" s="109"/>
      <c r="CD152" s="105"/>
      <c r="CE152" s="103"/>
      <c r="CF152" s="109"/>
      <c r="CG152" s="105"/>
      <c r="CH152" s="103"/>
      <c r="CI152" s="109"/>
      <c r="CJ152" s="105"/>
      <c r="CK152" s="106"/>
      <c r="CL152" s="107"/>
      <c r="CM152" s="108"/>
      <c r="CN152" s="103">
        <v>0</v>
      </c>
      <c r="CO152" s="109"/>
      <c r="CP152" s="105"/>
      <c r="CQ152" s="103"/>
      <c r="CR152" s="109"/>
      <c r="CS152" s="109"/>
      <c r="CT152" s="106"/>
      <c r="CU152" s="104"/>
      <c r="CV152" s="105"/>
      <c r="CW152" s="103"/>
      <c r="CX152" s="109"/>
      <c r="CY152" s="105"/>
      <c r="CZ152" s="103">
        <v>0</v>
      </c>
      <c r="DA152" s="417">
        <v>0.03</v>
      </c>
      <c r="DB152" s="418">
        <v>0.03</v>
      </c>
      <c r="DC152" s="103">
        <f t="shared" si="421"/>
        <v>0</v>
      </c>
      <c r="DD152" s="109">
        <v>0</v>
      </c>
      <c r="DE152" s="105">
        <v>0</v>
      </c>
      <c r="DF152" s="103">
        <f t="shared" si="423"/>
        <v>0</v>
      </c>
      <c r="DG152" s="109">
        <v>0</v>
      </c>
      <c r="DH152" s="105">
        <v>0</v>
      </c>
      <c r="DI152" s="103">
        <f t="shared" si="422"/>
        <v>0</v>
      </c>
      <c r="DJ152" s="109">
        <v>0</v>
      </c>
      <c r="DK152" s="105">
        <v>0</v>
      </c>
      <c r="DL152" s="103">
        <f t="shared" si="407"/>
        <v>0</v>
      </c>
      <c r="DM152" s="109">
        <v>0</v>
      </c>
      <c r="DN152" s="105">
        <v>0</v>
      </c>
      <c r="DO152" s="103">
        <f t="shared" si="408"/>
        <v>0</v>
      </c>
      <c r="DP152" s="109">
        <v>0</v>
      </c>
      <c r="DQ152" s="105">
        <v>0</v>
      </c>
      <c r="DR152" s="103">
        <f t="shared" si="409"/>
        <v>0</v>
      </c>
      <c r="DS152" s="109">
        <v>0</v>
      </c>
      <c r="DT152" s="105">
        <v>0</v>
      </c>
      <c r="DU152" s="103">
        <f t="shared" si="410"/>
        <v>0</v>
      </c>
      <c r="DV152" s="109">
        <v>0</v>
      </c>
      <c r="DW152" s="105">
        <v>0</v>
      </c>
      <c r="DX152" s="746">
        <f t="shared" si="411"/>
        <v>0</v>
      </c>
      <c r="DY152" s="109">
        <v>0</v>
      </c>
      <c r="DZ152" s="105">
        <v>0</v>
      </c>
      <c r="EA152" s="103">
        <f t="shared" si="412"/>
        <v>0</v>
      </c>
      <c r="EB152" s="109">
        <v>0</v>
      </c>
      <c r="EC152" s="105">
        <v>0</v>
      </c>
      <c r="ED152" s="103">
        <f t="shared" si="413"/>
        <v>0</v>
      </c>
      <c r="EE152" s="109">
        <v>0</v>
      </c>
      <c r="EF152" s="105">
        <v>0</v>
      </c>
      <c r="EG152" s="746">
        <f t="shared" si="414"/>
        <v>0</v>
      </c>
      <c r="EH152" s="109">
        <v>0</v>
      </c>
      <c r="EI152" s="105">
        <v>0</v>
      </c>
      <c r="EJ152" s="103">
        <f t="shared" si="415"/>
        <v>0</v>
      </c>
      <c r="EK152" s="109">
        <v>0</v>
      </c>
      <c r="EL152" s="105">
        <v>0</v>
      </c>
      <c r="EM152" s="103">
        <f t="shared" si="416"/>
        <v>0</v>
      </c>
      <c r="EN152" s="109">
        <v>0</v>
      </c>
      <c r="EO152" s="105">
        <v>0</v>
      </c>
      <c r="EP152" s="746">
        <f t="shared" si="417"/>
        <v>0</v>
      </c>
      <c r="EQ152" s="109">
        <v>0</v>
      </c>
      <c r="ER152" s="105">
        <v>0</v>
      </c>
      <c r="ES152" s="746">
        <f t="shared" si="418"/>
        <v>0</v>
      </c>
      <c r="ET152" s="109">
        <v>0</v>
      </c>
      <c r="EU152" s="105">
        <v>0</v>
      </c>
      <c r="EV152" s="746">
        <f t="shared" si="419"/>
        <v>0</v>
      </c>
      <c r="EW152" s="109">
        <v>0</v>
      </c>
      <c r="EX152" s="105">
        <v>0</v>
      </c>
      <c r="EY152" s="746">
        <f t="shared" si="420"/>
        <v>0</v>
      </c>
    </row>
    <row r="153" spans="1:155" s="20" customFormat="1" ht="20.25" thickBot="1">
      <c r="A153" s="204"/>
      <c r="B153" s="355"/>
      <c r="C153" s="356"/>
      <c r="D153" s="357" t="s">
        <v>424</v>
      </c>
      <c r="E153" s="160">
        <v>1007.546</v>
      </c>
      <c r="F153" s="302">
        <f t="shared" ref="F153:AK153" si="426">SUM(F135:F150)</f>
        <v>40.04</v>
      </c>
      <c r="G153" s="162">
        <f t="shared" si="426"/>
        <v>52.447999999999993</v>
      </c>
      <c r="H153" s="160">
        <f t="shared" si="426"/>
        <v>48.845999999999947</v>
      </c>
      <c r="I153" s="302">
        <f t="shared" si="426"/>
        <v>54.956000000000003</v>
      </c>
      <c r="J153" s="162">
        <f t="shared" si="426"/>
        <v>47.52</v>
      </c>
      <c r="K153" s="160">
        <f t="shared" si="426"/>
        <v>56.281999999999947</v>
      </c>
      <c r="L153" s="302">
        <f t="shared" si="426"/>
        <v>61.599999999999994</v>
      </c>
      <c r="M153" s="162">
        <f t="shared" si="426"/>
        <v>76.56</v>
      </c>
      <c r="N153" s="160">
        <f t="shared" si="426"/>
        <v>41.321999999999932</v>
      </c>
      <c r="O153" s="302">
        <f t="shared" si="426"/>
        <v>29.304000000000002</v>
      </c>
      <c r="P153" s="162">
        <f t="shared" si="426"/>
        <v>45.056000000000004</v>
      </c>
      <c r="Q153" s="160">
        <f t="shared" si="426"/>
        <v>25.569999999999936</v>
      </c>
      <c r="R153" s="302">
        <f t="shared" si="426"/>
        <v>56.76</v>
      </c>
      <c r="S153" s="162">
        <f t="shared" si="426"/>
        <v>37.135999999999996</v>
      </c>
      <c r="T153" s="160">
        <f t="shared" si="426"/>
        <v>45.193999999999932</v>
      </c>
      <c r="U153" s="302">
        <f t="shared" si="426"/>
        <v>66.352000000000004</v>
      </c>
      <c r="V153" s="162">
        <f t="shared" si="426"/>
        <v>39.775999999999996</v>
      </c>
      <c r="W153" s="160">
        <f t="shared" si="426"/>
        <v>71.769999999999925</v>
      </c>
      <c r="X153" s="302">
        <f t="shared" si="426"/>
        <v>30.756</v>
      </c>
      <c r="Y153" s="162">
        <f t="shared" si="426"/>
        <v>44.527999999999999</v>
      </c>
      <c r="Z153" s="160">
        <f t="shared" si="426"/>
        <v>57.997999999999927</v>
      </c>
      <c r="AA153" s="302">
        <f t="shared" si="426"/>
        <v>22.22</v>
      </c>
      <c r="AB153" s="162">
        <f t="shared" si="426"/>
        <v>51.392000000000003</v>
      </c>
      <c r="AC153" s="160">
        <f t="shared" si="426"/>
        <v>28.825999999999922</v>
      </c>
      <c r="AD153" s="302">
        <f t="shared" si="426"/>
        <v>56.584000000000003</v>
      </c>
      <c r="AE153" s="162">
        <f t="shared" si="426"/>
        <v>7.92</v>
      </c>
      <c r="AF153" s="160">
        <f t="shared" si="426"/>
        <v>77.489999999999924</v>
      </c>
      <c r="AG153" s="302">
        <f t="shared" si="426"/>
        <v>25.123999999999999</v>
      </c>
      <c r="AH153" s="162">
        <f t="shared" si="426"/>
        <v>22</v>
      </c>
      <c r="AI153" s="160">
        <f t="shared" si="426"/>
        <v>80.613999999999919</v>
      </c>
      <c r="AJ153" s="302">
        <f t="shared" si="426"/>
        <v>20.416</v>
      </c>
      <c r="AK153" s="162">
        <f t="shared" si="426"/>
        <v>101.08799999999999</v>
      </c>
      <c r="AL153" s="160">
        <f t="shared" ref="AL153:CM153" si="427">SUM(AL135:AL150)</f>
        <v>-5.8000000000080654E-2</v>
      </c>
      <c r="AM153" s="302">
        <f t="shared" si="427"/>
        <v>49.28</v>
      </c>
      <c r="AN153" s="162">
        <f t="shared" si="427"/>
        <v>29.92</v>
      </c>
      <c r="AO153" s="160">
        <f t="shared" si="427"/>
        <v>19.301999999999918</v>
      </c>
      <c r="AP153" s="302">
        <f t="shared" si="427"/>
        <v>65.164000000000001</v>
      </c>
      <c r="AQ153" s="162">
        <f t="shared" si="427"/>
        <v>63.36</v>
      </c>
      <c r="AR153" s="160">
        <f t="shared" si="427"/>
        <v>21.10599999999992</v>
      </c>
      <c r="AS153" s="302">
        <f t="shared" si="427"/>
        <v>127.57599999999999</v>
      </c>
      <c r="AT153" s="162">
        <f t="shared" si="427"/>
        <v>68.64</v>
      </c>
      <c r="AU153" s="160">
        <f t="shared" si="427"/>
        <v>80.041999999999916</v>
      </c>
      <c r="AV153" s="302">
        <f t="shared" si="427"/>
        <v>38.653999999999996</v>
      </c>
      <c r="AW153" s="162">
        <f t="shared" si="427"/>
        <v>88</v>
      </c>
      <c r="AX153" s="160">
        <f t="shared" si="427"/>
        <v>30.695999999999913</v>
      </c>
      <c r="AY153" s="302">
        <f t="shared" si="427"/>
        <v>69.739999999999995</v>
      </c>
      <c r="AZ153" s="162">
        <f t="shared" si="427"/>
        <v>66</v>
      </c>
      <c r="BA153" s="160">
        <f t="shared" si="427"/>
        <v>34.435999999999908</v>
      </c>
      <c r="BB153" s="302">
        <f t="shared" si="427"/>
        <v>86.372</v>
      </c>
      <c r="BC153" s="162">
        <f t="shared" si="427"/>
        <v>79.904000000000011</v>
      </c>
      <c r="BD153" s="160">
        <f t="shared" si="427"/>
        <v>40.974000000000004</v>
      </c>
      <c r="BE153" s="302">
        <f t="shared" si="427"/>
        <v>147.31200000000001</v>
      </c>
      <c r="BF153" s="162">
        <f t="shared" si="427"/>
        <v>116.16</v>
      </c>
      <c r="BG153" s="160">
        <f t="shared" si="427"/>
        <v>72.126000000000019</v>
      </c>
      <c r="BH153" s="302">
        <f t="shared" si="427"/>
        <v>149.292</v>
      </c>
      <c r="BI153" s="162">
        <f t="shared" si="427"/>
        <v>90.231999999999999</v>
      </c>
      <c r="BJ153" s="160">
        <f t="shared" si="427"/>
        <v>131.18600000000001</v>
      </c>
      <c r="BK153" s="302">
        <f t="shared" si="427"/>
        <v>155.84800000000001</v>
      </c>
      <c r="BL153" s="162">
        <f t="shared" si="427"/>
        <v>83.248000000000005</v>
      </c>
      <c r="BM153" s="160">
        <f t="shared" si="427"/>
        <v>203.786</v>
      </c>
      <c r="BN153" s="302">
        <f t="shared" si="427"/>
        <v>3.3929999999999998</v>
      </c>
      <c r="BO153" s="162">
        <f t="shared" si="427"/>
        <v>148.72</v>
      </c>
      <c r="BP153" s="160">
        <f t="shared" si="427"/>
        <v>58.459000000000003</v>
      </c>
      <c r="BQ153" s="302">
        <f t="shared" si="427"/>
        <v>41.052</v>
      </c>
      <c r="BR153" s="162">
        <f t="shared" si="427"/>
        <v>4.4000000000000004</v>
      </c>
      <c r="BS153" s="160">
        <f t="shared" si="427"/>
        <v>95.111000000000004</v>
      </c>
      <c r="BT153" s="302">
        <f t="shared" si="427"/>
        <v>72.819999999999993</v>
      </c>
      <c r="BU153" s="162">
        <f t="shared" si="427"/>
        <v>107.20599999999999</v>
      </c>
      <c r="BV153" s="160">
        <f t="shared" si="427"/>
        <v>60.725000000000001</v>
      </c>
      <c r="BW153" s="302">
        <f t="shared" si="427"/>
        <v>111.32</v>
      </c>
      <c r="BX153" s="162">
        <f t="shared" si="427"/>
        <v>39.6</v>
      </c>
      <c r="BY153" s="160">
        <f t="shared" si="427"/>
        <v>132.44500000000002</v>
      </c>
      <c r="BZ153" s="302">
        <f t="shared" si="427"/>
        <v>116.336</v>
      </c>
      <c r="CA153" s="162">
        <f t="shared" si="427"/>
        <v>80.08</v>
      </c>
      <c r="CB153" s="160">
        <f t="shared" si="427"/>
        <v>168.70100000000002</v>
      </c>
      <c r="CC153" s="302">
        <f t="shared" si="427"/>
        <v>143.88</v>
      </c>
      <c r="CD153" s="162">
        <f t="shared" si="427"/>
        <v>141.67999999999998</v>
      </c>
      <c r="CE153" s="160">
        <f t="shared" si="427"/>
        <v>170.90100000000004</v>
      </c>
      <c r="CF153" s="302">
        <f t="shared" si="427"/>
        <v>112.44</v>
      </c>
      <c r="CG153" s="162">
        <f t="shared" si="427"/>
        <v>39.6</v>
      </c>
      <c r="CH153" s="160">
        <f t="shared" si="427"/>
        <v>243.74100000000007</v>
      </c>
      <c r="CI153" s="302">
        <f t="shared" si="427"/>
        <v>142.97999999999999</v>
      </c>
      <c r="CJ153" s="162">
        <f t="shared" si="427"/>
        <v>139.91999999999999</v>
      </c>
      <c r="CK153" s="163">
        <f t="shared" si="427"/>
        <v>246.80100000000007</v>
      </c>
      <c r="CL153" s="358">
        <f t="shared" si="427"/>
        <v>83.807999999999993</v>
      </c>
      <c r="CM153" s="165">
        <f t="shared" si="427"/>
        <v>83.951999999999998</v>
      </c>
      <c r="CN153" s="160">
        <f>SUM(CN135:CN152)</f>
        <v>3.0729999999999995</v>
      </c>
      <c r="CO153" s="302">
        <f t="shared" ref="CO153:CY153" si="428">SUM(CO135:CO150)</f>
        <v>82.06</v>
      </c>
      <c r="CP153" s="162">
        <f t="shared" si="428"/>
        <v>129.88800000000001</v>
      </c>
      <c r="CQ153" s="160">
        <f t="shared" si="428"/>
        <v>-44.754999999999995</v>
      </c>
      <c r="CR153" s="302">
        <f t="shared" si="428"/>
        <v>112.026</v>
      </c>
      <c r="CS153" s="162">
        <f t="shared" si="428"/>
        <v>124.256</v>
      </c>
      <c r="CT153" s="163">
        <f t="shared" si="428"/>
        <v>-56.984999999999992</v>
      </c>
      <c r="CU153" s="305">
        <f t="shared" si="428"/>
        <v>109.488</v>
      </c>
      <c r="CV153" s="162">
        <f t="shared" si="428"/>
        <v>117.744</v>
      </c>
      <c r="CW153" s="160">
        <f t="shared" si="428"/>
        <v>-65.241</v>
      </c>
      <c r="CX153" s="302">
        <f t="shared" si="428"/>
        <v>90.244</v>
      </c>
      <c r="CY153" s="162">
        <f t="shared" si="428"/>
        <v>73.744</v>
      </c>
      <c r="CZ153" s="160">
        <f>SUM(CZ135:CZ152)</f>
        <v>149.03700000000001</v>
      </c>
      <c r="DA153" s="302">
        <f>SUM(DA135:DA152)</f>
        <v>125.053</v>
      </c>
      <c r="DB153" s="162">
        <f>SUM(DB135:DB152)</f>
        <v>119.30200000000001</v>
      </c>
      <c r="DC153" s="160">
        <f>SUM(DC135:DC150)</f>
        <v>154.78800000000001</v>
      </c>
      <c r="DD153" s="302">
        <f t="shared" ref="DD153:EG153" si="429">SUM(DD135:DD152)</f>
        <v>204.09199999999998</v>
      </c>
      <c r="DE153" s="162">
        <f t="shared" si="429"/>
        <v>180.14400000000001</v>
      </c>
      <c r="DF153" s="160">
        <f t="shared" si="429"/>
        <v>176.20599999999999</v>
      </c>
      <c r="DG153" s="302">
        <f t="shared" si="429"/>
        <v>200.89500000000004</v>
      </c>
      <c r="DH153" s="162">
        <f t="shared" si="429"/>
        <v>170.304</v>
      </c>
      <c r="DI153" s="160">
        <f t="shared" si="429"/>
        <v>206.79700000000003</v>
      </c>
      <c r="DJ153" s="302">
        <f t="shared" si="429"/>
        <v>210.37899999999999</v>
      </c>
      <c r="DK153" s="162">
        <f t="shared" si="429"/>
        <v>143.64100000000002</v>
      </c>
      <c r="DL153" s="160">
        <f t="shared" si="429"/>
        <v>273.53500000000003</v>
      </c>
      <c r="DM153" s="302">
        <f t="shared" si="429"/>
        <v>275.08</v>
      </c>
      <c r="DN153" s="162">
        <f t="shared" si="429"/>
        <v>229.00799999999998</v>
      </c>
      <c r="DO153" s="160">
        <f t="shared" si="429"/>
        <v>319.60699999999997</v>
      </c>
      <c r="DP153" s="302">
        <f t="shared" si="429"/>
        <v>328.03299999999996</v>
      </c>
      <c r="DQ153" s="162">
        <f t="shared" si="429"/>
        <v>137.904</v>
      </c>
      <c r="DR153" s="160">
        <f t="shared" si="429"/>
        <v>509.73599999999999</v>
      </c>
      <c r="DS153" s="302">
        <f t="shared" si="429"/>
        <v>291.13900000000001</v>
      </c>
      <c r="DT153" s="162">
        <f t="shared" si="429"/>
        <v>283.762</v>
      </c>
      <c r="DU153" s="160">
        <f t="shared" si="429"/>
        <v>517.11300000000006</v>
      </c>
      <c r="DV153" s="302">
        <f t="shared" si="429"/>
        <v>276.73400000000004</v>
      </c>
      <c r="DW153" s="162">
        <f t="shared" si="429"/>
        <v>153.44400000000002</v>
      </c>
      <c r="DX153" s="748">
        <f t="shared" si="429"/>
        <v>640.40300000000002</v>
      </c>
      <c r="DY153" s="302">
        <f t="shared" si="429"/>
        <v>200.96800000000002</v>
      </c>
      <c r="DZ153" s="162">
        <f t="shared" si="429"/>
        <v>64.537000000000006</v>
      </c>
      <c r="EA153" s="160">
        <f t="shared" si="429"/>
        <v>776.83400000000006</v>
      </c>
      <c r="EB153" s="302">
        <f t="shared" si="429"/>
        <v>129.084</v>
      </c>
      <c r="EC153" s="162">
        <f t="shared" si="429"/>
        <v>71.787999999999997</v>
      </c>
      <c r="ED153" s="160">
        <f t="shared" si="429"/>
        <v>834.13</v>
      </c>
      <c r="EE153" s="302">
        <f t="shared" si="429"/>
        <v>12.8</v>
      </c>
      <c r="EF153" s="162">
        <f t="shared" si="429"/>
        <v>64.128</v>
      </c>
      <c r="EG153" s="748">
        <f t="shared" si="429"/>
        <v>782.80200000000002</v>
      </c>
      <c r="EH153" s="302">
        <f t="shared" ref="EH153:EJ153" si="430">SUM(EH135:EH152)</f>
        <v>150.959</v>
      </c>
      <c r="EI153" s="162">
        <f t="shared" si="430"/>
        <v>94.14</v>
      </c>
      <c r="EJ153" s="160">
        <f t="shared" si="430"/>
        <v>839.62100000000009</v>
      </c>
      <c r="EK153" s="302">
        <f t="shared" ref="EK153:EM153" si="431">SUM(EK135:EK152)</f>
        <v>141.62</v>
      </c>
      <c r="EL153" s="162">
        <f t="shared" si="431"/>
        <v>164.43199999999999</v>
      </c>
      <c r="EM153" s="160">
        <f t="shared" si="431"/>
        <v>816.80900000000008</v>
      </c>
      <c r="EN153" s="302">
        <f t="shared" ref="EN153:EP153" si="432">SUM(EN135:EN152)</f>
        <v>196.7</v>
      </c>
      <c r="EO153" s="162">
        <f t="shared" si="432"/>
        <v>343.48400000000004</v>
      </c>
      <c r="EP153" s="748">
        <f t="shared" si="432"/>
        <v>670.02499999999998</v>
      </c>
      <c r="EQ153" s="302">
        <f t="shared" ref="EQ153:ES153" si="433">SUM(EQ135:EQ152)</f>
        <v>147.4</v>
      </c>
      <c r="ER153" s="162">
        <f t="shared" si="433"/>
        <v>124.80000000000001</v>
      </c>
      <c r="ES153" s="748">
        <f t="shared" si="433"/>
        <v>692.625</v>
      </c>
      <c r="ET153" s="302">
        <f t="shared" ref="ET153:EV153" si="434">SUM(ET135:ET152)</f>
        <v>153</v>
      </c>
      <c r="EU153" s="162">
        <f t="shared" si="434"/>
        <v>131.80000000000001</v>
      </c>
      <c r="EV153" s="748">
        <f t="shared" si="434"/>
        <v>713.82499999999993</v>
      </c>
      <c r="EW153" s="302">
        <f t="shared" ref="EW153:EY153" si="435">SUM(EW135:EW152)</f>
        <v>130</v>
      </c>
      <c r="EX153" s="162">
        <f t="shared" si="435"/>
        <v>286.59199999999998</v>
      </c>
      <c r="EY153" s="748">
        <f t="shared" si="435"/>
        <v>557.23300000000006</v>
      </c>
    </row>
    <row r="154" spans="1:155" s="424" customFormat="1" ht="21" thickBot="1">
      <c r="A154" s="419"/>
      <c r="B154" s="420"/>
      <c r="C154" s="421"/>
      <c r="D154" s="357" t="s">
        <v>406</v>
      </c>
      <c r="E154" s="422"/>
      <c r="F154" s="423"/>
      <c r="G154" s="423"/>
      <c r="H154" s="422"/>
      <c r="I154" s="423"/>
      <c r="J154" s="423"/>
      <c r="K154" s="422"/>
      <c r="L154" s="423"/>
      <c r="M154" s="423"/>
      <c r="N154" s="422"/>
      <c r="O154" s="423"/>
      <c r="P154" s="423"/>
      <c r="Q154" s="422"/>
      <c r="R154" s="423"/>
      <c r="S154" s="423"/>
      <c r="T154" s="422"/>
      <c r="U154" s="423"/>
      <c r="V154" s="423"/>
      <c r="W154" s="422"/>
      <c r="X154" s="423"/>
      <c r="Y154" s="423"/>
      <c r="Z154" s="422"/>
      <c r="AA154" s="423"/>
      <c r="AB154" s="423"/>
      <c r="AC154" s="422"/>
      <c r="AD154" s="423"/>
      <c r="AE154" s="423"/>
      <c r="AF154" s="422"/>
      <c r="AG154" s="423"/>
      <c r="AH154" s="423"/>
      <c r="AI154" s="422"/>
      <c r="AJ154" s="423"/>
      <c r="AK154" s="423"/>
      <c r="AL154" s="422"/>
      <c r="AM154" s="423"/>
      <c r="AN154" s="423"/>
      <c r="AO154" s="422"/>
      <c r="AP154" s="423"/>
      <c r="AQ154" s="423"/>
      <c r="AR154" s="422"/>
      <c r="AS154" s="423"/>
      <c r="AT154" s="423"/>
      <c r="AU154" s="422"/>
      <c r="AV154" s="423"/>
      <c r="AW154" s="423"/>
      <c r="AX154" s="422"/>
      <c r="AY154" s="423"/>
      <c r="AZ154" s="423"/>
      <c r="BA154" s="422"/>
      <c r="BB154" s="423"/>
      <c r="BC154" s="423"/>
      <c r="BD154" s="422"/>
      <c r="BE154" s="423"/>
      <c r="BF154" s="423"/>
      <c r="BG154" s="422"/>
      <c r="BH154" s="423"/>
      <c r="BI154" s="423"/>
      <c r="BJ154" s="422"/>
      <c r="BK154" s="423"/>
      <c r="BL154" s="423"/>
      <c r="BM154" s="422"/>
      <c r="BN154" s="423"/>
      <c r="BO154" s="423"/>
      <c r="BP154" s="422"/>
      <c r="BQ154" s="423"/>
      <c r="BR154" s="423"/>
      <c r="BS154" s="422"/>
      <c r="BT154" s="423"/>
      <c r="BU154" s="423"/>
      <c r="BV154" s="422"/>
      <c r="BW154" s="423"/>
      <c r="BX154" s="423"/>
      <c r="BY154" s="422"/>
      <c r="BZ154" s="423"/>
      <c r="CA154" s="423"/>
      <c r="CB154" s="422"/>
      <c r="CC154" s="423"/>
      <c r="CD154" s="423"/>
      <c r="CE154" s="422"/>
      <c r="CF154" s="423"/>
      <c r="CG154" s="423"/>
      <c r="CH154" s="422"/>
      <c r="CI154" s="423"/>
      <c r="CJ154" s="423"/>
      <c r="CK154" s="423"/>
      <c r="CL154" s="164"/>
      <c r="CM154" s="423"/>
      <c r="CN154" s="388">
        <f>SUM(CN24,CN57,CN104,CN119,CN131,CN134)</f>
        <v>5997.1609999999991</v>
      </c>
      <c r="CO154" s="166"/>
      <c r="CP154" s="166"/>
      <c r="CQ154" s="388"/>
      <c r="CR154" s="166"/>
      <c r="CS154" s="166"/>
      <c r="CT154" s="166"/>
      <c r="CU154" s="161"/>
      <c r="CV154" s="166"/>
      <c r="CW154" s="388" t="e">
        <f>SUM(CW24,CW57,CW104,CW119,CW131,CW134)</f>
        <v>#REF!</v>
      </c>
      <c r="CX154" s="166" t="e">
        <f>SUM(CX24,CX57,CX104,CX119,CX131,CX134)</f>
        <v>#REF!</v>
      </c>
      <c r="CY154" s="162" t="e">
        <f>SUM(CY24,CY57,CY104,CY119,CY131,CY134)</f>
        <v>#REF!</v>
      </c>
      <c r="CZ154" s="388" t="e">
        <f t="shared" ref="CZ154:EG154" si="436">SUM(CZ24,CZ57,CZ104,CZ119,CZ131,CZ134,CZ153)</f>
        <v>#REF!</v>
      </c>
      <c r="DA154" s="166">
        <f t="shared" si="436"/>
        <v>5457.7209999999995</v>
      </c>
      <c r="DB154" s="162">
        <f t="shared" si="436"/>
        <v>5901.621000000001</v>
      </c>
      <c r="DC154" s="388">
        <f t="shared" si="436"/>
        <v>7977.3590000000004</v>
      </c>
      <c r="DD154" s="166">
        <f t="shared" si="436"/>
        <v>6241.7759999999998</v>
      </c>
      <c r="DE154" s="162">
        <f t="shared" si="436"/>
        <v>6950.0760000000009</v>
      </c>
      <c r="DF154" s="388">
        <f t="shared" si="436"/>
        <v>6992.0649999999987</v>
      </c>
      <c r="DG154" s="166">
        <f t="shared" si="436"/>
        <v>6178.7110000000002</v>
      </c>
      <c r="DH154" s="162">
        <f t="shared" si="436"/>
        <v>5881.5780000000004</v>
      </c>
      <c r="DI154" s="388">
        <f t="shared" si="436"/>
        <v>7293.6919999999991</v>
      </c>
      <c r="DJ154" s="166">
        <f t="shared" si="436"/>
        <v>5432.9589999999998</v>
      </c>
      <c r="DK154" s="162">
        <f t="shared" si="436"/>
        <v>4133.5649999999996</v>
      </c>
      <c r="DL154" s="388">
        <f t="shared" si="436"/>
        <v>8587.6179999999986</v>
      </c>
      <c r="DM154" s="166">
        <f t="shared" si="436"/>
        <v>5643.1850000000004</v>
      </c>
      <c r="DN154" s="162">
        <f t="shared" si="436"/>
        <v>5057.799</v>
      </c>
      <c r="DO154" s="388">
        <f t="shared" si="436"/>
        <v>9171.297999999997</v>
      </c>
      <c r="DP154" s="166">
        <f t="shared" si="436"/>
        <v>4534.116</v>
      </c>
      <c r="DQ154" s="162">
        <f t="shared" si="436"/>
        <v>4258.628999999999</v>
      </c>
      <c r="DR154" s="388">
        <f t="shared" si="436"/>
        <v>9532.1169999999984</v>
      </c>
      <c r="DS154" s="166">
        <f t="shared" si="436"/>
        <v>4122.6770000000006</v>
      </c>
      <c r="DT154" s="162">
        <f t="shared" si="436"/>
        <v>5514.9139999999998</v>
      </c>
      <c r="DU154" s="388">
        <f t="shared" si="436"/>
        <v>8054.55</v>
      </c>
      <c r="DV154" s="166">
        <f t="shared" si="436"/>
        <v>3468.3269999999993</v>
      </c>
      <c r="DW154" s="162">
        <f t="shared" si="436"/>
        <v>3818.3440000000001</v>
      </c>
      <c r="DX154" s="759">
        <f t="shared" si="436"/>
        <v>7704.6170000000002</v>
      </c>
      <c r="DY154" s="166">
        <f t="shared" si="436"/>
        <v>4570.2340000000004</v>
      </c>
      <c r="DZ154" s="162">
        <f t="shared" si="436"/>
        <v>4714.7610000000004</v>
      </c>
      <c r="EA154" s="388">
        <f t="shared" si="436"/>
        <v>7825.2570000000005</v>
      </c>
      <c r="EB154" s="166">
        <f t="shared" si="436"/>
        <v>2833.7639999999997</v>
      </c>
      <c r="EC154" s="162">
        <f t="shared" si="436"/>
        <v>4336.6079999999993</v>
      </c>
      <c r="ED154" s="388">
        <f t="shared" si="436"/>
        <v>6025.5920000000006</v>
      </c>
      <c r="EE154" s="166">
        <f t="shared" si="436"/>
        <v>2542.1040000000003</v>
      </c>
      <c r="EF154" s="162">
        <f t="shared" si="436"/>
        <v>3834.3109999999997</v>
      </c>
      <c r="EG154" s="759">
        <f t="shared" si="436"/>
        <v>4736.4089999999997</v>
      </c>
      <c r="EH154" s="166">
        <f t="shared" ref="EH154:EJ154" si="437">SUM(EH24,EH57,EH104,EH119,EH131,EH134,EH153)</f>
        <v>3422.1619999999994</v>
      </c>
      <c r="EI154" s="162">
        <f t="shared" si="437"/>
        <v>2994.5070000000001</v>
      </c>
      <c r="EJ154" s="388">
        <f t="shared" si="437"/>
        <v>5164.0640000000003</v>
      </c>
      <c r="EK154" s="166">
        <f t="shared" ref="EK154:EM154" si="438">SUM(EK24,EK57,EK104,EK119,EK131,EK134,EK153)</f>
        <v>3148.2849999999999</v>
      </c>
      <c r="EL154" s="162">
        <f t="shared" si="438"/>
        <v>3093.6649999999995</v>
      </c>
      <c r="EM154" s="388">
        <f t="shared" si="438"/>
        <v>5216.3840000000009</v>
      </c>
      <c r="EN154" s="166">
        <f t="shared" ref="EN154:EP154" si="439">SUM(EN24,EN57,EN104,EN119,EN131,EN134,EN153)</f>
        <v>3600.28</v>
      </c>
      <c r="EO154" s="162">
        <f t="shared" si="439"/>
        <v>3324.4289999999996</v>
      </c>
      <c r="EP154" s="759">
        <f t="shared" si="439"/>
        <v>5489.2349999999997</v>
      </c>
      <c r="EQ154" s="166">
        <f t="shared" ref="EQ154:ES154" si="440">SUM(EQ24,EQ57,EQ104,EQ119,EQ131,EQ134,EQ153)</f>
        <v>3129.1800000000003</v>
      </c>
      <c r="ER154" s="162">
        <f t="shared" si="440"/>
        <v>3667.9500000000003</v>
      </c>
      <c r="ES154" s="759">
        <f t="shared" si="440"/>
        <v>4939.4650000000001</v>
      </c>
      <c r="ET154" s="166">
        <f t="shared" ref="ET154:EV154" si="441">SUM(ET24,ET57,ET104,ET119,ET131,ET134,ET153)</f>
        <v>3080.22</v>
      </c>
      <c r="EU154" s="162">
        <f t="shared" si="441"/>
        <v>2972.6400000000003</v>
      </c>
      <c r="EV154" s="759">
        <f t="shared" si="441"/>
        <v>5037.0449999999992</v>
      </c>
      <c r="EW154" s="166">
        <f t="shared" ref="EW154:EY154" si="442">SUM(EW24,EW57,EW104,EW119,EW131,EW134,EW153)</f>
        <v>2395.3199999999997</v>
      </c>
      <c r="EX154" s="162">
        <f t="shared" si="442"/>
        <v>2744.0120000000002</v>
      </c>
      <c r="EY154" s="759">
        <f t="shared" si="442"/>
        <v>4702.3529999999992</v>
      </c>
    </row>
    <row r="155" spans="1:155" ht="20.25" thickBot="1">
      <c r="A155" s="156"/>
      <c r="B155" s="157"/>
      <c r="C155" s="157"/>
      <c r="D155" s="300" t="s">
        <v>407</v>
      </c>
      <c r="E155" s="388" t="e">
        <v>#REF!</v>
      </c>
      <c r="F155" s="161" t="e">
        <f>F47+F104+#REF!+F131</f>
        <v>#REF!</v>
      </c>
      <c r="G155" s="166" t="e">
        <f>G47+G104+#REF!+G131</f>
        <v>#REF!</v>
      </c>
      <c r="H155" s="388" t="e">
        <f>H47+H104+#REF!+H131</f>
        <v>#REF!</v>
      </c>
      <c r="I155" s="161" t="e">
        <f>I47+I104+#REF!+I131</f>
        <v>#REF!</v>
      </c>
      <c r="J155" s="166" t="e">
        <f>J47+J104+#REF!+J131</f>
        <v>#REF!</v>
      </c>
      <c r="K155" s="388" t="e">
        <f>K47+K104+#REF!+K131</f>
        <v>#REF!</v>
      </c>
      <c r="L155" s="161" t="e">
        <f>L47+L104+#REF!+L131</f>
        <v>#REF!</v>
      </c>
      <c r="M155" s="166" t="e">
        <f>M47+M104+#REF!+M131</f>
        <v>#REF!</v>
      </c>
      <c r="N155" s="388" t="e">
        <f>N47+N104+#REF!+N131</f>
        <v>#REF!</v>
      </c>
      <c r="O155" s="161" t="e">
        <f>O47+O104+#REF!+O131</f>
        <v>#REF!</v>
      </c>
      <c r="P155" s="166" t="e">
        <f>P47+P104+#REF!+P131</f>
        <v>#REF!</v>
      </c>
      <c r="Q155" s="388" t="e">
        <f>Q47+Q104+#REF!+Q131</f>
        <v>#REF!</v>
      </c>
      <c r="R155" s="161" t="e">
        <f>R47+R104+#REF!+R131</f>
        <v>#REF!</v>
      </c>
      <c r="S155" s="166" t="e">
        <f>S47+S104+#REF!+S131</f>
        <v>#REF!</v>
      </c>
      <c r="T155" s="388" t="e">
        <f>T47+T104+#REF!+T131</f>
        <v>#REF!</v>
      </c>
      <c r="U155" s="161" t="e">
        <f>U47+U104+#REF!+U131</f>
        <v>#REF!</v>
      </c>
      <c r="V155" s="166" t="e">
        <f>V47+V104+#REF!+V131</f>
        <v>#REF!</v>
      </c>
      <c r="W155" s="388" t="e">
        <f>W47+W104+#REF!+W131</f>
        <v>#REF!</v>
      </c>
      <c r="X155" s="161" t="e">
        <f>X47+X104+#REF!+X131</f>
        <v>#REF!</v>
      </c>
      <c r="Y155" s="166" t="e">
        <f>Y47+Y104+#REF!+Y131</f>
        <v>#REF!</v>
      </c>
      <c r="Z155" s="388" t="e">
        <f>Z47+Z104+#REF!+Z131</f>
        <v>#REF!</v>
      </c>
      <c r="AA155" s="161" t="e">
        <f>AA47+AA104+#REF!+AA131</f>
        <v>#REF!</v>
      </c>
      <c r="AB155" s="166" t="e">
        <f>AB47+AB104+#REF!+AB131</f>
        <v>#REF!</v>
      </c>
      <c r="AC155" s="388" t="e">
        <f>AC47+AC104+#REF!+AC131</f>
        <v>#REF!</v>
      </c>
      <c r="AD155" s="161" t="e">
        <f>AD47+AD104+#REF!+AD131</f>
        <v>#REF!</v>
      </c>
      <c r="AE155" s="166" t="e">
        <f>AE47+AE104+#REF!+AE131</f>
        <v>#REF!</v>
      </c>
      <c r="AF155" s="388" t="e">
        <f>AF47+AF104+#REF!+AF131</f>
        <v>#REF!</v>
      </c>
      <c r="AG155" s="161" t="e">
        <f>AG47+AG104+#REF!+AG131</f>
        <v>#REF!</v>
      </c>
      <c r="AH155" s="166" t="e">
        <f>AH47+AH104+#REF!+AH131</f>
        <v>#REF!</v>
      </c>
      <c r="AI155" s="388" t="e">
        <f>AI47+AI104+#REF!+AI131</f>
        <v>#REF!</v>
      </c>
      <c r="AJ155" s="161" t="e">
        <f>AJ47+AJ104+#REF!+AJ131</f>
        <v>#REF!</v>
      </c>
      <c r="AK155" s="166" t="e">
        <f>AK47+AK104+#REF!+AK131</f>
        <v>#REF!</v>
      </c>
      <c r="AL155" s="388" t="e">
        <f>AL47+AL104+#REF!+AL131</f>
        <v>#REF!</v>
      </c>
      <c r="AM155" s="161" t="e">
        <f>AM47+AM104+#REF!+AM131</f>
        <v>#REF!</v>
      </c>
      <c r="AN155" s="166" t="e">
        <f>AN47+AN104+#REF!+AN131</f>
        <v>#REF!</v>
      </c>
      <c r="AO155" s="388" t="e">
        <f>AO47+AO104+#REF!+AO131</f>
        <v>#REF!</v>
      </c>
      <c r="AP155" s="161" t="e">
        <f>AP47+AP104+#REF!+AP131</f>
        <v>#REF!</v>
      </c>
      <c r="AQ155" s="166" t="e">
        <f>AQ47+AQ104+#REF!+AQ131</f>
        <v>#REF!</v>
      </c>
      <c r="AR155" s="388" t="e">
        <f>AR47+AR104+#REF!+AR131</f>
        <v>#REF!</v>
      </c>
      <c r="AS155" s="161" t="e">
        <f>AS47+AS104+#REF!+AS131</f>
        <v>#REF!</v>
      </c>
      <c r="AT155" s="166" t="e">
        <f>AT47+AT104+#REF!+AT131</f>
        <v>#REF!</v>
      </c>
      <c r="AU155" s="388" t="e">
        <f>AU47+AU104+#REF!+AU131</f>
        <v>#REF!</v>
      </c>
      <c r="AV155" s="161" t="e">
        <f>AV47+AV104+#REF!+AV131</f>
        <v>#REF!</v>
      </c>
      <c r="AW155" s="166" t="e">
        <f>AW47+AW104+#REF!+AW131</f>
        <v>#REF!</v>
      </c>
      <c r="AX155" s="388" t="e">
        <f>AX47+AX104+#REF!+AX131</f>
        <v>#REF!</v>
      </c>
      <c r="AY155" s="161" t="e">
        <f>AY47+AY104+#REF!+AY131</f>
        <v>#REF!</v>
      </c>
      <c r="AZ155" s="166" t="e">
        <f>AZ47+AZ104+#REF!+AZ131</f>
        <v>#REF!</v>
      </c>
      <c r="BA155" s="388" t="e">
        <f>BA47+BA104+#REF!+BA131</f>
        <v>#REF!</v>
      </c>
      <c r="BB155" s="161" t="e">
        <f>BB47+BB104+#REF!+BB131</f>
        <v>#REF!</v>
      </c>
      <c r="BC155" s="166" t="e">
        <f>BC47+BC104+#REF!+BC131</f>
        <v>#REF!</v>
      </c>
      <c r="BD155" s="388" t="e">
        <f>BD47+BD104+#REF!+BD131</f>
        <v>#REF!</v>
      </c>
      <c r="BE155" s="161" t="e">
        <f>BE47+BE104+#REF!+BE131</f>
        <v>#REF!</v>
      </c>
      <c r="BF155" s="166" t="e">
        <f>BF47+BF104+#REF!+BF131</f>
        <v>#REF!</v>
      </c>
      <c r="BG155" s="388" t="e">
        <f>BG47+BG104+#REF!+BG131</f>
        <v>#REF!</v>
      </c>
      <c r="BH155" s="161" t="e">
        <f>BH47+BH104+#REF!+BH131</f>
        <v>#REF!</v>
      </c>
      <c r="BI155" s="166" t="e">
        <f>BI47+BI104+#REF!+BI131</f>
        <v>#REF!</v>
      </c>
      <c r="BJ155" s="388" t="e">
        <f>BJ47+BJ104+#REF!+BJ131</f>
        <v>#REF!</v>
      </c>
      <c r="BK155" s="161" t="e">
        <f>BK47+BK104+#REF!+BK131+#REF!</f>
        <v>#REF!</v>
      </c>
      <c r="BL155" s="166" t="e">
        <f>BL47+BL104+#REF!+BL131+#REF!</f>
        <v>#REF!</v>
      </c>
      <c r="BM155" s="388" t="e">
        <f>BM47+BM104+#REF!+BM131+#REF!</f>
        <v>#REF!</v>
      </c>
      <c r="BN155" s="161" t="e">
        <f>BN47+BN104+#REF!+BN131+#REF!</f>
        <v>#REF!</v>
      </c>
      <c r="BO155" s="166" t="e">
        <f>BO47+BO104+#REF!+BO131+#REF!</f>
        <v>#REF!</v>
      </c>
      <c r="BP155" s="388" t="e">
        <f>BP47+BP104+#REF!+BP131+#REF!</f>
        <v>#REF!</v>
      </c>
      <c r="BQ155" s="161" t="e">
        <f>BQ47+BQ104+#REF!+BQ131+#REF!</f>
        <v>#REF!</v>
      </c>
      <c r="BR155" s="166" t="e">
        <f>BR47+BR104+#REF!+BR131+#REF!</f>
        <v>#REF!</v>
      </c>
      <c r="BS155" s="388" t="e">
        <f>BS47+BS104+#REF!+BS131+#REF!</f>
        <v>#REF!</v>
      </c>
      <c r="BT155" s="161" t="e">
        <f>BT47+BT104+#REF!+BT131+#REF!</f>
        <v>#REF!</v>
      </c>
      <c r="BU155" s="166" t="e">
        <f>BU47+BU104+#REF!+BU131+#REF!</f>
        <v>#REF!</v>
      </c>
      <c r="BV155" s="388" t="e">
        <f>BV47+BV104+#REF!+BV131+#REF!</f>
        <v>#REF!</v>
      </c>
      <c r="BW155" s="161" t="e">
        <f>BW47+BW104+#REF!+BW131+#REF!</f>
        <v>#REF!</v>
      </c>
      <c r="BX155" s="166" t="e">
        <f>BX47+BX104+#REF!+BX131+#REF!</f>
        <v>#REF!</v>
      </c>
      <c r="BY155" s="388" t="e">
        <f>BY47+BY104+#REF!+BY131+#REF!</f>
        <v>#REF!</v>
      </c>
      <c r="BZ155" s="161" t="e">
        <f>BZ47+BZ104+#REF!+BZ131+#REF!</f>
        <v>#REF!</v>
      </c>
      <c r="CA155" s="166" t="e">
        <f>CA47+CA104+#REF!+CA131+#REF!</f>
        <v>#REF!</v>
      </c>
      <c r="CB155" s="388" t="e">
        <f>CB47+CB104+#REF!+CB131+#REF!</f>
        <v>#REF!</v>
      </c>
      <c r="CC155" s="161" t="e">
        <f>CC47+CC104+#REF!+CC131+#REF!</f>
        <v>#REF!</v>
      </c>
      <c r="CD155" s="166" t="e">
        <f>CD47+CD104+#REF!+CD131+#REF!</f>
        <v>#REF!</v>
      </c>
      <c r="CE155" s="388" t="e">
        <f>CE47+CE104+#REF!+CE131+#REF!</f>
        <v>#REF!</v>
      </c>
      <c r="CF155" s="161" t="e">
        <f>CF47+CF104+#REF!+CF131+#REF!</f>
        <v>#REF!</v>
      </c>
      <c r="CG155" s="166" t="e">
        <f>CG47+CG104+#REF!+CG131+#REF!</f>
        <v>#REF!</v>
      </c>
      <c r="CH155" s="388" t="e">
        <f>CH47+CH104+#REF!+CH131+#REF!</f>
        <v>#REF!</v>
      </c>
      <c r="CI155" s="161" t="e">
        <f>CI47+CI104+#REF!+CI131+#REF!</f>
        <v>#REF!</v>
      </c>
      <c r="CJ155" s="166" t="e">
        <f>CJ47+CJ104+#REF!+CJ131+#REF!</f>
        <v>#REF!</v>
      </c>
      <c r="CK155" s="166" t="e">
        <f>CK131+CK119+CK104+CK57+CK47</f>
        <v>#REF!</v>
      </c>
      <c r="CL155" s="164" t="e">
        <f>CL131+CL119+CL104+CL57+CL47</f>
        <v>#REF!</v>
      </c>
      <c r="CM155" s="423" t="e">
        <f>CM131+CM119+CM104+CM57+CM47</f>
        <v>#REF!</v>
      </c>
      <c r="CN155" s="388">
        <f>SUM(CN24,CN46,CN57,CN104,CN105,CN119,CN131,CN154)</f>
        <v>13994.910999999998</v>
      </c>
      <c r="CO155" s="166">
        <f t="shared" ref="CO155:CV155" si="443">CO131+CO119+CO104+CO57+CO47</f>
        <v>8189.3390000000009</v>
      </c>
      <c r="CP155" s="166">
        <f t="shared" si="443"/>
        <v>7334.6790000000001</v>
      </c>
      <c r="CQ155" s="388">
        <f t="shared" si="443"/>
        <v>8852.409999999998</v>
      </c>
      <c r="CR155" s="161">
        <f t="shared" si="443"/>
        <v>7095.8460000000014</v>
      </c>
      <c r="CS155" s="166">
        <f t="shared" si="443"/>
        <v>8343.3739999999998</v>
      </c>
      <c r="CT155" s="166">
        <f t="shared" si="443"/>
        <v>7624.8559999999979</v>
      </c>
      <c r="CU155" s="161">
        <f t="shared" si="443"/>
        <v>6743.0470000000005</v>
      </c>
      <c r="CV155" s="166">
        <f t="shared" si="443"/>
        <v>5988.9170000000004</v>
      </c>
      <c r="CW155" s="388" t="e">
        <f>SUM(CW24,CW46,CW57,CW104,CW105,CW119,CW131,CW154)</f>
        <v>#REF!</v>
      </c>
      <c r="CX155" s="166" t="e">
        <f>SUM(CX24,CX46,CX57,CX104,CX105,CX119,CX131,CX154)</f>
        <v>#REF!</v>
      </c>
      <c r="CY155" s="162" t="e">
        <f>SUM(CY24,CY46,CY57,CY104,CY105,CY119,CY131,CY154)</f>
        <v>#REF!</v>
      </c>
      <c r="CZ155" s="388" t="e">
        <f t="shared" ref="CZ155:EG155" si="444">SUM(CZ24,CZ46,CZ57,CZ104,CZ105,CZ119,CZ131,CZ134,CZ153)</f>
        <v>#REF!</v>
      </c>
      <c r="DA155" s="161">
        <f t="shared" si="444"/>
        <v>5457.7209999999995</v>
      </c>
      <c r="DB155" s="162">
        <f t="shared" si="444"/>
        <v>5901.621000000001</v>
      </c>
      <c r="DC155" s="388">
        <f t="shared" si="444"/>
        <v>9983.9259999999995</v>
      </c>
      <c r="DD155" s="161">
        <f t="shared" si="444"/>
        <v>6241.7759999999998</v>
      </c>
      <c r="DE155" s="162">
        <f t="shared" si="444"/>
        <v>6950.0760000000009</v>
      </c>
      <c r="DF155" s="388">
        <f t="shared" si="444"/>
        <v>8998.6319999999996</v>
      </c>
      <c r="DG155" s="161">
        <f t="shared" si="444"/>
        <v>6178.7110000000002</v>
      </c>
      <c r="DH155" s="162">
        <f t="shared" si="444"/>
        <v>5886.0720000000001</v>
      </c>
      <c r="DI155" s="388">
        <f t="shared" si="444"/>
        <v>9295.7649999999976</v>
      </c>
      <c r="DJ155" s="161">
        <f t="shared" si="444"/>
        <v>5432.9589999999998</v>
      </c>
      <c r="DK155" s="162">
        <f t="shared" si="444"/>
        <v>4135.8729999999996</v>
      </c>
      <c r="DL155" s="388">
        <f t="shared" si="444"/>
        <v>8853.5009999999984</v>
      </c>
      <c r="DM155" s="161">
        <f t="shared" si="444"/>
        <v>5643.1850000000004</v>
      </c>
      <c r="DN155" s="162">
        <f t="shared" si="444"/>
        <v>5057.799</v>
      </c>
      <c r="DO155" s="388">
        <f t="shared" si="444"/>
        <v>9436.5549999999967</v>
      </c>
      <c r="DP155" s="161">
        <f t="shared" si="444"/>
        <v>4534.116</v>
      </c>
      <c r="DQ155" s="162">
        <f t="shared" si="444"/>
        <v>4258.6329999999998</v>
      </c>
      <c r="DR155" s="388">
        <f t="shared" si="444"/>
        <v>9797.3699999999972</v>
      </c>
      <c r="DS155" s="161">
        <f t="shared" si="444"/>
        <v>4122.6770000000006</v>
      </c>
      <c r="DT155" s="162">
        <f t="shared" si="444"/>
        <v>5514.9139999999998</v>
      </c>
      <c r="DU155" s="388">
        <f t="shared" si="444"/>
        <v>8319.8029999999981</v>
      </c>
      <c r="DV155" s="161">
        <f t="shared" si="444"/>
        <v>3468.3269999999993</v>
      </c>
      <c r="DW155" s="162">
        <f t="shared" si="444"/>
        <v>3818.43</v>
      </c>
      <c r="DX155" s="759">
        <f t="shared" si="444"/>
        <v>7969.7840000000006</v>
      </c>
      <c r="DY155" s="161">
        <f t="shared" si="444"/>
        <v>4570.2330000000002</v>
      </c>
      <c r="DZ155" s="162">
        <f t="shared" si="444"/>
        <v>4715.7690000000002</v>
      </c>
      <c r="EA155" s="388">
        <f t="shared" si="444"/>
        <v>8089.415</v>
      </c>
      <c r="EB155" s="161">
        <f t="shared" si="444"/>
        <v>2833.7639999999997</v>
      </c>
      <c r="EC155" s="162">
        <f t="shared" si="444"/>
        <v>4303.9449999999997</v>
      </c>
      <c r="ED155" s="388">
        <f t="shared" si="444"/>
        <v>6322.4130000000005</v>
      </c>
      <c r="EE155" s="161">
        <f t="shared" si="444"/>
        <v>2542.1040000000003</v>
      </c>
      <c r="EF155" s="162">
        <f t="shared" si="444"/>
        <v>3837.3349999999996</v>
      </c>
      <c r="EG155" s="759">
        <f t="shared" si="444"/>
        <v>5030.2060000000001</v>
      </c>
      <c r="EH155" s="161">
        <f t="shared" ref="EH155:EJ155" si="445">SUM(EH24,EH46,EH57,EH104,EH105,EH119,EH131,EH134,EH153)</f>
        <v>3422.1619999999994</v>
      </c>
      <c r="EI155" s="162">
        <f t="shared" si="445"/>
        <v>2994.5070000000001</v>
      </c>
      <c r="EJ155" s="388">
        <f t="shared" si="445"/>
        <v>5457.8610000000008</v>
      </c>
      <c r="EK155" s="161">
        <f t="shared" ref="EK155:EM155" si="446">SUM(EK24,EK46,EK57,EK104,EK105,EK119,EK131,EK134,EK153)</f>
        <v>3148.2849999999999</v>
      </c>
      <c r="EL155" s="162">
        <f t="shared" si="446"/>
        <v>3093.6649999999995</v>
      </c>
      <c r="EM155" s="388">
        <f t="shared" si="446"/>
        <v>5510.1810000000005</v>
      </c>
      <c r="EN155" s="161">
        <f t="shared" ref="EN155:EP155" si="447">SUM(EN24,EN46,EN57,EN104,EN105,EN119,EN131,EN134,EN153)</f>
        <v>3600.28</v>
      </c>
      <c r="EO155" s="162">
        <f t="shared" si="447"/>
        <v>3324.4289999999996</v>
      </c>
      <c r="EP155" s="759">
        <f t="shared" si="447"/>
        <v>5783.0320000000002</v>
      </c>
      <c r="EQ155" s="161">
        <f t="shared" ref="EQ155:ES155" si="448">SUM(EQ24,EQ46,EQ57,EQ104,EQ105,EQ119,EQ131,EQ134,EQ153)</f>
        <v>3129.1800000000003</v>
      </c>
      <c r="ER155" s="162">
        <f t="shared" si="448"/>
        <v>3667.9500000000003</v>
      </c>
      <c r="ES155" s="759">
        <f t="shared" si="448"/>
        <v>5233.2619999999997</v>
      </c>
      <c r="ET155" s="161">
        <f t="shared" ref="ET155:EV155" si="449">SUM(ET24,ET46,ET57,ET104,ET105,ET119,ET131,ET134,ET153)</f>
        <v>3080.22</v>
      </c>
      <c r="EU155" s="162">
        <f t="shared" si="449"/>
        <v>2972.6400000000003</v>
      </c>
      <c r="EV155" s="759">
        <f t="shared" si="449"/>
        <v>5330.8419999999996</v>
      </c>
      <c r="EW155" s="161">
        <f t="shared" ref="EW155:EY155" si="450">SUM(EW24,EW46,EW57,EW104,EW105,EW119,EW131,EW134,EW153)</f>
        <v>2395.3199999999997</v>
      </c>
      <c r="EX155" s="162">
        <f t="shared" si="450"/>
        <v>2744.0120000000002</v>
      </c>
      <c r="EY155" s="759">
        <f t="shared" si="450"/>
        <v>4996.1499999999996</v>
      </c>
    </row>
    <row r="156" spans="1:155" s="426" customFormat="1">
      <c r="B156" s="425"/>
      <c r="C156" s="425"/>
      <c r="CG156" s="425"/>
      <c r="CJ156" s="425"/>
      <c r="CM156" s="425"/>
      <c r="DO156" s="425"/>
      <c r="DX156" s="762"/>
      <c r="EG156" s="762"/>
      <c r="EP156" s="762"/>
      <c r="ES156" s="762"/>
      <c r="EV156" s="762"/>
      <c r="EY156" s="762"/>
    </row>
    <row r="157" spans="1:155">
      <c r="B157" s="20"/>
      <c r="C157" s="427"/>
      <c r="D157" s="427" t="s">
        <v>408</v>
      </c>
      <c r="E157" s="428">
        <v>1830.8869999999999</v>
      </c>
      <c r="F157" s="428">
        <f>SUM(F27:F40)</f>
        <v>2342.4799999999996</v>
      </c>
      <c r="G157" s="428">
        <f>SUM(G27:G40)-G31-G32</f>
        <v>2210.808</v>
      </c>
      <c r="H157" s="428">
        <f>SUM(H27:H40)-389-985-H31-H32</f>
        <v>1962.5590000000007</v>
      </c>
      <c r="I157" s="428">
        <f>SUM(I27:I40)</f>
        <v>1565.1630000000002</v>
      </c>
      <c r="J157" s="428">
        <f>SUM(J27:J40)-J31-J32</f>
        <v>2136.7330000000002</v>
      </c>
      <c r="K157" s="428">
        <f>SUM(K27:K40)-389-985-K31-K32</f>
        <v>1391.2900000000004</v>
      </c>
      <c r="L157" s="428">
        <f>SUM(L27:L40)</f>
        <v>2250.3789999999999</v>
      </c>
      <c r="M157" s="428">
        <f>SUM(M27:M40)-M31-M32</f>
        <v>2776.2270000000003</v>
      </c>
      <c r="N157" s="428">
        <f>SUM(N27:N40)-389-985-N31-N32</f>
        <v>831.84700000000066</v>
      </c>
      <c r="O157" s="428">
        <f>SUM(O27:O40)</f>
        <v>2819.4639999999995</v>
      </c>
      <c r="P157" s="428">
        <f>SUM(P27:P40)-P31-P32</f>
        <v>2619.38</v>
      </c>
      <c r="Q157" s="428">
        <f>SUM(Q27:Q40)-389-985-Q31-Q32</f>
        <v>1031.9310000000005</v>
      </c>
      <c r="R157" s="428">
        <f>SUM(R27:R40)</f>
        <v>2465.0889999999999</v>
      </c>
      <c r="S157" s="428">
        <f>SUM(S27:S40)-S31-S32</f>
        <v>2132.5309999999999</v>
      </c>
      <c r="T157" s="428">
        <f>SUM(T27:T40)-389-985-T31-T32</f>
        <v>1364.4890000000005</v>
      </c>
      <c r="U157" s="428">
        <f>SUM(U27:U40)</f>
        <v>2750.3510000000001</v>
      </c>
      <c r="V157" s="428">
        <f>SUM(V27:V40)-V31-V32</f>
        <v>2974.8299999999995</v>
      </c>
      <c r="W157" s="428">
        <f>SUM(W27:W40)-389-985-W31-W32</f>
        <v>1139.8000000000002</v>
      </c>
      <c r="X157" s="428">
        <f>SUM(X27:X40)</f>
        <v>1944.701</v>
      </c>
      <c r="Y157" s="428">
        <f>SUM(Y27:Y40)-Y31-Y32</f>
        <v>2168.87</v>
      </c>
      <c r="Z157" s="428">
        <f>SUM(Z27:Z40)-389-985-Z31-Z32</f>
        <v>915.64200000000028</v>
      </c>
      <c r="AA157" s="428">
        <f>SUM(AA27:AA40)</f>
        <v>1694.8809999999999</v>
      </c>
      <c r="AB157" s="428">
        <f>SUM(AB27:AB40)-AB31-AB32</f>
        <v>1462.69</v>
      </c>
      <c r="AC157" s="428">
        <f>SUM(AC27:AC40)-389-985-AC31-AC32</f>
        <v>1148.0260000000003</v>
      </c>
      <c r="AD157" s="428">
        <f>SUM(AD27:AD40)</f>
        <v>1911.5700000000002</v>
      </c>
      <c r="AE157" s="428">
        <f>SUM(AE27:AE40)-AE31-AE32</f>
        <v>1826.732</v>
      </c>
      <c r="AF157" s="428">
        <f>SUM(AF27:AF40)-389-985-AF31-AF32</f>
        <v>1233.4570000000008</v>
      </c>
      <c r="AG157" s="428">
        <f>SUM(AG27:AG40)</f>
        <v>2036.31</v>
      </c>
      <c r="AH157" s="428">
        <f>SUM(AH27:AH40)-AH31-AH32</f>
        <v>2376.6099999999997</v>
      </c>
      <c r="AI157" s="428">
        <f>SUM(AI27:AI40)-389-985-AI31-AI32</f>
        <v>893.1569999999997</v>
      </c>
      <c r="AJ157" s="428">
        <f>SUM(AJ27:AJ40)</f>
        <v>995.21599999999989</v>
      </c>
      <c r="AK157" s="428">
        <f>SUM(AK27:AK40)-AK31-AK32</f>
        <v>2196.1459999999997</v>
      </c>
      <c r="AL157" s="428">
        <f>SUM(AL27:AL40)-389-985-AL31-AL32</f>
        <v>-305.78300000000036</v>
      </c>
      <c r="AM157" s="428">
        <f>SUM(AM27:AM40)</f>
        <v>247.67200000000003</v>
      </c>
      <c r="AN157" s="428">
        <f>SUM(AN27:AN40)-AN31-AN32</f>
        <v>617.005</v>
      </c>
      <c r="AO157" s="428">
        <f>SUM(AO27:AO40)-389-985-AO31-AO32</f>
        <v>-672.53700000000026</v>
      </c>
      <c r="AP157" s="428">
        <f>SUM(AP27:AP40)</f>
        <v>1297.7370000000001</v>
      </c>
      <c r="AQ157" s="428">
        <f>SUM(AQ27:AQ40)-AQ31-AQ32</f>
        <v>1095.075</v>
      </c>
      <c r="AR157" s="428">
        <f>SUM(AR27:AR40)-389-985-AR31-AR32</f>
        <v>-474.77300000000059</v>
      </c>
      <c r="AS157" s="428">
        <f>SUM(AS27:AS40)</f>
        <v>2347.0940000000001</v>
      </c>
      <c r="AT157" s="428">
        <f>SUM(AT27:AT40)-AT31-AT32</f>
        <v>2753.7</v>
      </c>
      <c r="AU157" s="428">
        <f>SUM(AU27:AU40)-389-985-AU31-AU32</f>
        <v>-862.04500000000053</v>
      </c>
      <c r="AV157" s="428">
        <f>SUM(AV27:AV40)</f>
        <v>1456.703</v>
      </c>
      <c r="AW157" s="428">
        <f>SUM(AW27:AW40)-AW31-AW32</f>
        <v>1350.3500000000001</v>
      </c>
      <c r="AX157" s="428">
        <f>SUM(AX27:AX40)-389-985-AX31-AX32</f>
        <v>-743.45500000000084</v>
      </c>
      <c r="AY157" s="428">
        <f>SUM(AY27:AY40)</f>
        <v>1276.0630000000001</v>
      </c>
      <c r="AZ157" s="428">
        <f>SUM(AZ27:AZ40)-AZ31-AZ32</f>
        <v>1577.2870000000003</v>
      </c>
      <c r="BA157" s="428">
        <f>SUM(BA27:BA40)-389-985-BA31-BA32</f>
        <v>-1023.0810000000004</v>
      </c>
      <c r="BB157" s="428">
        <f>SUM(BB27:BB40)</f>
        <v>1423.415</v>
      </c>
      <c r="BC157" s="428">
        <f>SUM(BC27:BC40)-BC31-BC32</f>
        <v>1132.54</v>
      </c>
      <c r="BD157" s="428">
        <f>SUM(BD27:BD40)-389-985-BD31-BD32</f>
        <v>-727.07900000000018</v>
      </c>
      <c r="BE157" s="428">
        <f>SUM(BE27:BE40)</f>
        <v>0</v>
      </c>
      <c r="BF157" s="428">
        <f>SUM(BF27:BF40)-BF31-BF32</f>
        <v>0</v>
      </c>
      <c r="BG157" s="428">
        <f>SUM(BG27:BG40)-389-985-BG31-BG32</f>
        <v>-727.07900000000018</v>
      </c>
      <c r="BH157" s="428">
        <f>SUM(BH27:BH40)</f>
        <v>0</v>
      </c>
      <c r="BI157" s="428">
        <f>SUM(BI27:BI40)-BI31-BI32</f>
        <v>0</v>
      </c>
      <c r="BJ157" s="428">
        <f>SUM(BJ27:BJ40)-389-985-BJ31-BJ32</f>
        <v>-727.07900000000018</v>
      </c>
      <c r="BK157" s="428">
        <f>SUM(BK27:BK40)</f>
        <v>0</v>
      </c>
      <c r="BL157" s="428">
        <f>SUM(BL27:BL40)-BL31-BL32</f>
        <v>0</v>
      </c>
      <c r="BM157" s="428">
        <f>SUM(BM27:BM40)-389-985-BM31-BM32</f>
        <v>-727.07900000000018</v>
      </c>
      <c r="BN157" s="428">
        <f>SUM(BN27:BN40)</f>
        <v>0</v>
      </c>
      <c r="BO157" s="428">
        <f>SUM(BO27:BO40)-BO31-BO32</f>
        <v>0</v>
      </c>
      <c r="BP157" s="428">
        <f>SUM(BP27:BP40)-389-985-BP31-BP32</f>
        <v>-727.07900000000018</v>
      </c>
      <c r="BQ157" s="428">
        <f>SUM(BQ27:BQ40)</f>
        <v>0</v>
      </c>
      <c r="BR157" s="428">
        <f>SUM(BR27:BR40)-BR31-BR32</f>
        <v>0</v>
      </c>
      <c r="BS157" s="428">
        <f>SUM(BS27:BS40)-389-985-BS31-BS32</f>
        <v>-727.07900000000018</v>
      </c>
      <c r="BT157" s="428">
        <f>SUM(BT27:BT40)</f>
        <v>0</v>
      </c>
      <c r="BU157" s="428">
        <f>SUM(BU27:BU40)-BU31-BU32</f>
        <v>0</v>
      </c>
      <c r="BV157" s="428">
        <f>SUM(BV27:BV40)-389-985-BV31-BV32</f>
        <v>-727.07900000000018</v>
      </c>
      <c r="BW157" s="428">
        <f>SUM(BW27:BW40)</f>
        <v>0</v>
      </c>
      <c r="BX157" s="428">
        <f>SUM(BX27:BX40)-BX31-BX32</f>
        <v>0</v>
      </c>
      <c r="BY157" s="428">
        <f>SUM(BY27:BY40)-389-985-BY31-BY32</f>
        <v>-727.07900000000018</v>
      </c>
      <c r="BZ157" s="428">
        <f>SUM(BZ27:BZ40)</f>
        <v>0</v>
      </c>
      <c r="CA157" s="428">
        <f>SUM(CA27:CA40)-CA31-CA32</f>
        <v>0</v>
      </c>
      <c r="CB157" s="428">
        <f>SUM(CB27:CB40)-389-985-CB31-CB32</f>
        <v>-727.07900000000018</v>
      </c>
      <c r="CC157" s="428">
        <f>SUM(CC27:CC40)</f>
        <v>0</v>
      </c>
      <c r="CD157" s="428">
        <f>SUM(CD27:CD40)-CD31-CD32</f>
        <v>0</v>
      </c>
      <c r="CE157" s="428">
        <f>SUM(CE27:CE40)-389-985-CE31-CE32</f>
        <v>-727.07900000000018</v>
      </c>
      <c r="CF157" s="428">
        <f>SUM(CF27:CF40)</f>
        <v>0</v>
      </c>
      <c r="CG157" s="429">
        <f>SUM(CG27:CG40)-CG31-CG32</f>
        <v>0</v>
      </c>
      <c r="CH157" s="428">
        <f>SUM(CH27:CH40)-389-985-CH31-CH32</f>
        <v>-727.07900000000018</v>
      </c>
      <c r="CI157" s="428">
        <f>SUM(CI27:CI40)</f>
        <v>0</v>
      </c>
      <c r="CJ157" s="429">
        <f>SUM(CJ27:CJ40)-CJ31-CJ32</f>
        <v>0</v>
      </c>
      <c r="CK157" s="428">
        <f>SUM(CK27:CK40)-389-985-CK31-CK32</f>
        <v>-727.07900000000018</v>
      </c>
      <c r="CL157" s="428">
        <f>SUM(CL27:CL40)</f>
        <v>0</v>
      </c>
      <c r="CM157" s="429">
        <f>SUM(CM27:CM40)-CM31-CM32</f>
        <v>0</v>
      </c>
      <c r="CN157" s="428"/>
    </row>
    <row r="158" spans="1:155">
      <c r="B158" s="20"/>
      <c r="C158" s="427"/>
      <c r="D158" s="427" t="s">
        <v>14</v>
      </c>
      <c r="E158" s="428">
        <v>2989.819</v>
      </c>
      <c r="F158" s="428">
        <f t="shared" ref="F158:AK158" si="451">SUM(F13:F17)</f>
        <v>3422.1320000000001</v>
      </c>
      <c r="G158" s="428">
        <f t="shared" si="451"/>
        <v>3713.9750000000004</v>
      </c>
      <c r="H158" s="428">
        <f t="shared" si="451"/>
        <v>2697.9760000000019</v>
      </c>
      <c r="I158" s="428">
        <f t="shared" si="451"/>
        <v>3628.4259999999999</v>
      </c>
      <c r="J158" s="428">
        <f t="shared" si="451"/>
        <v>3588.4340000000002</v>
      </c>
      <c r="K158" s="428">
        <f t="shared" si="451"/>
        <v>2737.9680000000017</v>
      </c>
      <c r="L158" s="428">
        <f t="shared" si="451"/>
        <v>3565.1139999999996</v>
      </c>
      <c r="M158" s="428">
        <f t="shared" si="451"/>
        <v>3492.4009999999998</v>
      </c>
      <c r="N158" s="428">
        <f t="shared" si="451"/>
        <v>2810.6810000000014</v>
      </c>
      <c r="O158" s="428">
        <f t="shared" si="451"/>
        <v>2924.3549999999996</v>
      </c>
      <c r="P158" s="428">
        <f t="shared" si="451"/>
        <v>3642.2240000000002</v>
      </c>
      <c r="Q158" s="428">
        <f t="shared" si="451"/>
        <v>2092.8120000000013</v>
      </c>
      <c r="R158" s="428">
        <f t="shared" si="451"/>
        <v>2922.2469999999998</v>
      </c>
      <c r="S158" s="428">
        <f t="shared" si="451"/>
        <v>2562.8199999999997</v>
      </c>
      <c r="T158" s="428">
        <f t="shared" si="451"/>
        <v>2452.2390000000014</v>
      </c>
      <c r="U158" s="428">
        <f t="shared" si="451"/>
        <v>3072.9370000000004</v>
      </c>
      <c r="V158" s="428">
        <f t="shared" si="451"/>
        <v>2721.58</v>
      </c>
      <c r="W158" s="428">
        <f t="shared" si="451"/>
        <v>2803.5960000000014</v>
      </c>
      <c r="X158" s="428">
        <f t="shared" si="451"/>
        <v>2029.4690000000001</v>
      </c>
      <c r="Y158" s="428">
        <f t="shared" si="451"/>
        <v>2360.2660000000001</v>
      </c>
      <c r="Z158" s="428">
        <f t="shared" si="451"/>
        <v>2472.7990000000009</v>
      </c>
      <c r="AA158" s="428">
        <f t="shared" si="451"/>
        <v>1563.289</v>
      </c>
      <c r="AB158" s="428">
        <f t="shared" si="451"/>
        <v>1797.961</v>
      </c>
      <c r="AC158" s="428">
        <f t="shared" si="451"/>
        <v>2238.1270000000009</v>
      </c>
      <c r="AD158" s="428">
        <f t="shared" si="451"/>
        <v>1530.3000000000002</v>
      </c>
      <c r="AE158" s="428">
        <f t="shared" si="451"/>
        <v>1610.5700000000002</v>
      </c>
      <c r="AF158" s="428">
        <f t="shared" si="451"/>
        <v>2158.2500000000009</v>
      </c>
      <c r="AG158" s="428">
        <f t="shared" si="451"/>
        <v>1823.22</v>
      </c>
      <c r="AH158" s="428">
        <f t="shared" si="451"/>
        <v>1984.16</v>
      </c>
      <c r="AI158" s="428">
        <f t="shared" si="451"/>
        <v>1997.3100000000011</v>
      </c>
      <c r="AJ158" s="428">
        <f t="shared" si="451"/>
        <v>952.27700000000004</v>
      </c>
      <c r="AK158" s="428">
        <f t="shared" si="451"/>
        <v>1014.4019999999999</v>
      </c>
      <c r="AL158" s="428">
        <f t="shared" ref="AL158:CM158" si="452">SUM(AL13:AL17)</f>
        <v>1935.1850000000011</v>
      </c>
      <c r="AM158" s="428">
        <f t="shared" si="452"/>
        <v>98.688999999999993</v>
      </c>
      <c r="AN158" s="428">
        <f t="shared" si="452"/>
        <v>396.48599999999999</v>
      </c>
      <c r="AO158" s="428">
        <f t="shared" si="452"/>
        <v>1637.3880000000008</v>
      </c>
      <c r="AP158" s="428">
        <f t="shared" si="452"/>
        <v>1147.482</v>
      </c>
      <c r="AQ158" s="428">
        <f t="shared" si="452"/>
        <v>1087.5920000000001</v>
      </c>
      <c r="AR158" s="428" t="e">
        <f t="shared" si="452"/>
        <v>#REF!</v>
      </c>
      <c r="AS158" s="428">
        <f t="shared" si="452"/>
        <v>1900.5739999999998</v>
      </c>
      <c r="AT158" s="428">
        <f t="shared" si="452"/>
        <v>1816.1699999999998</v>
      </c>
      <c r="AU158" s="428" t="e">
        <f t="shared" si="452"/>
        <v>#REF!</v>
      </c>
      <c r="AV158" s="428">
        <f t="shared" si="452"/>
        <v>1188.7180000000001</v>
      </c>
      <c r="AW158" s="428" t="e">
        <f t="shared" si="452"/>
        <v>#REF!</v>
      </c>
      <c r="AX158" s="428" t="e">
        <f t="shared" si="452"/>
        <v>#REF!</v>
      </c>
      <c r="AY158" s="428">
        <f t="shared" si="452"/>
        <v>1908.934</v>
      </c>
      <c r="AZ158" s="428">
        <f t="shared" si="452"/>
        <v>1857.8109999999997</v>
      </c>
      <c r="BA158" s="428" t="e">
        <f t="shared" si="452"/>
        <v>#REF!</v>
      </c>
      <c r="BB158" s="428">
        <f t="shared" si="452"/>
        <v>3109.9859999999999</v>
      </c>
      <c r="BC158" s="428">
        <f t="shared" si="452"/>
        <v>2667.2549999999997</v>
      </c>
      <c r="BD158" s="428">
        <f t="shared" si="452"/>
        <v>753.85599999999999</v>
      </c>
      <c r="BE158" s="428">
        <f t="shared" si="452"/>
        <v>2706.5920000000001</v>
      </c>
      <c r="BF158" s="428">
        <f t="shared" si="452"/>
        <v>2409.7939999999999</v>
      </c>
      <c r="BG158" s="428">
        <f t="shared" si="452"/>
        <v>1050.6539999999998</v>
      </c>
      <c r="BH158" s="428">
        <f t="shared" si="452"/>
        <v>2551.2750000000001</v>
      </c>
      <c r="BI158" s="428">
        <f t="shared" si="452"/>
        <v>2404.2019999999998</v>
      </c>
      <c r="BJ158" s="428">
        <f t="shared" si="452"/>
        <v>1197.7269999999999</v>
      </c>
      <c r="BK158" s="428">
        <f t="shared" si="452"/>
        <v>2275.9460000000004</v>
      </c>
      <c r="BL158" s="428">
        <f t="shared" si="452"/>
        <v>1399.768</v>
      </c>
      <c r="BM158" s="428">
        <f t="shared" si="452"/>
        <v>2073.9049999999997</v>
      </c>
      <c r="BN158" s="428">
        <f t="shared" si="452"/>
        <v>2161.9290000000001</v>
      </c>
      <c r="BO158" s="428">
        <f t="shared" si="452"/>
        <v>2358.3030000000003</v>
      </c>
      <c r="BP158" s="428">
        <f t="shared" si="452"/>
        <v>1877.5309999999995</v>
      </c>
      <c r="BQ158" s="428">
        <f t="shared" si="452"/>
        <v>1742.3220000000001</v>
      </c>
      <c r="BR158" s="428">
        <f t="shared" si="452"/>
        <v>1718.7369999999999</v>
      </c>
      <c r="BS158" s="428">
        <f t="shared" si="452"/>
        <v>1901.1159999999993</v>
      </c>
      <c r="BT158" s="428">
        <f t="shared" si="452"/>
        <v>1929.075</v>
      </c>
      <c r="BU158" s="428">
        <f t="shared" si="452"/>
        <v>2483.4879999999998</v>
      </c>
      <c r="BV158" s="428">
        <f t="shared" si="452"/>
        <v>1346.7029999999993</v>
      </c>
      <c r="BW158" s="428">
        <f t="shared" si="452"/>
        <v>1147.1279999999999</v>
      </c>
      <c r="BX158" s="428">
        <f t="shared" si="452"/>
        <v>849.01300000000003</v>
      </c>
      <c r="BY158" s="428">
        <f t="shared" si="452"/>
        <v>1644.8179999999991</v>
      </c>
      <c r="BZ158" s="428">
        <f t="shared" si="452"/>
        <v>1607.0150000000001</v>
      </c>
      <c r="CA158" s="428">
        <f t="shared" si="452"/>
        <v>1674.6200000000001</v>
      </c>
      <c r="CB158" s="428">
        <f t="shared" si="452"/>
        <v>1577.2129999999993</v>
      </c>
      <c r="CC158" s="428">
        <f t="shared" si="452"/>
        <v>1816.8289999999997</v>
      </c>
      <c r="CD158" s="428">
        <f t="shared" si="452"/>
        <v>1762.0730000000001</v>
      </c>
      <c r="CE158" s="428">
        <f t="shared" si="452"/>
        <v>1631.9689999999994</v>
      </c>
      <c r="CF158" s="428">
        <f t="shared" si="452"/>
        <v>2122.4879999999998</v>
      </c>
      <c r="CG158" s="429">
        <f t="shared" si="452"/>
        <v>2108.6819999999998</v>
      </c>
      <c r="CH158" s="428">
        <f t="shared" si="452"/>
        <v>1645.7749999999999</v>
      </c>
      <c r="CI158" s="428">
        <f t="shared" si="452"/>
        <v>2181.2069999999999</v>
      </c>
      <c r="CJ158" s="429">
        <f t="shared" si="452"/>
        <v>2568.125</v>
      </c>
      <c r="CK158" s="428">
        <f t="shared" si="452"/>
        <v>1258.8569999999993</v>
      </c>
      <c r="CL158" s="428">
        <f t="shared" si="452"/>
        <v>2208.0949999999993</v>
      </c>
      <c r="CM158" s="429">
        <f t="shared" si="452"/>
        <v>1391.9170000000001</v>
      </c>
      <c r="CN158" s="428"/>
    </row>
    <row r="159" spans="1:155">
      <c r="B159" s="20"/>
      <c r="C159" s="427"/>
      <c r="D159" s="427"/>
      <c r="E159" s="427"/>
      <c r="F159" s="427"/>
      <c r="G159" s="427"/>
      <c r="H159" s="427"/>
      <c r="I159" s="427"/>
      <c r="J159" s="427"/>
      <c r="K159" s="427"/>
      <c r="L159" s="427"/>
      <c r="M159" s="427"/>
      <c r="N159" s="427"/>
      <c r="O159" s="427"/>
      <c r="P159" s="427"/>
      <c r="Q159" s="427"/>
      <c r="R159" s="427"/>
      <c r="S159" s="427"/>
      <c r="T159" s="427"/>
      <c r="U159" s="427"/>
      <c r="V159" s="427"/>
      <c r="W159" s="427"/>
      <c r="X159" s="427"/>
      <c r="Y159" s="427"/>
      <c r="Z159" s="427"/>
      <c r="AA159" s="427"/>
      <c r="AB159" s="427"/>
      <c r="AC159" s="427"/>
      <c r="AD159" s="427"/>
      <c r="AE159" s="427"/>
      <c r="AF159" s="427"/>
      <c r="AG159" s="427"/>
      <c r="AH159" s="427"/>
      <c r="AI159" s="427"/>
      <c r="AJ159" s="427"/>
      <c r="AK159" s="427"/>
      <c r="AL159" s="427"/>
      <c r="AM159" s="427"/>
      <c r="AN159" s="427"/>
      <c r="AO159" s="427"/>
      <c r="AP159" s="427"/>
      <c r="AQ159" s="427"/>
      <c r="AR159" s="427"/>
      <c r="AS159" s="427"/>
      <c r="AT159" s="427"/>
      <c r="AU159" s="427"/>
      <c r="AV159" s="427"/>
      <c r="AW159" s="427"/>
      <c r="AX159" s="427"/>
      <c r="AY159" s="427"/>
      <c r="AZ159" s="427"/>
      <c r="BA159" s="427"/>
      <c r="BB159" s="427"/>
      <c r="BC159" s="427"/>
      <c r="BD159" s="427"/>
      <c r="BE159" s="427"/>
      <c r="BF159" s="427"/>
      <c r="BG159" s="427"/>
      <c r="BH159" s="427"/>
      <c r="BI159" s="427"/>
      <c r="BJ159" s="427"/>
      <c r="BK159" s="427"/>
      <c r="BL159" s="427"/>
      <c r="BM159" s="427"/>
      <c r="BN159" s="427"/>
      <c r="BO159" s="427"/>
      <c r="BP159" s="427"/>
      <c r="BQ159" s="427"/>
      <c r="BR159" s="427"/>
      <c r="BS159" s="427"/>
      <c r="BT159" s="427"/>
      <c r="BU159" s="427"/>
      <c r="BV159" s="427"/>
      <c r="BW159" s="427"/>
      <c r="BX159" s="427"/>
      <c r="BY159" s="427"/>
      <c r="BZ159" s="427"/>
      <c r="CA159" s="427"/>
      <c r="CB159" s="427"/>
      <c r="CC159" s="427"/>
      <c r="CD159" s="427"/>
      <c r="CE159" s="427"/>
      <c r="CF159" s="427"/>
      <c r="CG159" s="430"/>
      <c r="CH159" s="427"/>
      <c r="CI159" s="427"/>
      <c r="CJ159" s="430"/>
      <c r="CK159" s="427"/>
      <c r="CL159" s="427"/>
      <c r="CM159" s="430"/>
      <c r="CN159" s="427"/>
      <c r="DS159" s="21"/>
    </row>
    <row r="160" spans="1:155">
      <c r="B160" s="20"/>
      <c r="C160" s="427"/>
      <c r="D160" s="427" t="s">
        <v>409</v>
      </c>
      <c r="E160" s="428">
        <v>80.194999999999894</v>
      </c>
      <c r="F160" s="428">
        <f>F25</f>
        <v>406.029</v>
      </c>
      <c r="G160" s="428">
        <f>G25</f>
        <v>388.23700000000002</v>
      </c>
      <c r="H160" s="428">
        <f>H25-178</f>
        <v>97.98699999999991</v>
      </c>
      <c r="I160" s="428">
        <f>I25</f>
        <v>403.50400000000002</v>
      </c>
      <c r="J160" s="428">
        <f>J25</f>
        <v>367.76</v>
      </c>
      <c r="K160" s="428">
        <f>K25-178</f>
        <v>133.73099999999999</v>
      </c>
      <c r="L160" s="428">
        <f>L25</f>
        <v>405.33499999999998</v>
      </c>
      <c r="M160" s="428">
        <f>M25</f>
        <v>530.64200000000005</v>
      </c>
      <c r="N160" s="428">
        <f>N25-178</f>
        <v>8.4239999999999782</v>
      </c>
      <c r="O160" s="428">
        <f>O25</f>
        <v>409.77</v>
      </c>
      <c r="P160" s="428">
        <f>P25</f>
        <v>528.30600000000004</v>
      </c>
      <c r="Q160" s="428">
        <f>Q25-178</f>
        <v>-110.11200000000008</v>
      </c>
      <c r="R160" s="428">
        <f>R25</f>
        <v>401.85</v>
      </c>
      <c r="S160" s="428">
        <f>S25</f>
        <v>410.34</v>
      </c>
      <c r="T160" s="428">
        <f>T25-178</f>
        <v>-118.60200000000003</v>
      </c>
      <c r="U160" s="428">
        <f>U25</f>
        <v>407.005</v>
      </c>
      <c r="V160" s="428">
        <f>V25</f>
        <v>414.81599999999997</v>
      </c>
      <c r="W160" s="428">
        <f>W25-178</f>
        <v>-126.41300000000001</v>
      </c>
      <c r="X160" s="428">
        <f>X25</f>
        <v>348.86</v>
      </c>
      <c r="Y160" s="428">
        <f>Y25</f>
        <v>95.95</v>
      </c>
      <c r="Z160" s="428">
        <f>Z25-178</f>
        <v>126.49700000000001</v>
      </c>
      <c r="AA160" s="428">
        <f>AA25</f>
        <v>293.52</v>
      </c>
      <c r="AB160" s="428">
        <f>AB25</f>
        <v>386.67</v>
      </c>
      <c r="AC160" s="428">
        <f>AC25-178</f>
        <v>33.347000000000037</v>
      </c>
      <c r="AD160" s="428">
        <f>AD25</f>
        <v>377.03</v>
      </c>
      <c r="AE160" s="428">
        <f>AE25</f>
        <v>396.46</v>
      </c>
      <c r="AF160" s="428">
        <f>AF25-178</f>
        <v>13.916999999999973</v>
      </c>
      <c r="AG160" s="428">
        <f>AG25</f>
        <v>383.18</v>
      </c>
      <c r="AH160" s="428">
        <f>AH25</f>
        <v>410.08</v>
      </c>
      <c r="AI160" s="428">
        <f>AI25-178</f>
        <v>-12.983000000000004</v>
      </c>
      <c r="AJ160" s="428">
        <f>AJ25</f>
        <v>202.292</v>
      </c>
      <c r="AK160" s="428">
        <f>AK25</f>
        <v>301.221</v>
      </c>
      <c r="AL160" s="428">
        <f>AL25-178</f>
        <v>-111.91200000000003</v>
      </c>
      <c r="AM160" s="428">
        <f>AM25</f>
        <v>171.97</v>
      </c>
      <c r="AN160" s="428">
        <f>AN25</f>
        <v>133.703</v>
      </c>
      <c r="AO160" s="428">
        <f>AO25-178</f>
        <v>-73.645000000000039</v>
      </c>
      <c r="AP160" s="428">
        <f>AP25</f>
        <v>346.37799999999999</v>
      </c>
      <c r="AQ160" s="428">
        <f>AQ25</f>
        <v>329.31799999999998</v>
      </c>
      <c r="AR160" s="428">
        <f>AR25-178</f>
        <v>-56.585000000000036</v>
      </c>
      <c r="AS160" s="428">
        <f>AS25</f>
        <v>397.012</v>
      </c>
      <c r="AT160" s="428">
        <f>AT25</f>
        <v>409.346</v>
      </c>
      <c r="AU160" s="428">
        <f>AU25-178</f>
        <v>-68.919000000000096</v>
      </c>
      <c r="AV160" s="428">
        <f>AV25</f>
        <v>272.25200000000001</v>
      </c>
      <c r="AW160" s="428">
        <f>AW25</f>
        <v>209.32599999999999</v>
      </c>
      <c r="AX160" s="428">
        <f>AX25-178</f>
        <v>-5.9930000000000803</v>
      </c>
      <c r="AY160" s="428">
        <f>AY25</f>
        <v>391.18400000000003</v>
      </c>
      <c r="AZ160" s="428">
        <f>AZ25</f>
        <v>394.02</v>
      </c>
      <c r="BA160" s="428">
        <f>BA25-178</f>
        <v>-8.8290000000000646</v>
      </c>
      <c r="BB160" s="428">
        <f>BB25</f>
        <v>135.91499999999999</v>
      </c>
      <c r="BC160" s="428">
        <f>BC25</f>
        <v>161.602</v>
      </c>
      <c r="BD160" s="428">
        <f>BD25-178</f>
        <v>-34.521999999999991</v>
      </c>
      <c r="BE160" s="428">
        <f>BE25</f>
        <v>0</v>
      </c>
      <c r="BF160" s="428">
        <f>BF25</f>
        <v>0</v>
      </c>
      <c r="BG160" s="428">
        <f>BG25-178</f>
        <v>-34.521999999999991</v>
      </c>
      <c r="BH160" s="428">
        <f>BH25</f>
        <v>0</v>
      </c>
      <c r="BI160" s="428">
        <f>BI25</f>
        <v>0</v>
      </c>
      <c r="BJ160" s="428">
        <f>BJ25-178</f>
        <v>-34.521999999999991</v>
      </c>
      <c r="BK160" s="428">
        <f>BK25</f>
        <v>0</v>
      </c>
      <c r="BL160" s="428">
        <f>BL25</f>
        <v>0</v>
      </c>
      <c r="BM160" s="428">
        <f>BM25-178</f>
        <v>-34.521999999999991</v>
      </c>
      <c r="BN160" s="428">
        <f>BN25</f>
        <v>0</v>
      </c>
      <c r="BO160" s="428">
        <f>BO25</f>
        <v>0</v>
      </c>
      <c r="BP160" s="428">
        <f>BP25-178</f>
        <v>-34.521999999999991</v>
      </c>
      <c r="BQ160" s="428">
        <f>BQ25</f>
        <v>0</v>
      </c>
      <c r="BR160" s="428">
        <f>BR25</f>
        <v>0</v>
      </c>
      <c r="BS160" s="428">
        <f>BS25-178</f>
        <v>-34.521999999999991</v>
      </c>
      <c r="BT160" s="428">
        <f>BT25</f>
        <v>0</v>
      </c>
      <c r="BU160" s="428">
        <f>BU25</f>
        <v>0</v>
      </c>
      <c r="BV160" s="428">
        <f>BV25-178</f>
        <v>-34.521999999999991</v>
      </c>
      <c r="BW160" s="428">
        <f>BW25</f>
        <v>0</v>
      </c>
      <c r="BX160" s="428">
        <f>BX25</f>
        <v>0</v>
      </c>
      <c r="BY160" s="428">
        <f>BY25-178</f>
        <v>-34.521999999999991</v>
      </c>
      <c r="BZ160" s="428">
        <f>BZ25</f>
        <v>0</v>
      </c>
      <c r="CA160" s="428">
        <f>CA25</f>
        <v>0</v>
      </c>
      <c r="CB160" s="428">
        <f>CB25-178</f>
        <v>-34.521999999999991</v>
      </c>
      <c r="CC160" s="428">
        <f>CC25</f>
        <v>0</v>
      </c>
      <c r="CD160" s="428">
        <f>CD25</f>
        <v>0</v>
      </c>
      <c r="CE160" s="428">
        <f>CE25-178</f>
        <v>-34.521999999999991</v>
      </c>
      <c r="CF160" s="428">
        <f>CF25</f>
        <v>0</v>
      </c>
      <c r="CG160" s="429">
        <f>CG25</f>
        <v>0</v>
      </c>
      <c r="CH160" s="428">
        <f>CH25-178</f>
        <v>-34.521999999999991</v>
      </c>
      <c r="CI160" s="428">
        <f>CI25</f>
        <v>0</v>
      </c>
      <c r="CJ160" s="429">
        <f>CJ25</f>
        <v>0</v>
      </c>
      <c r="CK160" s="428">
        <f>CK25-178</f>
        <v>-34.521999999999991</v>
      </c>
      <c r="CL160" s="428">
        <f>CL25</f>
        <v>0</v>
      </c>
      <c r="CM160" s="429">
        <f>CM25</f>
        <v>0</v>
      </c>
      <c r="CN160" s="428"/>
    </row>
    <row r="161" spans="2:108">
      <c r="B161" s="20"/>
      <c r="C161" s="427"/>
      <c r="D161" s="427"/>
      <c r="E161" s="427"/>
      <c r="F161" s="427"/>
      <c r="G161" s="427"/>
      <c r="H161" s="427"/>
      <c r="I161" s="427"/>
      <c r="J161" s="427"/>
      <c r="K161" s="427"/>
      <c r="L161" s="427"/>
      <c r="M161" s="427"/>
      <c r="N161" s="427"/>
      <c r="O161" s="427"/>
      <c r="P161" s="427"/>
      <c r="Q161" s="427"/>
      <c r="R161" s="427"/>
      <c r="S161" s="427"/>
      <c r="T161" s="427"/>
      <c r="U161" s="427"/>
      <c r="V161" s="427"/>
      <c r="W161" s="427"/>
      <c r="X161" s="427"/>
      <c r="Y161" s="427"/>
      <c r="Z161" s="427"/>
      <c r="AA161" s="427"/>
      <c r="AB161" s="427"/>
      <c r="AC161" s="427"/>
      <c r="AD161" s="427"/>
      <c r="AE161" s="427"/>
      <c r="AF161" s="427"/>
      <c r="AG161" s="427"/>
      <c r="AH161" s="427"/>
      <c r="AI161" s="427"/>
      <c r="AJ161" s="427"/>
      <c r="AK161" s="427"/>
      <c r="AL161" s="427"/>
      <c r="AM161" s="427"/>
      <c r="AN161" s="427"/>
      <c r="AO161" s="427"/>
      <c r="AP161" s="427"/>
      <c r="AQ161" s="427"/>
      <c r="AR161" s="427"/>
      <c r="AS161" s="427"/>
      <c r="AT161" s="427"/>
      <c r="AU161" s="427"/>
      <c r="AV161" s="427"/>
      <c r="AW161" s="427"/>
      <c r="AX161" s="427"/>
      <c r="AY161" s="427"/>
      <c r="AZ161" s="427"/>
      <c r="BA161" s="427"/>
      <c r="BB161" s="427"/>
      <c r="BC161" s="427"/>
      <c r="BD161" s="427"/>
      <c r="BE161" s="427"/>
      <c r="BF161" s="427"/>
      <c r="BG161" s="427"/>
      <c r="BH161" s="427"/>
      <c r="BI161" s="427"/>
      <c r="BJ161" s="427"/>
      <c r="BK161" s="427"/>
      <c r="BL161" s="427"/>
      <c r="BM161" s="427"/>
      <c r="BN161" s="427"/>
      <c r="BO161" s="427"/>
      <c r="BP161" s="427"/>
      <c r="BQ161" s="427"/>
      <c r="BR161" s="427"/>
      <c r="BS161" s="427"/>
      <c r="BT161" s="427"/>
      <c r="BU161" s="427"/>
      <c r="BV161" s="427"/>
      <c r="BW161" s="427"/>
      <c r="BX161" s="427"/>
      <c r="BY161" s="427"/>
      <c r="BZ161" s="427"/>
      <c r="CA161" s="427"/>
      <c r="CB161" s="427"/>
      <c r="CC161" s="427"/>
      <c r="CD161" s="427"/>
      <c r="CE161" s="427"/>
      <c r="CF161" s="427"/>
      <c r="CG161" s="430"/>
      <c r="CH161" s="427"/>
      <c r="CI161" s="427"/>
      <c r="CJ161" s="430"/>
      <c r="CK161" s="427"/>
      <c r="CL161" s="427"/>
      <c r="CM161" s="430"/>
      <c r="CN161" s="427"/>
    </row>
    <row r="162" spans="2:108">
      <c r="B162" s="20"/>
      <c r="C162" s="427"/>
      <c r="D162" s="427"/>
      <c r="E162" s="427"/>
      <c r="F162" s="427"/>
      <c r="G162" s="427"/>
      <c r="H162" s="427"/>
      <c r="I162" s="427"/>
      <c r="J162" s="427"/>
      <c r="K162" s="427"/>
      <c r="L162" s="427"/>
      <c r="M162" s="427"/>
      <c r="N162" s="427"/>
      <c r="O162" s="427"/>
      <c r="P162" s="427"/>
      <c r="Q162" s="427"/>
      <c r="R162" s="427"/>
      <c r="S162" s="427"/>
      <c r="T162" s="427"/>
      <c r="U162" s="427"/>
      <c r="V162" s="427"/>
      <c r="W162" s="427"/>
      <c r="X162" s="427"/>
      <c r="Y162" s="427"/>
      <c r="Z162" s="427"/>
      <c r="AA162" s="427"/>
      <c r="AB162" s="427"/>
      <c r="AC162" s="427"/>
      <c r="AD162" s="427"/>
      <c r="AE162" s="427"/>
      <c r="AF162" s="427"/>
      <c r="AG162" s="427"/>
      <c r="AH162" s="427"/>
      <c r="AI162" s="427"/>
      <c r="AJ162" s="427"/>
      <c r="AK162" s="427"/>
      <c r="AL162" s="427"/>
      <c r="AM162" s="427"/>
      <c r="AN162" s="427"/>
      <c r="AO162" s="427"/>
      <c r="AP162" s="427"/>
      <c r="AQ162" s="427"/>
      <c r="AR162" s="427"/>
      <c r="AS162" s="427"/>
      <c r="AT162" s="427"/>
      <c r="AU162" s="427"/>
      <c r="AV162" s="427"/>
      <c r="AW162" s="427"/>
      <c r="AX162" s="427"/>
      <c r="AY162" s="427"/>
      <c r="AZ162" s="427"/>
      <c r="BA162" s="427"/>
      <c r="BB162" s="427"/>
      <c r="BC162" s="427"/>
      <c r="BD162" s="427"/>
      <c r="BE162" s="427"/>
      <c r="BF162" s="427"/>
      <c r="BG162" s="427"/>
      <c r="BH162" s="427"/>
      <c r="BI162" s="427"/>
      <c r="BJ162" s="427"/>
      <c r="BK162" s="427"/>
      <c r="BL162" s="427"/>
      <c r="BM162" s="427"/>
      <c r="BN162" s="427"/>
      <c r="BO162" s="427"/>
      <c r="BP162" s="427"/>
      <c r="BQ162" s="427"/>
      <c r="BR162" s="427"/>
      <c r="BS162" s="427"/>
      <c r="BT162" s="427"/>
      <c r="BU162" s="427"/>
      <c r="BV162" s="427"/>
      <c r="BW162" s="427"/>
      <c r="BX162" s="427"/>
      <c r="BY162" s="427"/>
      <c r="BZ162" s="427"/>
      <c r="CA162" s="427"/>
      <c r="CB162" s="427"/>
      <c r="CC162" s="427"/>
      <c r="CD162" s="427"/>
      <c r="CE162" s="427"/>
      <c r="CF162" s="427"/>
      <c r="CG162" s="430"/>
      <c r="CH162" s="427"/>
      <c r="CI162" s="427"/>
      <c r="CJ162" s="430"/>
      <c r="CK162" s="427"/>
      <c r="CL162" s="427"/>
      <c r="CM162" s="430"/>
      <c r="CN162" s="427"/>
      <c r="DD162" s="19">
        <v>3150</v>
      </c>
    </row>
    <row r="163" spans="2:108">
      <c r="B163" s="20"/>
      <c r="C163" s="20"/>
      <c r="DD163" s="19">
        <v>1580</v>
      </c>
    </row>
    <row r="164" spans="2:108">
      <c r="B164" s="20"/>
      <c r="C164" s="20"/>
    </row>
    <row r="165" spans="2:108">
      <c r="B165" s="20"/>
      <c r="C165" s="20"/>
    </row>
    <row r="166" spans="2:108">
      <c r="B166" s="20"/>
      <c r="C166" s="20"/>
    </row>
    <row r="167" spans="2:108">
      <c r="B167" s="20"/>
      <c r="C167" s="20"/>
    </row>
    <row r="168" spans="2:108">
      <c r="B168" s="20"/>
      <c r="C168" s="20"/>
    </row>
    <row r="169" spans="2:108">
      <c r="B169" s="20"/>
      <c r="C169" s="20"/>
    </row>
    <row r="170" spans="2:108">
      <c r="B170" s="20"/>
      <c r="C170" s="20"/>
    </row>
    <row r="171" spans="2:108">
      <c r="B171" s="20"/>
      <c r="C171" s="20"/>
    </row>
    <row r="172" spans="2:108">
      <c r="B172" s="20"/>
      <c r="C172" s="20"/>
    </row>
    <row r="173" spans="2:108">
      <c r="B173" s="20"/>
      <c r="C173" s="20"/>
    </row>
    <row r="174" spans="2:108">
      <c r="B174" s="20"/>
      <c r="C174" s="20"/>
    </row>
    <row r="175" spans="2:108">
      <c r="B175" s="20"/>
      <c r="C175" s="20"/>
    </row>
    <row r="176" spans="2:108">
      <c r="B176" s="20"/>
      <c r="C176" s="20"/>
    </row>
    <row r="177" spans="2:3">
      <c r="B177" s="20"/>
      <c r="C177" s="20"/>
    </row>
    <row r="178" spans="2:3">
      <c r="B178" s="20"/>
      <c r="C178" s="20"/>
    </row>
    <row r="179" spans="2:3">
      <c r="B179" s="20"/>
      <c r="C179" s="20"/>
    </row>
    <row r="180" spans="2:3">
      <c r="B180" s="20"/>
      <c r="C180" s="20"/>
    </row>
    <row r="181" spans="2:3">
      <c r="B181" s="20"/>
      <c r="C181" s="20"/>
    </row>
    <row r="182" spans="2:3">
      <c r="B182" s="20"/>
      <c r="C182" s="20"/>
    </row>
    <row r="183" spans="2:3">
      <c r="B183" s="20"/>
      <c r="C183" s="20"/>
    </row>
    <row r="184" spans="2:3">
      <c r="B184" s="20"/>
      <c r="C184" s="20"/>
    </row>
    <row r="185" spans="2:3">
      <c r="B185" s="20"/>
      <c r="C185" s="20"/>
    </row>
    <row r="186" spans="2:3">
      <c r="B186" s="20"/>
      <c r="C186" s="20"/>
    </row>
    <row r="187" spans="2:3">
      <c r="B187" s="20"/>
      <c r="C187" s="20"/>
    </row>
    <row r="188" spans="2:3">
      <c r="B188" s="20"/>
      <c r="C188" s="20"/>
    </row>
    <row r="189" spans="2:3">
      <c r="B189" s="20"/>
      <c r="C189" s="20"/>
    </row>
    <row r="190" spans="2:3">
      <c r="B190" s="20"/>
      <c r="C190" s="20"/>
    </row>
    <row r="191" spans="2:3">
      <c r="B191" s="20"/>
      <c r="C191" s="20"/>
    </row>
    <row r="192" spans="2:3">
      <c r="B192" s="20"/>
      <c r="C192" s="20"/>
    </row>
    <row r="193" spans="2:3">
      <c r="B193" s="20"/>
      <c r="C193" s="20"/>
    </row>
    <row r="194" spans="2:3">
      <c r="B194" s="20"/>
      <c r="C194" s="20"/>
    </row>
    <row r="195" spans="2:3">
      <c r="B195" s="20"/>
      <c r="C195" s="20"/>
    </row>
    <row r="196" spans="2:3">
      <c r="B196" s="20"/>
      <c r="C196" s="20"/>
    </row>
    <row r="197" spans="2:3">
      <c r="B197" s="20"/>
      <c r="C197" s="20"/>
    </row>
    <row r="198" spans="2:3">
      <c r="B198" s="20"/>
      <c r="C198" s="20"/>
    </row>
    <row r="199" spans="2:3">
      <c r="B199" s="20"/>
      <c r="C199" s="20"/>
    </row>
    <row r="200" spans="2:3">
      <c r="B200" s="20"/>
      <c r="C200" s="20"/>
    </row>
    <row r="201" spans="2:3">
      <c r="B201" s="20"/>
      <c r="C201" s="20"/>
    </row>
    <row r="202" spans="2:3">
      <c r="B202" s="20"/>
      <c r="C202" s="20"/>
    </row>
    <row r="203" spans="2:3">
      <c r="B203" s="20"/>
      <c r="C203" s="20"/>
    </row>
    <row r="204" spans="2:3">
      <c r="B204" s="20"/>
      <c r="C204" s="20"/>
    </row>
    <row r="205" spans="2:3">
      <c r="B205" s="20"/>
      <c r="C205" s="20"/>
    </row>
    <row r="206" spans="2:3">
      <c r="B206" s="20"/>
      <c r="C206" s="20"/>
    </row>
    <row r="207" spans="2:3">
      <c r="B207" s="20"/>
      <c r="C207" s="20"/>
    </row>
    <row r="208" spans="2:3">
      <c r="B208" s="20"/>
      <c r="C208" s="20"/>
    </row>
    <row r="209" spans="2:3">
      <c r="B209" s="20"/>
      <c r="C209" s="20"/>
    </row>
    <row r="210" spans="2:3">
      <c r="B210" s="20"/>
      <c r="C210" s="20"/>
    </row>
    <row r="211" spans="2:3">
      <c r="B211" s="20"/>
      <c r="C211" s="20"/>
    </row>
    <row r="212" spans="2:3">
      <c r="B212" s="20"/>
      <c r="C212" s="20"/>
    </row>
    <row r="213" spans="2:3">
      <c r="B213" s="20"/>
      <c r="C213" s="20"/>
    </row>
    <row r="214" spans="2:3">
      <c r="B214" s="20"/>
      <c r="C214" s="20"/>
    </row>
    <row r="215" spans="2:3">
      <c r="B215" s="20"/>
      <c r="C215" s="20"/>
    </row>
    <row r="216" spans="2:3">
      <c r="B216" s="20"/>
      <c r="C216" s="20"/>
    </row>
    <row r="217" spans="2:3">
      <c r="B217" s="20"/>
      <c r="C217" s="20"/>
    </row>
    <row r="218" spans="2:3">
      <c r="B218" s="20"/>
      <c r="C218" s="20"/>
    </row>
    <row r="219" spans="2:3">
      <c r="B219" s="20"/>
      <c r="C219" s="20"/>
    </row>
    <row r="220" spans="2:3">
      <c r="B220" s="20"/>
      <c r="C220" s="20"/>
    </row>
    <row r="221" spans="2:3">
      <c r="B221" s="20"/>
      <c r="C221" s="20"/>
    </row>
    <row r="222" spans="2:3">
      <c r="B222" s="20"/>
      <c r="C222" s="20"/>
    </row>
    <row r="223" spans="2:3">
      <c r="B223" s="20"/>
      <c r="C223" s="20"/>
    </row>
    <row r="224" spans="2:3">
      <c r="B224" s="20"/>
      <c r="C224" s="20"/>
    </row>
    <row r="225" spans="2:3">
      <c r="B225" s="20"/>
      <c r="C225" s="20"/>
    </row>
    <row r="226" spans="2:3">
      <c r="B226" s="20"/>
      <c r="C226" s="20"/>
    </row>
    <row r="227" spans="2:3">
      <c r="B227" s="20"/>
      <c r="C227" s="20"/>
    </row>
    <row r="228" spans="2:3">
      <c r="B228" s="20"/>
      <c r="C228" s="20"/>
    </row>
    <row r="229" spans="2:3">
      <c r="B229" s="20"/>
      <c r="C229" s="20"/>
    </row>
    <row r="230" spans="2:3">
      <c r="B230" s="20"/>
      <c r="C230" s="20"/>
    </row>
    <row r="231" spans="2:3">
      <c r="B231" s="20"/>
      <c r="C231" s="20"/>
    </row>
    <row r="232" spans="2:3">
      <c r="B232" s="20"/>
      <c r="C232" s="20"/>
    </row>
    <row r="233" spans="2:3">
      <c r="B233" s="20"/>
      <c r="C233" s="20"/>
    </row>
    <row r="234" spans="2:3">
      <c r="B234" s="20"/>
      <c r="C234" s="20"/>
    </row>
    <row r="235" spans="2:3">
      <c r="B235" s="20"/>
      <c r="C235" s="20"/>
    </row>
    <row r="236" spans="2:3">
      <c r="B236" s="20"/>
      <c r="C236" s="20"/>
    </row>
    <row r="237" spans="2:3">
      <c r="B237" s="20"/>
      <c r="C237" s="20"/>
    </row>
    <row r="238" spans="2:3">
      <c r="B238" s="20"/>
      <c r="C238" s="20"/>
    </row>
    <row r="239" spans="2:3">
      <c r="B239" s="20"/>
      <c r="C239" s="20"/>
    </row>
    <row r="240" spans="2:3">
      <c r="B240" s="20"/>
      <c r="C240" s="20"/>
    </row>
    <row r="241" spans="2:3">
      <c r="B241" s="20"/>
      <c r="C241" s="20"/>
    </row>
    <row r="242" spans="2:3">
      <c r="B242" s="20"/>
      <c r="C242" s="20"/>
    </row>
    <row r="243" spans="2:3">
      <c r="B243" s="20"/>
      <c r="C243" s="20"/>
    </row>
    <row r="244" spans="2:3">
      <c r="B244" s="20"/>
      <c r="C244" s="20"/>
    </row>
    <row r="245" spans="2:3">
      <c r="B245" s="20"/>
      <c r="C245" s="20"/>
    </row>
    <row r="246" spans="2:3">
      <c r="B246" s="20"/>
      <c r="C246" s="20"/>
    </row>
    <row r="247" spans="2:3">
      <c r="B247" s="20"/>
      <c r="C247" s="20"/>
    </row>
    <row r="248" spans="2:3">
      <c r="B248" s="20"/>
      <c r="C248" s="20"/>
    </row>
    <row r="249" spans="2:3">
      <c r="B249" s="20"/>
      <c r="C249" s="20"/>
    </row>
    <row r="250" spans="2:3">
      <c r="B250" s="20"/>
      <c r="C250" s="20"/>
    </row>
    <row r="251" spans="2:3">
      <c r="B251" s="20"/>
      <c r="C251" s="20"/>
    </row>
    <row r="252" spans="2:3">
      <c r="B252" s="20"/>
      <c r="C252" s="20"/>
    </row>
    <row r="253" spans="2:3">
      <c r="B253" s="20"/>
      <c r="C253" s="20"/>
    </row>
    <row r="254" spans="2:3">
      <c r="B254" s="20"/>
      <c r="C254" s="20"/>
    </row>
    <row r="255" spans="2:3">
      <c r="B255" s="20"/>
      <c r="C255" s="20"/>
    </row>
    <row r="256" spans="2:3">
      <c r="B256" s="20"/>
      <c r="C256" s="20"/>
    </row>
    <row r="257" spans="2:3">
      <c r="B257" s="20"/>
      <c r="C257" s="20"/>
    </row>
    <row r="258" spans="2:3">
      <c r="B258" s="20"/>
      <c r="C258" s="20"/>
    </row>
    <row r="259" spans="2:3">
      <c r="B259" s="20"/>
      <c r="C259" s="20"/>
    </row>
    <row r="260" spans="2:3">
      <c r="B260" s="20"/>
      <c r="C260" s="20"/>
    </row>
    <row r="261" spans="2:3">
      <c r="B261" s="20"/>
      <c r="C261" s="20"/>
    </row>
    <row r="262" spans="2:3">
      <c r="B262" s="20"/>
      <c r="C262" s="20"/>
    </row>
    <row r="263" spans="2:3">
      <c r="B263" s="20"/>
      <c r="C263" s="20"/>
    </row>
    <row r="264" spans="2:3">
      <c r="B264" s="20"/>
      <c r="C264" s="20"/>
    </row>
    <row r="265" spans="2:3">
      <c r="B265" s="20"/>
      <c r="C265" s="20"/>
    </row>
    <row r="266" spans="2:3">
      <c r="B266" s="20"/>
      <c r="C266" s="20"/>
    </row>
    <row r="267" spans="2:3">
      <c r="B267" s="20"/>
      <c r="C267" s="20"/>
    </row>
    <row r="268" spans="2:3">
      <c r="B268" s="20"/>
      <c r="C268" s="20"/>
    </row>
    <row r="269" spans="2:3">
      <c r="B269" s="20"/>
      <c r="C269" s="20"/>
    </row>
    <row r="270" spans="2:3">
      <c r="B270" s="20"/>
      <c r="C270" s="20"/>
    </row>
    <row r="271" spans="2:3">
      <c r="B271" s="20"/>
      <c r="C271" s="20"/>
    </row>
    <row r="272" spans="2:3">
      <c r="B272" s="20"/>
      <c r="C272" s="20"/>
    </row>
    <row r="273" spans="2:3">
      <c r="B273" s="20"/>
      <c r="C273" s="20"/>
    </row>
    <row r="274" spans="2:3">
      <c r="B274" s="20"/>
      <c r="C274" s="20"/>
    </row>
    <row r="275" spans="2:3">
      <c r="B275" s="20"/>
      <c r="C275" s="20"/>
    </row>
    <row r="276" spans="2:3">
      <c r="B276" s="20"/>
      <c r="C276" s="20"/>
    </row>
    <row r="277" spans="2:3">
      <c r="B277" s="20"/>
      <c r="C277" s="20"/>
    </row>
    <row r="278" spans="2:3">
      <c r="B278" s="20"/>
      <c r="C278" s="20"/>
    </row>
    <row r="279" spans="2:3">
      <c r="B279" s="20"/>
      <c r="C279" s="20"/>
    </row>
    <row r="280" spans="2:3">
      <c r="B280" s="20"/>
      <c r="C280" s="20"/>
    </row>
    <row r="281" spans="2:3">
      <c r="B281" s="20"/>
      <c r="C281" s="20"/>
    </row>
    <row r="282" spans="2:3">
      <c r="B282" s="20"/>
      <c r="C282" s="20"/>
    </row>
    <row r="283" spans="2:3">
      <c r="B283" s="20"/>
      <c r="C283" s="20"/>
    </row>
    <row r="284" spans="2:3">
      <c r="B284" s="20"/>
      <c r="C284" s="20"/>
    </row>
    <row r="285" spans="2:3">
      <c r="B285" s="20"/>
      <c r="C285" s="20"/>
    </row>
    <row r="286" spans="2:3">
      <c r="B286" s="20"/>
      <c r="C286" s="20"/>
    </row>
    <row r="287" spans="2:3">
      <c r="B287" s="20"/>
      <c r="C287" s="20"/>
    </row>
    <row r="288" spans="2:3">
      <c r="B288" s="20"/>
      <c r="C288" s="20"/>
    </row>
    <row r="289" spans="2:3">
      <c r="B289" s="20"/>
      <c r="C289" s="20"/>
    </row>
    <row r="290" spans="2:3">
      <c r="B290" s="20"/>
      <c r="C290" s="20"/>
    </row>
    <row r="291" spans="2:3">
      <c r="B291" s="20"/>
      <c r="C291" s="20"/>
    </row>
    <row r="292" spans="2:3">
      <c r="B292" s="20"/>
      <c r="C292" s="20"/>
    </row>
    <row r="293" spans="2:3">
      <c r="B293" s="20"/>
      <c r="C293" s="20"/>
    </row>
    <row r="294" spans="2:3">
      <c r="B294" s="20"/>
      <c r="C294" s="20"/>
    </row>
    <row r="295" spans="2:3">
      <c r="B295" s="20"/>
      <c r="C295" s="20"/>
    </row>
    <row r="296" spans="2:3">
      <c r="B296" s="20"/>
      <c r="C296" s="20"/>
    </row>
    <row r="297" spans="2:3">
      <c r="B297" s="20"/>
      <c r="C297" s="20"/>
    </row>
    <row r="298" spans="2:3">
      <c r="B298" s="20"/>
      <c r="C298" s="20"/>
    </row>
    <row r="299" spans="2:3">
      <c r="B299" s="20"/>
      <c r="C299" s="20"/>
    </row>
    <row r="300" spans="2:3">
      <c r="B300" s="20"/>
      <c r="C300" s="20"/>
    </row>
    <row r="301" spans="2:3">
      <c r="B301" s="20"/>
      <c r="C301" s="20"/>
    </row>
    <row r="302" spans="2:3">
      <c r="B302" s="20"/>
      <c r="C302" s="20"/>
    </row>
    <row r="303" spans="2:3">
      <c r="B303" s="20"/>
      <c r="C303" s="20"/>
    </row>
    <row r="304" spans="2:3">
      <c r="B304" s="20"/>
      <c r="C304" s="20"/>
    </row>
    <row r="305" spans="2:3">
      <c r="B305" s="20"/>
      <c r="C305" s="20"/>
    </row>
    <row r="306" spans="2:3">
      <c r="B306" s="20"/>
      <c r="C306" s="20"/>
    </row>
    <row r="307" spans="2:3">
      <c r="B307" s="20"/>
      <c r="C307" s="20"/>
    </row>
    <row r="308" spans="2:3">
      <c r="B308" s="20"/>
      <c r="C308" s="20"/>
    </row>
    <row r="309" spans="2:3">
      <c r="B309" s="20"/>
      <c r="C309" s="20"/>
    </row>
    <row r="310" spans="2:3">
      <c r="B310" s="20"/>
      <c r="C310" s="20"/>
    </row>
    <row r="311" spans="2:3">
      <c r="B311" s="20"/>
      <c r="C311" s="20"/>
    </row>
    <row r="312" spans="2:3">
      <c r="B312" s="20"/>
      <c r="C312" s="20"/>
    </row>
    <row r="313" spans="2:3">
      <c r="B313" s="20"/>
      <c r="C313" s="20"/>
    </row>
    <row r="314" spans="2:3">
      <c r="B314" s="20"/>
      <c r="C314" s="20"/>
    </row>
    <row r="315" spans="2:3">
      <c r="B315" s="20"/>
      <c r="C315" s="20"/>
    </row>
    <row r="316" spans="2:3">
      <c r="B316" s="20"/>
      <c r="C316" s="20"/>
    </row>
    <row r="317" spans="2:3">
      <c r="B317" s="20"/>
      <c r="C317" s="20"/>
    </row>
    <row r="318" spans="2:3">
      <c r="B318" s="20"/>
      <c r="C318" s="20"/>
    </row>
    <row r="319" spans="2:3">
      <c r="B319" s="20"/>
      <c r="C319" s="20"/>
    </row>
    <row r="320" spans="2:3">
      <c r="B320" s="20"/>
      <c r="C320" s="20"/>
    </row>
    <row r="321" spans="2:3">
      <c r="B321" s="20"/>
      <c r="C321" s="20"/>
    </row>
    <row r="322" spans="2:3">
      <c r="B322" s="20"/>
      <c r="C322" s="20"/>
    </row>
    <row r="323" spans="2:3">
      <c r="B323" s="20"/>
      <c r="C323" s="20"/>
    </row>
    <row r="324" spans="2:3">
      <c r="B324" s="20"/>
      <c r="C324" s="20"/>
    </row>
    <row r="325" spans="2:3">
      <c r="B325" s="20"/>
      <c r="C325" s="20"/>
    </row>
    <row r="326" spans="2:3">
      <c r="B326" s="20"/>
      <c r="C326" s="20"/>
    </row>
    <row r="327" spans="2:3">
      <c r="B327" s="20"/>
      <c r="C327" s="20"/>
    </row>
    <row r="328" spans="2:3">
      <c r="B328" s="20"/>
      <c r="C328" s="20"/>
    </row>
    <row r="329" spans="2:3">
      <c r="B329" s="20"/>
      <c r="C329" s="20"/>
    </row>
    <row r="330" spans="2:3">
      <c r="B330" s="20"/>
      <c r="C330" s="20"/>
    </row>
    <row r="331" spans="2:3">
      <c r="B331" s="20"/>
      <c r="C331" s="20"/>
    </row>
    <row r="332" spans="2:3">
      <c r="B332" s="20"/>
      <c r="C332" s="20"/>
    </row>
    <row r="333" spans="2:3">
      <c r="B333" s="20"/>
      <c r="C333" s="20"/>
    </row>
    <row r="334" spans="2:3">
      <c r="B334" s="20"/>
      <c r="C334" s="20"/>
    </row>
    <row r="335" spans="2:3">
      <c r="B335" s="20"/>
      <c r="C335" s="20"/>
    </row>
    <row r="336" spans="2:3">
      <c r="B336" s="20"/>
      <c r="C336" s="20"/>
    </row>
    <row r="337" spans="2:3">
      <c r="B337" s="20"/>
      <c r="C337" s="20"/>
    </row>
    <row r="338" spans="2:3">
      <c r="B338" s="20"/>
      <c r="C338" s="20"/>
    </row>
    <row r="339" spans="2:3">
      <c r="B339" s="20"/>
      <c r="C339" s="20"/>
    </row>
    <row r="340" spans="2:3">
      <c r="B340" s="20"/>
      <c r="C340" s="20"/>
    </row>
    <row r="341" spans="2:3">
      <c r="B341" s="20"/>
      <c r="C341" s="20"/>
    </row>
    <row r="342" spans="2:3">
      <c r="B342" s="20"/>
      <c r="C342" s="20"/>
    </row>
    <row r="343" spans="2:3">
      <c r="B343" s="20"/>
      <c r="C343" s="20"/>
    </row>
    <row r="344" spans="2:3">
      <c r="B344" s="20"/>
      <c r="C344" s="20"/>
    </row>
    <row r="345" spans="2:3">
      <c r="B345" s="20"/>
      <c r="C345" s="20"/>
    </row>
    <row r="346" spans="2:3">
      <c r="B346" s="20"/>
      <c r="C346" s="20"/>
    </row>
    <row r="347" spans="2:3">
      <c r="B347" s="20"/>
      <c r="C347" s="20"/>
    </row>
    <row r="348" spans="2:3">
      <c r="B348" s="20"/>
      <c r="C348" s="20"/>
    </row>
    <row r="349" spans="2:3">
      <c r="B349" s="20"/>
      <c r="C349" s="20"/>
    </row>
    <row r="350" spans="2:3">
      <c r="B350" s="20"/>
      <c r="C350" s="20"/>
    </row>
    <row r="351" spans="2:3">
      <c r="B351" s="20"/>
      <c r="C351" s="20"/>
    </row>
    <row r="352" spans="2:3">
      <c r="B352" s="20"/>
      <c r="C352" s="20"/>
    </row>
    <row r="353" spans="2:3">
      <c r="B353" s="20"/>
      <c r="C353" s="20"/>
    </row>
    <row r="354" spans="2:3">
      <c r="B354" s="20"/>
      <c r="C354" s="20"/>
    </row>
    <row r="355" spans="2:3">
      <c r="B355" s="20"/>
      <c r="C355" s="20"/>
    </row>
    <row r="356" spans="2:3">
      <c r="B356" s="20"/>
      <c r="C356" s="20"/>
    </row>
    <row r="357" spans="2:3">
      <c r="B357" s="20"/>
      <c r="C357" s="20"/>
    </row>
    <row r="358" spans="2:3">
      <c r="B358" s="20"/>
      <c r="C358" s="20"/>
    </row>
    <row r="359" spans="2:3">
      <c r="B359" s="20"/>
      <c r="C359" s="20"/>
    </row>
    <row r="360" spans="2:3">
      <c r="B360" s="20"/>
      <c r="C360" s="20"/>
    </row>
    <row r="361" spans="2:3">
      <c r="B361" s="20"/>
      <c r="C361" s="20"/>
    </row>
    <row r="362" spans="2:3">
      <c r="B362" s="20"/>
      <c r="C362" s="20"/>
    </row>
    <row r="363" spans="2:3">
      <c r="B363" s="20"/>
      <c r="C363" s="20"/>
    </row>
    <row r="364" spans="2:3">
      <c r="B364" s="20"/>
      <c r="C364" s="20"/>
    </row>
    <row r="365" spans="2:3">
      <c r="B365" s="20"/>
      <c r="C365" s="20"/>
    </row>
    <row r="366" spans="2:3">
      <c r="B366" s="20"/>
      <c r="C366" s="20"/>
    </row>
    <row r="367" spans="2:3">
      <c r="B367" s="20"/>
      <c r="C367" s="20"/>
    </row>
    <row r="368" spans="2:3">
      <c r="B368" s="20"/>
      <c r="C368" s="20"/>
    </row>
    <row r="369" spans="2:3">
      <c r="B369" s="20"/>
      <c r="C369" s="20"/>
    </row>
    <row r="370" spans="2:3">
      <c r="B370" s="20"/>
      <c r="C370" s="20"/>
    </row>
    <row r="371" spans="2:3">
      <c r="B371" s="20"/>
      <c r="C371" s="20"/>
    </row>
    <row r="372" spans="2:3">
      <c r="B372" s="20"/>
      <c r="C372" s="20"/>
    </row>
    <row r="373" spans="2:3">
      <c r="B373" s="20"/>
      <c r="C373" s="20"/>
    </row>
    <row r="374" spans="2:3">
      <c r="B374" s="20"/>
      <c r="C374" s="20"/>
    </row>
    <row r="375" spans="2:3">
      <c r="B375" s="20"/>
      <c r="C375" s="20"/>
    </row>
    <row r="376" spans="2:3">
      <c r="B376" s="20"/>
      <c r="C376" s="20"/>
    </row>
    <row r="377" spans="2:3">
      <c r="B377" s="20"/>
      <c r="C377" s="20"/>
    </row>
    <row r="378" spans="2:3">
      <c r="B378" s="20"/>
      <c r="C378" s="20"/>
    </row>
    <row r="379" spans="2:3">
      <c r="B379" s="20"/>
      <c r="C379" s="20"/>
    </row>
    <row r="380" spans="2:3">
      <c r="B380" s="20"/>
      <c r="C380" s="20"/>
    </row>
    <row r="381" spans="2:3">
      <c r="B381" s="20"/>
      <c r="C381" s="20"/>
    </row>
    <row r="382" spans="2:3">
      <c r="B382" s="20"/>
      <c r="C382" s="20"/>
    </row>
    <row r="383" spans="2:3">
      <c r="B383" s="20"/>
      <c r="C383" s="20"/>
    </row>
    <row r="384" spans="2:3">
      <c r="B384" s="20"/>
      <c r="C384" s="20"/>
    </row>
    <row r="385" spans="2:3">
      <c r="B385" s="20"/>
      <c r="C385" s="20"/>
    </row>
    <row r="386" spans="2:3">
      <c r="B386" s="20"/>
      <c r="C386" s="20"/>
    </row>
    <row r="387" spans="2:3">
      <c r="B387" s="20"/>
      <c r="C387" s="20"/>
    </row>
    <row r="388" spans="2:3">
      <c r="B388" s="20"/>
      <c r="C388" s="20"/>
    </row>
    <row r="389" spans="2:3">
      <c r="B389" s="20"/>
      <c r="C389" s="20"/>
    </row>
    <row r="390" spans="2:3">
      <c r="B390" s="20"/>
      <c r="C390" s="20"/>
    </row>
    <row r="391" spans="2:3">
      <c r="B391" s="20"/>
      <c r="C391" s="20"/>
    </row>
    <row r="392" spans="2:3">
      <c r="B392" s="20"/>
      <c r="C392" s="20"/>
    </row>
    <row r="393" spans="2:3">
      <c r="B393" s="20"/>
      <c r="C393" s="20"/>
    </row>
    <row r="394" spans="2:3">
      <c r="B394" s="20"/>
      <c r="C394" s="20"/>
    </row>
    <row r="395" spans="2:3">
      <c r="B395" s="20"/>
      <c r="C395" s="20"/>
    </row>
    <row r="396" spans="2:3">
      <c r="B396" s="20"/>
      <c r="C396" s="20"/>
    </row>
    <row r="397" spans="2:3">
      <c r="B397" s="20"/>
      <c r="C397" s="20"/>
    </row>
    <row r="398" spans="2:3">
      <c r="B398" s="20"/>
      <c r="C398" s="20"/>
    </row>
    <row r="399" spans="2:3">
      <c r="B399" s="20"/>
      <c r="C399" s="20"/>
    </row>
    <row r="400" spans="2:3">
      <c r="B400" s="20"/>
      <c r="C400" s="20"/>
    </row>
    <row r="401" spans="2:3">
      <c r="B401" s="20"/>
      <c r="C401" s="20"/>
    </row>
    <row r="402" spans="2:3">
      <c r="B402" s="20"/>
      <c r="C402" s="20"/>
    </row>
    <row r="403" spans="2:3">
      <c r="B403" s="20"/>
      <c r="C403" s="20"/>
    </row>
    <row r="404" spans="2:3">
      <c r="B404" s="20"/>
      <c r="C404" s="20"/>
    </row>
    <row r="405" spans="2:3">
      <c r="B405" s="20"/>
      <c r="C405" s="20"/>
    </row>
    <row r="406" spans="2:3">
      <c r="B406" s="20"/>
      <c r="C406" s="20"/>
    </row>
  </sheetData>
  <mergeCells count="17">
    <mergeCell ref="CI11:CK11"/>
    <mergeCell ref="CL58:CN58"/>
    <mergeCell ref="CO58:CQ58"/>
    <mergeCell ref="CR58:CT58"/>
    <mergeCell ref="CU58:CW58"/>
    <mergeCell ref="DS58:DU58"/>
    <mergeCell ref="DV58:DX58"/>
    <mergeCell ref="DY58:EA58"/>
    <mergeCell ref="EB58:ED58"/>
    <mergeCell ref="CI110:CK110"/>
    <mergeCell ref="DA58:DC58"/>
    <mergeCell ref="DD58:DF58"/>
    <mergeCell ref="DG58:DI58"/>
    <mergeCell ref="DJ58:DL58"/>
    <mergeCell ref="DM58:DO58"/>
    <mergeCell ref="DP58:DR58"/>
    <mergeCell ref="CX58:CZ58"/>
  </mergeCells>
  <phoneticPr fontId="2"/>
  <conditionalFormatting sqref="DP111:DQ111">
    <cfRule type="duplicateValues" dxfId="0" priority="1"/>
  </conditionalFormatting>
  <pageMargins left="0.7" right="0.7" top="0.75" bottom="0.75" header="0.3" footer="0.3"/>
  <pageSetup paperSize="9" scale="23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Prodn comparison </vt:lpstr>
      <vt:lpstr>Sales comparison </vt:lpstr>
      <vt:lpstr>SUMMARY</vt:lpstr>
      <vt:lpstr>PSI</vt:lpstr>
      <vt:lpstr>'Prodn comparison '!Print_Area</vt:lpstr>
      <vt:lpstr>'Sales comparison '!Print_Area</vt:lpstr>
      <vt:lpstr>SUMMARY!Print_Area</vt:lpstr>
      <vt:lpstr>'Prodn comparison '!Print_Titles</vt:lpstr>
      <vt:lpstr>'Sales comparison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PCDLAP004</dc:creator>
  <cp:lastModifiedBy>User</cp:lastModifiedBy>
  <cp:lastPrinted>2022-11-15T09:03:48Z</cp:lastPrinted>
  <dcterms:created xsi:type="dcterms:W3CDTF">2017-02-28T01:10:05Z</dcterms:created>
  <dcterms:modified xsi:type="dcterms:W3CDTF">2023-01-09T08:39:28Z</dcterms:modified>
</cp:coreProperties>
</file>