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evish\Desktop\"/>
    </mc:Choice>
  </mc:AlternateContent>
  <xr:revisionPtr revIDLastSave="0" documentId="8_{FE733D45-4885-41F6-B6CD-97647DAD6842}" xr6:coauthVersionLast="47" xr6:coauthVersionMax="47" xr10:uidLastSave="{00000000-0000-0000-0000-000000000000}"/>
  <bookViews>
    <workbookView xWindow="-108" yWindow="-108" windowWidth="23256" windowHeight="12576" xr2:uid="{840D8912-348F-EF43-97F4-BE7BD6B97DF1}"/>
  </bookViews>
  <sheets>
    <sheet name="COST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6" i="2" l="1"/>
  <c r="I16" i="2"/>
  <c r="M8" i="2" s="1"/>
  <c r="N18" i="2"/>
  <c r="M18" i="2"/>
  <c r="I17" i="2"/>
  <c r="N9" i="2" s="1"/>
  <c r="L33" i="2"/>
  <c r="M33" i="2" s="1"/>
  <c r="I37" i="2" s="1"/>
  <c r="K37" i="2" s="1"/>
  <c r="N16" i="2" s="1"/>
  <c r="L32" i="2"/>
  <c r="M32" i="2" s="1"/>
  <c r="D8" i="2"/>
  <c r="D9" i="2" s="1"/>
  <c r="D11" i="2" s="1"/>
  <c r="D14" i="2" s="1"/>
  <c r="C8" i="2"/>
  <c r="C9" i="2" s="1"/>
  <c r="C11" i="2" s="1"/>
  <c r="C14" i="2" s="1"/>
  <c r="C17" i="2" l="1"/>
  <c r="C21" i="2" s="1"/>
  <c r="C22" i="2" s="1"/>
  <c r="C23" i="2" s="1"/>
  <c r="M10" i="2" s="1"/>
  <c r="D17" i="2"/>
  <c r="D19" i="2" s="1"/>
  <c r="D20" i="2" s="1"/>
  <c r="C19" i="2" l="1"/>
  <c r="C20" i="2" s="1"/>
  <c r="M11" i="2"/>
  <c r="D21" i="2"/>
  <c r="D22" i="2" s="1"/>
  <c r="D23" i="2" s="1"/>
  <c r="N10" i="2" s="1"/>
  <c r="N11" i="2" l="1"/>
  <c r="N17" i="2" s="1"/>
  <c r="N19" i="2" s="1"/>
  <c r="M26" i="2" l="1"/>
  <c r="N21" i="2"/>
  <c r="K36" i="2" l="1"/>
  <c r="M16" i="2" s="1"/>
  <c r="M17" i="2" s="1"/>
  <c r="M19" i="2" s="1"/>
  <c r="M21" i="2" l="1"/>
  <c r="M25" i="2"/>
</calcChain>
</file>

<file path=xl/sharedStrings.xml><?xml version="1.0" encoding="utf-8"?>
<sst xmlns="http://schemas.openxmlformats.org/spreadsheetml/2006/main" count="81" uniqueCount="69">
  <si>
    <t>No of inverters</t>
  </si>
  <si>
    <t xml:space="preserve">No modules per string </t>
  </si>
  <si>
    <t>No of parallel strings used</t>
  </si>
  <si>
    <t>Max load in kW</t>
  </si>
  <si>
    <t>Safety of 10 %</t>
  </si>
  <si>
    <t>Load in KVA</t>
  </si>
  <si>
    <t>Derated factor</t>
  </si>
  <si>
    <t xml:space="preserve">Power factor </t>
  </si>
  <si>
    <t>System</t>
  </si>
  <si>
    <t>ynd11 415V to 22KV</t>
  </si>
  <si>
    <t>Power per string (KVA)</t>
  </si>
  <si>
    <t>Tx max Capacity kw</t>
  </si>
  <si>
    <t>Tx max Capacity MVA</t>
  </si>
  <si>
    <t>Resulted power in(KVA):</t>
  </si>
  <si>
    <t>No of smaller Tx needed</t>
  </si>
  <si>
    <t>capacity (KVA)</t>
  </si>
  <si>
    <t>No of parallel strings to be connected Tx
(User define)</t>
  </si>
  <si>
    <t>capacity (MVA)</t>
  </si>
  <si>
    <t>Cost(MUR 1M/MVA)</t>
  </si>
  <si>
    <t>No of PV Modules</t>
  </si>
  <si>
    <t>Installed capacity/ W</t>
  </si>
  <si>
    <t>Unit price per W</t>
  </si>
  <si>
    <t>Total price/ MUR</t>
  </si>
  <si>
    <t>solar modules</t>
  </si>
  <si>
    <t>Unit price</t>
  </si>
  <si>
    <t>Total price/MUR</t>
  </si>
  <si>
    <t>Sum of inverters</t>
  </si>
  <si>
    <t>Mounting structures</t>
  </si>
  <si>
    <t>MUR134.2</t>
  </si>
  <si>
    <t>Inverters</t>
  </si>
  <si>
    <t>Transformer 1</t>
  </si>
  <si>
    <t>Transformer 2</t>
  </si>
  <si>
    <t>OV Cables</t>
  </si>
  <si>
    <t>AIS</t>
  </si>
  <si>
    <t>PV Cables+ 
Connectors</t>
  </si>
  <si>
    <t>Cables for PV</t>
  </si>
  <si>
    <t>Isc / A</t>
  </si>
  <si>
    <t>Dimensions</t>
  </si>
  <si>
    <t>1724x1134x35 mm</t>
  </si>
  <si>
    <t>L/m</t>
  </si>
  <si>
    <t>1956x992x40 mm</t>
  </si>
  <si>
    <t>Module per string</t>
  </si>
  <si>
    <t>string in parallel</t>
  </si>
  <si>
    <t>Min length of cable
per string/ m</t>
  </si>
  <si>
    <t xml:space="preserve">Total Length </t>
  </si>
  <si>
    <t>12% margin of cable additional</t>
  </si>
  <si>
    <t>cost per unit length with connectors/ MUR</t>
  </si>
  <si>
    <t>Cost / MUR</t>
  </si>
  <si>
    <t>CAPEX</t>
  </si>
  <si>
    <t>Eannual A</t>
  </si>
  <si>
    <t>Eannual B</t>
  </si>
  <si>
    <t>Eannual C</t>
  </si>
  <si>
    <t>(1-degration)^n</t>
  </si>
  <si>
    <t>Unit price/MUR</t>
  </si>
  <si>
    <t>LCOE</t>
  </si>
  <si>
    <t>E degration20yrs</t>
  </si>
  <si>
    <t>OPPEX</t>
  </si>
  <si>
    <t>LCC</t>
  </si>
  <si>
    <t>payback period</t>
  </si>
  <si>
    <t>E ANNUAL</t>
  </si>
  <si>
    <t>maintenance</t>
  </si>
  <si>
    <t>shipping cost</t>
  </si>
  <si>
    <t>Shipping + equipment
+ Specialised road transport of transformer</t>
  </si>
  <si>
    <t>Land Leasing</t>
  </si>
  <si>
    <t>MUR 8.40</t>
  </si>
  <si>
    <t>System 1</t>
  </si>
  <si>
    <t>System 2</t>
  </si>
  <si>
    <t xml:space="preserve"> System 2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</si>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</sst>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Rs&quot;* #,##0.00_);_(&quot;Rs&quot;* \(#,##0.00\);_(&quot;Rs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sz val="13"/>
      <name val="Times New Roman"/>
      <family val="1"/>
    </font>
    <font>
      <sz val="12"/>
      <color rgb="FFC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0" borderId="0" xfId="0" applyFont="1" applyFill="1" applyBorder="1" applyAlignment="1">
      <alignment horizontal="justify" vertical="center" wrapText="1"/>
    </xf>
    <xf numFmtId="2" fontId="0" fillId="0" borderId="1" xfId="1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2" fontId="3" fillId="0" borderId="1" xfId="1" applyNumberFormat="1" applyFont="1" applyBorder="1" applyAlignment="1">
      <alignment horizontal="center" vertical="center" wrapText="1"/>
    </xf>
    <xf numFmtId="2" fontId="3" fillId="0" borderId="1" xfId="1" applyNumberFormat="1" applyFont="1" applyFill="1" applyBorder="1" applyAlignment="1">
      <alignment horizontal="center" vertical="center" wrapText="1"/>
    </xf>
    <xf numFmtId="3" fontId="2" fillId="0" borderId="0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/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3" fillId="0" borderId="0" xfId="0" applyFont="1" applyBorder="1" applyAlignment="1">
      <alignment horizontal="justify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5" fillId="0" borderId="0" xfId="0" applyFont="1" applyBorder="1"/>
    <xf numFmtId="0" fontId="3" fillId="0" borderId="1" xfId="0" applyFont="1" applyBorder="1" applyAlignment="1">
      <alignment horizontal="justify" vertical="center" wrapText="1"/>
    </xf>
    <xf numFmtId="3" fontId="3" fillId="0" borderId="1" xfId="0" applyNumberFormat="1" applyFont="1" applyBorder="1" applyAlignment="1">
      <alignment horizontal="justify" vertical="center" wrapText="1"/>
    </xf>
    <xf numFmtId="0" fontId="3" fillId="0" borderId="0" xfId="0" applyFont="1" applyBorder="1" applyAlignment="1">
      <alignment horizontal="justify" vertical="center" wrapText="1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1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2" fontId="0" fillId="0" borderId="0" xfId="1" applyNumberFormat="1" applyFont="1" applyBorder="1" applyAlignment="1">
      <alignment horizontal="center"/>
    </xf>
    <xf numFmtId="2" fontId="3" fillId="0" borderId="0" xfId="1" applyNumberFormat="1" applyFont="1" applyFill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CED3A-127A-DA44-AB7C-7D546407E0C9}">
  <dimension ref="B1:Z38"/>
  <sheetViews>
    <sheetView tabSelected="1" zoomScale="70" zoomScaleNormal="70" workbookViewId="0">
      <selection activeCell="H13" sqref="H13"/>
    </sheetView>
  </sheetViews>
  <sheetFormatPr defaultColWidth="11.19921875" defaultRowHeight="15.6" x14ac:dyDescent="0.3"/>
  <cols>
    <col min="1" max="1" width="11.19921875" style="2"/>
    <col min="2" max="2" width="34.296875" style="2" customWidth="1"/>
    <col min="3" max="3" width="12" style="2" customWidth="1"/>
    <col min="4" max="5" width="11.19921875" style="2"/>
    <col min="6" max="6" width="12" style="2" customWidth="1"/>
    <col min="7" max="7" width="13.69921875" style="2" customWidth="1"/>
    <col min="8" max="9" width="21" style="2" customWidth="1"/>
    <col min="10" max="10" width="15" style="2" customWidth="1"/>
    <col min="11" max="11" width="14.69921875" style="2" customWidth="1"/>
    <col min="12" max="12" width="17.296875" style="2" customWidth="1"/>
    <col min="13" max="13" width="16.796875" style="2" customWidth="1"/>
    <col min="14" max="14" width="13.69921875" style="2" customWidth="1"/>
    <col min="15" max="15" width="14" style="2" customWidth="1"/>
    <col min="16" max="17" width="11.19921875" style="2"/>
    <col min="18" max="18" width="14" style="2" customWidth="1"/>
    <col min="19" max="19" width="13.5" style="2" customWidth="1"/>
    <col min="20" max="24" width="11.19921875" style="2"/>
    <col min="25" max="25" width="17.19921875" style="2" customWidth="1"/>
    <col min="26" max="16384" width="11.19921875" style="2"/>
  </cols>
  <sheetData>
    <row r="1" spans="2:26" x14ac:dyDescent="0.3">
      <c r="Y1" s="2" t="s">
        <v>49</v>
      </c>
      <c r="Z1" s="33">
        <v>25634918</v>
      </c>
    </row>
    <row r="2" spans="2:26" x14ac:dyDescent="0.3">
      <c r="Y2" s="2" t="s">
        <v>50</v>
      </c>
      <c r="Z2" s="33">
        <v>23687790</v>
      </c>
    </row>
    <row r="3" spans="2:26" x14ac:dyDescent="0.3">
      <c r="B3" s="30"/>
      <c r="C3" s="30"/>
      <c r="D3" s="30"/>
      <c r="Y3" s="2" t="s">
        <v>51</v>
      </c>
      <c r="Z3" s="33">
        <v>21692186</v>
      </c>
    </row>
    <row r="4" spans="2:26" x14ac:dyDescent="0.3">
      <c r="B4" s="31" t="s">
        <v>9</v>
      </c>
      <c r="C4" s="31"/>
      <c r="D4" s="22"/>
      <c r="F4" s="34" t="s">
        <v>23</v>
      </c>
      <c r="G4" s="35"/>
      <c r="Y4" s="2" t="s">
        <v>52</v>
      </c>
      <c r="Z4" s="33"/>
    </row>
    <row r="5" spans="2:26" x14ac:dyDescent="0.3">
      <c r="B5" s="23" t="s">
        <v>8</v>
      </c>
      <c r="C5" s="23">
        <v>1</v>
      </c>
      <c r="D5" s="23">
        <v>2</v>
      </c>
      <c r="Z5" s="33"/>
    </row>
    <row r="6" spans="2:26" ht="31.2" x14ac:dyDescent="0.3">
      <c r="B6" s="23" t="s">
        <v>3</v>
      </c>
      <c r="C6" s="24">
        <v>14031.82</v>
      </c>
      <c r="D6" s="24">
        <v>14281.406000000001</v>
      </c>
      <c r="F6" s="37" t="s">
        <v>8</v>
      </c>
      <c r="G6" s="37" t="s">
        <v>19</v>
      </c>
      <c r="H6" s="37" t="s">
        <v>20</v>
      </c>
      <c r="I6" s="37" t="s">
        <v>21</v>
      </c>
      <c r="J6" s="37" t="s">
        <v>22</v>
      </c>
      <c r="L6" s="9" t="s">
        <v>68</v>
      </c>
      <c r="M6" s="9" t="s">
        <v>65</v>
      </c>
      <c r="N6" s="9" t="s">
        <v>66</v>
      </c>
      <c r="O6" s="40"/>
    </row>
    <row r="7" spans="2:26" x14ac:dyDescent="0.3">
      <c r="B7" s="23" t="s">
        <v>7</v>
      </c>
      <c r="C7" s="31">
        <v>0.86599999999999999</v>
      </c>
      <c r="D7" s="31"/>
      <c r="F7" s="37">
        <v>1</v>
      </c>
      <c r="G7" s="37">
        <v>41850</v>
      </c>
      <c r="H7" s="37">
        <v>14081815</v>
      </c>
      <c r="I7" s="37" t="s">
        <v>64</v>
      </c>
      <c r="J7" s="37">
        <v>118287246</v>
      </c>
      <c r="L7" s="10" t="s">
        <v>23</v>
      </c>
      <c r="M7" s="11">
        <v>118590349.7</v>
      </c>
      <c r="N7" s="11">
        <v>118135790.40000001</v>
      </c>
      <c r="O7" s="41"/>
    </row>
    <row r="8" spans="2:26" x14ac:dyDescent="0.3">
      <c r="B8" s="23" t="s">
        <v>4</v>
      </c>
      <c r="C8" s="23">
        <f>1.1*C6</f>
        <v>15435.002</v>
      </c>
      <c r="D8" s="23">
        <f>1.1*D6</f>
        <v>15709.546600000001</v>
      </c>
      <c r="F8" s="37">
        <v>2</v>
      </c>
      <c r="G8" s="37">
        <v>42120</v>
      </c>
      <c r="H8" s="37">
        <v>14264696</v>
      </c>
      <c r="I8" s="37" t="s">
        <v>64</v>
      </c>
      <c r="J8" s="37">
        <v>119823446</v>
      </c>
      <c r="L8" s="6" t="s">
        <v>29</v>
      </c>
      <c r="M8" s="11">
        <f>I16*1</f>
        <v>21760200</v>
      </c>
      <c r="N8" s="11">
        <v>90600400</v>
      </c>
      <c r="O8" s="41"/>
    </row>
    <row r="9" spans="2:26" x14ac:dyDescent="0.3">
      <c r="B9" s="23" t="s">
        <v>5</v>
      </c>
      <c r="C9" s="23">
        <f>C8/C7</f>
        <v>17823.327944572749</v>
      </c>
      <c r="D9" s="23">
        <f>D8/C7</f>
        <v>18140.354041570441</v>
      </c>
      <c r="F9" s="32"/>
      <c r="G9" s="32"/>
      <c r="H9" s="32"/>
      <c r="I9" s="32"/>
      <c r="J9" s="32"/>
      <c r="L9" s="9" t="s">
        <v>27</v>
      </c>
      <c r="M9" s="11">
        <v>5966532</v>
      </c>
      <c r="N9" s="11">
        <f>I17*1</f>
        <v>96764820</v>
      </c>
      <c r="O9" s="41"/>
    </row>
    <row r="10" spans="2:26" x14ac:dyDescent="0.3">
      <c r="B10" s="23" t="s">
        <v>6</v>
      </c>
      <c r="C10" s="31">
        <v>0.9</v>
      </c>
      <c r="D10" s="31"/>
      <c r="L10" s="6" t="s">
        <v>30</v>
      </c>
      <c r="M10" s="8">
        <f>C23</f>
        <v>10001867.533430273</v>
      </c>
      <c r="N10" s="8">
        <f>D23</f>
        <v>9033478.5143207926</v>
      </c>
      <c r="O10" s="43"/>
    </row>
    <row r="11" spans="2:26" x14ac:dyDescent="0.3">
      <c r="B11" s="23" t="s">
        <v>11</v>
      </c>
      <c r="C11" s="23">
        <f>C9/C10</f>
        <v>19803.697716191942</v>
      </c>
      <c r="D11" s="23">
        <f>D9/C10</f>
        <v>20155.948935078268</v>
      </c>
      <c r="L11" s="6" t="s">
        <v>31</v>
      </c>
      <c r="M11" s="6">
        <f>1.2*M10</f>
        <v>12002241.040116327</v>
      </c>
      <c r="N11" s="6">
        <f>1.2*N10</f>
        <v>10840174.217184952</v>
      </c>
      <c r="O11" s="42"/>
    </row>
    <row r="12" spans="2:26" ht="78" x14ac:dyDescent="0.3">
      <c r="B12" s="23"/>
      <c r="C12" s="23"/>
      <c r="D12" s="23"/>
      <c r="L12" s="14" t="s">
        <v>62</v>
      </c>
      <c r="M12" s="6">
        <v>100000000</v>
      </c>
      <c r="N12" s="6">
        <v>100000000</v>
      </c>
      <c r="O12" s="42"/>
    </row>
    <row r="13" spans="2:26" x14ac:dyDescent="0.3">
      <c r="B13" s="23"/>
      <c r="C13" s="23"/>
      <c r="D13" s="23"/>
      <c r="L13" s="14" t="s">
        <v>63</v>
      </c>
      <c r="M13" s="6">
        <v>108637550</v>
      </c>
      <c r="N13" s="6">
        <v>108637550</v>
      </c>
      <c r="O13" s="42"/>
    </row>
    <row r="14" spans="2:26" ht="31.2" x14ac:dyDescent="0.3">
      <c r="B14" s="23" t="s">
        <v>12</v>
      </c>
      <c r="C14" s="25">
        <f>C11/1000</f>
        <v>19.803697716191941</v>
      </c>
      <c r="D14" s="25">
        <f>D11/1000</f>
        <v>20.155948935078268</v>
      </c>
      <c r="F14" s="7" t="s">
        <v>26</v>
      </c>
      <c r="L14" s="6" t="s">
        <v>32</v>
      </c>
      <c r="M14" s="12">
        <v>7150000</v>
      </c>
      <c r="N14" s="12">
        <v>7150000</v>
      </c>
      <c r="O14" s="44"/>
      <c r="R14" s="2" t="s">
        <v>60</v>
      </c>
      <c r="S14" s="36">
        <v>77704792</v>
      </c>
    </row>
    <row r="15" spans="2:26" x14ac:dyDescent="0.3">
      <c r="B15" s="26" t="s">
        <v>1</v>
      </c>
      <c r="C15" s="27">
        <v>30</v>
      </c>
      <c r="D15" s="27">
        <v>20</v>
      </c>
      <c r="F15" s="37" t="s">
        <v>8</v>
      </c>
      <c r="G15" s="37" t="s">
        <v>0</v>
      </c>
      <c r="H15" s="37" t="s">
        <v>53</v>
      </c>
      <c r="I15" s="37" t="s">
        <v>25</v>
      </c>
      <c r="L15" s="9" t="s">
        <v>33</v>
      </c>
      <c r="M15" s="12">
        <v>10000000</v>
      </c>
      <c r="N15" s="12">
        <v>10000000</v>
      </c>
      <c r="O15" s="44"/>
      <c r="R15" s="2" t="s">
        <v>61</v>
      </c>
      <c r="S15" s="2">
        <v>100000000</v>
      </c>
    </row>
    <row r="16" spans="2:26" ht="31.2" x14ac:dyDescent="0.3">
      <c r="B16" s="26" t="s">
        <v>2</v>
      </c>
      <c r="C16" s="28">
        <v>1386</v>
      </c>
      <c r="D16" s="28">
        <v>1785</v>
      </c>
      <c r="F16" s="37">
        <v>1</v>
      </c>
      <c r="G16" s="37">
        <v>126</v>
      </c>
      <c r="H16" s="37">
        <v>172700</v>
      </c>
      <c r="I16" s="37">
        <f>H16*G16</f>
        <v>21760200</v>
      </c>
      <c r="L16" s="16" t="s">
        <v>34</v>
      </c>
      <c r="M16" s="6">
        <f>K36</f>
        <v>3007693.8178560003</v>
      </c>
      <c r="N16" s="6">
        <f>K37</f>
        <v>2812384.99584</v>
      </c>
      <c r="O16" s="42"/>
    </row>
    <row r="17" spans="2:15" ht="34.950000000000003" customHeight="1" x14ac:dyDescent="0.3">
      <c r="B17" s="23" t="s">
        <v>10</v>
      </c>
      <c r="C17" s="23">
        <f>C11/C16</f>
        <v>14.288382190614676</v>
      </c>
      <c r="D17" s="23">
        <f>D11/D16</f>
        <v>11.29184814290099</v>
      </c>
      <c r="F17" s="37">
        <v>2</v>
      </c>
      <c r="G17" s="37">
        <v>60</v>
      </c>
      <c r="H17" s="37">
        <v>1612747</v>
      </c>
      <c r="I17" s="37">
        <f>H17*G17</f>
        <v>96764820</v>
      </c>
      <c r="L17" s="18" t="s">
        <v>48</v>
      </c>
      <c r="M17" s="19">
        <f>SUM(M7:M16)</f>
        <v>397116434.09140259</v>
      </c>
      <c r="N17" s="19">
        <f>SUM(N7:N16)</f>
        <v>553974598.12734568</v>
      </c>
      <c r="O17" s="45"/>
    </row>
    <row r="18" spans="2:15" ht="31.95" customHeight="1" x14ac:dyDescent="0.3">
      <c r="B18" s="29" t="s">
        <v>16</v>
      </c>
      <c r="C18" s="23">
        <v>700</v>
      </c>
      <c r="D18" s="23">
        <v>800</v>
      </c>
      <c r="F18" s="39"/>
      <c r="G18" s="39"/>
      <c r="H18" s="39"/>
      <c r="I18" s="39"/>
      <c r="L18" s="20" t="s">
        <v>56</v>
      </c>
      <c r="M18" s="20">
        <f>S14+188222050</f>
        <v>265926842</v>
      </c>
      <c r="N18" s="20">
        <f>S14+230151959</f>
        <v>307856751</v>
      </c>
      <c r="O18" s="45"/>
    </row>
    <row r="19" spans="2:15" x14ac:dyDescent="0.3">
      <c r="B19" s="23" t="s">
        <v>13</v>
      </c>
      <c r="C19" s="23">
        <f>C18*C17</f>
        <v>10001.867533430273</v>
      </c>
      <c r="D19" s="23">
        <f>D17*D18</f>
        <v>9033.4785143207919</v>
      </c>
      <c r="L19" s="20" t="s">
        <v>57</v>
      </c>
      <c r="M19" s="19">
        <f>M18+M17</f>
        <v>663043276.09140253</v>
      </c>
      <c r="N19" s="19">
        <f>(N18+N17)</f>
        <v>861831349.12734568</v>
      </c>
      <c r="O19" s="45"/>
    </row>
    <row r="20" spans="2:15" x14ac:dyDescent="0.3">
      <c r="B20" s="23" t="s">
        <v>14</v>
      </c>
      <c r="C20" s="23">
        <f>C11/C19</f>
        <v>1.98</v>
      </c>
      <c r="D20" s="23">
        <f>D11/D19</f>
        <v>2.2312500000000002</v>
      </c>
      <c r="L20" s="3" t="s">
        <v>55</v>
      </c>
      <c r="M20" s="3">
        <v>312456325</v>
      </c>
      <c r="N20" s="3"/>
    </row>
    <row r="21" spans="2:15" ht="31.2" x14ac:dyDescent="0.3">
      <c r="B21" s="23" t="s">
        <v>15</v>
      </c>
      <c r="C21" s="23">
        <f>C18*C17</f>
        <v>10001.867533430273</v>
      </c>
      <c r="D21" s="23">
        <f>D17*D18</f>
        <v>9033.4785143207919</v>
      </c>
      <c r="F21" s="7" t="s">
        <v>27</v>
      </c>
      <c r="L21" s="3" t="s">
        <v>54</v>
      </c>
      <c r="M21" s="3">
        <f>M19/M20</f>
        <v>2.1220350591123496</v>
      </c>
      <c r="N21" s="3">
        <f>N19/M20</f>
        <v>2.7582458096418616</v>
      </c>
    </row>
    <row r="22" spans="2:15" x14ac:dyDescent="0.3">
      <c r="B22" s="23" t="s">
        <v>17</v>
      </c>
      <c r="C22" s="23">
        <f>C21/1000</f>
        <v>10.001867533430273</v>
      </c>
      <c r="D22" s="23">
        <f>D21/1000</f>
        <v>9.0334785143207927</v>
      </c>
    </row>
    <row r="23" spans="2:15" ht="31.2" x14ac:dyDescent="0.3">
      <c r="B23" s="23" t="s">
        <v>18</v>
      </c>
      <c r="C23" s="30">
        <f>C22*1000000</f>
        <v>10001867.533430273</v>
      </c>
      <c r="D23" s="30">
        <f>D22*1000000</f>
        <v>9033478.5143207926</v>
      </c>
      <c r="F23" s="37" t="s">
        <v>8</v>
      </c>
      <c r="G23" s="37" t="s">
        <v>19</v>
      </c>
      <c r="H23" s="37" t="s">
        <v>24</v>
      </c>
      <c r="I23" s="37" t="s">
        <v>25</v>
      </c>
      <c r="K23" s="13"/>
      <c r="L23" s="4" t="s">
        <v>59</v>
      </c>
      <c r="M23" s="17">
        <v>25634918</v>
      </c>
      <c r="N23" s="17">
        <v>23687790</v>
      </c>
      <c r="O23" s="46"/>
    </row>
    <row r="24" spans="2:15" x14ac:dyDescent="0.3">
      <c r="B24" s="30"/>
      <c r="C24" s="30"/>
      <c r="D24" s="30"/>
      <c r="F24" s="37">
        <v>1</v>
      </c>
      <c r="G24" s="38">
        <v>41580</v>
      </c>
      <c r="H24" s="37" t="s">
        <v>28</v>
      </c>
      <c r="I24" s="37">
        <v>11192420</v>
      </c>
      <c r="L24" s="3" t="s">
        <v>58</v>
      </c>
      <c r="M24" s="3"/>
    </row>
    <row r="25" spans="2:15" x14ac:dyDescent="0.3">
      <c r="B25" s="30"/>
      <c r="C25" s="30"/>
      <c r="D25" s="30"/>
      <c r="F25" s="37">
        <v>2</v>
      </c>
      <c r="G25" s="38">
        <v>42120</v>
      </c>
      <c r="H25" s="37" t="s">
        <v>28</v>
      </c>
      <c r="I25" s="37">
        <v>11897667</v>
      </c>
      <c r="L25" s="3" t="s">
        <v>65</v>
      </c>
      <c r="M25" s="3">
        <f>M19/(M23*3.73)</f>
        <v>6.9342757969975262</v>
      </c>
    </row>
    <row r="26" spans="2:15" x14ac:dyDescent="0.3">
      <c r="F26" s="39"/>
      <c r="G26" s="39"/>
      <c r="H26" s="39"/>
      <c r="I26" s="39"/>
      <c r="L26" s="3" t="s">
        <v>67</v>
      </c>
      <c r="M26" s="3">
        <f>N19/(3.73*N23)</f>
        <v>9.7541383556375827</v>
      </c>
    </row>
    <row r="29" spans="2:15" x14ac:dyDescent="0.3">
      <c r="F29" s="2" t="s">
        <v>35</v>
      </c>
    </row>
    <row r="31" spans="2:15" ht="31.2" x14ac:dyDescent="0.3">
      <c r="F31" s="5" t="s">
        <v>8</v>
      </c>
      <c r="G31" s="6" t="s">
        <v>36</v>
      </c>
      <c r="H31" s="6" t="s">
        <v>37</v>
      </c>
      <c r="I31" s="6" t="s">
        <v>39</v>
      </c>
      <c r="J31" s="6" t="s">
        <v>41</v>
      </c>
      <c r="K31" s="6" t="s">
        <v>42</v>
      </c>
      <c r="L31" s="14" t="s">
        <v>43</v>
      </c>
      <c r="M31" s="6" t="s">
        <v>44</v>
      </c>
    </row>
    <row r="32" spans="2:15" x14ac:dyDescent="0.3">
      <c r="F32" s="5">
        <v>1</v>
      </c>
      <c r="G32" s="1">
        <v>9.75</v>
      </c>
      <c r="H32" s="6" t="s">
        <v>40</v>
      </c>
      <c r="I32" s="6">
        <v>1.956</v>
      </c>
      <c r="J32" s="6">
        <v>19</v>
      </c>
      <c r="K32" s="4">
        <v>2340</v>
      </c>
      <c r="L32" s="6">
        <f>J32*I32</f>
        <v>37.164000000000001</v>
      </c>
      <c r="M32" s="6">
        <f>L32*K32*2</f>
        <v>173927.52000000002</v>
      </c>
    </row>
    <row r="33" spans="6:13" x14ac:dyDescent="0.3">
      <c r="F33" s="5">
        <v>2</v>
      </c>
      <c r="G33" s="1">
        <v>9.75</v>
      </c>
      <c r="H33" s="6" t="s">
        <v>38</v>
      </c>
      <c r="I33" s="6">
        <v>1.956</v>
      </c>
      <c r="J33" s="6">
        <v>20</v>
      </c>
      <c r="K33" s="4">
        <v>1785</v>
      </c>
      <c r="L33" s="6">
        <f>J33*I33</f>
        <v>39.119999999999997</v>
      </c>
      <c r="M33" s="6">
        <f>L33*K33*2</f>
        <v>139658.4</v>
      </c>
    </row>
    <row r="34" spans="6:13" ht="16.8" x14ac:dyDescent="0.3">
      <c r="F34" s="5"/>
      <c r="G34" s="1"/>
      <c r="H34" s="15"/>
      <c r="I34" s="6"/>
      <c r="J34" s="6"/>
      <c r="K34" s="4"/>
      <c r="L34" s="6"/>
      <c r="M34" s="6"/>
    </row>
    <row r="35" spans="6:13" x14ac:dyDescent="0.3">
      <c r="F35" s="5" t="s">
        <v>8</v>
      </c>
      <c r="G35" s="21" t="s">
        <v>46</v>
      </c>
      <c r="H35" s="21"/>
      <c r="I35" s="21" t="s">
        <v>45</v>
      </c>
      <c r="J35" s="21"/>
      <c r="K35" s="21" t="s">
        <v>47</v>
      </c>
      <c r="L35" s="21"/>
      <c r="M35" s="21"/>
    </row>
    <row r="36" spans="6:13" x14ac:dyDescent="0.3">
      <c r="F36" s="5">
        <v>1</v>
      </c>
      <c r="G36" s="21">
        <v>15.44</v>
      </c>
      <c r="H36" s="21"/>
      <c r="I36" s="21">
        <f>1.12*M32</f>
        <v>194798.82240000003</v>
      </c>
      <c r="J36" s="21"/>
      <c r="K36" s="21">
        <f>I36*G36</f>
        <v>3007693.8178560003</v>
      </c>
      <c r="L36" s="21"/>
      <c r="M36" s="21"/>
    </row>
    <row r="37" spans="6:13" x14ac:dyDescent="0.3">
      <c r="F37" s="5">
        <v>2</v>
      </c>
      <c r="G37" s="21">
        <v>17.98</v>
      </c>
      <c r="H37" s="21"/>
      <c r="I37" s="21">
        <f>1.12*M33</f>
        <v>156417.408</v>
      </c>
      <c r="J37" s="21"/>
      <c r="K37" s="21">
        <f>I37*G37</f>
        <v>2812384.99584</v>
      </c>
      <c r="L37" s="21"/>
      <c r="M37" s="21"/>
    </row>
    <row r="38" spans="6:13" x14ac:dyDescent="0.3">
      <c r="F38" s="47"/>
      <c r="G38" s="48"/>
      <c r="H38" s="48"/>
      <c r="I38" s="48"/>
      <c r="J38" s="48"/>
      <c r="K38" s="48"/>
      <c r="L38" s="48"/>
      <c r="M38" s="48"/>
    </row>
  </sheetData>
  <mergeCells count="15">
    <mergeCell ref="B4:C4"/>
    <mergeCell ref="C7:D7"/>
    <mergeCell ref="C10:D10"/>
    <mergeCell ref="K35:M35"/>
    <mergeCell ref="K36:M36"/>
    <mergeCell ref="K37:M37"/>
    <mergeCell ref="K38:M38"/>
    <mergeCell ref="G35:H35"/>
    <mergeCell ref="G36:H36"/>
    <mergeCell ref="G37:H37"/>
    <mergeCell ref="G38:H38"/>
    <mergeCell ref="I35:J35"/>
    <mergeCell ref="I36:J36"/>
    <mergeCell ref="I37:J37"/>
    <mergeCell ref="I38:J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Jhevish</cp:lastModifiedBy>
  <dcterms:created xsi:type="dcterms:W3CDTF">2022-08-12T18:13:10Z</dcterms:created>
  <dcterms:modified xsi:type="dcterms:W3CDTF">2022-08-13T08:33:33Z</dcterms:modified>
</cp:coreProperties>
</file>