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4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Ex6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rd\OneDrive\Escritorio\Cuarto Semestre\PRES\"/>
    </mc:Choice>
  </mc:AlternateContent>
  <xr:revisionPtr revIDLastSave="0" documentId="13_ncr:1_{A4FA404E-C731-4D18-B3EF-81D3512D9B86}" xr6:coauthVersionLast="47" xr6:coauthVersionMax="47" xr10:uidLastSave="{00000000-0000-0000-0000-000000000000}"/>
  <bookViews>
    <workbookView xWindow="-108" yWindow="-108" windowWidth="23256" windowHeight="12456" activeTab="1" xr2:uid="{0FD5FC70-6409-4AC1-AA82-AE506B96721E}"/>
  </bookViews>
  <sheets>
    <sheet name="Datos" sheetId="7" r:id="rId1"/>
    <sheet name="Hoja4" sheetId="10" r:id="rId2"/>
    <sheet name="Hoja6" sheetId="12" r:id="rId3"/>
    <sheet name="Hoja3" sheetId="8" state="hidden" r:id="rId4"/>
    <sheet name="Datos (2)" sheetId="9" state="hidden" r:id="rId5"/>
    <sheet name="Hoja2" sheetId="4" state="hidden" r:id="rId6"/>
    <sheet name="Hoja1" sheetId="3" state="hidden" r:id="rId7"/>
    <sheet name="etiquetas" sheetId="2" state="hidden" r:id="rId8"/>
  </sheets>
  <definedNames>
    <definedName name="_xlnm._FilterDatabase" localSheetId="0" hidden="1">Datos!$B$1:$O$14</definedName>
    <definedName name="_xlnm._FilterDatabase" localSheetId="4" hidden="1">'Datos (2)'!$B$1:$O$37</definedName>
    <definedName name="_xlchart.v1.0" hidden="1">Datos!$E$3:$E$25</definedName>
    <definedName name="_xlchart.v1.1" hidden="1">Datos!$J$3:$J$25</definedName>
    <definedName name="_xlchart.v1.2" hidden="1">Hoja4!$B$130:$B$135</definedName>
    <definedName name="_xlchart.v1.3" hidden="1">Hoja4!$C$130:$C$135</definedName>
    <definedName name="_xlchart.v1.4" hidden="1">Hoja6!$B$73:$B$80</definedName>
    <definedName name="_xlchart.v1.5" hidden="1">Hoja6!$C$73:$C$80</definedName>
    <definedName name="_xlchart.v1.6" hidden="1">Hoja6!$B$91:$B$101</definedName>
    <definedName name="_xlchart.v1.7" hidden="1">Hoja6!$C$91:$C$101</definedName>
    <definedName name="_xlchart.v1.8" hidden="1">'Datos (2)'!$E$3:$E$37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6" i="10" l="1"/>
  <c r="C175" i="10"/>
  <c r="C174" i="10"/>
  <c r="C173" i="10"/>
  <c r="C172" i="10"/>
  <c r="C36" i="10"/>
  <c r="D159" i="10"/>
  <c r="D158" i="10"/>
  <c r="D157" i="10"/>
  <c r="D156" i="10"/>
  <c r="D109" i="10"/>
  <c r="D112" i="10"/>
  <c r="D111" i="10"/>
  <c r="D110" i="10"/>
  <c r="D108" i="10"/>
  <c r="D107" i="10"/>
  <c r="D106" i="10"/>
  <c r="D105" i="10"/>
  <c r="D104" i="10"/>
  <c r="D103" i="10"/>
  <c r="D102" i="10"/>
  <c r="D101" i="10"/>
  <c r="D100" i="10"/>
  <c r="C37" i="10"/>
  <c r="C129" i="12"/>
  <c r="C130" i="12" s="1"/>
  <c r="C113" i="12"/>
  <c r="C112" i="12"/>
  <c r="C111" i="12"/>
  <c r="C101" i="12"/>
  <c r="C100" i="12"/>
  <c r="C99" i="12"/>
  <c r="C98" i="12"/>
  <c r="C97" i="12"/>
  <c r="C96" i="12"/>
  <c r="C95" i="12"/>
  <c r="C94" i="12"/>
  <c r="C93" i="12"/>
  <c r="C92" i="12"/>
  <c r="C91" i="12"/>
  <c r="C80" i="12"/>
  <c r="C79" i="12"/>
  <c r="C78" i="12"/>
  <c r="C77" i="12"/>
  <c r="C76" i="12"/>
  <c r="C75" i="12"/>
  <c r="C74" i="12"/>
  <c r="C73" i="12"/>
  <c r="C57" i="12"/>
  <c r="C56" i="12"/>
  <c r="C55" i="12"/>
  <c r="C38" i="12"/>
  <c r="C22" i="12"/>
  <c r="C21" i="12"/>
  <c r="C20" i="12"/>
  <c r="C141" i="10"/>
  <c r="B68" i="10"/>
  <c r="C64" i="10"/>
  <c r="C63" i="10"/>
  <c r="C62" i="10"/>
  <c r="C61" i="10"/>
  <c r="C60" i="10"/>
  <c r="C22" i="10"/>
  <c r="C5" i="12"/>
  <c r="C4" i="12"/>
  <c r="F148" i="10"/>
  <c r="F146" i="10"/>
  <c r="F145" i="10"/>
  <c r="F143" i="10"/>
  <c r="F142" i="10"/>
  <c r="F140" i="10"/>
  <c r="F139" i="10"/>
  <c r="F144" i="10"/>
  <c r="F141" i="10"/>
  <c r="C148" i="10"/>
  <c r="C146" i="10"/>
  <c r="C145" i="10"/>
  <c r="C143" i="10"/>
  <c r="C142" i="10"/>
  <c r="C140" i="10"/>
  <c r="C139" i="10"/>
  <c r="C136" i="10"/>
  <c r="B136" i="10"/>
  <c r="B126" i="10"/>
  <c r="C126" i="10" s="1"/>
  <c r="C123" i="10"/>
  <c r="C121" i="10"/>
  <c r="C120" i="10"/>
  <c r="C118" i="10"/>
  <c r="C117" i="10"/>
  <c r="C116" i="10"/>
  <c r="C115" i="10"/>
  <c r="C114" i="10"/>
  <c r="B77" i="10"/>
  <c r="B75" i="10"/>
  <c r="B74" i="10"/>
  <c r="B72" i="10"/>
  <c r="B71" i="10"/>
  <c r="B70" i="10"/>
  <c r="B69" i="10"/>
  <c r="C59" i="10"/>
  <c r="C23" i="10"/>
  <c r="C6" i="10"/>
  <c r="D3" i="10" s="1"/>
  <c r="B20" i="7"/>
  <c r="D13" i="8"/>
  <c r="H52" i="8"/>
  <c r="H51" i="8"/>
  <c r="H49" i="8"/>
  <c r="H48" i="8"/>
  <c r="C46" i="8"/>
  <c r="D30" i="8"/>
  <c r="E46" i="9"/>
  <c r="E45" i="9"/>
  <c r="E44" i="9"/>
  <c r="E43" i="9"/>
  <c r="E42" i="9"/>
  <c r="E41" i="9"/>
  <c r="E40" i="9"/>
  <c r="E39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20" i="9"/>
  <c r="B21" i="9"/>
  <c r="B16" i="9"/>
  <c r="B17" i="9"/>
  <c r="B12" i="9"/>
  <c r="B13" i="9"/>
  <c r="B7" i="9"/>
  <c r="B8" i="9"/>
  <c r="B9" i="9"/>
  <c r="B4" i="9"/>
  <c r="D14" i="8"/>
  <c r="E47" i="9"/>
  <c r="G45" i="9"/>
  <c r="D15" i="8"/>
  <c r="B12" i="7"/>
  <c r="B13" i="7" s="1"/>
  <c r="B7" i="7"/>
  <c r="B8" i="7" s="1"/>
  <c r="B9" i="7" s="1"/>
  <c r="B4" i="7"/>
  <c r="C4" i="8"/>
  <c r="C3" i="8"/>
  <c r="D14" i="3"/>
  <c r="E14" i="3"/>
  <c r="D2" i="3"/>
  <c r="C14" i="3"/>
  <c r="C22" i="3"/>
  <c r="C21" i="3"/>
  <c r="C19" i="3"/>
  <c r="C18" i="3"/>
  <c r="C17" i="3"/>
  <c r="C16" i="3"/>
  <c r="C15" i="3"/>
  <c r="E2" i="3"/>
  <c r="C10" i="3"/>
  <c r="C9" i="3"/>
  <c r="C7" i="3"/>
  <c r="C6" i="3"/>
  <c r="C5" i="3"/>
  <c r="C4" i="3"/>
  <c r="C3" i="3"/>
  <c r="C2" i="3"/>
  <c r="C8" i="3"/>
  <c r="C11" i="3"/>
  <c r="D5" i="3"/>
  <c r="D19" i="8"/>
  <c r="D16" i="8"/>
  <c r="D18" i="8"/>
  <c r="D20" i="8"/>
  <c r="D21" i="8"/>
  <c r="D22" i="8"/>
  <c r="D17" i="8"/>
  <c r="D160" i="10" l="1"/>
  <c r="E156" i="10" s="1"/>
  <c r="C81" i="12"/>
  <c r="D80" i="12" s="1"/>
  <c r="C177" i="10"/>
  <c r="D172" i="10" s="1"/>
  <c r="D113" i="10"/>
  <c r="E106" i="10" s="1"/>
  <c r="D130" i="12"/>
  <c r="D129" i="12"/>
  <c r="C23" i="12"/>
  <c r="D22" i="12" s="1"/>
  <c r="C102" i="12"/>
  <c r="D91" i="12" s="1"/>
  <c r="C114" i="12"/>
  <c r="D111" i="12" s="1"/>
  <c r="C147" i="10"/>
  <c r="C58" i="12"/>
  <c r="D55" i="12" s="1"/>
  <c r="C39" i="12"/>
  <c r="D38" i="12" s="1"/>
  <c r="D39" i="12" s="1"/>
  <c r="C6" i="12"/>
  <c r="D5" i="12" s="1"/>
  <c r="F147" i="10"/>
  <c r="C144" i="10"/>
  <c r="B76" i="10"/>
  <c r="C119" i="10"/>
  <c r="C122" i="10"/>
  <c r="B73" i="10"/>
  <c r="D5" i="10"/>
  <c r="C65" i="10"/>
  <c r="D60" i="10" s="1"/>
  <c r="D4" i="10"/>
  <c r="D6" i="10" s="1"/>
  <c r="C38" i="10"/>
  <c r="D36" i="10" s="1"/>
  <c r="C24" i="10"/>
  <c r="D22" i="10" s="1"/>
  <c r="C5" i="8"/>
  <c r="D5" i="8" s="1"/>
  <c r="D23" i="8"/>
  <c r="E158" i="10" l="1"/>
  <c r="E157" i="10"/>
  <c r="E159" i="10"/>
  <c r="D176" i="10"/>
  <c r="E104" i="10"/>
  <c r="D77" i="12"/>
  <c r="D74" i="12"/>
  <c r="D76" i="12"/>
  <c r="E101" i="10"/>
  <c r="E109" i="10"/>
  <c r="E107" i="10"/>
  <c r="D75" i="12"/>
  <c r="D79" i="12"/>
  <c r="D175" i="10"/>
  <c r="E108" i="10"/>
  <c r="D73" i="12"/>
  <c r="D173" i="10"/>
  <c r="E100" i="10"/>
  <c r="D78" i="12"/>
  <c r="D174" i="10"/>
  <c r="E102" i="10"/>
  <c r="E110" i="10"/>
  <c r="E103" i="10"/>
  <c r="E112" i="10"/>
  <c r="E105" i="10"/>
  <c r="E111" i="10"/>
  <c r="D98" i="12"/>
  <c r="D100" i="12"/>
  <c r="D92" i="12"/>
  <c r="D99" i="12"/>
  <c r="D3" i="8"/>
  <c r="D21" i="12"/>
  <c r="D113" i="12"/>
  <c r="D97" i="12"/>
  <c r="D101" i="12"/>
  <c r="D93" i="12"/>
  <c r="D94" i="12"/>
  <c r="D112" i="12"/>
  <c r="D20" i="12"/>
  <c r="D96" i="12"/>
  <c r="D95" i="12"/>
  <c r="D57" i="12"/>
  <c r="D56" i="12"/>
  <c r="D4" i="12"/>
  <c r="D6" i="12" s="1"/>
  <c r="D59" i="10"/>
  <c r="D63" i="10"/>
  <c r="D64" i="10"/>
  <c r="D62" i="10"/>
  <c r="D61" i="10"/>
  <c r="D37" i="10"/>
  <c r="D38" i="10" s="1"/>
  <c r="D23" i="10"/>
  <c r="D24" i="10" s="1"/>
  <c r="D4" i="8"/>
  <c r="E160" i="10" l="1"/>
  <c r="D114" i="12"/>
  <c r="D81" i="12"/>
  <c r="D177" i="10"/>
  <c r="E113" i="10"/>
  <c r="D102" i="12"/>
  <c r="D23" i="12"/>
  <c r="D58" i="12"/>
  <c r="D65" i="10"/>
</calcChain>
</file>

<file path=xl/sharedStrings.xml><?xml version="1.0" encoding="utf-8"?>
<sst xmlns="http://schemas.openxmlformats.org/spreadsheetml/2006/main" count="379" uniqueCount="198">
  <si>
    <t>Escala</t>
  </si>
  <si>
    <t>Nominal</t>
  </si>
  <si>
    <t>Ordinal</t>
  </si>
  <si>
    <t>#</t>
  </si>
  <si>
    <t>altura (m)</t>
  </si>
  <si>
    <t>peso (kg)</t>
  </si>
  <si>
    <t>edad (años)</t>
  </si>
  <si>
    <t>carrera</t>
  </si>
  <si>
    <t>tipo_educación</t>
  </si>
  <si>
    <t>género</t>
  </si>
  <si>
    <t>estado civil</t>
  </si>
  <si>
    <t>ingreso_familiar</t>
  </si>
  <si>
    <t>¿usted trabaja?</t>
  </si>
  <si>
    <t>Nota_promedio</t>
  </si>
  <si>
    <t>velocidad_internet (Mbps)</t>
  </si>
  <si>
    <t>Prioridad_postulación</t>
  </si>
  <si>
    <t>Discapacidad</t>
  </si>
  <si>
    <t>CSOFT</t>
  </si>
  <si>
    <t>Fiscomisional</t>
  </si>
  <si>
    <t>Hombre</t>
  </si>
  <si>
    <t>Soltero</t>
  </si>
  <si>
    <t>No</t>
  </si>
  <si>
    <t>Carchi</t>
  </si>
  <si>
    <t>Montúfar</t>
  </si>
  <si>
    <t>Plus</t>
  </si>
  <si>
    <t>Público</t>
  </si>
  <si>
    <t>Imbabura</t>
  </si>
  <si>
    <t>Otavalo</t>
  </si>
  <si>
    <t>Privado</t>
  </si>
  <si>
    <t>Si</t>
  </si>
  <si>
    <t>Ibarra</t>
  </si>
  <si>
    <t>Celérity</t>
  </si>
  <si>
    <t>1.87</t>
  </si>
  <si>
    <t>Saitel</t>
  </si>
  <si>
    <t>1.83</t>
  </si>
  <si>
    <t>7.90</t>
  </si>
  <si>
    <t>INNO</t>
  </si>
  <si>
    <t>Netlife</t>
  </si>
  <si>
    <t>Atuntaqui</t>
  </si>
  <si>
    <t>Pimampiro</t>
  </si>
  <si>
    <t>TV Cable</t>
  </si>
  <si>
    <t>Urcuqui</t>
  </si>
  <si>
    <t>Mujer</t>
  </si>
  <si>
    <t>Cotacachi</t>
  </si>
  <si>
    <t>CIME</t>
  </si>
  <si>
    <t>Pichincha</t>
  </si>
  <si>
    <t>REDECOM</t>
  </si>
  <si>
    <t>1.55</t>
  </si>
  <si>
    <t>Claro</t>
  </si>
  <si>
    <t>Otro</t>
  </si>
  <si>
    <t>CNT</t>
  </si>
  <si>
    <t>Cayambe</t>
  </si>
  <si>
    <t>SIMANTEC</t>
  </si>
  <si>
    <t xml:space="preserve"> </t>
  </si>
  <si>
    <t>Carrera</t>
  </si>
  <si>
    <t>f</t>
  </si>
  <si>
    <t>%</t>
  </si>
  <si>
    <t>CINDU</t>
  </si>
  <si>
    <t>Edad</t>
  </si>
  <si>
    <t>r=</t>
  </si>
  <si>
    <t>r</t>
  </si>
  <si>
    <t>x media</t>
  </si>
  <si>
    <t>y media</t>
  </si>
  <si>
    <t>Sx</t>
  </si>
  <si>
    <t>Sy</t>
  </si>
  <si>
    <t>1.80</t>
  </si>
  <si>
    <t>1.73</t>
  </si>
  <si>
    <t>1.58</t>
  </si>
  <si>
    <t>1.69</t>
  </si>
  <si>
    <t>1.68</t>
  </si>
  <si>
    <t>8.2</t>
  </si>
  <si>
    <t>7.80</t>
  </si>
  <si>
    <t>8.00</t>
  </si>
  <si>
    <t>1.70</t>
  </si>
  <si>
    <t>7.87</t>
  </si>
  <si>
    <t>1.60</t>
  </si>
  <si>
    <t>8.36</t>
  </si>
  <si>
    <t>1.65</t>
  </si>
  <si>
    <t>8.05</t>
  </si>
  <si>
    <t>1.75</t>
  </si>
  <si>
    <t>7.52</t>
  </si>
  <si>
    <t>8.53</t>
  </si>
  <si>
    <t>8.11</t>
  </si>
  <si>
    <t>1.72</t>
  </si>
  <si>
    <t>9.05</t>
  </si>
  <si>
    <t>1.67</t>
  </si>
  <si>
    <t>8.7</t>
  </si>
  <si>
    <t>8.5</t>
  </si>
  <si>
    <t>8.0</t>
  </si>
  <si>
    <t>7.95</t>
  </si>
  <si>
    <t>8.01</t>
  </si>
  <si>
    <t>1.61</t>
  </si>
  <si>
    <t>min</t>
  </si>
  <si>
    <t>max</t>
  </si>
  <si>
    <t>media</t>
  </si>
  <si>
    <t>mediana</t>
  </si>
  <si>
    <t>moda</t>
  </si>
  <si>
    <t>desv</t>
  </si>
  <si>
    <t>var</t>
  </si>
  <si>
    <t>asimetría</t>
  </si>
  <si>
    <t>CV</t>
  </si>
  <si>
    <t xml:space="preserve">Hombre </t>
  </si>
  <si>
    <t>promedio</t>
  </si>
  <si>
    <t>desv. Std.</t>
  </si>
  <si>
    <t>asimetria</t>
  </si>
  <si>
    <t>rango</t>
  </si>
  <si>
    <t>homogeneos</t>
  </si>
  <si>
    <t>Peso(kg)</t>
  </si>
  <si>
    <t>Trabaja</t>
  </si>
  <si>
    <t>Tipo_educación</t>
  </si>
  <si>
    <t>Proveedor</t>
  </si>
  <si>
    <t xml:space="preserve">Dinamic Red </t>
  </si>
  <si>
    <t>Género</t>
  </si>
  <si>
    <t>Punto Net</t>
  </si>
  <si>
    <t>Estado_civil</t>
  </si>
  <si>
    <t>SPEEDNET</t>
  </si>
  <si>
    <t>Casado</t>
  </si>
  <si>
    <t>Redecom</t>
  </si>
  <si>
    <t>Divorciado</t>
  </si>
  <si>
    <t>NEXUS</t>
  </si>
  <si>
    <t>Viudo</t>
  </si>
  <si>
    <t>Cinecable</t>
  </si>
  <si>
    <t>Unión libre</t>
  </si>
  <si>
    <t>Medida</t>
  </si>
  <si>
    <t>PROMEDIO:</t>
  </si>
  <si>
    <t>MODA:</t>
  </si>
  <si>
    <t>MEDIANA:</t>
  </si>
  <si>
    <t>Min:</t>
  </si>
  <si>
    <t>Max:</t>
  </si>
  <si>
    <t>Rango:</t>
  </si>
  <si>
    <t>Desv-Std:</t>
  </si>
  <si>
    <t>Var:</t>
  </si>
  <si>
    <t>cv:</t>
  </si>
  <si>
    <t>Asimetria:</t>
  </si>
  <si>
    <t>Q1:</t>
  </si>
  <si>
    <t>Q2:</t>
  </si>
  <si>
    <t>Q3:</t>
  </si>
  <si>
    <t>Ingresos</t>
  </si>
  <si>
    <t>Canasta B.</t>
  </si>
  <si>
    <t>Cuantas personas pueden acceder a la canasta basica sin problema</t>
  </si>
  <si>
    <t>Empresa A</t>
  </si>
  <si>
    <t>Empresa B</t>
  </si>
  <si>
    <t>Total</t>
  </si>
  <si>
    <t>CARRERA</t>
  </si>
  <si>
    <t>TIPO ED..</t>
  </si>
  <si>
    <t>ESTADO CIVIL</t>
  </si>
  <si>
    <t>PROVINCIA</t>
  </si>
  <si>
    <t>CANTÓN</t>
  </si>
  <si>
    <t>PROVEEDOR</t>
  </si>
  <si>
    <t>POSTULACIÓN</t>
  </si>
  <si>
    <t>DISCAPACIDAD</t>
  </si>
  <si>
    <t xml:space="preserve">Podemos concluir que hay mas estudiantes de la carrera de Software </t>
  </si>
  <si>
    <t>Podemos concluir que existen más estudiantes que han estado en un coledio publico.</t>
  </si>
  <si>
    <t>Podemos concluir que todos los estudiantes son solteros.</t>
  </si>
  <si>
    <t>Podemos concluir que existen mas estudiantes de la provincia de Imbabura.</t>
  </si>
  <si>
    <t>Podemos concluir que existe más del 50 % de estudiantes que viven en Ibarra.</t>
  </si>
  <si>
    <t>Podemos concluir que hay una igualdad en el porcentaje de los proveedores de Internet entre Plus y Netlife.</t>
  </si>
  <si>
    <t>Podemos concluir que los estudiantes al realizar su postulación le pusieron a su carrera como primera prioridad.</t>
  </si>
  <si>
    <t>Podemos concluir que en el curso no hay estudiantes con discapacidad.</t>
  </si>
  <si>
    <t>&lt;7</t>
  </si>
  <si>
    <t>Excelente</t>
  </si>
  <si>
    <t>Muy Bueno</t>
  </si>
  <si>
    <t xml:space="preserve">Buena </t>
  </si>
  <si>
    <t>Regular</t>
  </si>
  <si>
    <t>Rangos</t>
  </si>
  <si>
    <t>(10-9)</t>
  </si>
  <si>
    <t>(9-8)</t>
  </si>
  <si>
    <t>(8-7)</t>
  </si>
  <si>
    <t>Interpretacion:La Mayoria de estudiantes tienen notas muy buenas con un 57% y un 43% con notas buenas,sin embargo vemos que nadie tiene notas excelentes ni tampoco notas menores que 7</t>
  </si>
  <si>
    <t>300-600</t>
  </si>
  <si>
    <t>600-900</t>
  </si>
  <si>
    <t>900-1200</t>
  </si>
  <si>
    <t>1200-1500</t>
  </si>
  <si>
    <t>1500-1800</t>
  </si>
  <si>
    <t>2minal</t>
  </si>
  <si>
    <t>2ta_promedio</t>
  </si>
  <si>
    <t>7.5</t>
  </si>
  <si>
    <t>1.7</t>
  </si>
  <si>
    <t>8.15</t>
  </si>
  <si>
    <t>1.6</t>
  </si>
  <si>
    <t>8.1</t>
  </si>
  <si>
    <t>8.31</t>
  </si>
  <si>
    <t>7.98</t>
  </si>
  <si>
    <t>7.9</t>
  </si>
  <si>
    <t>1.8</t>
  </si>
  <si>
    <t>1.63</t>
  </si>
  <si>
    <t>8.3</t>
  </si>
  <si>
    <t>7.86</t>
  </si>
  <si>
    <t>1.52</t>
  </si>
  <si>
    <t>8.38</t>
  </si>
  <si>
    <t>1.78</t>
  </si>
  <si>
    <t>1.74</t>
  </si>
  <si>
    <t>7.97</t>
  </si>
  <si>
    <t>8.25</t>
  </si>
  <si>
    <t>1.46</t>
  </si>
  <si>
    <t>7.82</t>
  </si>
  <si>
    <t>1.57</t>
  </si>
  <si>
    <t>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</si>
</sst>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Calibri"/>
    </font>
    <font>
      <sz val="11"/>
      <name val="Calibri"/>
      <charset val="1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3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2" fontId="0" fillId="0" borderId="1" xfId="0" applyNumberFormat="1" applyBorder="1"/>
    <xf numFmtId="0" fontId="0" fillId="0" borderId="1" xfId="0" applyBorder="1" applyAlignment="1">
      <alignment horizontal="right"/>
    </xf>
    <xf numFmtId="0" fontId="3" fillId="0" borderId="0" xfId="0" applyFont="1"/>
    <xf numFmtId="9" fontId="0" fillId="0" borderId="0" xfId="1" applyFont="1" applyBorder="1"/>
    <xf numFmtId="9" fontId="1" fillId="0" borderId="0" xfId="1" applyFont="1" applyBorder="1"/>
    <xf numFmtId="1" fontId="0" fillId="0" borderId="1" xfId="0" applyNumberFormat="1" applyBorder="1"/>
    <xf numFmtId="9" fontId="1" fillId="0" borderId="0" xfId="1" applyFont="1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1" fontId="0" fillId="0" borderId="2" xfId="0" applyNumberFormat="1" applyBorder="1"/>
    <xf numFmtId="49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" fontId="0" fillId="0" borderId="3" xfId="0" applyNumberFormat="1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1" applyFont="1"/>
    <xf numFmtId="2" fontId="3" fillId="0" borderId="0" xfId="0" applyNumberFormat="1" applyFont="1"/>
    <xf numFmtId="2" fontId="1" fillId="0" borderId="1" xfId="0" applyNumberFormat="1" applyFont="1" applyBorder="1"/>
    <xf numFmtId="2" fontId="0" fillId="0" borderId="2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0" fillId="3" borderId="1" xfId="0" applyFill="1" applyBorder="1"/>
    <xf numFmtId="3" fontId="0" fillId="0" borderId="1" xfId="0" applyNumberFormat="1" applyBorder="1"/>
    <xf numFmtId="1" fontId="0" fillId="0" borderId="1" xfId="0" applyNumberFormat="1" applyBorder="1" applyAlignment="1">
      <alignment horizontal="right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/>
    <xf numFmtId="9" fontId="0" fillId="0" borderId="5" xfId="1" applyFont="1" applyBorder="1"/>
    <xf numFmtId="9" fontId="1" fillId="0" borderId="5" xfId="1" applyFont="1" applyBorder="1"/>
    <xf numFmtId="9" fontId="0" fillId="0" borderId="1" xfId="1" applyFont="1" applyBorder="1"/>
    <xf numFmtId="0" fontId="0" fillId="0" borderId="2" xfId="1" applyNumberFormat="1" applyFont="1" applyBorder="1"/>
    <xf numFmtId="0" fontId="0" fillId="0" borderId="0" xfId="0" quotePrefix="1"/>
    <xf numFmtId="0" fontId="1" fillId="2" borderId="2" xfId="0" applyFont="1" applyFill="1" applyBorder="1" applyAlignment="1">
      <alignment horizontal="center"/>
    </xf>
    <xf numFmtId="2" fontId="1" fillId="0" borderId="2" xfId="0" applyNumberFormat="1" applyFont="1" applyBorder="1"/>
    <xf numFmtId="0" fontId="1" fillId="2" borderId="2" xfId="0" applyFont="1" applyFill="1" applyBorder="1"/>
    <xf numFmtId="2" fontId="0" fillId="0" borderId="2" xfId="0" applyNumberFormat="1" applyBorder="1"/>
    <xf numFmtId="3" fontId="0" fillId="0" borderId="2" xfId="0" applyNumberForma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1" fontId="0" fillId="0" borderId="6" xfId="0" applyNumberFormat="1" applyBorder="1"/>
    <xf numFmtId="2" fontId="0" fillId="0" borderId="6" xfId="0" applyNumberFormat="1" applyBorder="1"/>
    <xf numFmtId="166" fontId="0" fillId="0" borderId="2" xfId="0" applyNumberFormat="1" applyBorder="1"/>
    <xf numFmtId="0" fontId="0" fillId="4" borderId="1" xfId="0" applyFill="1" applyBorder="1"/>
    <xf numFmtId="9" fontId="0" fillId="0" borderId="1" xfId="0" applyNumberFormat="1" applyBorder="1"/>
    <xf numFmtId="9" fontId="0" fillId="0" borderId="3" xfId="1" applyFont="1" applyBorder="1"/>
    <xf numFmtId="1" fontId="0" fillId="0" borderId="7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0" borderId="9" xfId="0" applyBorder="1"/>
    <xf numFmtId="0" fontId="0" fillId="3" borderId="7" xfId="0" applyFill="1" applyBorder="1"/>
    <xf numFmtId="9" fontId="0" fillId="0" borderId="9" xfId="1" applyFont="1" applyBorder="1"/>
    <xf numFmtId="0" fontId="0" fillId="3" borderId="8" xfId="0" applyFill="1" applyBorder="1"/>
    <xf numFmtId="9" fontId="1" fillId="0" borderId="1" xfId="0" applyNumberFormat="1" applyFont="1" applyBorder="1"/>
    <xf numFmtId="0" fontId="1" fillId="3" borderId="0" xfId="0" applyFont="1" applyFill="1"/>
    <xf numFmtId="9" fontId="1" fillId="3" borderId="0" xfId="0" applyNumberFormat="1" applyFont="1" applyFill="1"/>
    <xf numFmtId="0" fontId="1" fillId="7" borderId="1" xfId="0" applyFont="1" applyFill="1" applyBorder="1"/>
    <xf numFmtId="0" fontId="0" fillId="7" borderId="1" xfId="0" applyFill="1" applyBorder="1"/>
    <xf numFmtId="16" fontId="1" fillId="7" borderId="1" xfId="0" applyNumberFormat="1" applyFont="1" applyFill="1" applyBorder="1"/>
    <xf numFmtId="2" fontId="1" fillId="2" borderId="2" xfId="0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E3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Tipos</a:t>
            </a:r>
            <a:r>
              <a:rPr lang="es-EC" baseline="0"/>
              <a:t> de Datos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15-4642-9076-DCB6F0B88B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15-4642-9076-DCB6F0B88B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15-4642-9076-DCB6F0B88B14}"/>
              </c:ext>
            </c:extLst>
          </c:dPt>
          <c:cat>
            <c:strRef>
              <c:f>Hoja4!$B$3:$B$5</c:f>
              <c:strCache>
                <c:ptCount val="3"/>
                <c:pt idx="0">
                  <c:v>Ordinal</c:v>
                </c:pt>
                <c:pt idx="1">
                  <c:v>Nominal</c:v>
                </c:pt>
                <c:pt idx="2">
                  <c:v>Escala</c:v>
                </c:pt>
              </c:strCache>
            </c:strRef>
          </c:cat>
          <c:val>
            <c:numRef>
              <c:f>Hoja4!$C$3:$C$5</c:f>
              <c:numCache>
                <c:formatCode>General</c:formatCode>
                <c:ptCount val="3"/>
                <c:pt idx="0">
                  <c:v>1</c:v>
                </c:pt>
                <c:pt idx="1">
                  <c:v>9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1-42C8-A444-49AA89DF075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15-4642-9076-DCB6F0B88B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15-4642-9076-DCB6F0B88B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15-4642-9076-DCB6F0B88B14}"/>
              </c:ext>
            </c:extLst>
          </c:dPt>
          <c:cat>
            <c:strRef>
              <c:f>Hoja4!$B$3:$B$5</c:f>
              <c:strCache>
                <c:ptCount val="3"/>
                <c:pt idx="0">
                  <c:v>Ordinal</c:v>
                </c:pt>
                <c:pt idx="1">
                  <c:v>Nominal</c:v>
                </c:pt>
                <c:pt idx="2">
                  <c:v>Escala</c:v>
                </c:pt>
              </c:strCache>
            </c:strRef>
          </c:cat>
          <c:val>
            <c:numRef>
              <c:f>Hoja4!$D$3:$D$5</c:f>
              <c:numCache>
                <c:formatCode>0%</c:formatCode>
                <c:ptCount val="3"/>
                <c:pt idx="0">
                  <c:v>6.25E-2</c:v>
                </c:pt>
                <c:pt idx="1">
                  <c:v>0.5625</c:v>
                </c:pt>
                <c:pt idx="2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1-42C8-A444-49AA89DF0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Género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tx>
            <c:strRef>
              <c:f>Hoja4!$B$23</c:f>
              <c:strCache>
                <c:ptCount val="1"/>
                <c:pt idx="0">
                  <c:v>Mujer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B-78D3-44AF-B1A5-4586BE290FDE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C-78D3-44AF-B1A5-4586BE290FDE}"/>
              </c:ext>
            </c:extLst>
          </c:dPt>
          <c:val>
            <c:numRef>
              <c:f>Hoja4!$C$23:$D$23</c:f>
              <c:numCache>
                <c:formatCode>0%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D3-44AF-B1A5-4586BE290FDE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8D3-44AF-B1A5-4586BE290F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8D3-44AF-B1A5-4586BE290FDE}"/>
              </c:ext>
            </c:extLst>
          </c:dPt>
          <c:cat>
            <c:strRef>
              <c:f>Hoja4!$B$36:$B$37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Hoja4!$C$36:$C$37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D3-44AF-B1A5-4586BE290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Trabaja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9C-47BA-BABB-6BD1994E65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9C-47BA-BABB-6BD1994E65D1}"/>
              </c:ext>
            </c:extLst>
          </c:dPt>
          <c:cat>
            <c:strRef>
              <c:f>Hoja4!$B$36:$B$37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Hoja4!$C$36:$C$37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E-43CD-8E15-86C85AFD6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025371828521436E-2"/>
          <c:y val="2.567797889218967E-2"/>
          <c:w val="0.86162970253718285"/>
          <c:h val="0.733177251861750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Hoja4!$B$59:$B$64</c:f>
              <c:numCache>
                <c:formatCode>0</c:formatCode>
                <c:ptCount val="6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38</c:v>
                </c:pt>
              </c:numCache>
            </c:numRef>
          </c:cat>
          <c:val>
            <c:numRef>
              <c:f>Hoja4!$C$59:$C$64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9-4487-A3EC-FF7B374D4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721599"/>
        <c:axId val="1965718239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Hoja4!$B$59:$B$64</c:f>
              <c:numCache>
                <c:formatCode>0</c:formatCode>
                <c:ptCount val="6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38</c:v>
                </c:pt>
              </c:numCache>
            </c:numRef>
          </c:cat>
          <c:val>
            <c:numRef>
              <c:f>Hoja4!$D$59:$D$64</c:f>
              <c:numCache>
                <c:formatCode>0%</c:formatCode>
                <c:ptCount val="6"/>
                <c:pt idx="0">
                  <c:v>0.13043478260869565</c:v>
                </c:pt>
                <c:pt idx="1">
                  <c:v>0.39130434782608697</c:v>
                </c:pt>
                <c:pt idx="2">
                  <c:v>0.2608695652173913</c:v>
                </c:pt>
                <c:pt idx="3">
                  <c:v>8.6956521739130432E-2</c:v>
                </c:pt>
                <c:pt idx="4">
                  <c:v>8.6956521739130432E-2</c:v>
                </c:pt>
                <c:pt idx="5">
                  <c:v>4.3478260869565216E-2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9-4487-A3EC-FF7B374D4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944559"/>
        <c:axId val="1965720639"/>
      </c:lineChart>
      <c:catAx>
        <c:axId val="196572159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65718239"/>
        <c:crosses val="autoZero"/>
        <c:auto val="1"/>
        <c:lblAlgn val="ctr"/>
        <c:lblOffset val="100"/>
        <c:noMultiLvlLbl val="0"/>
      </c:catAx>
      <c:valAx>
        <c:axId val="196571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65721599"/>
        <c:crosses val="autoZero"/>
        <c:crossBetween val="between"/>
      </c:valAx>
      <c:valAx>
        <c:axId val="1965720639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62944559"/>
        <c:crosses val="max"/>
        <c:crossBetween val="between"/>
      </c:valAx>
      <c:catAx>
        <c:axId val="1962944559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1965720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C"/>
              <a:t>Notas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Hoja4!$C$156:$C$159</c:f>
              <c:strCache>
                <c:ptCount val="4"/>
                <c:pt idx="0">
                  <c:v>Excelente</c:v>
                </c:pt>
                <c:pt idx="1">
                  <c:v>Muy Bueno</c:v>
                </c:pt>
                <c:pt idx="2">
                  <c:v>Buena </c:v>
                </c:pt>
                <c:pt idx="3">
                  <c:v>Regular</c:v>
                </c:pt>
              </c:strCache>
            </c:strRef>
          </c:cat>
          <c:val>
            <c:numRef>
              <c:f>Hoja4!$D$156:$D$159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F-4A57-A9F4-4BE062014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53385248"/>
        <c:axId val="653383808"/>
      </c:barChart>
      <c:catAx>
        <c:axId val="65338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53383808"/>
        <c:crosses val="autoZero"/>
        <c:auto val="1"/>
        <c:lblAlgn val="ctr"/>
        <c:lblOffset val="100"/>
        <c:noMultiLvlLbl val="0"/>
      </c:catAx>
      <c:valAx>
        <c:axId val="65338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533852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C"/>
              <a:t>INGRESOS-MENSUALES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Hoja4!$B$172:$B$176</c:f>
              <c:strCache>
                <c:ptCount val="5"/>
                <c:pt idx="0">
                  <c:v>300-600</c:v>
                </c:pt>
                <c:pt idx="1">
                  <c:v>600-900</c:v>
                </c:pt>
                <c:pt idx="2">
                  <c:v>900-1200</c:v>
                </c:pt>
                <c:pt idx="3">
                  <c:v>1200-1500</c:v>
                </c:pt>
                <c:pt idx="4">
                  <c:v>1500-1800</c:v>
                </c:pt>
              </c:strCache>
            </c:strRef>
          </c:cat>
          <c:val>
            <c:numRef>
              <c:f>Hoja4!$C$172:$C$176</c:f>
              <c:numCache>
                <c:formatCode>General</c:formatCode>
                <c:ptCount val="5"/>
                <c:pt idx="0">
                  <c:v>14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D-4627-BF19-0672BC601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53356928"/>
        <c:axId val="653365568"/>
      </c:barChart>
      <c:catAx>
        <c:axId val="65335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53365568"/>
        <c:crosses val="autoZero"/>
        <c:auto val="1"/>
        <c:lblAlgn val="ctr"/>
        <c:lblOffset val="100"/>
        <c:noMultiLvlLbl val="0"/>
      </c:catAx>
      <c:valAx>
        <c:axId val="6533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533569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CARRERA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4-4313-97F8-C255EE6EDC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04-4313-97F8-C255EE6EDCE3}"/>
              </c:ext>
            </c:extLst>
          </c:dPt>
          <c:cat>
            <c:strRef>
              <c:f>Hoja6!$B$4:$B$5</c:f>
              <c:strCache>
                <c:ptCount val="2"/>
                <c:pt idx="0">
                  <c:v>CIME</c:v>
                </c:pt>
                <c:pt idx="1">
                  <c:v>CSOFT</c:v>
                </c:pt>
              </c:strCache>
            </c:strRef>
          </c:cat>
          <c:val>
            <c:numRef>
              <c:f>Hoja6!$C$4:$C$5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3-4EF7-AB07-0FD2047EE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TIPO</a:t>
            </a:r>
            <a:r>
              <a:rPr lang="es-EC" baseline="0"/>
              <a:t> DE EDUCACIÓN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14-4741-81DA-A048C836D0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C14-4741-81DA-A048C836D0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C14-4741-81DA-A048C836D0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Hoja6!$B$20:$B$22</c:f>
              <c:strCache>
                <c:ptCount val="3"/>
                <c:pt idx="0">
                  <c:v>Fiscomisional</c:v>
                </c:pt>
                <c:pt idx="1">
                  <c:v>Privado</c:v>
                </c:pt>
                <c:pt idx="2">
                  <c:v>Público</c:v>
                </c:pt>
              </c:strCache>
            </c:strRef>
          </c:cat>
          <c:val>
            <c:numRef>
              <c:f>Hoja6!$C$20:$C$22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1-4AD3-989A-C85C997964D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ESTADO</a:t>
            </a:r>
            <a:r>
              <a:rPr lang="en-US" baseline="0"/>
              <a:t> CIVIL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Hoja6!$B$38</c:f>
              <c:strCache>
                <c:ptCount val="1"/>
                <c:pt idx="0">
                  <c:v>Soltero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6E6-4060-A895-2A82C9E884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Hoja6!$C$38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7-4D88-B807-7F095F29F5B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592235345581801"/>
          <c:y val="0.89409667541557303"/>
          <c:w val="0.10648840769903763"/>
          <c:h val="7.8125546806649168E-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C"/>
              <a:t>PROVINCIA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18226881014873142"/>
          <c:y val="0.18300925925925926"/>
          <c:w val="0.45963888888888887"/>
          <c:h val="0.7660648148148148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C9-4F79-9D94-A2878574D63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C9-4F79-9D94-A2878574D63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EC9-4F79-9D94-A2878574D6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Hoja6!$B$55:$B$57</c:f>
              <c:strCache>
                <c:ptCount val="3"/>
                <c:pt idx="0">
                  <c:v>Carchi</c:v>
                </c:pt>
                <c:pt idx="1">
                  <c:v>Imbabura</c:v>
                </c:pt>
                <c:pt idx="2">
                  <c:v>Pichincha</c:v>
                </c:pt>
              </c:strCache>
            </c:strRef>
          </c:cat>
          <c:val>
            <c:numRef>
              <c:f>Hoja6!$C$55:$C$57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6-4AF4-8606-DE4E84767D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POSTULACIÓN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4D-46EE-A2FE-2FA8CA5599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E4D-46EE-A2FE-2FA8CA5599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E4D-46EE-A2FE-2FA8CA55991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Hoja6!$B$111:$B$113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A-4036-857E-FADE5BCDAD1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E4D-46EE-A2FE-2FA8CA5599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E4D-46EE-A2FE-2FA8CA5599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E4D-46EE-A2FE-2FA8CA55991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Hoja6!$C$111:$C$113</c:f>
              <c:numCache>
                <c:formatCode>General</c:formatCode>
                <c:ptCount val="3"/>
                <c:pt idx="0">
                  <c:v>16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DA-4036-857E-FADE5BCDAD1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DISCAPACIDAD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Hoja6!$B$129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0FA-4881-AB2E-2EF2D754C15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Hoja6!$C$129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4-4279-AD64-69C105B8BA9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98184601924753"/>
          <c:y val="0.5326385243511228"/>
          <c:w val="0.13735148731408575"/>
          <c:h val="7.8125546806649168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Carreras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Hoja3!$C$2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Hoja3!$B$3:$B$4</c:f>
              <c:strCache>
                <c:ptCount val="2"/>
                <c:pt idx="0">
                  <c:v>CSOFT</c:v>
                </c:pt>
                <c:pt idx="1">
                  <c:v>CINDU</c:v>
                </c:pt>
              </c:strCache>
            </c:strRef>
          </c:cat>
          <c:val>
            <c:numRef>
              <c:f>Hoja3!$C$3:$C$4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A-4718-9CE3-BC827FA4D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422479"/>
        <c:axId val="1203426223"/>
      </c:barChart>
      <c:catAx>
        <c:axId val="120342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03426223"/>
        <c:crosses val="autoZero"/>
        <c:auto val="1"/>
        <c:lblAlgn val="ctr"/>
        <c:lblOffset val="100"/>
        <c:noMultiLvlLbl val="0"/>
      </c:catAx>
      <c:valAx>
        <c:axId val="120342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0342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Carreras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Hoja3!$D$2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Hoja3!$B$3:$B$4</c:f>
              <c:strCache>
                <c:ptCount val="2"/>
                <c:pt idx="0">
                  <c:v>CSOFT</c:v>
                </c:pt>
                <c:pt idx="1">
                  <c:v>CINDU</c:v>
                </c:pt>
              </c:strCache>
            </c:strRef>
          </c:cat>
          <c:val>
            <c:numRef>
              <c:f>Hoja3!$D$3:$D$4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9-4FD6-A6A4-E552E01F8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442031"/>
        <c:axId val="1203446607"/>
      </c:barChart>
      <c:catAx>
        <c:axId val="120344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03446607"/>
        <c:crosses val="autoZero"/>
        <c:auto val="1"/>
        <c:lblAlgn val="ctr"/>
        <c:lblOffset val="100"/>
        <c:noMultiLvlLbl val="0"/>
      </c:catAx>
      <c:valAx>
        <c:axId val="120344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0344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Hoja3!$D$12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Hoja3!$C$13:$C$22</c:f>
              <c:numCache>
                <c:formatCode>General</c:formatCode>
                <c:ptCount val="1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</c:numCache>
            </c:numRef>
          </c:cat>
          <c:val>
            <c:numRef>
              <c:f>Hoja3!$D$13:$D$22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E-4985-BC05-DCA45800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8137408"/>
        <c:axId val="2113734848"/>
      </c:barChart>
      <c:catAx>
        <c:axId val="21081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13734848"/>
        <c:crosses val="autoZero"/>
        <c:auto val="1"/>
        <c:lblAlgn val="ctr"/>
        <c:lblOffset val="100"/>
        <c:noMultiLvlLbl val="0"/>
      </c:catAx>
      <c:valAx>
        <c:axId val="21137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0813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Altura vs Peso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733705161854771"/>
                  <c:y val="-0.140953630796150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xVal>
            <c:strRef>
              <c:f>Datos!$C$3:$C$14</c:f>
              <c:strCache>
                <c:ptCount val="12"/>
                <c:pt idx="0">
                  <c:v>1.7</c:v>
                </c:pt>
                <c:pt idx="1">
                  <c:v>1.6</c:v>
                </c:pt>
                <c:pt idx="2">
                  <c:v>1.75</c:v>
                </c:pt>
                <c:pt idx="3">
                  <c:v>1.87</c:v>
                </c:pt>
                <c:pt idx="4">
                  <c:v>1.83</c:v>
                </c:pt>
                <c:pt idx="5">
                  <c:v>1.8</c:v>
                </c:pt>
                <c:pt idx="6">
                  <c:v>1.69</c:v>
                </c:pt>
                <c:pt idx="7">
                  <c:v>1.63</c:v>
                </c:pt>
                <c:pt idx="8">
                  <c:v>1.7</c:v>
                </c:pt>
                <c:pt idx="9">
                  <c:v>1.72</c:v>
                </c:pt>
                <c:pt idx="10">
                  <c:v>1.52</c:v>
                </c:pt>
                <c:pt idx="11">
                  <c:v>1.7</c:v>
                </c:pt>
              </c:strCache>
            </c:strRef>
          </c:xVal>
          <c:yVal>
            <c:numRef>
              <c:f>Datos!$D$3:$D$14</c:f>
              <c:numCache>
                <c:formatCode>General</c:formatCode>
                <c:ptCount val="12"/>
                <c:pt idx="0">
                  <c:v>55</c:v>
                </c:pt>
                <c:pt idx="1">
                  <c:v>60</c:v>
                </c:pt>
                <c:pt idx="2">
                  <c:v>64</c:v>
                </c:pt>
                <c:pt idx="3">
                  <c:v>70</c:v>
                </c:pt>
                <c:pt idx="4">
                  <c:v>75</c:v>
                </c:pt>
                <c:pt idx="5">
                  <c:v>63</c:v>
                </c:pt>
                <c:pt idx="6">
                  <c:v>65</c:v>
                </c:pt>
                <c:pt idx="7">
                  <c:v>54</c:v>
                </c:pt>
                <c:pt idx="8">
                  <c:v>65</c:v>
                </c:pt>
                <c:pt idx="9">
                  <c:v>57</c:v>
                </c:pt>
                <c:pt idx="10">
                  <c:v>80</c:v>
                </c:pt>
                <c:pt idx="11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B1-44F6-BC2C-2F383FAB1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406352"/>
        <c:axId val="790403440"/>
      </c:scatterChart>
      <c:valAx>
        <c:axId val="79040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90403440"/>
        <c:crosses val="autoZero"/>
        <c:crossBetween val="midCat"/>
      </c:valAx>
      <c:valAx>
        <c:axId val="790403440"/>
        <c:scaling>
          <c:orientation val="minMax"/>
          <c:max val="9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9040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QUARTILES</a:t>
            </a:r>
          </a:p>
          <a:p>
            <a:pPr algn="ctr" rtl="0">
              <a:defRPr/>
            </a:pP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7A94E6BC-464F-46A5-BC74-A9826912471E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Ingresos familiares</a:t>
            </a:r>
          </a:p>
          <a:p>
            <a:pPr algn="ctr" rtl="0">
              <a:defRPr/>
            </a:pP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DB30A12-1BCE-4776-9BDE-4A025A2329C6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Empresa A y Empresa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Empresa A y Empresa B</a:t>
          </a:r>
        </a:p>
      </cx:txPr>
    </cx:title>
    <cx:plotArea>
      <cx:plotAreaRegion>
        <cx:series layoutId="boxWhisker" uniqueId="{34BB4C6F-16F4-4C8A-83DA-0E407709632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832235-BD9E-4522-B171-CAA874B427AA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CANTÓN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CANTÓN</a:t>
          </a:r>
        </a:p>
      </cx:txPr>
    </cx:title>
    <cx:plotArea>
      <cx:plotAreaRegion>
        <cx:series layoutId="clusteredColumn" uniqueId="{B7358920-1362-46BC-B1D3-8E07D0A3E47F}"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15C5ED34-9657-49B5-B5D2-9E3A607A0CAF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PROVEEDOR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PROVEEDOR</a:t>
          </a:r>
        </a:p>
      </cx:txPr>
    </cx:title>
    <cx:plotArea>
      <cx:plotAreaRegion>
        <cx:series layoutId="clusteredColumn" uniqueId="{810E20A8-1E95-4631-A397-18612604BD61}"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BF1FEE0B-A212-4BAA-84CE-A592081027BA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Edad</a:t>
          </a:r>
        </a:p>
      </cx:txPr>
    </cx:title>
    <cx:plotArea>
      <cx:plotAreaRegion>
        <cx:series layoutId="boxWhisker" uniqueId="{DD041038-612B-45B6-BA45-4A746E87283D}"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16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3.xml"/><Relationship Id="rId7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microsoft.com/office/2014/relationships/chartEx" Target="../charts/chartEx1.xml"/><Relationship Id="rId4" Type="http://schemas.openxmlformats.org/officeDocument/2006/relationships/chart" Target="../charts/chart4.xml"/><Relationship Id="rId9" Type="http://schemas.openxmlformats.org/officeDocument/2006/relationships/chart" Target="../charts/chart6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9.xml"/><Relationship Id="rId7" Type="http://schemas.openxmlformats.org/officeDocument/2006/relationships/chart" Target="../charts/chart11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microsoft.com/office/2014/relationships/chartEx" Target="../charts/chartEx5.xml"/><Relationship Id="rId5" Type="http://schemas.microsoft.com/office/2014/relationships/chartEx" Target="../charts/chartEx4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image" Target="../media/image1.png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</xdr:row>
      <xdr:rowOff>80010</xdr:rowOff>
    </xdr:from>
    <xdr:to>
      <xdr:col>11</xdr:col>
      <xdr:colOff>388620</xdr:colOff>
      <xdr:row>14</xdr:row>
      <xdr:rowOff>68580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87752A-DDA6-AB0C-E517-BDCA62FF1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83820</xdr:colOff>
      <xdr:row>19</xdr:row>
      <xdr:rowOff>3810</xdr:rowOff>
    </xdr:from>
    <xdr:to>
      <xdr:col>11</xdr:col>
      <xdr:colOff>91440</xdr:colOff>
      <xdr:row>31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238181-3526-8E5B-E618-356A4EABA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68580</xdr:colOff>
      <xdr:row>34</xdr:row>
      <xdr:rowOff>38100</xdr:rowOff>
    </xdr:from>
    <xdr:to>
      <xdr:col>11</xdr:col>
      <xdr:colOff>198120</xdr:colOff>
      <xdr:row>47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0A11E2-DC83-51E0-3169-0D67F3A89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91440</xdr:colOff>
      <xdr:row>49</xdr:row>
      <xdr:rowOff>160020</xdr:rowOff>
    </xdr:from>
    <xdr:to>
      <xdr:col>11</xdr:col>
      <xdr:colOff>190500</xdr:colOff>
      <xdr:row>66</xdr:row>
      <xdr:rowOff>121920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88E8115-ACDF-9D21-ED3E-E85C5F165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746760</xdr:colOff>
      <xdr:row>67</xdr:row>
      <xdr:rowOff>76200</xdr:rowOff>
    </xdr:from>
    <xdr:to>
      <xdr:col>10</xdr:col>
      <xdr:colOff>563880</xdr:colOff>
      <xdr:row>82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59C19637-5B3F-40C2-AC70-85DA07F5E6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6680" y="12329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701040</xdr:colOff>
      <xdr:row>105</xdr:row>
      <xdr:rowOff>0</xdr:rowOff>
    </xdr:from>
    <xdr:to>
      <xdr:col>11</xdr:col>
      <xdr:colOff>518160</xdr:colOff>
      <xdr:row>120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5254DDCC-A9F7-40AF-A4B3-404592F34E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19202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678180</xdr:colOff>
      <xdr:row>129</xdr:row>
      <xdr:rowOff>7620</xdr:rowOff>
    </xdr:from>
    <xdr:to>
      <xdr:col>12</xdr:col>
      <xdr:colOff>495300</xdr:colOff>
      <xdr:row>144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C4FE213A-553B-D762-451D-5858981B11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3060" y="235991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7</xdr:col>
      <xdr:colOff>68580</xdr:colOff>
      <xdr:row>149</xdr:row>
      <xdr:rowOff>156210</xdr:rowOff>
    </xdr:from>
    <xdr:to>
      <xdr:col>12</xdr:col>
      <xdr:colOff>678180</xdr:colOff>
      <xdr:row>164</xdr:row>
      <xdr:rowOff>156210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396A5CB-E889-0A1E-E6F6-8A733B7FE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487680</xdr:colOff>
      <xdr:row>166</xdr:row>
      <xdr:rowOff>80010</xdr:rowOff>
    </xdr:from>
    <xdr:to>
      <xdr:col>11</xdr:col>
      <xdr:colOff>304800</xdr:colOff>
      <xdr:row>181</xdr:row>
      <xdr:rowOff>80010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3285CBC-72E5-439C-6624-6250DC4F7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0</xdr:row>
      <xdr:rowOff>49530</xdr:rowOff>
    </xdr:from>
    <xdr:to>
      <xdr:col>10</xdr:col>
      <xdr:colOff>38100</xdr:colOff>
      <xdr:row>13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B1780F1-06C6-791B-7D49-4EE763E3F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480060</xdr:colOff>
      <xdr:row>16</xdr:row>
      <xdr:rowOff>34290</xdr:rowOff>
    </xdr:from>
    <xdr:to>
      <xdr:col>9</xdr:col>
      <xdr:colOff>731520</xdr:colOff>
      <xdr:row>31</xdr:row>
      <xdr:rowOff>34290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A3F3AFA-9386-3152-D04C-0FFFB1E70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457200</xdr:colOff>
      <xdr:row>33</xdr:row>
      <xdr:rowOff>19050</xdr:rowOff>
    </xdr:from>
    <xdr:to>
      <xdr:col>10</xdr:col>
      <xdr:colOff>274320</xdr:colOff>
      <xdr:row>48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B81C56-7081-B05C-82EC-C205BAD47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480060</xdr:colOff>
      <xdr:row>52</xdr:row>
      <xdr:rowOff>72390</xdr:rowOff>
    </xdr:from>
    <xdr:to>
      <xdr:col>10</xdr:col>
      <xdr:colOff>297180</xdr:colOff>
      <xdr:row>67</xdr:row>
      <xdr:rowOff>72390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FF9E9FC-5FC4-DA21-7B65-56D2A8C4E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548640</xdr:colOff>
      <xdr:row>69</xdr:row>
      <xdr:rowOff>41910</xdr:rowOff>
    </xdr:from>
    <xdr:to>
      <xdr:col>10</xdr:col>
      <xdr:colOff>365760</xdr:colOff>
      <xdr:row>84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CCE9E00F-DC1D-66B6-BFC9-1A67AB6A43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9520" y="12660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464820</xdr:colOff>
      <xdr:row>87</xdr:row>
      <xdr:rowOff>72390</xdr:rowOff>
    </xdr:from>
    <xdr:to>
      <xdr:col>10</xdr:col>
      <xdr:colOff>563880</xdr:colOff>
      <xdr:row>102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48CF0E04-DE2C-115F-465C-F993D9C302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95700" y="15982950"/>
              <a:ext cx="48539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518160</xdr:colOff>
      <xdr:row>105</xdr:row>
      <xdr:rowOff>41910</xdr:rowOff>
    </xdr:from>
    <xdr:to>
      <xdr:col>10</xdr:col>
      <xdr:colOff>335280</xdr:colOff>
      <xdr:row>120</xdr:row>
      <xdr:rowOff>41910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215893F-72B8-134F-5EE7-23484F4C7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655320</xdr:colOff>
      <xdr:row>122</xdr:row>
      <xdr:rowOff>179070</xdr:rowOff>
    </xdr:from>
    <xdr:to>
      <xdr:col>10</xdr:col>
      <xdr:colOff>472440</xdr:colOff>
      <xdr:row>137</xdr:row>
      <xdr:rowOff>179070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2D8D02D-B766-3780-5502-7BDFE3FDB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243620</xdr:colOff>
      <xdr:row>0</xdr:row>
      <xdr:rowOff>130419</xdr:rowOff>
    </xdr:from>
    <xdr:to>
      <xdr:col>8</xdr:col>
      <xdr:colOff>201490</xdr:colOff>
      <xdr:row>10</xdr:row>
      <xdr:rowOff>139212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75C59F-8343-46E4-B532-62517B79D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287582</xdr:colOff>
      <xdr:row>0</xdr:row>
      <xdr:rowOff>148736</xdr:rowOff>
    </xdr:from>
    <xdr:to>
      <xdr:col>12</xdr:col>
      <xdr:colOff>223471</xdr:colOff>
      <xdr:row>10</xdr:row>
      <xdr:rowOff>175846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3A5E77-0A3A-4BC9-862A-605192E28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544581</xdr:colOff>
      <xdr:row>12</xdr:row>
      <xdr:rowOff>13665</xdr:rowOff>
    </xdr:from>
    <xdr:to>
      <xdr:col>11</xdr:col>
      <xdr:colOff>544581</xdr:colOff>
      <xdr:row>27</xdr:row>
      <xdr:rowOff>23604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5C4CC56-7268-43CC-8F07-59F623F61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664679</xdr:colOff>
      <xdr:row>28</xdr:row>
      <xdr:rowOff>21949</xdr:rowOff>
    </xdr:from>
    <xdr:to>
      <xdr:col>7</xdr:col>
      <xdr:colOff>664679</xdr:colOff>
      <xdr:row>43</xdr:row>
      <xdr:rowOff>31888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459D2D-BC63-11CA-71CF-B8790FA40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0</xdr:colOff>
      <xdr:row>47</xdr:row>
      <xdr:rowOff>0</xdr:rowOff>
    </xdr:from>
    <xdr:to>
      <xdr:col>4</xdr:col>
      <xdr:colOff>709986</xdr:colOff>
      <xdr:row>50</xdr:row>
      <xdr:rowOff>171294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9552A81-3F2F-82B1-4E2D-B8A5D868E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0" y="8564217"/>
          <a:ext cx="2281611" cy="7179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279537</xdr:colOff>
      <xdr:row>37</xdr:row>
      <xdr:rowOff>137905</xdr:rowOff>
    </xdr:from>
    <xdr:to>
      <xdr:col>10</xdr:col>
      <xdr:colOff>258830</xdr:colOff>
      <xdr:row>52</xdr:row>
      <xdr:rowOff>147844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CAC6282-778B-42C9-9F34-BA05705C06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017" y="6904465"/>
              <a:ext cx="4391273" cy="27531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8129-8AA8-4830-8505-4391757B6A39}">
  <dimension ref="A1:T31"/>
  <sheetViews>
    <sheetView zoomScale="115" zoomScaleNormal="115" workbookViewId="0">
      <pane ySplit="2" topLeftCell="A3" activePane="bottomLeft" state="frozen"/>
      <selection pane="bottomLeft" activeCell="L3" sqref="L3:L25"/>
    </sheetView>
  </sheetViews>
  <sheetFormatPr baseColWidth="10" defaultColWidth="11.44140625" defaultRowHeight="14.4" x14ac:dyDescent="0.3"/>
  <cols>
    <col min="1" max="1" width="6.109375" customWidth="1"/>
    <col min="2" max="2" width="7.109375" customWidth="1"/>
    <col min="3" max="3" width="13.88671875" style="22" bestFit="1" customWidth="1"/>
    <col min="5" max="5" width="11.88671875" customWidth="1"/>
    <col min="7" max="7" width="14.6640625" bestFit="1" customWidth="1"/>
    <col min="10" max="10" width="15.33203125" bestFit="1" customWidth="1"/>
    <col min="11" max="11" width="14.6640625" bestFit="1" customWidth="1"/>
    <col min="12" max="12" width="16.5546875" customWidth="1"/>
    <col min="13" max="13" width="24.88671875" bestFit="1" customWidth="1"/>
    <col min="14" max="14" width="19" customWidth="1"/>
    <col min="15" max="15" width="12.88671875" customWidth="1"/>
    <col min="16" max="16" width="13.109375" bestFit="1" customWidth="1"/>
  </cols>
  <sheetData>
    <row r="1" spans="1:20" x14ac:dyDescent="0.3">
      <c r="C1" s="24" t="s">
        <v>0</v>
      </c>
      <c r="D1" s="7" t="s">
        <v>0</v>
      </c>
      <c r="E1" s="7" t="s">
        <v>0</v>
      </c>
      <c r="F1" s="7" t="s">
        <v>174</v>
      </c>
      <c r="G1" s="7" t="s">
        <v>174</v>
      </c>
      <c r="H1" s="7" t="s">
        <v>174</v>
      </c>
      <c r="I1" s="7" t="s">
        <v>174</v>
      </c>
      <c r="J1" s="7" t="s">
        <v>0</v>
      </c>
      <c r="K1" s="7" t="s">
        <v>174</v>
      </c>
      <c r="L1" s="7" t="s">
        <v>0</v>
      </c>
      <c r="M1" s="7" t="s">
        <v>0</v>
      </c>
      <c r="N1" s="7" t="s">
        <v>2</v>
      </c>
      <c r="O1" s="7" t="s">
        <v>174</v>
      </c>
    </row>
    <row r="2" spans="1:20" x14ac:dyDescent="0.3">
      <c r="B2" s="40" t="s">
        <v>3</v>
      </c>
      <c r="C2" s="41" t="s">
        <v>4</v>
      </c>
      <c r="D2" s="42" t="s">
        <v>5</v>
      </c>
      <c r="E2" s="42" t="s">
        <v>6</v>
      </c>
      <c r="F2" s="67" t="s">
        <v>7</v>
      </c>
      <c r="G2" s="42" t="s">
        <v>8</v>
      </c>
      <c r="H2" s="42" t="s">
        <v>9</v>
      </c>
      <c r="I2" s="42" t="s">
        <v>10</v>
      </c>
      <c r="J2" s="42" t="s">
        <v>11</v>
      </c>
      <c r="K2" s="42" t="s">
        <v>12</v>
      </c>
      <c r="L2" s="42" t="s">
        <v>175</v>
      </c>
      <c r="M2" s="42" t="s">
        <v>14</v>
      </c>
      <c r="N2" s="42" t="s">
        <v>15</v>
      </c>
      <c r="O2" s="42" t="s">
        <v>16</v>
      </c>
    </row>
    <row r="3" spans="1:20" x14ac:dyDescent="0.3">
      <c r="B3" s="12">
        <v>1</v>
      </c>
      <c r="C3" s="13" t="s">
        <v>177</v>
      </c>
      <c r="D3" s="13">
        <v>55</v>
      </c>
      <c r="E3" s="14">
        <v>20</v>
      </c>
      <c r="F3" s="12">
        <v>1</v>
      </c>
      <c r="G3" s="12">
        <v>2</v>
      </c>
      <c r="H3" s="12">
        <v>1</v>
      </c>
      <c r="I3" s="12">
        <v>1</v>
      </c>
      <c r="J3" s="12">
        <v>1000</v>
      </c>
      <c r="K3" s="12">
        <v>2</v>
      </c>
      <c r="L3" s="43" t="s">
        <v>178</v>
      </c>
      <c r="M3" s="12">
        <v>100</v>
      </c>
      <c r="N3" s="12">
        <v>1</v>
      </c>
      <c r="O3" s="12">
        <v>2</v>
      </c>
      <c r="T3" s="8"/>
    </row>
    <row r="4" spans="1:20" x14ac:dyDescent="0.3">
      <c r="B4" s="12">
        <f>B3+1</f>
        <v>2</v>
      </c>
      <c r="C4" s="13" t="s">
        <v>179</v>
      </c>
      <c r="D4" s="12">
        <v>60</v>
      </c>
      <c r="E4" s="14">
        <v>21</v>
      </c>
      <c r="F4" s="12">
        <v>1</v>
      </c>
      <c r="G4" s="12">
        <v>1</v>
      </c>
      <c r="H4" s="12">
        <v>1</v>
      </c>
      <c r="I4" s="12">
        <v>1</v>
      </c>
      <c r="J4" s="12">
        <v>1200</v>
      </c>
      <c r="K4" s="12">
        <v>2</v>
      </c>
      <c r="L4" s="43" t="s">
        <v>180</v>
      </c>
      <c r="M4" s="12">
        <v>300</v>
      </c>
      <c r="N4" s="12">
        <v>3</v>
      </c>
      <c r="O4" s="12">
        <v>2</v>
      </c>
      <c r="T4" s="8"/>
    </row>
    <row r="5" spans="1:20" x14ac:dyDescent="0.3">
      <c r="B5" s="12">
        <v>3</v>
      </c>
      <c r="C5" s="13" t="s">
        <v>79</v>
      </c>
      <c r="D5" s="13">
        <v>64</v>
      </c>
      <c r="E5" s="14">
        <v>20</v>
      </c>
      <c r="F5" s="12">
        <v>1</v>
      </c>
      <c r="G5" s="12">
        <v>3</v>
      </c>
      <c r="H5" s="12">
        <v>1</v>
      </c>
      <c r="I5" s="12">
        <v>1</v>
      </c>
      <c r="J5" s="12">
        <v>1000</v>
      </c>
      <c r="K5" s="12">
        <v>1</v>
      </c>
      <c r="L5" s="43" t="s">
        <v>181</v>
      </c>
      <c r="M5" s="12">
        <v>17</v>
      </c>
      <c r="N5" s="12">
        <v>1</v>
      </c>
      <c r="O5" s="12">
        <v>2</v>
      </c>
      <c r="T5" s="8"/>
    </row>
    <row r="6" spans="1:20" x14ac:dyDescent="0.3">
      <c r="B6" s="12">
        <v>4</v>
      </c>
      <c r="C6" s="13" t="s">
        <v>32</v>
      </c>
      <c r="D6" s="12">
        <v>70</v>
      </c>
      <c r="E6" s="14">
        <v>21</v>
      </c>
      <c r="F6" s="12">
        <v>1</v>
      </c>
      <c r="G6" s="12">
        <v>1</v>
      </c>
      <c r="H6" s="12">
        <v>1</v>
      </c>
      <c r="I6" s="12">
        <v>1</v>
      </c>
      <c r="J6" s="12">
        <v>1500</v>
      </c>
      <c r="K6" s="12">
        <v>2</v>
      </c>
      <c r="L6" s="26" t="s">
        <v>182</v>
      </c>
      <c r="M6" s="12">
        <v>100</v>
      </c>
      <c r="N6" s="12">
        <v>3</v>
      </c>
      <c r="O6" s="12">
        <v>2</v>
      </c>
      <c r="S6" s="4"/>
      <c r="T6" s="9"/>
    </row>
    <row r="7" spans="1:20" x14ac:dyDescent="0.3">
      <c r="B7" s="12">
        <f t="shared" ref="B7:B9" si="0">B6+1</f>
        <v>5</v>
      </c>
      <c r="C7" s="13" t="s">
        <v>34</v>
      </c>
      <c r="D7" s="13">
        <v>75</v>
      </c>
      <c r="E7" s="14">
        <v>23</v>
      </c>
      <c r="F7" s="12">
        <v>1</v>
      </c>
      <c r="G7" s="12">
        <v>2</v>
      </c>
      <c r="H7" s="12">
        <v>1</v>
      </c>
      <c r="I7" s="12">
        <v>1</v>
      </c>
      <c r="J7" s="44">
        <v>380</v>
      </c>
      <c r="K7" s="12">
        <v>2</v>
      </c>
      <c r="L7" s="26" t="s">
        <v>183</v>
      </c>
      <c r="M7" s="12">
        <v>300</v>
      </c>
      <c r="N7" s="12">
        <v>1</v>
      </c>
      <c r="O7" s="12">
        <v>2</v>
      </c>
    </row>
    <row r="8" spans="1:20" x14ac:dyDescent="0.3">
      <c r="B8" s="12">
        <f t="shared" si="0"/>
        <v>6</v>
      </c>
      <c r="C8" s="43" t="s">
        <v>184</v>
      </c>
      <c r="D8" s="12">
        <v>63</v>
      </c>
      <c r="E8" s="12">
        <v>21</v>
      </c>
      <c r="F8" s="12">
        <v>1</v>
      </c>
      <c r="G8" s="12">
        <v>1</v>
      </c>
      <c r="H8" s="12">
        <v>1</v>
      </c>
      <c r="I8" s="12">
        <v>1</v>
      </c>
      <c r="J8" s="12">
        <v>1800</v>
      </c>
      <c r="K8" s="12">
        <v>2</v>
      </c>
      <c r="L8" s="50" t="s">
        <v>72</v>
      </c>
      <c r="M8" s="12">
        <v>200</v>
      </c>
      <c r="N8" s="12">
        <v>1</v>
      </c>
      <c r="O8" s="12">
        <v>2</v>
      </c>
    </row>
    <row r="9" spans="1:20" x14ac:dyDescent="0.3">
      <c r="A9" s="31"/>
      <c r="B9" s="12">
        <f t="shared" si="0"/>
        <v>7</v>
      </c>
      <c r="C9" s="13" t="s">
        <v>68</v>
      </c>
      <c r="D9" s="13">
        <v>65</v>
      </c>
      <c r="E9" s="14">
        <v>20</v>
      </c>
      <c r="F9" s="12">
        <v>1</v>
      </c>
      <c r="G9" s="12">
        <v>2</v>
      </c>
      <c r="H9" s="12">
        <v>1</v>
      </c>
      <c r="I9" s="12">
        <v>1</v>
      </c>
      <c r="J9" s="12">
        <v>500</v>
      </c>
      <c r="K9" s="12">
        <v>2</v>
      </c>
      <c r="L9" s="43" t="s">
        <v>72</v>
      </c>
      <c r="M9" s="12">
        <v>200</v>
      </c>
      <c r="N9" s="12">
        <v>2</v>
      </c>
      <c r="O9" s="12">
        <v>2</v>
      </c>
    </row>
    <row r="10" spans="1:20" x14ac:dyDescent="0.3">
      <c r="B10" s="12">
        <v>8</v>
      </c>
      <c r="C10" s="26" t="s">
        <v>185</v>
      </c>
      <c r="D10" s="13">
        <v>54</v>
      </c>
      <c r="E10" s="14">
        <v>19</v>
      </c>
      <c r="F10" s="12">
        <v>1</v>
      </c>
      <c r="G10" s="12">
        <v>1</v>
      </c>
      <c r="H10" s="12">
        <v>1</v>
      </c>
      <c r="I10" s="12">
        <v>1</v>
      </c>
      <c r="J10" s="12">
        <v>500</v>
      </c>
      <c r="K10" s="12">
        <v>2</v>
      </c>
      <c r="L10" s="43" t="s">
        <v>70</v>
      </c>
      <c r="M10" s="12">
        <v>100</v>
      </c>
      <c r="N10" s="12">
        <v>1</v>
      </c>
      <c r="O10" s="12">
        <v>2</v>
      </c>
      <c r="P10" s="31"/>
    </row>
    <row r="11" spans="1:20" x14ac:dyDescent="0.3">
      <c r="B11" s="12">
        <v>9</v>
      </c>
      <c r="C11" s="43" t="s">
        <v>177</v>
      </c>
      <c r="D11" s="13">
        <v>65</v>
      </c>
      <c r="E11" s="12">
        <v>20</v>
      </c>
      <c r="F11" s="12">
        <v>1</v>
      </c>
      <c r="G11" s="38">
        <v>1</v>
      </c>
      <c r="H11" s="12">
        <v>1</v>
      </c>
      <c r="I11" s="12">
        <v>1</v>
      </c>
      <c r="J11" s="12">
        <v>600</v>
      </c>
      <c r="K11" s="12">
        <v>2</v>
      </c>
      <c r="L11" s="43" t="s">
        <v>186</v>
      </c>
      <c r="M11" s="12">
        <v>100</v>
      </c>
      <c r="N11" s="12">
        <v>2</v>
      </c>
      <c r="O11" s="12">
        <v>2</v>
      </c>
    </row>
    <row r="12" spans="1:20" x14ac:dyDescent="0.3">
      <c r="B12" s="12">
        <f t="shared" ref="B12:B13" si="1">B11+1</f>
        <v>10</v>
      </c>
      <c r="C12" s="26" t="s">
        <v>83</v>
      </c>
      <c r="D12" s="13">
        <v>57</v>
      </c>
      <c r="E12" s="14">
        <v>20</v>
      </c>
      <c r="F12" s="12">
        <v>1</v>
      </c>
      <c r="G12" s="12">
        <v>1</v>
      </c>
      <c r="H12" s="12">
        <v>1</v>
      </c>
      <c r="I12" s="12">
        <v>1</v>
      </c>
      <c r="J12" s="12">
        <v>500</v>
      </c>
      <c r="K12" s="12">
        <v>2</v>
      </c>
      <c r="L12" s="43" t="s">
        <v>187</v>
      </c>
      <c r="M12" s="12">
        <v>350</v>
      </c>
      <c r="N12" s="12">
        <v>1</v>
      </c>
      <c r="O12" s="12">
        <v>2</v>
      </c>
    </row>
    <row r="13" spans="1:20" x14ac:dyDescent="0.3">
      <c r="B13" s="12">
        <f t="shared" si="1"/>
        <v>11</v>
      </c>
      <c r="C13" s="13" t="s">
        <v>188</v>
      </c>
      <c r="D13" s="13">
        <v>80</v>
      </c>
      <c r="E13" s="14">
        <v>38</v>
      </c>
      <c r="F13" s="12">
        <v>1</v>
      </c>
      <c r="G13" s="12">
        <v>1</v>
      </c>
      <c r="H13" s="12">
        <v>2</v>
      </c>
      <c r="I13" s="12">
        <v>1</v>
      </c>
      <c r="J13" s="12">
        <v>420</v>
      </c>
      <c r="K13" s="12">
        <v>1</v>
      </c>
      <c r="L13" s="12" t="s">
        <v>189</v>
      </c>
      <c r="M13" s="12">
        <v>100</v>
      </c>
      <c r="N13" s="12">
        <v>1</v>
      </c>
      <c r="O13" s="12">
        <v>2</v>
      </c>
    </row>
    <row r="14" spans="1:20" x14ac:dyDescent="0.3">
      <c r="B14" s="12">
        <v>12</v>
      </c>
      <c r="C14" s="26" t="s">
        <v>177</v>
      </c>
      <c r="D14" s="13">
        <v>83</v>
      </c>
      <c r="E14" s="14">
        <v>19</v>
      </c>
      <c r="F14" s="12">
        <v>2</v>
      </c>
      <c r="G14" s="12">
        <v>2</v>
      </c>
      <c r="H14" s="12">
        <v>1</v>
      </c>
      <c r="I14" s="12">
        <v>1</v>
      </c>
      <c r="J14" s="12">
        <v>800</v>
      </c>
      <c r="K14" s="12">
        <v>2</v>
      </c>
      <c r="L14" s="43" t="s">
        <v>70</v>
      </c>
      <c r="M14" s="12">
        <v>280</v>
      </c>
      <c r="N14" s="12">
        <v>1</v>
      </c>
      <c r="O14" s="12">
        <v>2</v>
      </c>
    </row>
    <row r="15" spans="1:20" x14ac:dyDescent="0.3">
      <c r="B15" s="12">
        <v>13</v>
      </c>
      <c r="C15" s="26" t="s">
        <v>190</v>
      </c>
      <c r="D15" s="13">
        <v>66</v>
      </c>
      <c r="E15" s="14">
        <v>22</v>
      </c>
      <c r="F15" s="12">
        <v>1</v>
      </c>
      <c r="G15" s="12">
        <v>1</v>
      </c>
      <c r="H15" s="12">
        <v>1</v>
      </c>
      <c r="I15" s="12">
        <v>1</v>
      </c>
      <c r="J15" s="12">
        <v>380</v>
      </c>
      <c r="K15" s="12">
        <v>1</v>
      </c>
      <c r="L15" s="43" t="s">
        <v>70</v>
      </c>
      <c r="M15" s="12">
        <v>250</v>
      </c>
      <c r="N15" s="12">
        <v>1</v>
      </c>
      <c r="O15" s="12">
        <v>2</v>
      </c>
    </row>
    <row r="16" spans="1:20" x14ac:dyDescent="0.3">
      <c r="B16" s="12">
        <v>14</v>
      </c>
      <c r="C16" s="26" t="s">
        <v>77</v>
      </c>
      <c r="D16" s="13">
        <v>60</v>
      </c>
      <c r="E16" s="14">
        <v>21</v>
      </c>
      <c r="F16" s="12">
        <v>1</v>
      </c>
      <c r="G16" s="12">
        <v>1</v>
      </c>
      <c r="H16" s="12">
        <v>1</v>
      </c>
      <c r="I16" s="12">
        <v>1</v>
      </c>
      <c r="J16" s="12">
        <v>500</v>
      </c>
      <c r="K16" s="12">
        <v>1</v>
      </c>
      <c r="L16" s="43" t="s">
        <v>186</v>
      </c>
      <c r="M16" s="12">
        <v>280</v>
      </c>
      <c r="N16" s="12">
        <v>1</v>
      </c>
      <c r="O16" s="12">
        <v>2</v>
      </c>
    </row>
    <row r="17" spans="2:15" x14ac:dyDescent="0.3">
      <c r="B17" s="12">
        <v>15</v>
      </c>
      <c r="C17" s="26" t="s">
        <v>77</v>
      </c>
      <c r="D17" s="13">
        <v>66</v>
      </c>
      <c r="E17" s="14">
        <v>22</v>
      </c>
      <c r="F17" s="12">
        <v>1</v>
      </c>
      <c r="G17" s="12">
        <v>1</v>
      </c>
      <c r="H17" s="12">
        <v>1</v>
      </c>
      <c r="I17" s="12">
        <v>1</v>
      </c>
      <c r="J17" s="12">
        <v>750</v>
      </c>
      <c r="K17" s="12">
        <v>2</v>
      </c>
      <c r="L17" s="43" t="s">
        <v>182</v>
      </c>
      <c r="M17" s="12">
        <v>10</v>
      </c>
      <c r="N17" s="12">
        <v>1</v>
      </c>
      <c r="O17" s="12">
        <v>2</v>
      </c>
    </row>
    <row r="18" spans="2:15" x14ac:dyDescent="0.3">
      <c r="B18" s="12">
        <v>16</v>
      </c>
      <c r="C18" s="26" t="s">
        <v>191</v>
      </c>
      <c r="D18" s="13">
        <v>63</v>
      </c>
      <c r="E18" s="14">
        <v>20</v>
      </c>
      <c r="F18" s="12">
        <v>1</v>
      </c>
      <c r="G18" s="12">
        <v>1</v>
      </c>
      <c r="H18" s="12">
        <v>1</v>
      </c>
      <c r="I18" s="12">
        <v>1</v>
      </c>
      <c r="J18" s="12">
        <v>560</v>
      </c>
      <c r="K18" s="12">
        <v>2</v>
      </c>
      <c r="L18" s="43" t="s">
        <v>192</v>
      </c>
      <c r="M18" s="12">
        <v>10</v>
      </c>
      <c r="N18" s="12">
        <v>1</v>
      </c>
      <c r="O18" s="12">
        <v>2</v>
      </c>
    </row>
    <row r="19" spans="2:15" x14ac:dyDescent="0.3">
      <c r="B19" s="12">
        <v>17</v>
      </c>
      <c r="C19" s="43" t="s">
        <v>191</v>
      </c>
      <c r="D19" s="13">
        <v>61</v>
      </c>
      <c r="E19" s="12">
        <v>19</v>
      </c>
      <c r="F19" s="12">
        <v>2</v>
      </c>
      <c r="G19" s="38">
        <v>3</v>
      </c>
      <c r="H19" s="12">
        <v>1</v>
      </c>
      <c r="I19" s="12">
        <v>1</v>
      </c>
      <c r="J19" s="12">
        <v>1000</v>
      </c>
      <c r="K19" s="12">
        <v>2</v>
      </c>
      <c r="L19" s="43" t="s">
        <v>193</v>
      </c>
      <c r="M19" s="12">
        <v>500</v>
      </c>
      <c r="N19" s="12">
        <v>1</v>
      </c>
      <c r="O19" s="12">
        <v>2</v>
      </c>
    </row>
    <row r="20" spans="2:15" x14ac:dyDescent="0.3">
      <c r="B20" s="12">
        <f t="shared" ref="B20" si="2">B19+1</f>
        <v>18</v>
      </c>
      <c r="C20" s="26" t="s">
        <v>47</v>
      </c>
      <c r="D20" s="13">
        <v>55</v>
      </c>
      <c r="E20" s="14">
        <v>20</v>
      </c>
      <c r="F20" s="12">
        <v>1</v>
      </c>
      <c r="G20" s="12">
        <v>1</v>
      </c>
      <c r="H20" s="12">
        <v>2</v>
      </c>
      <c r="I20" s="12">
        <v>1</v>
      </c>
      <c r="J20" s="12">
        <v>400</v>
      </c>
      <c r="K20" s="12">
        <v>1</v>
      </c>
      <c r="L20" s="43" t="s">
        <v>176</v>
      </c>
      <c r="M20" s="12">
        <v>100</v>
      </c>
      <c r="N20" s="12">
        <v>1</v>
      </c>
      <c r="O20" s="12">
        <v>2</v>
      </c>
    </row>
    <row r="21" spans="2:15" x14ac:dyDescent="0.3">
      <c r="B21" s="12">
        <v>19</v>
      </c>
      <c r="C21" s="26" t="s">
        <v>194</v>
      </c>
      <c r="D21" s="13">
        <v>56</v>
      </c>
      <c r="E21" s="14">
        <v>21</v>
      </c>
      <c r="F21" s="12">
        <v>1</v>
      </c>
      <c r="G21" s="12">
        <v>1</v>
      </c>
      <c r="H21" s="12">
        <v>2</v>
      </c>
      <c r="I21" s="12">
        <v>1</v>
      </c>
      <c r="J21" s="12">
        <v>400</v>
      </c>
      <c r="K21" s="12">
        <v>2</v>
      </c>
      <c r="L21" s="43" t="s">
        <v>195</v>
      </c>
      <c r="M21" s="12">
        <v>200</v>
      </c>
      <c r="N21" s="12">
        <v>2</v>
      </c>
      <c r="O21" s="12">
        <v>2</v>
      </c>
    </row>
    <row r="22" spans="2:15" x14ac:dyDescent="0.3">
      <c r="B22" s="12">
        <v>20</v>
      </c>
      <c r="C22" s="26" t="s">
        <v>196</v>
      </c>
      <c r="D22" s="13">
        <v>62</v>
      </c>
      <c r="E22" s="14">
        <v>21</v>
      </c>
      <c r="F22" s="12">
        <v>1</v>
      </c>
      <c r="G22" s="12">
        <v>1</v>
      </c>
      <c r="H22" s="12">
        <v>2</v>
      </c>
      <c r="I22" s="12">
        <v>1</v>
      </c>
      <c r="J22" s="12">
        <v>500</v>
      </c>
      <c r="K22" s="12">
        <v>2</v>
      </c>
      <c r="L22" s="43" t="s">
        <v>197</v>
      </c>
      <c r="M22" s="12">
        <v>72</v>
      </c>
      <c r="N22" s="12">
        <v>1</v>
      </c>
      <c r="O22" s="12">
        <v>2</v>
      </c>
    </row>
    <row r="23" spans="2:15" x14ac:dyDescent="0.3">
      <c r="B23" s="12">
        <v>21</v>
      </c>
      <c r="C23" s="26" t="s">
        <v>190</v>
      </c>
      <c r="D23" s="13">
        <v>72</v>
      </c>
      <c r="E23" s="14">
        <v>20</v>
      </c>
      <c r="F23" s="12">
        <v>1</v>
      </c>
      <c r="G23" s="12">
        <v>1</v>
      </c>
      <c r="H23" s="12">
        <v>1</v>
      </c>
      <c r="I23" s="12">
        <v>1</v>
      </c>
      <c r="J23" s="12">
        <v>500</v>
      </c>
      <c r="K23" s="12">
        <v>2</v>
      </c>
      <c r="L23" s="43" t="s">
        <v>72</v>
      </c>
      <c r="M23" s="12">
        <v>10</v>
      </c>
      <c r="N23" s="12">
        <v>2</v>
      </c>
      <c r="O23" s="12">
        <v>2</v>
      </c>
    </row>
    <row r="24" spans="2:15" x14ac:dyDescent="0.3">
      <c r="B24" s="45">
        <v>22</v>
      </c>
      <c r="C24" s="46" t="s">
        <v>85</v>
      </c>
      <c r="D24" s="47">
        <v>65</v>
      </c>
      <c r="E24" s="48">
        <v>23</v>
      </c>
      <c r="F24" s="45">
        <v>2</v>
      </c>
      <c r="G24" s="45">
        <v>1</v>
      </c>
      <c r="H24" s="45">
        <v>1</v>
      </c>
      <c r="I24" s="45">
        <v>1</v>
      </c>
      <c r="J24" s="45">
        <v>700</v>
      </c>
      <c r="K24" s="45">
        <v>2</v>
      </c>
      <c r="L24" s="49" t="s">
        <v>176</v>
      </c>
      <c r="M24" s="45">
        <v>190</v>
      </c>
      <c r="N24" s="45">
        <v>1</v>
      </c>
      <c r="O24" s="45">
        <v>2</v>
      </c>
    </row>
    <row r="25" spans="2:15" x14ac:dyDescent="0.3">
      <c r="B25" s="1">
        <v>23</v>
      </c>
      <c r="C25" s="5" t="s">
        <v>85</v>
      </c>
      <c r="D25" s="1">
        <v>71</v>
      </c>
      <c r="E25" s="1">
        <v>20</v>
      </c>
      <c r="F25" s="1">
        <v>2</v>
      </c>
      <c r="G25" s="1">
        <v>1</v>
      </c>
      <c r="H25" s="1">
        <v>2</v>
      </c>
      <c r="I25" s="1">
        <v>1</v>
      </c>
      <c r="J25" s="1">
        <v>400</v>
      </c>
      <c r="K25" s="1">
        <v>1</v>
      </c>
      <c r="L25" s="1" t="s">
        <v>176</v>
      </c>
      <c r="M25" s="1">
        <v>100</v>
      </c>
      <c r="N25" s="1">
        <v>2</v>
      </c>
      <c r="O25" s="1">
        <v>2</v>
      </c>
    </row>
    <row r="31" spans="2:15" x14ac:dyDescent="0.3">
      <c r="E31" t="s">
        <v>53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DC1A962A-3E2A-4DD6-8F7D-431550E79FC5}">
          <x14:formula1>
            <xm:f>etiquetas!$B$17:$B$21</xm:f>
          </x14:formula1>
          <xm:sqref>I3:I7 I9:I10 I12:I18 I20:I25</xm:sqref>
        </x14:dataValidation>
        <x14:dataValidation type="list" allowBlank="1" showInputMessage="1" showErrorMessage="1" xr:uid="{B2BC26B5-36E1-40BC-B5AE-76D24AEC0911}">
          <x14:formula1>
            <xm:f>etiquetas!$B$13:$B$14</xm:f>
          </x14:formula1>
          <xm:sqref>H3:H7 H9:H10 H12:H18 H20:H25</xm:sqref>
        </x14:dataValidation>
        <x14:dataValidation type="list" allowBlank="1" showInputMessage="1" showErrorMessage="1" xr:uid="{FB8A0FE8-EEA3-4FEA-B39B-C656C6B12577}">
          <x14:formula1>
            <xm:f>etiquetas!$B$8:$B$10</xm:f>
          </x14:formula1>
          <xm:sqref>G3:G7 G9:G10 G12:G18 G20:G25</xm:sqref>
        </x14:dataValidation>
        <x14:dataValidation type="list" allowBlank="1" showInputMessage="1" showErrorMessage="1" xr:uid="{5CB8A3D3-7665-40DA-A685-5020D9CD17D0}">
          <x14:formula1>
            <xm:f>etiquetas!$B$4:$B$5</xm:f>
          </x14:formula1>
          <xm:sqref>F3:F7 F9:F25</xm:sqref>
        </x14:dataValidation>
        <x14:dataValidation type="list" allowBlank="1" showInputMessage="1" showErrorMessage="1" xr:uid="{71B57121-07BC-488B-976F-64CED5355379}">
          <x14:formula1>
            <xm:f>etiquetas!$E$4:$E$5</xm:f>
          </x14:formula1>
          <xm:sqref>K9:K10 K3:K7 O3:O7 O9:O10 K13:K18 O12:O18 K21:K25 O20:O25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563A-7F47-4255-99E0-FC7CF051CAA4}">
  <dimension ref="A2:N177"/>
  <sheetViews>
    <sheetView tabSelected="1" topLeftCell="A62" workbookViewId="0">
      <selection activeCell="B82" sqref="B82"/>
    </sheetView>
  </sheetViews>
  <sheetFormatPr baseColWidth="10" defaultRowHeight="14.4" x14ac:dyDescent="0.3"/>
  <sheetData>
    <row r="2" spans="2:4" x14ac:dyDescent="0.3">
      <c r="B2" s="51" t="s">
        <v>123</v>
      </c>
      <c r="C2" s="51" t="s">
        <v>55</v>
      </c>
      <c r="D2" s="51" t="s">
        <v>56</v>
      </c>
    </row>
    <row r="3" spans="2:4" x14ac:dyDescent="0.3">
      <c r="B3" s="1" t="s">
        <v>2</v>
      </c>
      <c r="C3" s="1">
        <v>1</v>
      </c>
      <c r="D3" s="37">
        <f>C3/C$6</f>
        <v>6.25E-2</v>
      </c>
    </row>
    <row r="4" spans="2:4" x14ac:dyDescent="0.3">
      <c r="B4" s="1" t="s">
        <v>1</v>
      </c>
      <c r="C4" s="1">
        <v>9</v>
      </c>
      <c r="D4" s="37">
        <f t="shared" ref="D4:D5" si="0">C4/C$6</f>
        <v>0.5625</v>
      </c>
    </row>
    <row r="5" spans="2:4" x14ac:dyDescent="0.3">
      <c r="B5" s="1" t="s">
        <v>0</v>
      </c>
      <c r="C5" s="1">
        <v>6</v>
      </c>
      <c r="D5" s="37">
        <f t="shared" si="0"/>
        <v>0.375</v>
      </c>
    </row>
    <row r="6" spans="2:4" x14ac:dyDescent="0.3">
      <c r="C6" s="34">
        <f>SUM(C3:C5)</f>
        <v>16</v>
      </c>
      <c r="D6" s="61">
        <f>SUM(D3:D5)</f>
        <v>1</v>
      </c>
    </row>
    <row r="21" spans="2:4" x14ac:dyDescent="0.3">
      <c r="B21" s="51" t="s">
        <v>112</v>
      </c>
      <c r="C21" s="51" t="s">
        <v>55</v>
      </c>
      <c r="D21" s="51" t="s">
        <v>56</v>
      </c>
    </row>
    <row r="22" spans="2:4" x14ac:dyDescent="0.3">
      <c r="B22" s="1" t="s">
        <v>19</v>
      </c>
      <c r="C22" s="1">
        <f>COUNTIF(Datos!H3:H25,"Hombre")</f>
        <v>0</v>
      </c>
      <c r="D22" s="37" t="e">
        <f>C22/C$24</f>
        <v>#DIV/0!</v>
      </c>
    </row>
    <row r="23" spans="2:4" x14ac:dyDescent="0.3">
      <c r="B23" s="1" t="s">
        <v>42</v>
      </c>
      <c r="C23" s="1">
        <f>COUNTIF(Datos!H5:H25,"Mujer")</f>
        <v>0</v>
      </c>
      <c r="D23" s="37" t="e">
        <f>C23/C$24</f>
        <v>#DIV/0!</v>
      </c>
    </row>
    <row r="24" spans="2:4" x14ac:dyDescent="0.3">
      <c r="B24" s="1"/>
      <c r="C24" s="34">
        <f>SUM(C22,C23)</f>
        <v>0</v>
      </c>
      <c r="D24" s="61" t="e">
        <f>SUM(D22,D23)</f>
        <v>#DIV/0!</v>
      </c>
    </row>
    <row r="35" spans="2:4" x14ac:dyDescent="0.3">
      <c r="B35" s="51" t="s">
        <v>108</v>
      </c>
      <c r="C35" s="51" t="s">
        <v>55</v>
      </c>
      <c r="D35" s="51" t="s">
        <v>56</v>
      </c>
    </row>
    <row r="36" spans="2:4" x14ac:dyDescent="0.3">
      <c r="B36" s="1" t="s">
        <v>29</v>
      </c>
      <c r="C36" s="1">
        <f>COUNTIF(Datos!K3:K25,"Si")</f>
        <v>0</v>
      </c>
      <c r="D36" s="37" t="e">
        <f>C36/C$38</f>
        <v>#DIV/0!</v>
      </c>
    </row>
    <row r="37" spans="2:4" x14ac:dyDescent="0.3">
      <c r="B37" s="1" t="s">
        <v>21</v>
      </c>
      <c r="C37" s="1">
        <f>COUNTIF(Datos!K3:K25,"No")</f>
        <v>0</v>
      </c>
      <c r="D37" s="37" t="e">
        <f>C37/C$38</f>
        <v>#DIV/0!</v>
      </c>
    </row>
    <row r="38" spans="2:4" x14ac:dyDescent="0.3">
      <c r="B38" s="1"/>
      <c r="C38" s="34">
        <f>SUM(C36,C37)</f>
        <v>0</v>
      </c>
      <c r="D38" s="61" t="e">
        <f>SUM(D36,D37)</f>
        <v>#DIV/0!</v>
      </c>
    </row>
    <row r="58" spans="2:4" x14ac:dyDescent="0.3">
      <c r="B58" s="51" t="s">
        <v>58</v>
      </c>
      <c r="C58" s="51" t="s">
        <v>55</v>
      </c>
      <c r="D58" s="51" t="s">
        <v>56</v>
      </c>
    </row>
    <row r="59" spans="2:4" x14ac:dyDescent="0.3">
      <c r="B59" s="54">
        <v>19</v>
      </c>
      <c r="C59" s="1">
        <f>COUNTIF(Datos!E3:E25,"19")</f>
        <v>3</v>
      </c>
      <c r="D59" s="37">
        <f>C59/C$65</f>
        <v>0.13043478260869565</v>
      </c>
    </row>
    <row r="60" spans="2:4" x14ac:dyDescent="0.3">
      <c r="B60" s="54">
        <v>20</v>
      </c>
      <c r="C60" s="1">
        <f>COUNTIF(Datos!E3:E25,B60)</f>
        <v>9</v>
      </c>
      <c r="D60" s="37">
        <f>C60/C$65</f>
        <v>0.39130434782608697</v>
      </c>
    </row>
    <row r="61" spans="2:4" x14ac:dyDescent="0.3">
      <c r="B61" s="54">
        <v>21</v>
      </c>
      <c r="C61" s="1">
        <f>COUNTIF(Datos!E3:E25,"21")</f>
        <v>6</v>
      </c>
      <c r="D61" s="37">
        <f t="shared" ref="D61:D64" si="1">C61/C$65</f>
        <v>0.2608695652173913</v>
      </c>
    </row>
    <row r="62" spans="2:4" x14ac:dyDescent="0.3">
      <c r="B62" s="54">
        <v>22</v>
      </c>
      <c r="C62" s="1">
        <f>COUNTIF(Datos!E3:E25,"22")</f>
        <v>2</v>
      </c>
      <c r="D62" s="37">
        <f t="shared" si="1"/>
        <v>8.6956521739130432E-2</v>
      </c>
    </row>
    <row r="63" spans="2:4" x14ac:dyDescent="0.3">
      <c r="B63" s="54">
        <v>23</v>
      </c>
      <c r="C63" s="1">
        <f>COUNTIF(Datos!E3:E25,"23")</f>
        <v>2</v>
      </c>
      <c r="D63" s="37">
        <f t="shared" si="1"/>
        <v>8.6956521739130432E-2</v>
      </c>
    </row>
    <row r="64" spans="2:4" x14ac:dyDescent="0.3">
      <c r="B64" s="54">
        <v>38</v>
      </c>
      <c r="C64" s="1">
        <f>COUNTIF(Datos!E3:E25,"38")</f>
        <v>1</v>
      </c>
      <c r="D64" s="53">
        <f t="shared" si="1"/>
        <v>4.3478260869565216E-2</v>
      </c>
    </row>
    <row r="65" spans="1:4" x14ac:dyDescent="0.3">
      <c r="C65" s="34">
        <f>SUM(C59:C64)</f>
        <v>23</v>
      </c>
      <c r="D65" s="61">
        <f>SUM(D59:D64)</f>
        <v>0.99999999999999978</v>
      </c>
    </row>
    <row r="68" spans="1:4" x14ac:dyDescent="0.3">
      <c r="A68" s="55" t="s">
        <v>124</v>
      </c>
      <c r="B68" s="10">
        <f>AVERAGE(Datos!E3:E25)</f>
        <v>21.347826086956523</v>
      </c>
    </row>
    <row r="69" spans="1:4" x14ac:dyDescent="0.3">
      <c r="A69" s="55" t="s">
        <v>126</v>
      </c>
      <c r="B69" s="10">
        <f>MEDIAN(Datos!E3:E25)</f>
        <v>20</v>
      </c>
    </row>
    <row r="70" spans="1:4" x14ac:dyDescent="0.3">
      <c r="A70" s="55" t="s">
        <v>125</v>
      </c>
      <c r="B70" s="1">
        <f>MODE(Datos!E3:E25)</f>
        <v>20</v>
      </c>
    </row>
    <row r="71" spans="1:4" x14ac:dyDescent="0.3">
      <c r="A71" s="55" t="s">
        <v>127</v>
      </c>
      <c r="B71" s="10">
        <f>MIN(B59:B64)</f>
        <v>19</v>
      </c>
    </row>
    <row r="72" spans="1:4" x14ac:dyDescent="0.3">
      <c r="A72" s="55" t="s">
        <v>128</v>
      </c>
      <c r="B72" s="10">
        <f>MAX(B59:B64)</f>
        <v>38</v>
      </c>
    </row>
    <row r="73" spans="1:4" x14ac:dyDescent="0.3">
      <c r="A73" s="55" t="s">
        <v>129</v>
      </c>
      <c r="B73" s="10">
        <f>(B72-B71)</f>
        <v>19</v>
      </c>
    </row>
    <row r="74" spans="1:4" x14ac:dyDescent="0.3">
      <c r="A74" s="55" t="s">
        <v>130</v>
      </c>
      <c r="B74" s="1">
        <f>_xlfn.STDEV.P(Datos!E3:E25)</f>
        <v>3.71376634853263</v>
      </c>
    </row>
    <row r="75" spans="1:4" x14ac:dyDescent="0.3">
      <c r="A75" s="55" t="s">
        <v>131</v>
      </c>
      <c r="B75" s="1">
        <f>_xlfn.VAR.P(Datos!E3:E25)</f>
        <v>13.792060491493384</v>
      </c>
    </row>
    <row r="76" spans="1:4" x14ac:dyDescent="0.3">
      <c r="A76" s="55" t="s">
        <v>132</v>
      </c>
      <c r="B76" s="37">
        <f>(B74/B68)</f>
        <v>0.1739646151043798</v>
      </c>
      <c r="D76" s="31"/>
    </row>
    <row r="77" spans="1:4" x14ac:dyDescent="0.3">
      <c r="A77" s="55" t="s">
        <v>133</v>
      </c>
      <c r="B77" s="1">
        <f>_xlfn.SKEW.P(Datos!E3:E25)</f>
        <v>3.875845875352117</v>
      </c>
    </row>
    <row r="82" spans="1:3" x14ac:dyDescent="0.3">
      <c r="A82" s="1" t="s">
        <v>134</v>
      </c>
      <c r="B82" s="1">
        <v>20</v>
      </c>
      <c r="C82" s="31"/>
    </row>
    <row r="83" spans="1:3" x14ac:dyDescent="0.3">
      <c r="A83" s="1" t="s">
        <v>135</v>
      </c>
      <c r="B83" s="1">
        <v>20</v>
      </c>
    </row>
    <row r="84" spans="1:3" x14ac:dyDescent="0.3">
      <c r="A84" s="1" t="s">
        <v>136</v>
      </c>
      <c r="B84" s="1">
        <v>21</v>
      </c>
    </row>
    <row r="99" spans="3:5" x14ac:dyDescent="0.3">
      <c r="C99" s="28" t="s">
        <v>137</v>
      </c>
      <c r="D99" s="28" t="s">
        <v>55</v>
      </c>
      <c r="E99" s="28" t="s">
        <v>56</v>
      </c>
    </row>
    <row r="100" spans="3:5" x14ac:dyDescent="0.3">
      <c r="C100" s="60">
        <v>380</v>
      </c>
      <c r="D100" s="57">
        <f>COUNTIF(Datos!J3:J25,"380")</f>
        <v>2</v>
      </c>
      <c r="E100" s="59">
        <f>(D100/D$113)</f>
        <v>8.6956521739130432E-2</v>
      </c>
    </row>
    <row r="101" spans="3:5" x14ac:dyDescent="0.3">
      <c r="C101" s="58">
        <v>400</v>
      </c>
      <c r="D101" s="57">
        <f>COUNTIF(Datos!J3:J25,"400")</f>
        <v>3</v>
      </c>
      <c r="E101" s="59">
        <f t="shared" ref="E101:E112" si="2">(D101/D$113)</f>
        <v>0.13043478260869565</v>
      </c>
    </row>
    <row r="102" spans="3:5" x14ac:dyDescent="0.3">
      <c r="C102" s="58">
        <v>420</v>
      </c>
      <c r="D102" s="57">
        <f>COUNTIF(Datos!J3:J25,"420")</f>
        <v>1</v>
      </c>
      <c r="E102" s="59">
        <f t="shared" si="2"/>
        <v>4.3478260869565216E-2</v>
      </c>
    </row>
    <row r="103" spans="3:5" x14ac:dyDescent="0.3">
      <c r="C103" s="58">
        <v>500</v>
      </c>
      <c r="D103" s="57">
        <f>COUNTIF(Datos!J5:J23,"500")</f>
        <v>6</v>
      </c>
      <c r="E103" s="59">
        <f t="shared" si="2"/>
        <v>0.2608695652173913</v>
      </c>
    </row>
    <row r="104" spans="3:5" x14ac:dyDescent="0.3">
      <c r="C104" s="58">
        <v>560</v>
      </c>
      <c r="D104" s="57">
        <f>COUNTIF(Datos!J5:J23,"560")</f>
        <v>1</v>
      </c>
      <c r="E104" s="59">
        <f t="shared" si="2"/>
        <v>4.3478260869565216E-2</v>
      </c>
    </row>
    <row r="105" spans="3:5" x14ac:dyDescent="0.3">
      <c r="C105" s="58">
        <v>600</v>
      </c>
      <c r="D105" s="57">
        <f>COUNTIF(Datos!J3:J25,"600")</f>
        <v>1</v>
      </c>
      <c r="E105" s="59">
        <f t="shared" si="2"/>
        <v>4.3478260869565216E-2</v>
      </c>
    </row>
    <row r="106" spans="3:5" x14ac:dyDescent="0.3">
      <c r="C106" s="58">
        <v>700</v>
      </c>
      <c r="D106" s="57">
        <f>COUNTIF(Datos!J3:J25,"700")</f>
        <v>1</v>
      </c>
      <c r="E106" s="59">
        <f t="shared" si="2"/>
        <v>4.3478260869565216E-2</v>
      </c>
    </row>
    <row r="107" spans="3:5" x14ac:dyDescent="0.3">
      <c r="C107" s="58">
        <v>750</v>
      </c>
      <c r="D107" s="57">
        <f>COUNTIF(Datos!J3:J25,"750")</f>
        <v>1</v>
      </c>
      <c r="E107" s="59">
        <f t="shared" si="2"/>
        <v>4.3478260869565216E-2</v>
      </c>
    </row>
    <row r="108" spans="3:5" x14ac:dyDescent="0.3">
      <c r="C108" s="58">
        <v>800</v>
      </c>
      <c r="D108" s="57">
        <f>COUNTIF(Datos!J3:J25,"800")</f>
        <v>1</v>
      </c>
      <c r="E108" s="59">
        <f t="shared" si="2"/>
        <v>4.3478260869565216E-2</v>
      </c>
    </row>
    <row r="109" spans="3:5" x14ac:dyDescent="0.3">
      <c r="C109" s="58">
        <v>1000</v>
      </c>
      <c r="D109" s="57">
        <f>COUNTIF(Datos!J3:J25,"1000")</f>
        <v>3</v>
      </c>
      <c r="E109" s="59">
        <f t="shared" si="2"/>
        <v>0.13043478260869565</v>
      </c>
    </row>
    <row r="110" spans="3:5" x14ac:dyDescent="0.3">
      <c r="C110" s="58">
        <v>1200</v>
      </c>
      <c r="D110" s="57">
        <f>COUNTIF(Datos!J3:J25,"1200")</f>
        <v>1</v>
      </c>
      <c r="E110" s="59">
        <f t="shared" si="2"/>
        <v>4.3478260869565216E-2</v>
      </c>
    </row>
    <row r="111" spans="3:5" x14ac:dyDescent="0.3">
      <c r="C111" s="58">
        <v>1500</v>
      </c>
      <c r="D111" s="57">
        <f>COUNTIF(Datos!J3:J25,"1500")</f>
        <v>1</v>
      </c>
      <c r="E111" s="59">
        <f t="shared" si="2"/>
        <v>4.3478260869565216E-2</v>
      </c>
    </row>
    <row r="112" spans="3:5" x14ac:dyDescent="0.3">
      <c r="C112" s="58">
        <v>1800</v>
      </c>
      <c r="D112" s="57">
        <f>COUNTIF(Datos!J3:J25,"1800")</f>
        <v>1</v>
      </c>
      <c r="E112" s="59">
        <f t="shared" si="2"/>
        <v>4.3478260869565216E-2</v>
      </c>
    </row>
    <row r="113" spans="1:5" x14ac:dyDescent="0.3">
      <c r="D113" s="62">
        <f>SUM(D100:D112)</f>
        <v>23</v>
      </c>
      <c r="E113" s="63">
        <f>SUM(E100:E112)</f>
        <v>0.99999999999999978</v>
      </c>
    </row>
    <row r="114" spans="1:5" x14ac:dyDescent="0.3">
      <c r="B114" s="55" t="s">
        <v>124</v>
      </c>
      <c r="C114" s="10">
        <f>AVERAGE(Datos!J3:J25)</f>
        <v>708.26086956521738</v>
      </c>
    </row>
    <row r="115" spans="1:5" x14ac:dyDescent="0.3">
      <c r="B115" s="55" t="s">
        <v>126</v>
      </c>
      <c r="C115" s="10">
        <f>MEDIAN(Datos!J3:J25)</f>
        <v>500</v>
      </c>
    </row>
    <row r="116" spans="1:5" x14ac:dyDescent="0.3">
      <c r="B116" s="55" t="s">
        <v>125</v>
      </c>
      <c r="C116" s="1">
        <f>MODE(Datos!J3:J25)</f>
        <v>500</v>
      </c>
    </row>
    <row r="117" spans="1:5" x14ac:dyDescent="0.3">
      <c r="B117" s="55" t="s">
        <v>127</v>
      </c>
      <c r="C117" s="10">
        <f>MIN(C100:C112)</f>
        <v>380</v>
      </c>
      <c r="E117" s="31"/>
    </row>
    <row r="118" spans="1:5" x14ac:dyDescent="0.3">
      <c r="B118" s="55" t="s">
        <v>128</v>
      </c>
      <c r="C118" s="10">
        <f>MAX(C100:C112)</f>
        <v>1800</v>
      </c>
    </row>
    <row r="119" spans="1:5" x14ac:dyDescent="0.3">
      <c r="B119" s="55" t="s">
        <v>129</v>
      </c>
      <c r="C119" s="10">
        <f>(C118-C117)</f>
        <v>1420</v>
      </c>
    </row>
    <row r="120" spans="1:5" x14ac:dyDescent="0.3">
      <c r="B120" s="55" t="s">
        <v>130</v>
      </c>
      <c r="C120" s="1">
        <f>STDEVP(Datos!J3:J25)</f>
        <v>373.21927549263029</v>
      </c>
    </row>
    <row r="121" spans="1:5" x14ac:dyDescent="0.3">
      <c r="B121" s="55" t="s">
        <v>131</v>
      </c>
      <c r="C121" s="1">
        <f>_xlfn.VAR.P(Datos!J3:J25)</f>
        <v>139292.62759924386</v>
      </c>
    </row>
    <row r="122" spans="1:5" x14ac:dyDescent="0.3">
      <c r="B122" s="55" t="s">
        <v>132</v>
      </c>
      <c r="C122" s="37">
        <f>(C120/C114)</f>
        <v>0.52695170879868003</v>
      </c>
    </row>
    <row r="123" spans="1:5" x14ac:dyDescent="0.3">
      <c r="B123" s="55" t="s">
        <v>133</v>
      </c>
      <c r="C123" s="1">
        <f>_xlfn.SKEW.P(Datos!J3:J25)</f>
        <v>1.4639893709780736</v>
      </c>
    </row>
    <row r="125" spans="1:5" x14ac:dyDescent="0.3">
      <c r="A125" t="s">
        <v>139</v>
      </c>
    </row>
    <row r="126" spans="1:5" x14ac:dyDescent="0.3">
      <c r="A126" t="s">
        <v>138</v>
      </c>
      <c r="B126">
        <f>COUNTIF(Datos!J3:J25,"&gt;789")</f>
        <v>7</v>
      </c>
      <c r="C126" s="23">
        <f>B126/23</f>
        <v>0.30434782608695654</v>
      </c>
    </row>
    <row r="129" spans="1:6" x14ac:dyDescent="0.3">
      <c r="B129" s="56" t="s">
        <v>140</v>
      </c>
      <c r="C129" s="56" t="s">
        <v>141</v>
      </c>
    </row>
    <row r="130" spans="1:6" x14ac:dyDescent="0.3">
      <c r="B130" s="1">
        <v>900</v>
      </c>
      <c r="C130" s="1">
        <v>800</v>
      </c>
    </row>
    <row r="131" spans="1:6" x14ac:dyDescent="0.3">
      <c r="B131" s="1">
        <v>1200</v>
      </c>
      <c r="C131" s="1">
        <v>1400</v>
      </c>
    </row>
    <row r="132" spans="1:6" x14ac:dyDescent="0.3">
      <c r="B132" s="1">
        <v>1000</v>
      </c>
      <c r="C132" s="1">
        <v>1100</v>
      </c>
    </row>
    <row r="133" spans="1:6" x14ac:dyDescent="0.3">
      <c r="B133" s="1">
        <v>5500</v>
      </c>
      <c r="C133" s="1">
        <v>900</v>
      </c>
    </row>
    <row r="134" spans="1:6" x14ac:dyDescent="0.3">
      <c r="B134" s="1">
        <v>1500</v>
      </c>
      <c r="C134" s="1">
        <v>2500</v>
      </c>
    </row>
    <row r="135" spans="1:6" x14ac:dyDescent="0.3">
      <c r="B135" s="1">
        <v>700</v>
      </c>
      <c r="C135" s="1">
        <v>2000</v>
      </c>
      <c r="E135" s="31"/>
    </row>
    <row r="136" spans="1:6" x14ac:dyDescent="0.3">
      <c r="A136" t="s">
        <v>142</v>
      </c>
      <c r="B136" s="56">
        <f>SUM(B130:B135)</f>
        <v>10800</v>
      </c>
      <c r="C136" s="56">
        <f>SUM(C130:C135)</f>
        <v>8700</v>
      </c>
    </row>
    <row r="139" spans="1:6" x14ac:dyDescent="0.3">
      <c r="B139" s="55" t="s">
        <v>124</v>
      </c>
      <c r="C139" s="10">
        <f>AVERAGE(B130:B135)</f>
        <v>1800</v>
      </c>
      <c r="E139" s="55" t="s">
        <v>124</v>
      </c>
      <c r="F139" s="10">
        <f>AVERAGE(C130:C135)</f>
        <v>1450</v>
      </c>
    </row>
    <row r="140" spans="1:6" x14ac:dyDescent="0.3">
      <c r="B140" s="55" t="s">
        <v>126</v>
      </c>
      <c r="C140" s="10">
        <f>MEDIAN(B130:B135)</f>
        <v>1100</v>
      </c>
      <c r="E140" s="55" t="s">
        <v>126</v>
      </c>
      <c r="F140" s="10">
        <f>MEDIAN(C130:C135)</f>
        <v>1250</v>
      </c>
    </row>
    <row r="141" spans="1:6" x14ac:dyDescent="0.3">
      <c r="B141" s="55" t="s">
        <v>125</v>
      </c>
      <c r="C141" s="1" t="e">
        <f>MODE(B130:B135)</f>
        <v>#N/A</v>
      </c>
      <c r="E141" s="55" t="s">
        <v>125</v>
      </c>
      <c r="F141" s="1" t="e">
        <f>MODE(E130:E135)</f>
        <v>#N/A</v>
      </c>
    </row>
    <row r="142" spans="1:6" x14ac:dyDescent="0.3">
      <c r="B142" s="55" t="s">
        <v>127</v>
      </c>
      <c r="C142" s="10">
        <f>MIN(B130:B135)</f>
        <v>700</v>
      </c>
      <c r="E142" s="55" t="s">
        <v>127</v>
      </c>
      <c r="F142" s="10">
        <f>MIN(C130:C135)</f>
        <v>800</v>
      </c>
    </row>
    <row r="143" spans="1:6" x14ac:dyDescent="0.3">
      <c r="B143" s="55" t="s">
        <v>128</v>
      </c>
      <c r="C143" s="10">
        <f>MAX(B130:B135)</f>
        <v>5500</v>
      </c>
      <c r="E143" s="55" t="s">
        <v>128</v>
      </c>
      <c r="F143" s="10">
        <f>MAX(C130:C135)</f>
        <v>2500</v>
      </c>
    </row>
    <row r="144" spans="1:6" x14ac:dyDescent="0.3">
      <c r="B144" s="55" t="s">
        <v>129</v>
      </c>
      <c r="C144" s="10">
        <f>(C143-C142)</f>
        <v>4800</v>
      </c>
      <c r="E144" s="55" t="s">
        <v>129</v>
      </c>
      <c r="F144" s="10">
        <f>(F143-F142)</f>
        <v>1700</v>
      </c>
    </row>
    <row r="145" spans="2:14" x14ac:dyDescent="0.3">
      <c r="B145" s="55" t="s">
        <v>130</v>
      </c>
      <c r="C145" s="1">
        <f>STDEVP(B130:B135)</f>
        <v>1673.3200530681511</v>
      </c>
      <c r="E145" s="55" t="s">
        <v>130</v>
      </c>
      <c r="F145" s="1">
        <f>STDEVP(C130:C135)</f>
        <v>613.05247192498405</v>
      </c>
    </row>
    <row r="146" spans="2:14" x14ac:dyDescent="0.3">
      <c r="B146" s="55" t="s">
        <v>131</v>
      </c>
      <c r="C146" s="1">
        <f>_xlfn.VAR.P(B130:B135)</f>
        <v>2800000</v>
      </c>
      <c r="E146" s="55" t="s">
        <v>131</v>
      </c>
      <c r="F146" s="1">
        <f>_xlfn.VAR.P(C130:C135)</f>
        <v>375833.33333333331</v>
      </c>
    </row>
    <row r="147" spans="2:14" x14ac:dyDescent="0.3">
      <c r="B147" s="55" t="s">
        <v>132</v>
      </c>
      <c r="C147" s="37">
        <f>(C145/C139)</f>
        <v>0.92962225170452839</v>
      </c>
      <c r="E147" s="55" t="s">
        <v>132</v>
      </c>
      <c r="F147" s="37">
        <f>(F145/F139)</f>
        <v>0.42279480822412691</v>
      </c>
    </row>
    <row r="148" spans="2:14" x14ac:dyDescent="0.3">
      <c r="B148" s="55" t="s">
        <v>133</v>
      </c>
      <c r="C148" s="1">
        <f>_xlfn.SKEW.P(B130:B135)</f>
        <v>1.7017067325398436</v>
      </c>
      <c r="E148" s="55" t="s">
        <v>133</v>
      </c>
      <c r="F148" s="1">
        <f>_xlfn.SKEW.P(C130:C135)</f>
        <v>0.60762424147411653</v>
      </c>
    </row>
    <row r="153" spans="2:14" x14ac:dyDescent="0.3">
      <c r="N153" t="s">
        <v>168</v>
      </c>
    </row>
    <row r="155" spans="2:14" x14ac:dyDescent="0.3">
      <c r="B155" s="64" t="s">
        <v>164</v>
      </c>
      <c r="C155" s="64"/>
      <c r="D155" s="64" t="s">
        <v>55</v>
      </c>
      <c r="E155" s="64" t="s">
        <v>56</v>
      </c>
    </row>
    <row r="156" spans="2:14" x14ac:dyDescent="0.3">
      <c r="B156" s="66" t="s">
        <v>165</v>
      </c>
      <c r="C156" s="65" t="s">
        <v>160</v>
      </c>
      <c r="D156" s="1">
        <f>COUNTIF(Datos!L3:L25,"&gt;=9")</f>
        <v>0</v>
      </c>
      <c r="E156" s="37" t="e">
        <f>D156/D$160</f>
        <v>#DIV/0!</v>
      </c>
    </row>
    <row r="157" spans="2:14" x14ac:dyDescent="0.3">
      <c r="B157" s="64" t="s">
        <v>166</v>
      </c>
      <c r="C157" s="65" t="s">
        <v>161</v>
      </c>
      <c r="D157" s="1">
        <f>COUNTIFS(Datos!L3:L25,"&gt;=8",Datos!L3:L25,"&lt;9")</f>
        <v>0</v>
      </c>
      <c r="E157" s="37" t="e">
        <f t="shared" ref="E157:E159" si="3">D157/D$160</f>
        <v>#DIV/0!</v>
      </c>
    </row>
    <row r="158" spans="2:14" x14ac:dyDescent="0.3">
      <c r="B158" s="66" t="s">
        <v>167</v>
      </c>
      <c r="C158" s="65" t="s">
        <v>162</v>
      </c>
      <c r="D158" s="1">
        <f>COUNTIFS(Datos!L3:L25,"&gt;=7",Datos!L3:L25,"&lt;8")</f>
        <v>0</v>
      </c>
      <c r="E158" s="37" t="e">
        <f t="shared" si="3"/>
        <v>#DIV/0!</v>
      </c>
    </row>
    <row r="159" spans="2:14" x14ac:dyDescent="0.3">
      <c r="B159" s="64" t="s">
        <v>159</v>
      </c>
      <c r="C159" s="65" t="s">
        <v>163</v>
      </c>
      <c r="D159" s="1">
        <f>COUNTIF(Datos!L3:L25,"&lt;7")</f>
        <v>0</v>
      </c>
      <c r="E159" s="37" t="e">
        <f t="shared" si="3"/>
        <v>#DIV/0!</v>
      </c>
    </row>
    <row r="160" spans="2:14" x14ac:dyDescent="0.3">
      <c r="D160" s="34">
        <f>SUM(D156:D159)</f>
        <v>0</v>
      </c>
      <c r="E160" s="61" t="e">
        <f>SUM(E156:E159)</f>
        <v>#DIV/0!</v>
      </c>
    </row>
    <row r="171" spans="2:4" x14ac:dyDescent="0.3">
      <c r="B171" s="64" t="s">
        <v>164</v>
      </c>
      <c r="C171" s="64" t="s">
        <v>55</v>
      </c>
      <c r="D171" s="64" t="s">
        <v>56</v>
      </c>
    </row>
    <row r="172" spans="2:4" x14ac:dyDescent="0.3">
      <c r="B172" s="64" t="s">
        <v>169</v>
      </c>
      <c r="C172" s="1">
        <f>COUNTIFS(Datos!J3:J25,"&gt;=300",Datos!J3:J25,"&lt;=600")</f>
        <v>14</v>
      </c>
      <c r="D172" s="37">
        <f>C172/C$177</f>
        <v>0.60869565217391308</v>
      </c>
    </row>
    <row r="173" spans="2:4" x14ac:dyDescent="0.3">
      <c r="B173" s="64" t="s">
        <v>170</v>
      </c>
      <c r="C173" s="1">
        <f>COUNTIFS(Datos!J3:J26,"&gt;600",Datos!J3:J26,"&lt;=900")</f>
        <v>3</v>
      </c>
      <c r="D173" s="37">
        <f t="shared" ref="D173:D176" si="4">C173/C$177</f>
        <v>0.13043478260869565</v>
      </c>
    </row>
    <row r="174" spans="2:4" x14ac:dyDescent="0.3">
      <c r="B174" s="64" t="s">
        <v>171</v>
      </c>
      <c r="C174" s="1">
        <f>COUNTIFS(Datos!J3:J27,"&gt;900",Datos!J3:J27,"&lt;=1200")</f>
        <v>4</v>
      </c>
      <c r="D174" s="37">
        <f t="shared" si="4"/>
        <v>0.17391304347826086</v>
      </c>
    </row>
    <row r="175" spans="2:4" x14ac:dyDescent="0.3">
      <c r="B175" s="64" t="s">
        <v>172</v>
      </c>
      <c r="C175" s="1">
        <f>COUNTIFS(Datos!J3:J28,"&gt;1200",Datos!J3:J28,"&lt;=1500")</f>
        <v>1</v>
      </c>
      <c r="D175" s="37">
        <f t="shared" si="4"/>
        <v>4.3478260869565216E-2</v>
      </c>
    </row>
    <row r="176" spans="2:4" x14ac:dyDescent="0.3">
      <c r="B176" s="64" t="s">
        <v>173</v>
      </c>
      <c r="C176" s="1">
        <f>COUNTIFS(Datos!J3:J29,"&gt;1500",Datos!J3:J29,"&lt;=1800")</f>
        <v>1</v>
      </c>
      <c r="D176" s="37">
        <f t="shared" si="4"/>
        <v>4.3478260869565216E-2</v>
      </c>
    </row>
    <row r="177" spans="3:4" x14ac:dyDescent="0.3">
      <c r="C177" s="34">
        <f>SUM(C172:C176)</f>
        <v>23</v>
      </c>
      <c r="D177" s="61">
        <f>SUM(D172:D176)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56CD-4E52-4796-A4A2-84AA43459793}">
  <dimension ref="B3:L130"/>
  <sheetViews>
    <sheetView topLeftCell="B106" workbookViewId="0">
      <selection activeCell="L129" sqref="L129"/>
    </sheetView>
  </sheetViews>
  <sheetFormatPr baseColWidth="10" defaultRowHeight="14.4" x14ac:dyDescent="0.3"/>
  <cols>
    <col min="2" max="2" width="12.44140625" customWidth="1"/>
  </cols>
  <sheetData>
    <row r="3" spans="2:12" x14ac:dyDescent="0.3">
      <c r="B3" s="28" t="s">
        <v>143</v>
      </c>
      <c r="C3" s="28" t="s">
        <v>55</v>
      </c>
      <c r="D3" s="28" t="s">
        <v>56</v>
      </c>
    </row>
    <row r="4" spans="2:12" x14ac:dyDescent="0.3">
      <c r="B4" s="28" t="s">
        <v>44</v>
      </c>
      <c r="C4" s="1">
        <f>COUNTIFS(Datos!F3:F25,"CIME")</f>
        <v>0</v>
      </c>
      <c r="D4" s="37" t="e">
        <f>C4/C$6</f>
        <v>#DIV/0!</v>
      </c>
    </row>
    <row r="5" spans="2:12" x14ac:dyDescent="0.3">
      <c r="B5" s="28" t="s">
        <v>17</v>
      </c>
      <c r="C5" s="1">
        <f>COUNTIF(Datos!F3:F26,"CSOFT")</f>
        <v>0</v>
      </c>
      <c r="D5" s="37" t="e">
        <f>C5/C$6</f>
        <v>#DIV/0!</v>
      </c>
      <c r="L5" t="s">
        <v>151</v>
      </c>
    </row>
    <row r="6" spans="2:12" x14ac:dyDescent="0.3">
      <c r="C6" s="57">
        <f>SUM(C4,C5)</f>
        <v>0</v>
      </c>
      <c r="D6" s="52" t="e">
        <f>SUM(D4,D5)</f>
        <v>#DIV/0!</v>
      </c>
    </row>
    <row r="19" spans="2:12" x14ac:dyDescent="0.3">
      <c r="B19" s="28" t="s">
        <v>144</v>
      </c>
      <c r="C19" s="28" t="s">
        <v>55</v>
      </c>
      <c r="D19" s="28" t="s">
        <v>56</v>
      </c>
    </row>
    <row r="20" spans="2:12" x14ac:dyDescent="0.3">
      <c r="B20" s="58" t="s">
        <v>18</v>
      </c>
      <c r="C20" s="1">
        <f>COUNTIF(Datos!G3:G25,"Fiscomisional")</f>
        <v>0</v>
      </c>
      <c r="D20" s="37" t="e">
        <f>C20/C$23</f>
        <v>#DIV/0!</v>
      </c>
    </row>
    <row r="21" spans="2:12" x14ac:dyDescent="0.3">
      <c r="B21" s="58" t="s">
        <v>28</v>
      </c>
      <c r="C21" s="1">
        <f>COUNTIF(Datos!G3:G25,"Privado")</f>
        <v>0</v>
      </c>
      <c r="D21" s="37" t="e">
        <f t="shared" ref="D21:D22" si="0">C21/C$23</f>
        <v>#DIV/0!</v>
      </c>
    </row>
    <row r="22" spans="2:12" x14ac:dyDescent="0.3">
      <c r="B22" s="58" t="s">
        <v>25</v>
      </c>
      <c r="C22" s="1">
        <f>COUNTIF(Datos!G3:G25,"Público")</f>
        <v>0</v>
      </c>
      <c r="D22" s="37" t="e">
        <f t="shared" si="0"/>
        <v>#DIV/0!</v>
      </c>
      <c r="L22" t="s">
        <v>152</v>
      </c>
    </row>
    <row r="23" spans="2:12" x14ac:dyDescent="0.3">
      <c r="C23" s="1">
        <f>SUM(C20:C22)</f>
        <v>0</v>
      </c>
      <c r="D23" s="52" t="e">
        <f>SUM(D20:D22)</f>
        <v>#DIV/0!</v>
      </c>
    </row>
    <row r="37" spans="2:12" x14ac:dyDescent="0.3">
      <c r="B37" s="28" t="s">
        <v>145</v>
      </c>
      <c r="C37" s="28" t="s">
        <v>55</v>
      </c>
      <c r="D37" s="28" t="s">
        <v>56</v>
      </c>
    </row>
    <row r="38" spans="2:12" x14ac:dyDescent="0.3">
      <c r="B38" s="58" t="s">
        <v>20</v>
      </c>
      <c r="C38" s="1">
        <f>COUNTIF(Datos!I3:I25,"Soltero")</f>
        <v>0</v>
      </c>
      <c r="D38" s="37" t="e">
        <f>C38/C$39</f>
        <v>#DIV/0!</v>
      </c>
      <c r="L38" t="s">
        <v>153</v>
      </c>
    </row>
    <row r="39" spans="2:12" x14ac:dyDescent="0.3">
      <c r="C39" s="1">
        <f>SUM(C38)</f>
        <v>0</v>
      </c>
      <c r="D39" s="52" t="e">
        <f>SUM(D38)</f>
        <v>#DIV/0!</v>
      </c>
    </row>
    <row r="54" spans="2:12" x14ac:dyDescent="0.3">
      <c r="B54" s="28" t="s">
        <v>146</v>
      </c>
      <c r="C54" s="28" t="s">
        <v>55</v>
      </c>
      <c r="D54" s="28" t="s">
        <v>56</v>
      </c>
    </row>
    <row r="55" spans="2:12" x14ac:dyDescent="0.3">
      <c r="B55" s="58" t="s">
        <v>22</v>
      </c>
      <c r="C55" s="1" t="e">
        <f>COUNTIF(Datos!#REF!,"Carchi")</f>
        <v>#REF!</v>
      </c>
      <c r="D55" s="37" t="e">
        <f>(C55/C$58)</f>
        <v>#REF!</v>
      </c>
    </row>
    <row r="56" spans="2:12" x14ac:dyDescent="0.3">
      <c r="B56" s="58" t="s">
        <v>26</v>
      </c>
      <c r="C56" s="1" t="e">
        <f>COUNTIF(Datos!#REF!,"Imbabura")</f>
        <v>#REF!</v>
      </c>
      <c r="D56" s="37" t="e">
        <f t="shared" ref="D56:D57" si="1">(C56/C$58)</f>
        <v>#REF!</v>
      </c>
    </row>
    <row r="57" spans="2:12" x14ac:dyDescent="0.3">
      <c r="B57" s="58" t="s">
        <v>45</v>
      </c>
      <c r="C57" s="1" t="e">
        <f>COUNTIF(Datos!#REF!,"Pichincha")</f>
        <v>#REF!</v>
      </c>
      <c r="D57" s="37" t="e">
        <f t="shared" si="1"/>
        <v>#REF!</v>
      </c>
    </row>
    <row r="58" spans="2:12" x14ac:dyDescent="0.3">
      <c r="C58" s="1" t="e">
        <f>SUM(C55:C57)</f>
        <v>#REF!</v>
      </c>
      <c r="D58" s="52" t="e">
        <f>SUM(D55:D57)</f>
        <v>#REF!</v>
      </c>
    </row>
    <row r="60" spans="2:12" x14ac:dyDescent="0.3">
      <c r="L60" t="s">
        <v>154</v>
      </c>
    </row>
    <row r="72" spans="2:12" x14ac:dyDescent="0.3">
      <c r="B72" s="28" t="s">
        <v>147</v>
      </c>
      <c r="C72" s="28" t="s">
        <v>55</v>
      </c>
      <c r="D72" s="28" t="s">
        <v>56</v>
      </c>
    </row>
    <row r="73" spans="2:12" x14ac:dyDescent="0.3">
      <c r="B73" s="58" t="s">
        <v>23</v>
      </c>
      <c r="C73" s="1" t="e">
        <f>COUNTIF(Datos!#REF!,"Montúfar")</f>
        <v>#REF!</v>
      </c>
      <c r="D73" s="37" t="e">
        <f>(C73/C$81)</f>
        <v>#REF!</v>
      </c>
    </row>
    <row r="74" spans="2:12" x14ac:dyDescent="0.3">
      <c r="B74" s="58" t="s">
        <v>27</v>
      </c>
      <c r="C74" s="1" t="e">
        <f>COUNTIF(Datos!#REF!,"Otavalo")</f>
        <v>#REF!</v>
      </c>
      <c r="D74" s="37" t="e">
        <f t="shared" ref="D74:D80" si="2">(C74/C$81)</f>
        <v>#REF!</v>
      </c>
    </row>
    <row r="75" spans="2:12" x14ac:dyDescent="0.3">
      <c r="B75" s="58" t="s">
        <v>30</v>
      </c>
      <c r="C75" s="1" t="e">
        <f>COUNTIF(Datos!#REF!,"Ibarra")</f>
        <v>#REF!</v>
      </c>
      <c r="D75" s="37" t="e">
        <f t="shared" si="2"/>
        <v>#REF!</v>
      </c>
    </row>
    <row r="76" spans="2:12" x14ac:dyDescent="0.3">
      <c r="B76" s="58" t="s">
        <v>38</v>
      </c>
      <c r="C76" s="1" t="e">
        <f>COUNTIF(Datos!#REF!,"Atuntaqui")</f>
        <v>#REF!</v>
      </c>
      <c r="D76" s="37" t="e">
        <f t="shared" si="2"/>
        <v>#REF!</v>
      </c>
      <c r="L76" t="s">
        <v>155</v>
      </c>
    </row>
    <row r="77" spans="2:12" x14ac:dyDescent="0.3">
      <c r="B77" s="58" t="s">
        <v>39</v>
      </c>
      <c r="C77" s="1" t="e">
        <f>COUNTIF(Datos!#REF!,"Pimampiro")</f>
        <v>#REF!</v>
      </c>
      <c r="D77" s="37" t="e">
        <f t="shared" si="2"/>
        <v>#REF!</v>
      </c>
    </row>
    <row r="78" spans="2:12" x14ac:dyDescent="0.3">
      <c r="B78" s="58" t="s">
        <v>41</v>
      </c>
      <c r="C78" s="1" t="e">
        <f>COUNTIF(Datos!#REF!,"Urcuqui")</f>
        <v>#REF!</v>
      </c>
      <c r="D78" s="37" t="e">
        <f t="shared" si="2"/>
        <v>#REF!</v>
      </c>
    </row>
    <row r="79" spans="2:12" x14ac:dyDescent="0.3">
      <c r="B79" s="58" t="s">
        <v>43</v>
      </c>
      <c r="C79" s="1" t="e">
        <f>COUNTIF(Datos!#REF!,"Cotacachi")</f>
        <v>#REF!</v>
      </c>
      <c r="D79" s="37" t="e">
        <f t="shared" si="2"/>
        <v>#REF!</v>
      </c>
    </row>
    <row r="80" spans="2:12" x14ac:dyDescent="0.3">
      <c r="B80" s="58" t="s">
        <v>51</v>
      </c>
      <c r="C80" s="1" t="e">
        <f>COUNTIF(Datos!#REF!,"Cayambe")</f>
        <v>#REF!</v>
      </c>
      <c r="D80" s="37" t="e">
        <f t="shared" si="2"/>
        <v>#REF!</v>
      </c>
    </row>
    <row r="81" spans="2:12" x14ac:dyDescent="0.3">
      <c r="C81" s="1" t="e">
        <f>SUM(C73:C80)</f>
        <v>#REF!</v>
      </c>
      <c r="D81" s="52" t="e">
        <f>SUM(D73:D80)</f>
        <v>#REF!</v>
      </c>
    </row>
    <row r="90" spans="2:12" x14ac:dyDescent="0.3">
      <c r="B90" s="28" t="s">
        <v>148</v>
      </c>
      <c r="C90" s="28" t="s">
        <v>55</v>
      </c>
      <c r="D90" s="28" t="s">
        <v>56</v>
      </c>
    </row>
    <row r="91" spans="2:12" x14ac:dyDescent="0.3">
      <c r="B91" s="58" t="s">
        <v>24</v>
      </c>
      <c r="C91" s="1" t="e">
        <f>COUNTIF(Datos!#REF!,"Plus")</f>
        <v>#REF!</v>
      </c>
      <c r="D91" s="37" t="e">
        <f>(C91/C$102)</f>
        <v>#REF!</v>
      </c>
    </row>
    <row r="92" spans="2:12" x14ac:dyDescent="0.3">
      <c r="B92" s="58" t="s">
        <v>31</v>
      </c>
      <c r="C92" s="1" t="e">
        <f>COUNTIF(Datos!#REF!,"Celérity")</f>
        <v>#REF!</v>
      </c>
      <c r="D92" s="37" t="e">
        <f t="shared" ref="D92:D101" si="3">(C92/C$102)</f>
        <v>#REF!</v>
      </c>
    </row>
    <row r="93" spans="2:12" x14ac:dyDescent="0.3">
      <c r="B93" s="58" t="s">
        <v>33</v>
      </c>
      <c r="C93" s="1" t="e">
        <f>COUNTIF(Datos!#REF!,"Saitel")</f>
        <v>#REF!</v>
      </c>
      <c r="D93" s="37" t="e">
        <f t="shared" si="3"/>
        <v>#REF!</v>
      </c>
    </row>
    <row r="94" spans="2:12" x14ac:dyDescent="0.3">
      <c r="B94" s="58" t="s">
        <v>36</v>
      </c>
      <c r="C94" s="1" t="e">
        <f>COUNTIF(Datos!#REF!,"INNO")</f>
        <v>#REF!</v>
      </c>
      <c r="D94" s="37" t="e">
        <f t="shared" si="3"/>
        <v>#REF!</v>
      </c>
      <c r="L94" t="s">
        <v>156</v>
      </c>
    </row>
    <row r="95" spans="2:12" x14ac:dyDescent="0.3">
      <c r="B95" s="58" t="s">
        <v>37</v>
      </c>
      <c r="C95" s="1" t="e">
        <f>COUNTIF(Datos!#REF!,"Netlife")</f>
        <v>#REF!</v>
      </c>
      <c r="D95" s="37" t="e">
        <f t="shared" si="3"/>
        <v>#REF!</v>
      </c>
    </row>
    <row r="96" spans="2:12" x14ac:dyDescent="0.3">
      <c r="B96" s="58" t="s">
        <v>40</v>
      </c>
      <c r="C96" s="1" t="e">
        <f>COUNTIF(Datos!#REF!,"TV Cable")</f>
        <v>#REF!</v>
      </c>
      <c r="D96" s="37" t="e">
        <f t="shared" si="3"/>
        <v>#REF!</v>
      </c>
    </row>
    <row r="97" spans="2:12" x14ac:dyDescent="0.3">
      <c r="B97" s="58" t="s">
        <v>46</v>
      </c>
      <c r="C97" s="1" t="e">
        <f>COUNTIF(Datos!#REF!,"REDECOM")</f>
        <v>#REF!</v>
      </c>
      <c r="D97" s="37" t="e">
        <f t="shared" si="3"/>
        <v>#REF!</v>
      </c>
    </row>
    <row r="98" spans="2:12" x14ac:dyDescent="0.3">
      <c r="B98" s="58" t="s">
        <v>48</v>
      </c>
      <c r="C98" s="1" t="e">
        <f>COUNTIF(Datos!#REF!,"Claro")</f>
        <v>#REF!</v>
      </c>
      <c r="D98" s="37" t="e">
        <f t="shared" si="3"/>
        <v>#REF!</v>
      </c>
    </row>
    <row r="99" spans="2:12" x14ac:dyDescent="0.3">
      <c r="B99" s="58" t="s">
        <v>49</v>
      </c>
      <c r="C99" s="1" t="e">
        <f>COUNTIF(Datos!#REF!,"Otro")</f>
        <v>#REF!</v>
      </c>
      <c r="D99" s="37" t="e">
        <f t="shared" si="3"/>
        <v>#REF!</v>
      </c>
    </row>
    <row r="100" spans="2:12" x14ac:dyDescent="0.3">
      <c r="B100" s="58" t="s">
        <v>50</v>
      </c>
      <c r="C100" s="1" t="e">
        <f>COUNTIF(Datos!#REF!,"CNT")</f>
        <v>#REF!</v>
      </c>
      <c r="D100" s="37" t="e">
        <f t="shared" si="3"/>
        <v>#REF!</v>
      </c>
    </row>
    <row r="101" spans="2:12" x14ac:dyDescent="0.3">
      <c r="B101" s="58" t="s">
        <v>52</v>
      </c>
      <c r="C101" s="1" t="e">
        <f>COUNTIF(Datos!#REF!,"SIMANTEC")</f>
        <v>#REF!</v>
      </c>
      <c r="D101" s="37" t="e">
        <f t="shared" si="3"/>
        <v>#REF!</v>
      </c>
    </row>
    <row r="102" spans="2:12" x14ac:dyDescent="0.3">
      <c r="C102" s="1" t="e">
        <f>SUM(C91:C101)</f>
        <v>#REF!</v>
      </c>
      <c r="D102" s="52" t="e">
        <f>SUM(D91:D101)</f>
        <v>#REF!</v>
      </c>
    </row>
    <row r="110" spans="2:12" x14ac:dyDescent="0.3">
      <c r="B110" s="28" t="s">
        <v>149</v>
      </c>
      <c r="C110" s="28" t="s">
        <v>55</v>
      </c>
      <c r="D110" s="28" t="s">
        <v>56</v>
      </c>
    </row>
    <row r="111" spans="2:12" x14ac:dyDescent="0.3">
      <c r="B111" s="58">
        <v>1</v>
      </c>
      <c r="C111" s="1">
        <f>COUNTIF(Datos!N3:N25,"1")</f>
        <v>16</v>
      </c>
      <c r="D111" s="37">
        <f>(C111/C$114)</f>
        <v>0.69565217391304346</v>
      </c>
    </row>
    <row r="112" spans="2:12" x14ac:dyDescent="0.3">
      <c r="B112" s="58">
        <v>2</v>
      </c>
      <c r="C112" s="1">
        <f>COUNTIF(Datos!N3:N25,"2")</f>
        <v>5</v>
      </c>
      <c r="D112" s="37">
        <f t="shared" ref="D112:D113" si="4">(C112/C$114)</f>
        <v>0.21739130434782608</v>
      </c>
      <c r="L112" t="s">
        <v>157</v>
      </c>
    </row>
    <row r="113" spans="2:4" x14ac:dyDescent="0.3">
      <c r="B113" s="58">
        <v>3</v>
      </c>
      <c r="C113" s="1">
        <f>COUNTIF(Datos!N3:N25,"3")</f>
        <v>2</v>
      </c>
      <c r="D113" s="37">
        <f t="shared" si="4"/>
        <v>8.6956521739130432E-2</v>
      </c>
    </row>
    <row r="114" spans="2:4" x14ac:dyDescent="0.3">
      <c r="C114" s="1">
        <f>SUM(C111:C113)</f>
        <v>23</v>
      </c>
      <c r="D114" s="52">
        <f>SUM(D111:D113)</f>
        <v>1</v>
      </c>
    </row>
    <row r="128" spans="2:4" x14ac:dyDescent="0.3">
      <c r="B128" s="28" t="s">
        <v>150</v>
      </c>
      <c r="C128" s="28" t="s">
        <v>55</v>
      </c>
      <c r="D128" s="28" t="s">
        <v>56</v>
      </c>
    </row>
    <row r="129" spans="2:12" x14ac:dyDescent="0.3">
      <c r="B129" s="58" t="s">
        <v>21</v>
      </c>
      <c r="C129" s="1">
        <f>COUNTIF(Datos!O3:O25,"No")</f>
        <v>0</v>
      </c>
      <c r="D129" s="37" t="e">
        <f>(C129/C$130)</f>
        <v>#DIV/0!</v>
      </c>
      <c r="L129" t="s">
        <v>158</v>
      </c>
    </row>
    <row r="130" spans="2:12" x14ac:dyDescent="0.3">
      <c r="C130" s="1">
        <f>SUM(C129)</f>
        <v>0</v>
      </c>
      <c r="D130" s="37" t="e">
        <f>(C130/C$130)</f>
        <v>#DIV/0!</v>
      </c>
    </row>
  </sheetData>
  <sortState xmlns:xlrd2="http://schemas.microsoft.com/office/spreadsheetml/2017/richdata2" ref="B111:B113">
    <sortCondition ref="B111:B113"/>
  </sortState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94FBAA9-9EB7-45DF-9FE6-CC44C7BAEC5A}">
          <x14:formula1>
            <xm:f>etiquetas!$B$4:$B$5</xm:f>
          </x14:formula1>
          <xm:sqref>B4:B5</xm:sqref>
        </x14:dataValidation>
        <x14:dataValidation type="list" allowBlank="1" showInputMessage="1" showErrorMessage="1" xr:uid="{7A4860F4-FC6E-40CE-A19E-006787AC8EAA}">
          <x14:formula1>
            <xm:f>etiquetas!$B$8:$B$10</xm:f>
          </x14:formula1>
          <xm:sqref>B20:B22</xm:sqref>
        </x14:dataValidation>
        <x14:dataValidation type="list" allowBlank="1" showInputMessage="1" showErrorMessage="1" xr:uid="{B4B44674-3A90-48DA-AF9E-28CC438EEB26}">
          <x14:formula1>
            <xm:f>etiquetas!$B$17:$B$21</xm:f>
          </x14:formula1>
          <xm:sqref>B38</xm:sqref>
        </x14:dataValidation>
        <x14:dataValidation type="list" allowBlank="1" showInputMessage="1" showErrorMessage="1" xr:uid="{729B44D6-3AF1-46EB-BF6F-217B01FECF2A}">
          <x14:formula1>
            <xm:f>etiquetas!$E$8:$E$22</xm:f>
          </x14:formula1>
          <xm:sqref>B91:B95 B97:B98 B100:B101</xm:sqref>
        </x14:dataValidation>
        <x14:dataValidation type="list" allowBlank="1" showInputMessage="1" showErrorMessage="1" xr:uid="{D7B59803-6048-4964-9990-927AEC2C5DBA}">
          <x14:formula1>
            <xm:f>etiquetas!$E$4:$E$5</xm:f>
          </x14:formula1>
          <xm:sqref>B129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1FF5-B9B0-4A0E-BA31-01F3A76ABA4D}">
  <dimension ref="B2:H52"/>
  <sheetViews>
    <sheetView topLeftCell="A22" zoomScale="115" zoomScaleNormal="115" workbookViewId="0">
      <selection activeCell="E13" sqref="E13"/>
    </sheetView>
  </sheetViews>
  <sheetFormatPr baseColWidth="10" defaultColWidth="10.6640625" defaultRowHeight="14.4" x14ac:dyDescent="0.3"/>
  <sheetData>
    <row r="2" spans="2:4" x14ac:dyDescent="0.3">
      <c r="B2" s="5" t="s">
        <v>54</v>
      </c>
      <c r="C2" s="32" t="s">
        <v>55</v>
      </c>
      <c r="D2" s="32" t="s">
        <v>56</v>
      </c>
    </row>
    <row r="3" spans="2:4" x14ac:dyDescent="0.3">
      <c r="B3" s="33" t="s">
        <v>17</v>
      </c>
      <c r="C3" s="1">
        <f>COUNTIF(Datos!F3:F14,Hoja3!B3)</f>
        <v>0</v>
      </c>
      <c r="D3" s="35" t="e">
        <f>C3/$C$5</f>
        <v>#DIV/0!</v>
      </c>
    </row>
    <row r="4" spans="2:4" x14ac:dyDescent="0.3">
      <c r="B4" s="33" t="s">
        <v>57</v>
      </c>
      <c r="C4" s="1">
        <f>COUNTIF(Datos!F3:F14,B4)</f>
        <v>0</v>
      </c>
      <c r="D4" s="35" t="e">
        <f t="shared" ref="D4:D5" si="0">C4/$C$5</f>
        <v>#DIV/0!</v>
      </c>
    </row>
    <row r="5" spans="2:4" x14ac:dyDescent="0.3">
      <c r="C5" s="34">
        <f>SUM(C3:C4)</f>
        <v>0</v>
      </c>
      <c r="D5" s="36" t="e">
        <f t="shared" si="0"/>
        <v>#DIV/0!</v>
      </c>
    </row>
    <row r="12" spans="2:4" x14ac:dyDescent="0.3">
      <c r="C12" t="s">
        <v>58</v>
      </c>
      <c r="D12" t="s">
        <v>55</v>
      </c>
    </row>
    <row r="13" spans="2:4" x14ac:dyDescent="0.3">
      <c r="C13">
        <v>20</v>
      </c>
      <c r="D13">
        <f>COUNTIF(Datos!E3:E14,Hoja3!C13)</f>
        <v>5</v>
      </c>
    </row>
    <row r="14" spans="2:4" x14ac:dyDescent="0.3">
      <c r="C14">
        <v>21</v>
      </c>
      <c r="D14">
        <f>COUNTIF(Datos!E4:E19,Hoja3!C14)</f>
        <v>4</v>
      </c>
    </row>
    <row r="15" spans="2:4" x14ac:dyDescent="0.3">
      <c r="C15">
        <v>22</v>
      </c>
      <c r="D15">
        <f>COUNTIF(Datos!E5:E19,Hoja3!C15)</f>
        <v>2</v>
      </c>
    </row>
    <row r="16" spans="2:4" x14ac:dyDescent="0.3">
      <c r="C16">
        <v>23</v>
      </c>
      <c r="D16">
        <f>COUNTIF(Datos!E6:E19,Hoja3!C16)</f>
        <v>1</v>
      </c>
    </row>
    <row r="17" spans="3:4" x14ac:dyDescent="0.3">
      <c r="C17">
        <v>24</v>
      </c>
      <c r="D17">
        <f>COUNTIF(Datos!E7:E19,Hoja3!C17)</f>
        <v>0</v>
      </c>
    </row>
    <row r="18" spans="3:4" x14ac:dyDescent="0.3">
      <c r="C18">
        <v>25</v>
      </c>
      <c r="D18">
        <f>COUNTIF(Datos!E8:E19,Hoja3!C18)</f>
        <v>0</v>
      </c>
    </row>
    <row r="19" spans="3:4" x14ac:dyDescent="0.3">
      <c r="C19">
        <v>26</v>
      </c>
      <c r="D19">
        <f>COUNTIF(Datos!E9:E19,Hoja3!C19)</f>
        <v>0</v>
      </c>
    </row>
    <row r="20" spans="3:4" x14ac:dyDescent="0.3">
      <c r="C20">
        <v>27</v>
      </c>
      <c r="D20">
        <f>COUNTIF(Datos!E10:E19,Hoja3!C20)</f>
        <v>0</v>
      </c>
    </row>
    <row r="21" spans="3:4" x14ac:dyDescent="0.3">
      <c r="C21">
        <v>28</v>
      </c>
      <c r="D21">
        <f>COUNTIF(Datos!E11:E19,Hoja3!C21)</f>
        <v>0</v>
      </c>
    </row>
    <row r="22" spans="3:4" x14ac:dyDescent="0.3">
      <c r="C22">
        <v>29</v>
      </c>
      <c r="D22">
        <f>COUNTIF(Datos!E12:E19,Hoja3!C22)</f>
        <v>0</v>
      </c>
    </row>
    <row r="23" spans="3:4" x14ac:dyDescent="0.3">
      <c r="D23">
        <f>SUM(D13:D22)</f>
        <v>12</v>
      </c>
    </row>
    <row r="30" spans="3:4" x14ac:dyDescent="0.3">
      <c r="C30" t="s">
        <v>59</v>
      </c>
      <c r="D30" s="22" t="e">
        <f>CORREL(Datos!C3:C14,Datos!D3:D14)</f>
        <v>#DIV/0!</v>
      </c>
    </row>
    <row r="46" spans="2:8" x14ac:dyDescent="0.3">
      <c r="B46" t="s">
        <v>60</v>
      </c>
      <c r="C46" s="22" t="e">
        <f>CORREL(Datos!C3:C14,Datos!D3:D14)</f>
        <v>#DIV/0!</v>
      </c>
    </row>
    <row r="48" spans="2:8" x14ac:dyDescent="0.3">
      <c r="G48" s="39" t="s">
        <v>61</v>
      </c>
      <c r="H48" t="e">
        <f>AVERAGE(Datos!C3:C14)</f>
        <v>#DIV/0!</v>
      </c>
    </row>
    <row r="49" spans="7:8" x14ac:dyDescent="0.3">
      <c r="G49" t="s">
        <v>62</v>
      </c>
      <c r="H49">
        <f>AVERAGE(Datos!D3:D14)</f>
        <v>65.916666666666671</v>
      </c>
    </row>
    <row r="51" spans="7:8" x14ac:dyDescent="0.3">
      <c r="G51" t="s">
        <v>63</v>
      </c>
      <c r="H51" t="e">
        <f>_xlfn.STDEV.S(Datos!C3:C14)</f>
        <v>#DIV/0!</v>
      </c>
    </row>
    <row r="52" spans="7:8" x14ac:dyDescent="0.3">
      <c r="G52" t="s">
        <v>64</v>
      </c>
      <c r="H52">
        <f>_xlfn.STDEV.S(Datos!D3:D14)</f>
        <v>9.433579609163429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74A2-6B59-4122-8E94-64FC8306F072}">
  <dimension ref="B1:T47"/>
  <sheetViews>
    <sheetView zoomScale="115" zoomScaleNormal="115" workbookViewId="0">
      <pane ySplit="2" topLeftCell="A15" activePane="bottomLeft" state="frozen"/>
      <selection pane="bottomLeft" activeCell="E46" sqref="E46"/>
    </sheetView>
  </sheetViews>
  <sheetFormatPr baseColWidth="10" defaultColWidth="11.44140625" defaultRowHeight="14.4" x14ac:dyDescent="0.3"/>
  <cols>
    <col min="1" max="1" width="6.109375" customWidth="1"/>
    <col min="2" max="2" width="7.109375" customWidth="1"/>
    <col min="3" max="3" width="13.88671875" style="22" bestFit="1" customWidth="1"/>
    <col min="5" max="5" width="11.88671875" customWidth="1"/>
    <col min="7" max="7" width="14.6640625" bestFit="1" customWidth="1"/>
    <col min="10" max="10" width="15.33203125" bestFit="1" customWidth="1"/>
    <col min="11" max="11" width="14.6640625" bestFit="1" customWidth="1"/>
    <col min="12" max="12" width="16.5546875" customWidth="1"/>
    <col min="13" max="13" width="24.88671875" bestFit="1" customWidth="1"/>
    <col min="14" max="14" width="19" customWidth="1"/>
    <col min="15" max="15" width="11.109375" bestFit="1" customWidth="1"/>
    <col min="16" max="16" width="13.109375" bestFit="1" customWidth="1"/>
  </cols>
  <sheetData>
    <row r="1" spans="2:20" x14ac:dyDescent="0.3">
      <c r="C1" s="24" t="s">
        <v>0</v>
      </c>
      <c r="D1" s="7" t="s">
        <v>0</v>
      </c>
      <c r="E1" s="7" t="s">
        <v>0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0</v>
      </c>
      <c r="K1" s="7" t="s">
        <v>1</v>
      </c>
      <c r="L1" s="7" t="s">
        <v>0</v>
      </c>
      <c r="M1" s="7" t="s">
        <v>0</v>
      </c>
      <c r="N1" s="7" t="s">
        <v>2</v>
      </c>
      <c r="O1" s="7" t="s">
        <v>1</v>
      </c>
    </row>
    <row r="2" spans="2:20" x14ac:dyDescent="0.3">
      <c r="B2" s="2" t="s">
        <v>3</v>
      </c>
      <c r="C2" s="25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2:20" x14ac:dyDescent="0.3">
      <c r="B3" s="1">
        <v>1</v>
      </c>
      <c r="C3" s="6">
        <v>1.66</v>
      </c>
      <c r="D3" s="6">
        <v>60</v>
      </c>
      <c r="E3" s="10">
        <v>29</v>
      </c>
      <c r="F3" s="1">
        <v>1</v>
      </c>
      <c r="G3" s="1">
        <v>1</v>
      </c>
      <c r="H3" s="1">
        <v>1</v>
      </c>
      <c r="I3" s="1">
        <v>1</v>
      </c>
      <c r="J3" s="1">
        <v>1500</v>
      </c>
      <c r="K3" s="1">
        <v>1</v>
      </c>
      <c r="L3" s="1">
        <v>8.82</v>
      </c>
      <c r="M3" s="1">
        <v>100</v>
      </c>
      <c r="N3" s="1">
        <v>1</v>
      </c>
      <c r="O3" s="1">
        <v>2</v>
      </c>
      <c r="T3" s="8"/>
    </row>
    <row r="4" spans="2:20" x14ac:dyDescent="0.3">
      <c r="B4" s="1">
        <f>B3+1</f>
        <v>2</v>
      </c>
      <c r="C4" s="16" t="s">
        <v>65</v>
      </c>
      <c r="D4">
        <v>90</v>
      </c>
      <c r="E4" s="10">
        <v>21</v>
      </c>
      <c r="F4" s="1">
        <v>1</v>
      </c>
      <c r="G4" s="1">
        <v>3</v>
      </c>
      <c r="H4" s="1">
        <v>1</v>
      </c>
      <c r="I4" s="1">
        <v>1</v>
      </c>
      <c r="J4" s="1">
        <v>2000</v>
      </c>
      <c r="K4" s="1">
        <v>2</v>
      </c>
      <c r="L4" s="1">
        <v>8.5</v>
      </c>
      <c r="M4" s="1">
        <v>100</v>
      </c>
      <c r="N4" s="1">
        <v>2</v>
      </c>
      <c r="O4" s="1">
        <v>2</v>
      </c>
      <c r="T4" s="8"/>
    </row>
    <row r="5" spans="2:20" x14ac:dyDescent="0.3">
      <c r="B5" s="1">
        <v>3</v>
      </c>
      <c r="C5" s="16" t="s">
        <v>66</v>
      </c>
      <c r="D5" s="6">
        <v>70</v>
      </c>
      <c r="E5" s="10">
        <v>21</v>
      </c>
      <c r="F5" s="1">
        <v>2</v>
      </c>
      <c r="G5" s="1">
        <v>1</v>
      </c>
      <c r="H5" s="1">
        <v>1</v>
      </c>
      <c r="I5" s="1">
        <v>1</v>
      </c>
      <c r="J5" s="1">
        <v>680</v>
      </c>
      <c r="K5" s="1">
        <v>1</v>
      </c>
      <c r="L5" s="1">
        <v>8.1</v>
      </c>
      <c r="M5" s="1">
        <v>30</v>
      </c>
      <c r="N5" s="1">
        <v>1</v>
      </c>
      <c r="O5" s="1">
        <v>2</v>
      </c>
      <c r="T5" s="8"/>
    </row>
    <row r="6" spans="2:20" x14ac:dyDescent="0.3">
      <c r="B6" s="1">
        <v>4</v>
      </c>
      <c r="C6" s="16" t="s">
        <v>67</v>
      </c>
      <c r="D6">
        <v>59</v>
      </c>
      <c r="E6" s="10">
        <v>21</v>
      </c>
      <c r="F6" s="1">
        <v>1</v>
      </c>
      <c r="G6" s="1">
        <v>1</v>
      </c>
      <c r="H6" s="1">
        <v>2</v>
      </c>
      <c r="I6" s="1">
        <v>1</v>
      </c>
      <c r="J6" s="1">
        <v>520</v>
      </c>
      <c r="K6" s="1">
        <v>2</v>
      </c>
      <c r="L6" s="1">
        <v>8.36</v>
      </c>
      <c r="M6" s="1">
        <v>100</v>
      </c>
      <c r="N6" s="1">
        <v>2</v>
      </c>
      <c r="O6" s="1">
        <v>2</v>
      </c>
      <c r="S6" s="4"/>
      <c r="T6" s="9"/>
    </row>
    <row r="7" spans="2:20" x14ac:dyDescent="0.3">
      <c r="B7" s="1">
        <f t="shared" ref="B7:B9" si="0">B6+1</f>
        <v>5</v>
      </c>
      <c r="C7" s="16" t="s">
        <v>66</v>
      </c>
      <c r="D7" s="6">
        <v>68</v>
      </c>
      <c r="E7" s="10">
        <v>23</v>
      </c>
      <c r="F7" s="1">
        <v>1</v>
      </c>
      <c r="G7" s="1">
        <v>1</v>
      </c>
      <c r="H7" s="1">
        <v>1</v>
      </c>
      <c r="I7" s="1">
        <v>1</v>
      </c>
      <c r="J7" s="29">
        <v>1500</v>
      </c>
      <c r="K7" s="1">
        <v>1</v>
      </c>
      <c r="L7" s="1">
        <v>7.9</v>
      </c>
      <c r="M7" s="1">
        <v>80</v>
      </c>
      <c r="N7" s="1">
        <v>1</v>
      </c>
      <c r="O7" s="1">
        <v>2</v>
      </c>
    </row>
    <row r="8" spans="2:20" x14ac:dyDescent="0.3">
      <c r="B8" s="1">
        <f t="shared" si="0"/>
        <v>6</v>
      </c>
      <c r="C8" s="16" t="s">
        <v>68</v>
      </c>
      <c r="D8">
        <v>62</v>
      </c>
      <c r="E8" s="10">
        <v>21</v>
      </c>
      <c r="F8" s="1">
        <v>1</v>
      </c>
      <c r="G8" s="1">
        <v>1</v>
      </c>
      <c r="H8" s="1">
        <v>1</v>
      </c>
      <c r="I8" s="1">
        <v>1</v>
      </c>
      <c r="J8" s="29">
        <v>1200</v>
      </c>
      <c r="K8" s="1">
        <v>2</v>
      </c>
      <c r="L8" s="1">
        <v>8.98</v>
      </c>
      <c r="M8" s="1">
        <v>40</v>
      </c>
      <c r="N8" s="1">
        <v>1</v>
      </c>
      <c r="O8" s="1">
        <v>2</v>
      </c>
    </row>
    <row r="9" spans="2:20" x14ac:dyDescent="0.3">
      <c r="B9" s="1">
        <f t="shared" si="0"/>
        <v>7</v>
      </c>
      <c r="C9" s="16" t="s">
        <v>69</v>
      </c>
      <c r="D9" s="6">
        <v>60</v>
      </c>
      <c r="E9" s="10">
        <v>21</v>
      </c>
      <c r="F9" s="1">
        <v>1</v>
      </c>
      <c r="G9" s="1">
        <v>1</v>
      </c>
      <c r="H9" s="1">
        <v>1</v>
      </c>
      <c r="I9" s="1">
        <v>1</v>
      </c>
      <c r="J9" s="1">
        <v>600</v>
      </c>
      <c r="K9" s="1">
        <v>1</v>
      </c>
      <c r="L9" s="1">
        <v>7.35</v>
      </c>
      <c r="M9" s="1">
        <v>40</v>
      </c>
      <c r="N9" s="1">
        <v>1</v>
      </c>
      <c r="O9" s="1">
        <v>2</v>
      </c>
    </row>
    <row r="10" spans="2:20" x14ac:dyDescent="0.3">
      <c r="B10" s="1">
        <v>8</v>
      </c>
      <c r="C10" s="16">
        <v>1.75</v>
      </c>
      <c r="D10" s="6">
        <v>86</v>
      </c>
      <c r="E10" s="10">
        <v>25</v>
      </c>
      <c r="F10" s="1">
        <v>2</v>
      </c>
      <c r="G10" s="1">
        <v>2</v>
      </c>
      <c r="H10" s="1">
        <v>1</v>
      </c>
      <c r="I10" s="1">
        <v>1</v>
      </c>
      <c r="J10" s="1">
        <v>2400</v>
      </c>
      <c r="K10" s="1">
        <v>2</v>
      </c>
      <c r="L10" s="1">
        <v>8.1</v>
      </c>
      <c r="M10" s="1">
        <v>50</v>
      </c>
      <c r="N10" s="1">
        <v>2</v>
      </c>
      <c r="O10" s="1">
        <v>2</v>
      </c>
    </row>
    <row r="11" spans="2:20" x14ac:dyDescent="0.3">
      <c r="B11" s="1">
        <v>9</v>
      </c>
      <c r="C11" s="16">
        <v>1.6</v>
      </c>
      <c r="D11" s="6">
        <v>60</v>
      </c>
      <c r="E11" s="10">
        <v>23</v>
      </c>
      <c r="F11" s="1">
        <v>1</v>
      </c>
      <c r="G11" s="1">
        <v>1</v>
      </c>
      <c r="H11" s="1">
        <v>1</v>
      </c>
      <c r="I11" s="1">
        <v>1</v>
      </c>
      <c r="J11" s="1">
        <v>850</v>
      </c>
      <c r="K11" s="1">
        <v>2</v>
      </c>
      <c r="L11" s="6">
        <v>7.63</v>
      </c>
      <c r="M11" s="1">
        <v>40</v>
      </c>
      <c r="N11" s="1">
        <v>1</v>
      </c>
      <c r="O11" s="1">
        <v>2</v>
      </c>
    </row>
    <row r="12" spans="2:20" x14ac:dyDescent="0.3">
      <c r="B12" s="1">
        <f t="shared" ref="B12:B13" si="1">B11+1</f>
        <v>10</v>
      </c>
      <c r="C12" s="16">
        <v>1.72</v>
      </c>
      <c r="D12" s="6">
        <v>66</v>
      </c>
      <c r="E12" s="10">
        <v>21</v>
      </c>
      <c r="F12" s="1">
        <v>1</v>
      </c>
      <c r="G12" s="1">
        <v>3</v>
      </c>
      <c r="H12" s="1">
        <v>1</v>
      </c>
      <c r="I12" s="1">
        <v>1</v>
      </c>
      <c r="J12" s="1">
        <v>4100</v>
      </c>
      <c r="K12" s="1">
        <v>2</v>
      </c>
      <c r="L12" s="1">
        <v>7.76</v>
      </c>
      <c r="M12" s="1">
        <v>18</v>
      </c>
      <c r="N12" s="1">
        <v>1</v>
      </c>
      <c r="O12" s="1">
        <v>2</v>
      </c>
    </row>
    <row r="13" spans="2:20" x14ac:dyDescent="0.3">
      <c r="B13" s="1">
        <f t="shared" si="1"/>
        <v>11</v>
      </c>
      <c r="C13" s="16" t="s">
        <v>66</v>
      </c>
      <c r="D13" s="6">
        <v>62</v>
      </c>
      <c r="E13" s="10">
        <v>21</v>
      </c>
      <c r="F13" s="1">
        <v>1</v>
      </c>
      <c r="G13" s="1">
        <v>1</v>
      </c>
      <c r="H13" s="1">
        <v>1</v>
      </c>
      <c r="I13" s="1">
        <v>1</v>
      </c>
      <c r="J13" s="1">
        <v>850</v>
      </c>
      <c r="K13" s="1">
        <v>2</v>
      </c>
      <c r="L13" s="1">
        <v>8.35</v>
      </c>
      <c r="M13" s="1">
        <v>22</v>
      </c>
      <c r="N13" s="1">
        <v>1</v>
      </c>
      <c r="O13" s="28">
        <v>2</v>
      </c>
    </row>
    <row r="14" spans="2:20" x14ac:dyDescent="0.3">
      <c r="B14" s="1">
        <v>12</v>
      </c>
      <c r="C14" s="16">
        <v>1.6</v>
      </c>
      <c r="D14" s="6">
        <v>52</v>
      </c>
      <c r="E14" s="10">
        <v>22</v>
      </c>
      <c r="F14" s="1">
        <v>2</v>
      </c>
      <c r="G14" s="1">
        <v>1</v>
      </c>
      <c r="H14" s="1">
        <v>2</v>
      </c>
      <c r="I14" s="1">
        <v>1</v>
      </c>
      <c r="J14" s="1">
        <v>600</v>
      </c>
      <c r="K14" s="1">
        <v>2</v>
      </c>
      <c r="L14" s="5">
        <v>7.8</v>
      </c>
      <c r="M14" s="1">
        <v>76</v>
      </c>
      <c r="N14" s="1">
        <v>1</v>
      </c>
      <c r="O14" s="1">
        <v>2</v>
      </c>
    </row>
    <row r="15" spans="2:20" x14ac:dyDescent="0.3">
      <c r="B15" s="1">
        <v>13</v>
      </c>
      <c r="C15" s="16" t="s">
        <v>69</v>
      </c>
      <c r="D15" s="6">
        <v>60</v>
      </c>
      <c r="E15" s="10">
        <v>22</v>
      </c>
      <c r="F15" s="1">
        <v>1</v>
      </c>
      <c r="G15" s="1">
        <v>1</v>
      </c>
      <c r="H15" s="1">
        <v>1</v>
      </c>
      <c r="I15" s="1">
        <v>1</v>
      </c>
      <c r="J15" s="1">
        <v>500</v>
      </c>
      <c r="K15" s="1">
        <v>2</v>
      </c>
      <c r="L15" s="16" t="s">
        <v>70</v>
      </c>
      <c r="M15" s="1">
        <v>80</v>
      </c>
      <c r="N15" s="1">
        <v>1</v>
      </c>
      <c r="O15" s="1">
        <v>2</v>
      </c>
    </row>
    <row r="16" spans="2:20" x14ac:dyDescent="0.3">
      <c r="B16" s="1">
        <f t="shared" ref="B16:B17" si="2">B15+1</f>
        <v>14</v>
      </c>
      <c r="C16" s="16">
        <v>1.69</v>
      </c>
      <c r="D16" s="6">
        <v>59</v>
      </c>
      <c r="E16" s="10">
        <v>24</v>
      </c>
      <c r="F16" s="1">
        <v>1</v>
      </c>
      <c r="G16" s="1">
        <v>1</v>
      </c>
      <c r="H16" s="1">
        <v>1</v>
      </c>
      <c r="I16" s="1">
        <v>1</v>
      </c>
      <c r="J16" s="1">
        <v>1000</v>
      </c>
      <c r="K16" s="1">
        <v>2</v>
      </c>
      <c r="L16" s="16">
        <v>7.6</v>
      </c>
      <c r="M16" s="1">
        <v>50</v>
      </c>
      <c r="N16" s="1">
        <v>1</v>
      </c>
      <c r="O16" s="1">
        <v>2</v>
      </c>
    </row>
    <row r="17" spans="2:15" x14ac:dyDescent="0.3">
      <c r="B17" s="1">
        <f t="shared" si="2"/>
        <v>15</v>
      </c>
      <c r="C17" s="16" t="s">
        <v>69</v>
      </c>
      <c r="D17" s="6">
        <v>60</v>
      </c>
      <c r="E17" s="10">
        <v>21</v>
      </c>
      <c r="F17" s="1">
        <v>1</v>
      </c>
      <c r="G17" s="1">
        <v>1</v>
      </c>
      <c r="H17" s="1">
        <v>2</v>
      </c>
      <c r="I17" s="1">
        <v>1</v>
      </c>
      <c r="J17" s="29">
        <v>1000</v>
      </c>
      <c r="K17" s="1">
        <v>2</v>
      </c>
      <c r="L17" s="16" t="s">
        <v>71</v>
      </c>
      <c r="M17" s="1">
        <v>50</v>
      </c>
      <c r="N17" s="1">
        <v>1</v>
      </c>
      <c r="O17" s="1">
        <v>2</v>
      </c>
    </row>
    <row r="18" spans="2:15" x14ac:dyDescent="0.3">
      <c r="B18" s="1">
        <v>16</v>
      </c>
      <c r="C18" s="16" t="s">
        <v>47</v>
      </c>
      <c r="D18" s="6">
        <v>49</v>
      </c>
      <c r="E18" s="10">
        <v>23</v>
      </c>
      <c r="F18" s="1">
        <v>2</v>
      </c>
      <c r="G18" s="1">
        <v>1</v>
      </c>
      <c r="H18" s="1">
        <v>2</v>
      </c>
      <c r="I18" s="1">
        <v>1</v>
      </c>
      <c r="J18" s="1">
        <v>600</v>
      </c>
      <c r="K18" s="1">
        <v>1</v>
      </c>
      <c r="L18" s="16" t="s">
        <v>72</v>
      </c>
      <c r="M18" s="1">
        <v>50</v>
      </c>
      <c r="N18" s="1">
        <v>2</v>
      </c>
      <c r="O18" s="1">
        <v>2</v>
      </c>
    </row>
    <row r="19" spans="2:15" x14ac:dyDescent="0.3">
      <c r="B19" s="1">
        <v>17</v>
      </c>
      <c r="C19" s="16" t="s">
        <v>73</v>
      </c>
      <c r="D19" s="6">
        <v>58</v>
      </c>
      <c r="E19" s="10">
        <v>21</v>
      </c>
      <c r="F19" s="27">
        <v>1</v>
      </c>
      <c r="G19" s="27">
        <v>1</v>
      </c>
      <c r="H19" s="27">
        <v>1</v>
      </c>
      <c r="I19" s="1">
        <v>1</v>
      </c>
      <c r="J19" s="1">
        <v>900</v>
      </c>
      <c r="K19" s="1">
        <v>2</v>
      </c>
      <c r="L19" s="16" t="s">
        <v>74</v>
      </c>
      <c r="M19" s="1">
        <v>25</v>
      </c>
      <c r="N19" s="1">
        <v>3</v>
      </c>
      <c r="O19" s="1">
        <v>2</v>
      </c>
    </row>
    <row r="20" spans="2:15" x14ac:dyDescent="0.3">
      <c r="B20" s="1">
        <f t="shared" ref="B20:B21" si="3">B19+1</f>
        <v>18</v>
      </c>
      <c r="C20" s="16" t="s">
        <v>75</v>
      </c>
      <c r="D20" s="6">
        <v>62</v>
      </c>
      <c r="E20" s="10">
        <v>20</v>
      </c>
      <c r="F20" s="1">
        <v>1</v>
      </c>
      <c r="G20" s="1">
        <v>1</v>
      </c>
      <c r="H20" s="1">
        <v>1</v>
      </c>
      <c r="I20" s="1">
        <v>1</v>
      </c>
      <c r="J20" s="1">
        <v>500</v>
      </c>
      <c r="K20" s="1">
        <v>1</v>
      </c>
      <c r="L20" s="16" t="s">
        <v>76</v>
      </c>
      <c r="M20" s="6">
        <v>60</v>
      </c>
      <c r="N20" s="1">
        <v>1</v>
      </c>
      <c r="O20" s="1">
        <v>2</v>
      </c>
    </row>
    <row r="21" spans="2:15" x14ac:dyDescent="0.3">
      <c r="B21" s="1">
        <f t="shared" si="3"/>
        <v>19</v>
      </c>
      <c r="C21" s="16" t="s">
        <v>77</v>
      </c>
      <c r="D21" s="6">
        <v>50</v>
      </c>
      <c r="E21" s="10">
        <v>22</v>
      </c>
      <c r="F21" s="1">
        <v>1</v>
      </c>
      <c r="G21" s="1">
        <v>1</v>
      </c>
      <c r="H21" s="1">
        <v>1</v>
      </c>
      <c r="I21" s="1">
        <v>1</v>
      </c>
      <c r="J21" s="1">
        <v>850</v>
      </c>
      <c r="K21" s="1">
        <v>2</v>
      </c>
      <c r="L21" s="16" t="s">
        <v>78</v>
      </c>
      <c r="M21" s="6">
        <v>15</v>
      </c>
      <c r="N21" s="1">
        <v>1</v>
      </c>
      <c r="O21" s="1">
        <v>2</v>
      </c>
    </row>
    <row r="22" spans="2:15" x14ac:dyDescent="0.3">
      <c r="B22" s="1">
        <v>20</v>
      </c>
      <c r="C22" s="16" t="s">
        <v>67</v>
      </c>
      <c r="D22" s="6">
        <v>85</v>
      </c>
      <c r="E22" s="30">
        <v>25</v>
      </c>
      <c r="F22" s="1">
        <v>2</v>
      </c>
      <c r="G22" s="1">
        <v>1</v>
      </c>
      <c r="H22" s="1">
        <v>2</v>
      </c>
      <c r="I22" s="1">
        <v>1</v>
      </c>
      <c r="J22" s="1">
        <v>900</v>
      </c>
      <c r="K22" s="1">
        <v>1</v>
      </c>
      <c r="L22" s="16" t="s">
        <v>72</v>
      </c>
      <c r="M22" s="6">
        <v>40</v>
      </c>
      <c r="N22" s="1">
        <v>1</v>
      </c>
      <c r="O22" s="1">
        <v>2</v>
      </c>
    </row>
    <row r="23" spans="2:15" x14ac:dyDescent="0.3">
      <c r="B23" s="1">
        <v>21</v>
      </c>
      <c r="C23" s="16" t="s">
        <v>79</v>
      </c>
      <c r="D23" s="6">
        <v>85</v>
      </c>
      <c r="E23" s="10">
        <v>21</v>
      </c>
      <c r="F23" s="1">
        <v>1</v>
      </c>
      <c r="G23" s="1">
        <v>1</v>
      </c>
      <c r="H23" s="1">
        <v>1</v>
      </c>
      <c r="I23" s="1">
        <v>1</v>
      </c>
      <c r="J23" s="1">
        <v>900</v>
      </c>
      <c r="K23" s="1">
        <v>2</v>
      </c>
      <c r="L23" s="6" t="s">
        <v>80</v>
      </c>
      <c r="M23" s="6">
        <v>50</v>
      </c>
      <c r="N23" s="1">
        <v>2</v>
      </c>
      <c r="O23" s="1">
        <v>2</v>
      </c>
    </row>
    <row r="24" spans="2:15" x14ac:dyDescent="0.3">
      <c r="B24" s="1">
        <f t="shared" ref="B24:B37" si="4">B23+1</f>
        <v>22</v>
      </c>
      <c r="C24" s="16" t="s">
        <v>79</v>
      </c>
      <c r="D24" s="6">
        <v>80</v>
      </c>
      <c r="E24" s="10">
        <v>26</v>
      </c>
      <c r="F24" s="1">
        <v>1</v>
      </c>
      <c r="G24" s="1">
        <v>3</v>
      </c>
      <c r="H24" s="1">
        <v>1</v>
      </c>
      <c r="I24" s="1">
        <v>1</v>
      </c>
      <c r="J24" s="1">
        <v>4000</v>
      </c>
      <c r="K24" s="1">
        <v>1</v>
      </c>
      <c r="L24" s="16" t="s">
        <v>81</v>
      </c>
      <c r="M24" s="6">
        <v>90</v>
      </c>
      <c r="N24" s="1">
        <v>2</v>
      </c>
      <c r="O24" s="1">
        <v>2</v>
      </c>
    </row>
    <row r="25" spans="2:15" x14ac:dyDescent="0.3">
      <c r="B25" s="1">
        <f t="shared" si="4"/>
        <v>23</v>
      </c>
      <c r="C25" s="17" t="s">
        <v>77</v>
      </c>
      <c r="D25" s="6">
        <v>60</v>
      </c>
      <c r="E25" s="10">
        <v>21</v>
      </c>
      <c r="F25" s="1">
        <v>1</v>
      </c>
      <c r="G25" s="1">
        <v>1</v>
      </c>
      <c r="H25" s="1">
        <v>1</v>
      </c>
      <c r="I25" s="1">
        <v>1</v>
      </c>
      <c r="J25" s="1">
        <v>800</v>
      </c>
      <c r="K25" s="1">
        <v>2</v>
      </c>
      <c r="L25" s="17" t="s">
        <v>82</v>
      </c>
      <c r="M25" s="18">
        <v>5</v>
      </c>
      <c r="N25" s="1">
        <v>1</v>
      </c>
      <c r="O25" s="1">
        <v>2</v>
      </c>
    </row>
    <row r="26" spans="2:15" x14ac:dyDescent="0.3">
      <c r="B26" s="1">
        <f t="shared" si="4"/>
        <v>24</v>
      </c>
      <c r="C26" s="16">
        <v>1.58</v>
      </c>
      <c r="D26" s="6">
        <v>54</v>
      </c>
      <c r="E26" s="10">
        <v>26</v>
      </c>
      <c r="F26" s="1">
        <v>1</v>
      </c>
      <c r="G26" s="1">
        <v>1</v>
      </c>
      <c r="H26" s="1">
        <v>1</v>
      </c>
      <c r="I26" s="1">
        <v>1</v>
      </c>
      <c r="J26" s="1">
        <v>500</v>
      </c>
      <c r="K26" s="1">
        <v>2</v>
      </c>
      <c r="L26" s="16">
        <v>8.6300000000000008</v>
      </c>
      <c r="M26" s="6">
        <v>40</v>
      </c>
      <c r="N26" s="1">
        <v>2</v>
      </c>
      <c r="O26" s="1">
        <v>2</v>
      </c>
    </row>
    <row r="27" spans="2:15" x14ac:dyDescent="0.3">
      <c r="B27" s="1">
        <f t="shared" si="4"/>
        <v>25</v>
      </c>
      <c r="C27" s="26" t="s">
        <v>83</v>
      </c>
      <c r="D27" s="12">
        <v>67</v>
      </c>
      <c r="E27" s="12">
        <v>21</v>
      </c>
      <c r="F27" s="12">
        <v>1</v>
      </c>
      <c r="G27" s="38">
        <v>1</v>
      </c>
      <c r="H27" s="12">
        <v>1</v>
      </c>
      <c r="I27" s="12">
        <v>1</v>
      </c>
      <c r="J27" s="12">
        <v>1500</v>
      </c>
      <c r="K27" s="12">
        <v>2</v>
      </c>
      <c r="L27" s="13" t="s">
        <v>84</v>
      </c>
      <c r="M27" s="12">
        <v>40</v>
      </c>
      <c r="N27" s="12">
        <v>1</v>
      </c>
      <c r="O27" s="12">
        <v>2</v>
      </c>
    </row>
    <row r="28" spans="2:15" x14ac:dyDescent="0.3">
      <c r="B28" s="1">
        <f t="shared" si="4"/>
        <v>26</v>
      </c>
      <c r="C28" s="16" t="s">
        <v>85</v>
      </c>
      <c r="D28" s="6">
        <v>70</v>
      </c>
      <c r="E28" s="10">
        <v>22</v>
      </c>
      <c r="F28" s="1">
        <v>1</v>
      </c>
      <c r="G28" s="1">
        <v>1</v>
      </c>
      <c r="H28" s="1">
        <v>1</v>
      </c>
      <c r="I28" s="1">
        <v>1</v>
      </c>
      <c r="J28" s="1">
        <v>500</v>
      </c>
      <c r="K28" s="1">
        <v>2</v>
      </c>
      <c r="L28" s="16" t="s">
        <v>35</v>
      </c>
      <c r="M28" s="6">
        <v>60</v>
      </c>
      <c r="N28" s="1">
        <v>3</v>
      </c>
      <c r="O28" s="1">
        <v>1</v>
      </c>
    </row>
    <row r="29" spans="2:15" x14ac:dyDescent="0.3">
      <c r="B29" s="1">
        <f t="shared" si="4"/>
        <v>27</v>
      </c>
      <c r="C29" s="16" t="s">
        <v>85</v>
      </c>
      <c r="D29" s="6">
        <v>65</v>
      </c>
      <c r="E29" s="10">
        <v>23</v>
      </c>
      <c r="F29" s="1">
        <v>1</v>
      </c>
      <c r="G29" s="1">
        <v>3</v>
      </c>
      <c r="H29" s="1">
        <v>1</v>
      </c>
      <c r="I29" s="1">
        <v>1</v>
      </c>
      <c r="J29" s="1">
        <v>1500</v>
      </c>
      <c r="K29" s="1">
        <v>2</v>
      </c>
      <c r="L29" s="6" t="s">
        <v>86</v>
      </c>
      <c r="M29" s="6">
        <v>40</v>
      </c>
      <c r="N29" s="1">
        <v>1</v>
      </c>
      <c r="O29" s="1">
        <v>2</v>
      </c>
    </row>
    <row r="30" spans="2:15" x14ac:dyDescent="0.3">
      <c r="B30" s="1">
        <f t="shared" si="4"/>
        <v>28</v>
      </c>
      <c r="C30" s="16" t="s">
        <v>69</v>
      </c>
      <c r="D30" s="1">
        <v>80</v>
      </c>
      <c r="E30" s="1">
        <v>21</v>
      </c>
      <c r="F30" s="6">
        <v>1</v>
      </c>
      <c r="G30" s="6">
        <v>1</v>
      </c>
      <c r="H30" s="1">
        <v>1</v>
      </c>
      <c r="I30" s="1">
        <v>1</v>
      </c>
      <c r="J30" s="1">
        <v>1200</v>
      </c>
      <c r="K30" s="1">
        <v>2</v>
      </c>
      <c r="L30" s="6" t="s">
        <v>87</v>
      </c>
      <c r="M30" s="6">
        <v>50</v>
      </c>
      <c r="N30" s="1">
        <v>2</v>
      </c>
      <c r="O30" s="1">
        <v>2</v>
      </c>
    </row>
    <row r="31" spans="2:15" x14ac:dyDescent="0.3">
      <c r="B31" s="1">
        <f t="shared" si="4"/>
        <v>29</v>
      </c>
      <c r="C31" s="16" t="s">
        <v>66</v>
      </c>
      <c r="D31" s="6">
        <v>80</v>
      </c>
      <c r="E31" s="10">
        <v>23</v>
      </c>
      <c r="F31" s="1">
        <v>1</v>
      </c>
      <c r="G31" s="1">
        <v>1</v>
      </c>
      <c r="H31" s="1">
        <v>1</v>
      </c>
      <c r="I31" s="1">
        <v>1</v>
      </c>
      <c r="J31" s="1">
        <v>700</v>
      </c>
      <c r="K31" s="1">
        <v>1</v>
      </c>
      <c r="L31" s="16" t="s">
        <v>88</v>
      </c>
      <c r="M31" s="6">
        <v>40</v>
      </c>
      <c r="N31" s="1">
        <v>1</v>
      </c>
      <c r="O31" s="1">
        <v>2</v>
      </c>
    </row>
    <row r="32" spans="2:15" x14ac:dyDescent="0.3">
      <c r="B32" s="1">
        <f t="shared" si="4"/>
        <v>30</v>
      </c>
      <c r="C32" s="16" t="s">
        <v>73</v>
      </c>
      <c r="D32" s="6">
        <v>58</v>
      </c>
      <c r="E32" s="10">
        <v>22</v>
      </c>
      <c r="F32" s="1">
        <v>1</v>
      </c>
      <c r="G32" s="1">
        <v>1</v>
      </c>
      <c r="H32" s="1">
        <v>1</v>
      </c>
      <c r="I32" s="1">
        <v>1</v>
      </c>
      <c r="J32" s="1">
        <v>900</v>
      </c>
      <c r="K32" s="1">
        <v>2</v>
      </c>
      <c r="L32" s="6" t="s">
        <v>89</v>
      </c>
      <c r="M32" s="6">
        <v>25</v>
      </c>
      <c r="N32" s="1">
        <v>2</v>
      </c>
      <c r="O32" s="1">
        <v>2</v>
      </c>
    </row>
    <row r="33" spans="2:15" x14ac:dyDescent="0.3">
      <c r="B33" s="1">
        <f t="shared" si="4"/>
        <v>31</v>
      </c>
      <c r="C33" s="16">
        <v>1.7</v>
      </c>
      <c r="D33" s="6">
        <v>60</v>
      </c>
      <c r="E33" s="10">
        <v>22</v>
      </c>
      <c r="F33" s="1">
        <v>1</v>
      </c>
      <c r="G33" s="1">
        <v>1</v>
      </c>
      <c r="H33" s="1">
        <v>1</v>
      </c>
      <c r="I33" s="1">
        <v>1</v>
      </c>
      <c r="J33" s="1">
        <v>1500</v>
      </c>
      <c r="K33" s="1">
        <v>1</v>
      </c>
      <c r="L33" s="16">
        <v>7.85</v>
      </c>
      <c r="M33" s="6">
        <v>25</v>
      </c>
      <c r="N33" s="1">
        <v>3</v>
      </c>
      <c r="O33" s="1">
        <v>2</v>
      </c>
    </row>
    <row r="34" spans="2:15" x14ac:dyDescent="0.3">
      <c r="B34" s="1">
        <f t="shared" si="4"/>
        <v>32</v>
      </c>
      <c r="C34" s="16" t="s">
        <v>79</v>
      </c>
      <c r="D34" s="6">
        <v>75</v>
      </c>
      <c r="E34" s="10">
        <v>26</v>
      </c>
      <c r="F34" s="1">
        <v>1</v>
      </c>
      <c r="G34" s="1">
        <v>1</v>
      </c>
      <c r="H34" s="1">
        <v>1</v>
      </c>
      <c r="I34" s="1">
        <v>1</v>
      </c>
      <c r="J34" s="1">
        <v>500</v>
      </c>
      <c r="K34" s="1">
        <v>1</v>
      </c>
      <c r="L34" s="16" t="s">
        <v>87</v>
      </c>
      <c r="M34" s="6">
        <v>25</v>
      </c>
      <c r="N34" s="1">
        <v>1</v>
      </c>
      <c r="O34" s="1">
        <v>2</v>
      </c>
    </row>
    <row r="35" spans="2:15" x14ac:dyDescent="0.3">
      <c r="B35" s="1">
        <f t="shared" si="4"/>
        <v>33</v>
      </c>
      <c r="C35" s="16">
        <v>1.74</v>
      </c>
      <c r="D35" s="6">
        <v>58</v>
      </c>
      <c r="E35" s="10">
        <v>24</v>
      </c>
      <c r="F35" s="1">
        <v>1</v>
      </c>
      <c r="G35" s="1">
        <v>1</v>
      </c>
      <c r="H35" s="1">
        <v>1</v>
      </c>
      <c r="I35" s="1">
        <v>1</v>
      </c>
      <c r="J35" s="1">
        <v>540</v>
      </c>
      <c r="K35" s="1">
        <v>2</v>
      </c>
      <c r="L35" s="16" t="s">
        <v>90</v>
      </c>
      <c r="M35" s="6">
        <v>30</v>
      </c>
      <c r="N35" s="1">
        <v>2</v>
      </c>
      <c r="O35" s="1">
        <v>2</v>
      </c>
    </row>
    <row r="36" spans="2:15" x14ac:dyDescent="0.3">
      <c r="B36" s="1">
        <f t="shared" si="4"/>
        <v>34</v>
      </c>
      <c r="C36" s="16">
        <v>1.69</v>
      </c>
      <c r="D36" s="6">
        <v>74</v>
      </c>
      <c r="E36" s="1">
        <v>23</v>
      </c>
      <c r="F36" s="1">
        <v>1</v>
      </c>
      <c r="G36" s="1">
        <v>1</v>
      </c>
      <c r="H36" s="1">
        <v>1</v>
      </c>
      <c r="I36" s="1">
        <v>1</v>
      </c>
      <c r="J36" s="1">
        <v>1400</v>
      </c>
      <c r="K36" s="1">
        <v>2</v>
      </c>
      <c r="L36" s="16">
        <v>8.4</v>
      </c>
      <c r="M36" s="6">
        <v>40</v>
      </c>
      <c r="N36" s="1">
        <v>3</v>
      </c>
      <c r="O36" s="1">
        <v>2</v>
      </c>
    </row>
    <row r="37" spans="2:15" x14ac:dyDescent="0.3">
      <c r="B37" s="1">
        <f t="shared" si="4"/>
        <v>35</v>
      </c>
      <c r="C37" s="16" t="s">
        <v>91</v>
      </c>
      <c r="D37" s="6">
        <v>73</v>
      </c>
      <c r="E37" s="1">
        <v>27</v>
      </c>
      <c r="F37" s="1">
        <v>1</v>
      </c>
      <c r="G37" s="1">
        <v>1</v>
      </c>
      <c r="H37" s="1">
        <v>1</v>
      </c>
      <c r="I37" s="1">
        <v>1</v>
      </c>
      <c r="J37" s="1">
        <v>1200</v>
      </c>
      <c r="K37" s="1">
        <v>2</v>
      </c>
      <c r="L37" s="16" t="s">
        <v>78</v>
      </c>
      <c r="M37" s="6">
        <v>5</v>
      </c>
      <c r="N37" s="1">
        <v>2</v>
      </c>
      <c r="O37" s="1">
        <v>2</v>
      </c>
    </row>
    <row r="38" spans="2:15" x14ac:dyDescent="0.3">
      <c r="E38" s="4"/>
      <c r="F38" s="4"/>
      <c r="G38" s="11"/>
    </row>
    <row r="39" spans="2:15" x14ac:dyDescent="0.3">
      <c r="D39" s="1" t="s">
        <v>92</v>
      </c>
      <c r="E39" s="10">
        <f>MIN(E3:E37)</f>
        <v>20</v>
      </c>
    </row>
    <row r="40" spans="2:15" x14ac:dyDescent="0.3">
      <c r="D40" s="1" t="s">
        <v>93</v>
      </c>
      <c r="E40" s="10">
        <f>MAX(E3:E37)</f>
        <v>29</v>
      </c>
    </row>
    <row r="41" spans="2:15" x14ac:dyDescent="0.3">
      <c r="D41" s="1" t="s">
        <v>94</v>
      </c>
      <c r="E41" s="5">
        <f>AVERAGE(E3:E37)</f>
        <v>22.714285714285715</v>
      </c>
    </row>
    <row r="42" spans="2:15" x14ac:dyDescent="0.3">
      <c r="D42" s="1" t="s">
        <v>95</v>
      </c>
      <c r="E42" s="10">
        <f>MEDIAN(E3:E37)</f>
        <v>22</v>
      </c>
    </row>
    <row r="43" spans="2:15" x14ac:dyDescent="0.3">
      <c r="D43" s="1" t="s">
        <v>96</v>
      </c>
      <c r="E43" s="1">
        <f>_xlfn.MODE.SNGL(E3:E37)</f>
        <v>21</v>
      </c>
    </row>
    <row r="44" spans="2:15" x14ac:dyDescent="0.3">
      <c r="D44" s="1" t="s">
        <v>97</v>
      </c>
      <c r="E44" s="5">
        <f>_xlfn.STDEV.P(E3:E37)</f>
        <v>2.0917720248826428</v>
      </c>
    </row>
    <row r="45" spans="2:15" x14ac:dyDescent="0.3">
      <c r="D45" s="1" t="s">
        <v>98</v>
      </c>
      <c r="E45" s="5">
        <f>_xlfn.VAR.P(E3:E37)</f>
        <v>4.3755102040816309</v>
      </c>
      <c r="G45">
        <f>E44*E44</f>
        <v>4.3755102040816318</v>
      </c>
    </row>
    <row r="46" spans="2:15" x14ac:dyDescent="0.3">
      <c r="D46" s="1" t="s">
        <v>99</v>
      </c>
      <c r="E46" s="5">
        <f>_xlfn.SKEW.P(E3:E37)</f>
        <v>1.1677645551656297</v>
      </c>
    </row>
    <row r="47" spans="2:15" x14ac:dyDescent="0.3">
      <c r="D47" s="1" t="s">
        <v>100</v>
      </c>
      <c r="E47" s="37">
        <f>E44/E41</f>
        <v>9.2090592290430817E-2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8D97122-15E7-456A-8CC4-92DC77FADDA2}">
          <x14:formula1>
            <xm:f>etiquetas!$B$13:$B$14</xm:f>
          </x14:formula1>
          <xm:sqref>H3:H26 H28:H37</xm:sqref>
        </x14:dataValidation>
        <x14:dataValidation type="list" allowBlank="1" showInputMessage="1" showErrorMessage="1" xr:uid="{95DDDE1C-13AC-4213-B214-FE01E574AAC7}">
          <x14:formula1>
            <xm:f>etiquetas!$B$17:$B$21</xm:f>
          </x14:formula1>
          <xm:sqref>I3:I26 I28:I35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4449-0647-4B57-A0CB-E317A4E15674}">
  <dimension ref="B2:C38"/>
  <sheetViews>
    <sheetView zoomScale="80" zoomScaleNormal="80" workbookViewId="0">
      <selection activeCell="C3" sqref="C3:C13"/>
    </sheetView>
  </sheetViews>
  <sheetFormatPr baseColWidth="10" defaultColWidth="11.44140625" defaultRowHeight="14.4" x14ac:dyDescent="0.3"/>
  <sheetData>
    <row r="2" spans="2:3" x14ac:dyDescent="0.3">
      <c r="C2" s="6"/>
    </row>
    <row r="3" spans="2:3" x14ac:dyDescent="0.3">
      <c r="B3" s="10"/>
      <c r="C3" s="18">
        <v>3</v>
      </c>
    </row>
    <row r="4" spans="2:3" x14ac:dyDescent="0.3">
      <c r="B4" s="10"/>
      <c r="C4" s="1">
        <v>5</v>
      </c>
    </row>
    <row r="5" spans="2:3" x14ac:dyDescent="0.3">
      <c r="B5" s="10"/>
      <c r="C5" s="1">
        <v>10</v>
      </c>
    </row>
    <row r="6" spans="2:3" x14ac:dyDescent="0.3">
      <c r="B6" s="10"/>
      <c r="C6" s="1">
        <v>15</v>
      </c>
    </row>
    <row r="7" spans="2:3" x14ac:dyDescent="0.3">
      <c r="B7" s="10"/>
      <c r="C7" s="1">
        <v>20</v>
      </c>
    </row>
    <row r="8" spans="2:3" x14ac:dyDescent="0.3">
      <c r="B8" s="10"/>
      <c r="C8" s="1">
        <v>25</v>
      </c>
    </row>
    <row r="9" spans="2:3" x14ac:dyDescent="0.3">
      <c r="B9" s="10"/>
      <c r="C9" s="1">
        <v>30</v>
      </c>
    </row>
    <row r="10" spans="2:3" x14ac:dyDescent="0.3">
      <c r="B10" s="10"/>
      <c r="C10" s="1">
        <v>40</v>
      </c>
    </row>
    <row r="11" spans="2:3" x14ac:dyDescent="0.3">
      <c r="B11" s="10"/>
      <c r="C11" s="6">
        <v>60</v>
      </c>
    </row>
    <row r="12" spans="2:3" x14ac:dyDescent="0.3">
      <c r="B12" s="10"/>
      <c r="C12" s="1">
        <v>110</v>
      </c>
    </row>
    <row r="13" spans="2:3" x14ac:dyDescent="0.3">
      <c r="B13" s="10"/>
      <c r="C13" s="1">
        <v>200</v>
      </c>
    </row>
    <row r="14" spans="2:3" x14ac:dyDescent="0.3">
      <c r="B14" s="10"/>
    </row>
    <row r="15" spans="2:3" x14ac:dyDescent="0.3">
      <c r="B15" s="10"/>
    </row>
    <row r="16" spans="2:3" x14ac:dyDescent="0.3">
      <c r="B16" s="10"/>
    </row>
    <row r="17" spans="2:2" x14ac:dyDescent="0.3">
      <c r="B17" s="10"/>
    </row>
    <row r="18" spans="2:2" x14ac:dyDescent="0.3">
      <c r="B18" s="10"/>
    </row>
    <row r="19" spans="2:2" x14ac:dyDescent="0.3">
      <c r="B19" s="10"/>
    </row>
    <row r="20" spans="2:2" x14ac:dyDescent="0.3">
      <c r="B20" s="10"/>
    </row>
    <row r="21" spans="2:2" x14ac:dyDescent="0.3">
      <c r="B21" s="10"/>
    </row>
    <row r="22" spans="2:2" x14ac:dyDescent="0.3">
      <c r="B22" s="10"/>
    </row>
    <row r="23" spans="2:2" x14ac:dyDescent="0.3">
      <c r="B23" s="10"/>
    </row>
    <row r="24" spans="2:2" x14ac:dyDescent="0.3">
      <c r="B24" s="10"/>
    </row>
    <row r="25" spans="2:2" x14ac:dyDescent="0.3">
      <c r="B25" s="10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10"/>
    </row>
    <row r="30" spans="2:2" x14ac:dyDescent="0.3">
      <c r="B30" s="10"/>
    </row>
    <row r="31" spans="2:2" x14ac:dyDescent="0.3">
      <c r="B31" s="14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5"/>
    </row>
    <row r="37" spans="2:2" x14ac:dyDescent="0.3">
      <c r="B37" s="19"/>
    </row>
    <row r="38" spans="2:2" x14ac:dyDescent="0.3">
      <c r="B38" s="1"/>
    </row>
  </sheetData>
  <sortState xmlns:xlrd2="http://schemas.microsoft.com/office/spreadsheetml/2017/richdata2" ref="C2:C37">
    <sortCondition ref="C2:C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2884-B5B3-47B2-9A4E-5D89C66FF211}">
  <dimension ref="B1:F23"/>
  <sheetViews>
    <sheetView workbookViewId="0">
      <selection activeCell="C8" sqref="C8"/>
    </sheetView>
  </sheetViews>
  <sheetFormatPr baseColWidth="10" defaultColWidth="11.44140625" defaultRowHeight="14.4" x14ac:dyDescent="0.3"/>
  <cols>
    <col min="3" max="3" width="11.88671875" bestFit="1" customWidth="1"/>
    <col min="4" max="4" width="16.88671875" customWidth="1"/>
  </cols>
  <sheetData>
    <row r="1" spans="2:6" x14ac:dyDescent="0.3">
      <c r="C1" t="s">
        <v>4</v>
      </c>
      <c r="D1" t="s">
        <v>101</v>
      </c>
      <c r="E1" t="s">
        <v>42</v>
      </c>
    </row>
    <row r="2" spans="2:6" x14ac:dyDescent="0.3">
      <c r="B2" t="s">
        <v>102</v>
      </c>
      <c r="C2" s="22" t="e">
        <f>AVERAGE(#REF!)</f>
        <v>#REF!</v>
      </c>
      <c r="D2" t="e">
        <f>AVERAGEIF(#REF!,Hoja1!D1,#REF!)</f>
        <v>#REF!</v>
      </c>
      <c r="E2" s="22" t="e">
        <f>AVERAGEIF(#REF!,Hoja1!E1,#REF!)</f>
        <v>#REF!</v>
      </c>
      <c r="F2" s="22"/>
    </row>
    <row r="3" spans="2:6" x14ac:dyDescent="0.3">
      <c r="B3" t="s">
        <v>95</v>
      </c>
      <c r="C3" t="e">
        <f>MEDIAN(#REF!)</f>
        <v>#REF!</v>
      </c>
    </row>
    <row r="4" spans="2:6" x14ac:dyDescent="0.3">
      <c r="B4" t="s">
        <v>96</v>
      </c>
      <c r="C4" t="e">
        <f>_xlfn.MODE.SNGL(#REF!)</f>
        <v>#REF!</v>
      </c>
    </row>
    <row r="5" spans="2:6" x14ac:dyDescent="0.3">
      <c r="B5" t="s">
        <v>103</v>
      </c>
      <c r="C5" s="21" t="e">
        <f>_xlfn.STDEV.P(#REF!)</f>
        <v>#REF!</v>
      </c>
      <c r="D5" s="20" t="e">
        <f>C5*C5</f>
        <v>#REF!</v>
      </c>
    </row>
    <row r="6" spans="2:6" x14ac:dyDescent="0.3">
      <c r="B6" t="s">
        <v>98</v>
      </c>
      <c r="C6" s="21" t="e">
        <f>_xlfn.VAR.S(#REF!)</f>
        <v>#REF!</v>
      </c>
    </row>
    <row r="7" spans="2:6" x14ac:dyDescent="0.3">
      <c r="B7" t="s">
        <v>104</v>
      </c>
      <c r="C7" s="22" t="e">
        <f>_xlfn.SKEW.P(#REF!)</f>
        <v>#REF!</v>
      </c>
    </row>
    <row r="8" spans="2:6" x14ac:dyDescent="0.3">
      <c r="B8" t="s">
        <v>105</v>
      </c>
      <c r="C8" s="23" t="e">
        <f>C10-C9</f>
        <v>#REF!</v>
      </c>
    </row>
    <row r="9" spans="2:6" x14ac:dyDescent="0.3">
      <c r="B9" t="s">
        <v>92</v>
      </c>
      <c r="C9" t="e">
        <f>MIN(#REF!)</f>
        <v>#REF!</v>
      </c>
    </row>
    <row r="10" spans="2:6" x14ac:dyDescent="0.3">
      <c r="B10" t="s">
        <v>93</v>
      </c>
      <c r="C10" t="e">
        <f>MAX(#REF!)</f>
        <v>#REF!</v>
      </c>
    </row>
    <row r="11" spans="2:6" x14ac:dyDescent="0.3">
      <c r="B11" t="s">
        <v>100</v>
      </c>
      <c r="C11" s="23" t="e">
        <f>C5/C2</f>
        <v>#REF!</v>
      </c>
      <c r="D11" t="s">
        <v>106</v>
      </c>
    </row>
    <row r="13" spans="2:6" x14ac:dyDescent="0.3">
      <c r="C13" t="s">
        <v>107</v>
      </c>
      <c r="D13" t="s">
        <v>19</v>
      </c>
      <c r="E13" t="s">
        <v>42</v>
      </c>
    </row>
    <row r="14" spans="2:6" x14ac:dyDescent="0.3">
      <c r="B14" t="s">
        <v>102</v>
      </c>
      <c r="C14" t="e">
        <f>AVERAGE(#REF!)</f>
        <v>#REF!</v>
      </c>
      <c r="D14" t="e">
        <f>AVERAGEIF(#REF!,Hoja1!D13,#REF!)</f>
        <v>#REF!</v>
      </c>
      <c r="E14" t="e">
        <f>AVERAGEIF(#REF!,Hoja1!E13,#REF!)</f>
        <v>#REF!</v>
      </c>
    </row>
    <row r="15" spans="2:6" x14ac:dyDescent="0.3">
      <c r="B15" t="s">
        <v>95</v>
      </c>
      <c r="C15" s="22" t="e">
        <f>GEOMEAN(#REF!)</f>
        <v>#REF!</v>
      </c>
    </row>
    <row r="16" spans="2:6" x14ac:dyDescent="0.3">
      <c r="B16" t="s">
        <v>96</v>
      </c>
      <c r="C16" t="e">
        <f>_xlfn.MODE.SNGL(#REF!)</f>
        <v>#REF!</v>
      </c>
    </row>
    <row r="17" spans="2:3" x14ac:dyDescent="0.3">
      <c r="B17" t="s">
        <v>103</v>
      </c>
      <c r="C17" s="22" t="e">
        <f>_xlfn.STDEV.P(#REF!)</f>
        <v>#REF!</v>
      </c>
    </row>
    <row r="18" spans="2:3" x14ac:dyDescent="0.3">
      <c r="B18" t="s">
        <v>98</v>
      </c>
      <c r="C18" t="e">
        <f>_xlfn.VAR.S(#REF!)</f>
        <v>#REF!</v>
      </c>
    </row>
    <row r="19" spans="2:3" x14ac:dyDescent="0.3">
      <c r="B19" t="s">
        <v>104</v>
      </c>
      <c r="C19" s="21" t="e">
        <f>_xlfn.SKEW.P(#REF!)</f>
        <v>#REF!</v>
      </c>
    </row>
    <row r="21" spans="2:3" x14ac:dyDescent="0.3">
      <c r="B21" t="s">
        <v>92</v>
      </c>
      <c r="C21" t="e">
        <f>MIN(#REF!)</f>
        <v>#REF!</v>
      </c>
    </row>
    <row r="22" spans="2:3" x14ac:dyDescent="0.3">
      <c r="B22" t="s">
        <v>93</v>
      </c>
      <c r="C22" t="e">
        <f>MAX(#REF!)</f>
        <v>#REF!</v>
      </c>
    </row>
    <row r="23" spans="2:3" x14ac:dyDescent="0.3">
      <c r="B23" t="s">
        <v>100</v>
      </c>
      <c r="C23" s="23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811E-6207-499F-8FF7-7186D3B8508C}">
  <dimension ref="B3:E22"/>
  <sheetViews>
    <sheetView workbookViewId="0">
      <selection activeCell="B6" sqref="B6"/>
    </sheetView>
  </sheetViews>
  <sheetFormatPr baseColWidth="10" defaultColWidth="11.44140625" defaultRowHeight="14.4" x14ac:dyDescent="0.3"/>
  <sheetData>
    <row r="3" spans="2:5" x14ac:dyDescent="0.3">
      <c r="B3" s="4" t="s">
        <v>54</v>
      </c>
      <c r="E3" s="4" t="s">
        <v>108</v>
      </c>
    </row>
    <row r="4" spans="2:5" x14ac:dyDescent="0.3">
      <c r="B4" t="s">
        <v>17</v>
      </c>
      <c r="E4" t="s">
        <v>29</v>
      </c>
    </row>
    <row r="5" spans="2:5" x14ac:dyDescent="0.3">
      <c r="B5" t="s">
        <v>44</v>
      </c>
      <c r="E5" t="s">
        <v>21</v>
      </c>
    </row>
    <row r="7" spans="2:5" x14ac:dyDescent="0.3">
      <c r="B7" s="4" t="s">
        <v>109</v>
      </c>
      <c r="E7" s="4" t="s">
        <v>110</v>
      </c>
    </row>
    <row r="8" spans="2:5" x14ac:dyDescent="0.3">
      <c r="B8" t="s">
        <v>25</v>
      </c>
      <c r="E8" t="s">
        <v>31</v>
      </c>
    </row>
    <row r="9" spans="2:5" x14ac:dyDescent="0.3">
      <c r="B9" t="s">
        <v>28</v>
      </c>
      <c r="E9" t="s">
        <v>48</v>
      </c>
    </row>
    <row r="10" spans="2:5" x14ac:dyDescent="0.3">
      <c r="B10" t="s">
        <v>18</v>
      </c>
      <c r="E10" t="s">
        <v>50</v>
      </c>
    </row>
    <row r="11" spans="2:5" x14ac:dyDescent="0.3">
      <c r="E11" t="s">
        <v>111</v>
      </c>
    </row>
    <row r="12" spans="2:5" x14ac:dyDescent="0.3">
      <c r="B12" s="4" t="s">
        <v>112</v>
      </c>
      <c r="E12" t="s">
        <v>37</v>
      </c>
    </row>
    <row r="13" spans="2:5" x14ac:dyDescent="0.3">
      <c r="B13" t="s">
        <v>19</v>
      </c>
      <c r="E13" t="s">
        <v>24</v>
      </c>
    </row>
    <row r="14" spans="2:5" x14ac:dyDescent="0.3">
      <c r="B14" t="s">
        <v>42</v>
      </c>
      <c r="E14" t="s">
        <v>113</v>
      </c>
    </row>
    <row r="15" spans="2:5" x14ac:dyDescent="0.3">
      <c r="E15" t="s">
        <v>33</v>
      </c>
    </row>
    <row r="16" spans="2:5" x14ac:dyDescent="0.3">
      <c r="B16" s="4" t="s">
        <v>114</v>
      </c>
      <c r="E16" t="s">
        <v>40</v>
      </c>
    </row>
    <row r="17" spans="2:5" x14ac:dyDescent="0.3">
      <c r="B17" t="s">
        <v>20</v>
      </c>
      <c r="E17" t="s">
        <v>115</v>
      </c>
    </row>
    <row r="18" spans="2:5" x14ac:dyDescent="0.3">
      <c r="B18" t="s">
        <v>116</v>
      </c>
      <c r="E18" t="s">
        <v>117</v>
      </c>
    </row>
    <row r="19" spans="2:5" x14ac:dyDescent="0.3">
      <c r="B19" t="s">
        <v>118</v>
      </c>
      <c r="E19" t="s">
        <v>119</v>
      </c>
    </row>
    <row r="20" spans="2:5" x14ac:dyDescent="0.3">
      <c r="B20" t="s">
        <v>120</v>
      </c>
      <c r="E20" t="s">
        <v>121</v>
      </c>
    </row>
    <row r="21" spans="2:5" x14ac:dyDescent="0.3">
      <c r="B21" t="s">
        <v>122</v>
      </c>
      <c r="E21" t="s">
        <v>36</v>
      </c>
    </row>
    <row r="22" spans="2:5" x14ac:dyDescent="0.3">
      <c r="E22" t="s">
        <v>49</v>
      </c>
    </row>
  </sheetData>
  <sortState xmlns:xlrd2="http://schemas.microsoft.com/office/spreadsheetml/2017/richdata2" ref="E8:E16">
    <sortCondition ref="E8:E1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</vt:lpstr>
      <vt:lpstr>Hoja4</vt:lpstr>
      <vt:lpstr>Hoja6</vt:lpstr>
      <vt:lpstr>Hoja3</vt:lpstr>
      <vt:lpstr>Datos (2)</vt:lpstr>
      <vt:lpstr>Hoja2</vt:lpstr>
      <vt:lpstr>Hoja1</vt:lpstr>
      <vt:lpstr>etiquetas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cp:keywords/>
  <dc:description/>
  <cp:lastModifiedBy>Jhordan Huera</cp:lastModifiedBy>
  <cp:revision/>
  <dcterms:created xsi:type="dcterms:W3CDTF">2020-11-17T17:48:11Z</dcterms:created>
  <dcterms:modified xsi:type="dcterms:W3CDTF">2024-04-23T17:39:35Z</dcterms:modified>
  <cp:category/>
  <cp:contentStatus/>
</cp:coreProperties>
</file>