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firstSheet="3" activeTab="3"/>
  </bookViews>
  <sheets>
    <sheet name="RiskSerializationData" sheetId="3" state="hidden" r:id="rId1"/>
    <sheet name="senseInfo" sheetId="4" state="hidden" r:id="rId2"/>
    <sheet name="rsklibSimData" sheetId="7" state="hidden" r:id="rId3"/>
    <sheet name="Sheet1" sheetId="1" r:id="rId4"/>
    <sheet name="Sheet1 (2)" sheetId="6" r:id="rId5"/>
  </sheets>
  <externalReferences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"W4RRR36WCVXM5WQHZ8C5IC2I"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TRUE</definedName>
    <definedName name="riskATSSoutputStatistic" hidden="1">3</definedName>
    <definedName name="riskATSSpercentChangeGraph" hidden="1">FALSE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calcMode="manual"/>
</workbook>
</file>

<file path=xl/calcChain.xml><?xml version="1.0" encoding="utf-8"?>
<calcChain xmlns="http://schemas.openxmlformats.org/spreadsheetml/2006/main">
  <c r="O25" i="1" l="1"/>
  <c r="P27" i="1"/>
  <c r="AN4" i="3"/>
  <c r="N2" i="3"/>
  <c r="A2" i="3" l="1"/>
  <c r="G2" i="3"/>
  <c r="N8" i="1"/>
  <c r="V8" i="1"/>
  <c r="W8" i="1"/>
  <c r="D7" i="1"/>
  <c r="N7" i="1"/>
  <c r="V7" i="1"/>
  <c r="P10" i="1"/>
  <c r="Q10" i="1"/>
  <c r="S10" i="1"/>
  <c r="U10" i="1"/>
  <c r="P11" i="1"/>
  <c r="Q11" i="1"/>
  <c r="S11" i="1"/>
  <c r="U11" i="1"/>
  <c r="P12" i="1"/>
  <c r="Q12" i="1"/>
  <c r="S12" i="1"/>
  <c r="P13" i="1"/>
  <c r="Q13" i="1"/>
  <c r="S13" i="1"/>
  <c r="P14" i="1"/>
  <c r="Q14" i="1"/>
  <c r="S14" i="1"/>
  <c r="P15" i="1"/>
  <c r="Q15" i="1"/>
  <c r="S15" i="1"/>
  <c r="P16" i="1"/>
  <c r="Q16" i="1"/>
  <c r="S16" i="1"/>
  <c r="P17" i="1"/>
  <c r="Q17" i="1"/>
  <c r="S17" i="1"/>
  <c r="P18" i="1"/>
  <c r="Q18" i="1"/>
  <c r="S18" i="1"/>
  <c r="P19" i="1"/>
  <c r="Q19" i="1"/>
  <c r="S19" i="1"/>
  <c r="P20" i="1"/>
  <c r="Q20" i="1"/>
  <c r="S20" i="1"/>
  <c r="S21" i="1"/>
  <c r="W21" i="1"/>
  <c r="Z8" i="1"/>
  <c r="AH7" i="1"/>
  <c r="AI5" i="1"/>
  <c r="AI6" i="1"/>
  <c r="AI7" i="1"/>
  <c r="AA5" i="1"/>
  <c r="AA6" i="1"/>
  <c r="AA7" i="1"/>
  <c r="AA8" i="1"/>
  <c r="AA9" i="1"/>
  <c r="W6" i="1"/>
  <c r="W7" i="1"/>
  <c r="U9" i="1"/>
  <c r="W9" i="1"/>
  <c r="W5" i="1"/>
  <c r="Z7" i="1"/>
  <c r="O38" i="1"/>
  <c r="O39" i="1"/>
  <c r="O37" i="1"/>
  <c r="F11" i="1" l="1"/>
  <c r="J11" i="1" s="1"/>
  <c r="F19" i="1"/>
  <c r="J19" i="1" s="1"/>
  <c r="F12" i="1"/>
  <c r="J12" i="1" s="1"/>
  <c r="F10" i="1"/>
  <c r="J10" i="1" s="1"/>
  <c r="F17" i="1"/>
  <c r="J17" i="1" s="1"/>
  <c r="F15" i="1"/>
  <c r="J15" i="1" s="1"/>
  <c r="F13" i="1"/>
  <c r="J13" i="1" s="1"/>
  <c r="F18" i="1"/>
  <c r="J18" i="1" s="1"/>
  <c r="F16" i="1"/>
  <c r="J16" i="1" s="1"/>
  <c r="F14" i="1"/>
  <c r="J14" i="1" s="1"/>
  <c r="F20" i="1"/>
  <c r="J20" i="1" s="1"/>
  <c r="E8" i="4"/>
  <c r="X18" i="1"/>
  <c r="X10" i="1"/>
  <c r="X15" i="1"/>
  <c r="X16" i="1"/>
  <c r="X17" i="1"/>
  <c r="X12" i="1"/>
  <c r="X21" i="1"/>
  <c r="Y21" i="1" s="1"/>
  <c r="X11" i="1"/>
  <c r="X20" i="1"/>
  <c r="X14" i="1"/>
  <c r="X19" i="1"/>
  <c r="E9" i="4"/>
  <c r="X13" i="1"/>
  <c r="C10" i="1"/>
  <c r="C16" i="1"/>
  <c r="C15" i="1"/>
  <c r="C18" i="1"/>
  <c r="C17" i="1"/>
  <c r="C21" i="1"/>
  <c r="C11" i="1"/>
  <c r="C8" i="1"/>
  <c r="C13" i="1"/>
  <c r="C6" i="1"/>
  <c r="C12" i="1"/>
  <c r="C14" i="1"/>
  <c r="E6" i="4"/>
  <c r="C9" i="1"/>
  <c r="C7" i="1"/>
  <c r="C5" i="1"/>
  <c r="C19" i="1"/>
  <c r="Q29" i="1"/>
  <c r="C20" i="1"/>
  <c r="E7" i="4"/>
  <c r="E16" i="1"/>
  <c r="I16" i="1" s="1"/>
  <c r="E12" i="1"/>
  <c r="I12" i="1" s="1"/>
  <c r="E11" i="1"/>
  <c r="I11" i="1" s="1"/>
  <c r="E10" i="1"/>
  <c r="I10" i="1" s="1"/>
  <c r="E15" i="1"/>
  <c r="I15" i="1" s="1"/>
  <c r="K15" i="1" s="1"/>
  <c r="E20" i="1"/>
  <c r="I20" i="1" s="1"/>
  <c r="E19" i="1"/>
  <c r="I19" i="1" s="1"/>
  <c r="K19" i="1" s="1"/>
  <c r="E18" i="1"/>
  <c r="I18" i="1" s="1"/>
  <c r="E13" i="1"/>
  <c r="I13" i="1" s="1"/>
  <c r="E14" i="1"/>
  <c r="I14" i="1" s="1"/>
  <c r="E17" i="1"/>
  <c r="I17" i="1" s="1"/>
  <c r="S25" i="1"/>
  <c r="AD11" i="1"/>
  <c r="AD14" i="1"/>
  <c r="AD12" i="1"/>
  <c r="AD8" i="1"/>
  <c r="E5" i="4"/>
  <c r="AD18" i="1"/>
  <c r="AD15" i="1"/>
  <c r="AD9" i="1"/>
  <c r="AD4" i="1"/>
  <c r="AD5" i="1"/>
  <c r="AD7" i="1"/>
  <c r="AD10" i="1"/>
  <c r="AD6" i="1"/>
  <c r="AD19" i="1"/>
  <c r="AD16" i="1"/>
  <c r="AD13" i="1"/>
  <c r="AD17" i="1"/>
  <c r="AD20" i="1"/>
  <c r="AD21" i="1"/>
  <c r="K20" i="1" l="1"/>
  <c r="W20" i="1" s="1"/>
  <c r="Y20" i="1" s="1"/>
  <c r="K12" i="1"/>
  <c r="W12" i="1" s="1"/>
  <c r="Y12" i="1" s="1"/>
  <c r="K17" i="1"/>
  <c r="W17" i="1" s="1"/>
  <c r="Y17" i="1" s="1"/>
  <c r="K13" i="1"/>
  <c r="W13" i="1" s="1"/>
  <c r="Y13" i="1" s="1"/>
  <c r="K11" i="1"/>
  <c r="W11" i="1" s="1"/>
  <c r="Y11" i="1" s="1"/>
  <c r="K16" i="1"/>
  <c r="W16" i="1" s="1"/>
  <c r="Y16" i="1" s="1"/>
  <c r="W19" i="1"/>
  <c r="Y19" i="1" s="1"/>
  <c r="W15" i="1"/>
  <c r="Y15" i="1" s="1"/>
  <c r="AC12" i="1"/>
  <c r="AC13" i="1"/>
  <c r="AC15" i="1"/>
  <c r="O26" i="1"/>
  <c r="AC19" i="1"/>
  <c r="AC8" i="1"/>
  <c r="AC17" i="1"/>
  <c r="AC9" i="1"/>
  <c r="AC16" i="1"/>
  <c r="AC20" i="1"/>
  <c r="AC21" i="1"/>
  <c r="AC18" i="1"/>
  <c r="AC11" i="1"/>
  <c r="AC10" i="1"/>
  <c r="AC14" i="1"/>
  <c r="K14" i="1"/>
  <c r="K18" i="1"/>
  <c r="K10" i="1"/>
  <c r="D9" i="1"/>
  <c r="D6" i="1"/>
  <c r="N9" i="1" l="1"/>
  <c r="D10" i="1"/>
  <c r="W18" i="1"/>
  <c r="Y18" i="1" s="1"/>
  <c r="AE11" i="1"/>
  <c r="AG11" i="1" s="1"/>
  <c r="AE21" i="1"/>
  <c r="AG21" i="1" s="1"/>
  <c r="AE16" i="1"/>
  <c r="AG16" i="1" s="1"/>
  <c r="AE17" i="1"/>
  <c r="AG17" i="1" s="1"/>
  <c r="AE19" i="1"/>
  <c r="AG19" i="1" s="1"/>
  <c r="AE15" i="1"/>
  <c r="AG15" i="1" s="1"/>
  <c r="AE12" i="1"/>
  <c r="AG12" i="1" s="1"/>
  <c r="D5" i="1"/>
  <c r="N5" i="1" s="1"/>
  <c r="N6" i="1"/>
  <c r="W10" i="1"/>
  <c r="Y10" i="1" s="1"/>
  <c r="AE10" i="1" s="1"/>
  <c r="AG10" i="1" s="1"/>
  <c r="W14" i="1"/>
  <c r="Y14" i="1" s="1"/>
  <c r="AE20" i="1"/>
  <c r="AG20" i="1" s="1"/>
  <c r="AE9" i="1"/>
  <c r="AG9" i="1" s="1"/>
  <c r="AE8" i="1"/>
  <c r="AF8" i="1"/>
  <c r="AE13" i="1"/>
  <c r="AG13" i="1" s="1"/>
  <c r="AH6" i="1" l="1"/>
  <c r="Z6" i="1"/>
  <c r="D11" i="1"/>
  <c r="N10" i="1"/>
  <c r="AG8" i="1"/>
  <c r="AH9" i="1"/>
  <c r="AE18" i="1"/>
  <c r="AG18" i="1" s="1"/>
  <c r="AH10" i="1"/>
  <c r="AA10" i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Z10" i="1"/>
  <c r="AH5" i="1"/>
  <c r="AJ5" i="1" s="1"/>
  <c r="Z5" i="1"/>
  <c r="AB5" i="1" s="1"/>
  <c r="AE14" i="1"/>
  <c r="AG14" i="1" s="1"/>
  <c r="V9" i="1"/>
  <c r="Z9" i="1"/>
  <c r="AJ6" i="1" l="1"/>
  <c r="AJ7" i="1" s="1"/>
  <c r="AF10" i="1"/>
  <c r="AH8" i="1"/>
  <c r="AI8" i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G22" i="1"/>
  <c r="D12" i="1"/>
  <c r="N11" i="1"/>
  <c r="AF9" i="1"/>
  <c r="AE22" i="1"/>
  <c r="V10" i="1"/>
  <c r="O10" i="1"/>
  <c r="AB6" i="1"/>
  <c r="AB7" i="1" s="1"/>
  <c r="AB8" i="1" s="1"/>
  <c r="AB9" i="1" s="1"/>
  <c r="AB10" i="1" s="1"/>
  <c r="D13" i="1" l="1"/>
  <c r="N12" i="1"/>
  <c r="V11" i="1"/>
  <c r="O11" i="1"/>
  <c r="Z11" i="1"/>
  <c r="AH11" i="1"/>
  <c r="AJ8" i="1"/>
  <c r="AJ9" i="1" s="1"/>
  <c r="AJ10" i="1" s="1"/>
  <c r="AB11" i="1" l="1"/>
  <c r="AF11" i="1"/>
  <c r="V12" i="1"/>
  <c r="O12" i="1"/>
  <c r="Z12" i="1"/>
  <c r="AH12" i="1"/>
  <c r="AJ11" i="1"/>
  <c r="N13" i="1"/>
  <c r="D14" i="1"/>
  <c r="V13" i="1" l="1"/>
  <c r="O13" i="1"/>
  <c r="Z13" i="1"/>
  <c r="AH13" i="1"/>
  <c r="AJ12" i="1"/>
  <c r="N14" i="1"/>
  <c r="D15" i="1"/>
  <c r="AB12" i="1"/>
  <c r="AF12" i="1"/>
  <c r="AJ13" i="1" l="1"/>
  <c r="V14" i="1"/>
  <c r="O14" i="1"/>
  <c r="Z14" i="1"/>
  <c r="AH14" i="1"/>
  <c r="N15" i="1"/>
  <c r="D16" i="1"/>
  <c r="AB13" i="1"/>
  <c r="AF13" i="1"/>
  <c r="N16" i="1" l="1"/>
  <c r="D17" i="1"/>
  <c r="AJ14" i="1"/>
  <c r="V15" i="1"/>
  <c r="O15" i="1"/>
  <c r="Z15" i="1"/>
  <c r="AH15" i="1"/>
  <c r="AB14" i="1"/>
  <c r="AF14" i="1"/>
  <c r="AJ15" i="1" l="1"/>
  <c r="N17" i="1"/>
  <c r="D18" i="1"/>
  <c r="AB15" i="1"/>
  <c r="AF15" i="1"/>
  <c r="V16" i="1"/>
  <c r="O16" i="1"/>
  <c r="Z16" i="1"/>
  <c r="AH16" i="1"/>
  <c r="AJ16" i="1" l="1"/>
  <c r="AB16" i="1"/>
  <c r="AF16" i="1"/>
  <c r="V17" i="1"/>
  <c r="O17" i="1"/>
  <c r="Z17" i="1"/>
  <c r="AH17" i="1"/>
  <c r="D19" i="1"/>
  <c r="N18" i="1"/>
  <c r="AJ17" i="1" l="1"/>
  <c r="V18" i="1"/>
  <c r="O18" i="1"/>
  <c r="Z18" i="1"/>
  <c r="AH18" i="1"/>
  <c r="N19" i="1"/>
  <c r="D20" i="1"/>
  <c r="AB17" i="1"/>
  <c r="AF17" i="1"/>
  <c r="AJ18" i="1" l="1"/>
  <c r="D21" i="1"/>
  <c r="N21" i="1" s="1"/>
  <c r="N20" i="1"/>
  <c r="V19" i="1"/>
  <c r="O19" i="1"/>
  <c r="Z19" i="1"/>
  <c r="AH19" i="1"/>
  <c r="AB18" i="1"/>
  <c r="AF18" i="1"/>
  <c r="AJ19" i="1" l="1"/>
  <c r="V20" i="1"/>
  <c r="O20" i="1"/>
  <c r="Z20" i="1"/>
  <c r="AH20" i="1"/>
  <c r="AB19" i="1"/>
  <c r="AF19" i="1"/>
  <c r="V21" i="1"/>
  <c r="Z21" i="1"/>
  <c r="AH21" i="1"/>
  <c r="AH22" i="1"/>
  <c r="AG4" i="3" l="1"/>
  <c r="A4" i="3"/>
  <c r="AJ20" i="1"/>
  <c r="AJ21" i="1" s="1"/>
  <c r="AF21" i="1"/>
  <c r="AB20" i="1"/>
  <c r="AB21" i="1" s="1"/>
  <c r="AF20" i="1"/>
  <c r="Y30" i="1" l="1"/>
  <c r="E2" i="4"/>
  <c r="AF22" i="1"/>
</calcChain>
</file>

<file path=xl/sharedStrings.xml><?xml version="1.0" encoding="utf-8"?>
<sst xmlns="http://schemas.openxmlformats.org/spreadsheetml/2006/main" count="288" uniqueCount="208">
  <si>
    <t>n</t>
  </si>
  <si>
    <t>Calendar</t>
  </si>
  <si>
    <t>RPI</t>
  </si>
  <si>
    <t>Prices</t>
  </si>
  <si>
    <t>Production</t>
  </si>
  <si>
    <t>Revenue (U$S million)</t>
  </si>
  <si>
    <t>Opex (U$S million)</t>
  </si>
  <si>
    <t>Capex (U$S million)</t>
  </si>
  <si>
    <t>Cash Flow without Tax al 2004</t>
  </si>
  <si>
    <t>TAX</t>
  </si>
  <si>
    <t>Cash Flow with Tax U$S 2004</t>
  </si>
  <si>
    <t>Cash Flow with Tax MOD</t>
  </si>
  <si>
    <t>Cum Cash Flow  2004</t>
  </si>
  <si>
    <t>Cum Cash Flow MOD</t>
  </si>
  <si>
    <t>Discounted Cash Flow U$S 2004</t>
  </si>
  <si>
    <t>Discounted Cash Flow MOD</t>
  </si>
  <si>
    <t>Cash Flow  2004 30%</t>
  </si>
  <si>
    <t>Cash Flow  MOD  30%</t>
  </si>
  <si>
    <t>Oil</t>
  </si>
  <si>
    <t>Gas</t>
  </si>
  <si>
    <t>Total 2004</t>
  </si>
  <si>
    <t>Total MOD</t>
  </si>
  <si>
    <t>£2004</t>
  </si>
  <si>
    <t>mod</t>
  </si>
  <si>
    <t>assumed</t>
  </si>
  <si>
    <t>gives me</t>
  </si>
  <si>
    <t>1+0.03</t>
  </si>
  <si>
    <t>(1+f)</t>
  </si>
  <si>
    <t>opex</t>
  </si>
  <si>
    <t>convert to 2004</t>
  </si>
  <si>
    <t>annual</t>
  </si>
  <si>
    <t>10million</t>
  </si>
  <si>
    <t>3$/bl</t>
  </si>
  <si>
    <t>1.5/mcf</t>
  </si>
  <si>
    <t>oillgas</t>
  </si>
  <si>
    <t>calculated</t>
  </si>
  <si>
    <t>given</t>
  </si>
  <si>
    <t>inflation factor</t>
  </si>
  <si>
    <t>fixed annual</t>
  </si>
  <si>
    <t>Alice system</t>
  </si>
  <si>
    <t>Frigg system</t>
  </si>
  <si>
    <t>Base value</t>
  </si>
  <si>
    <t>Base year</t>
  </si>
  <si>
    <t>total</t>
  </si>
  <si>
    <t>Discount Factor</t>
  </si>
  <si>
    <t>tax rate</t>
  </si>
  <si>
    <t>CUM DCF 30%</t>
  </si>
  <si>
    <t>CUM DCF 30% MOD</t>
  </si>
  <si>
    <t>Equity rate</t>
  </si>
  <si>
    <t xml:space="preserve">NPV </t>
  </si>
  <si>
    <t>Sensitivity Analysis</t>
  </si>
  <si>
    <t>Inflation Rate</t>
  </si>
  <si>
    <t>Discount Rate</t>
  </si>
  <si>
    <t>r =</t>
  </si>
  <si>
    <t>i = r(1+f)+f</t>
  </si>
  <si>
    <t>f =</t>
  </si>
  <si>
    <t>i =</t>
  </si>
  <si>
    <t>GF1_rK0qDwEACACxAAwjACYAOQBOAFcAWABkAHAAjwApAKsALQD//wAAAAABAQEAAQQAAAAAAjAlAAAAAQ9yID0gLyBUb3RhbCBNT0QBAAEBBQABAAEDAQEA/wEBAQEBAAEBAQACAAEBAQEBAAEBAQACAAF0AAAZABJOb3JtYWwoMC4xNSwwLjAxNSkAACUBAgCXAKEAAQECAZqZmZmZmak/AABmZmZmZmbuPwAABQABAQEA</t>
  </si>
  <si>
    <t>GF1_Z0CmcQEACACuAAwjACYAMgAAAHkAegCXAKMAAAAAAAAAKAD//wABEAEEAAAAAAAAAAABGU5QViAvIENhc2ggRmxvdyAgTU9EICAzMCUBKENvcnJlbGF0aW9uIENvZWZmaWNpZW50cyAoU3BlYXJtYW4gUmFuaykBAf8BAQEBARFDb2VmZmljaWVudCBWYWx1ZQEBAQACAAEBAQABAAEBAQACAAGnAAMHAAAAAC8B_x0001_0~0~&gt;75%~&lt;25%~&gt;90%</t>
  </si>
  <si>
    <t>&gt;75%</t>
  </si>
  <si>
    <t>&lt;25%</t>
  </si>
  <si>
    <t>&gt;90%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</si>
  <si>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</si>
  <si>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</si>
  <si>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</si>
  <si>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</si>
  <si>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</si>
  <si>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</si>
  <si>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</si>
  <si>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</si>
  <si>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</si>
  <si>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</si>
  <si>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</si>
  <si>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</si>
  <si>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</si>
  <si>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</si>
  <si>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</si>
  <si>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</si>
  <si>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</si>
  <si>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</si>
  <si>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</si>
  <si>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</si>
  <si>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</si>
  <si>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</si>
  <si>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</si>
  <si>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</si>
  <si>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</si>
  <si>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Sheet1</t>
  </si>
  <si>
    <t>r = / Total MOD</t>
  </si>
  <si>
    <t>=RiskNormal(0.15,0.015,RiskStatic(0.15))</t>
  </si>
  <si>
    <t>RiskNormal(0.15,0.015,RiskStatic(0.15))</t>
  </si>
  <si>
    <t>0.15</t>
  </si>
  <si>
    <t/>
  </si>
  <si>
    <t>f = / i = r(1+f)+f</t>
  </si>
  <si>
    <t>=RiskNormal(0.03,0.003,RiskStatic(0.03))</t>
  </si>
  <si>
    <t>RiskNormal(0.03,0.003,RiskStatic(0.03))</t>
  </si>
  <si>
    <t>0.03</t>
  </si>
  <si>
    <t>TORNADO CHART</t>
  </si>
  <si>
    <t>Y</t>
  </si>
  <si>
    <t>Y2</t>
  </si>
  <si>
    <t>L2</t>
  </si>
  <si>
    <t>r = / Inflation Rate</t>
  </si>
  <si>
    <t>f = / Discount Rate</t>
  </si>
  <si>
    <t>Inflation</t>
  </si>
  <si>
    <t>Oil Price</t>
  </si>
  <si>
    <t>Gas Price</t>
  </si>
  <si>
    <t>$O$25</t>
  </si>
  <si>
    <t>-0.015</t>
  </si>
  <si>
    <t>0.015</t>
  </si>
  <si>
    <t xml:space="preserve">Base + Value: 0.135 to 0.165 </t>
  </si>
  <si>
    <t>-9.99999999999999E-02</t>
  </si>
  <si>
    <t>-6.66666666666665E-02</t>
  </si>
  <si>
    <t>-3.33333333333334E-02</t>
  </si>
  <si>
    <t>0</t>
  </si>
  <si>
    <t>3.33333333333334E-02</t>
  </si>
  <si>
    <t>6.66666666666667E-02</t>
  </si>
  <si>
    <t>0.1</t>
  </si>
  <si>
    <t>0.135</t>
  </si>
  <si>
    <t>0.14</t>
  </si>
  <si>
    <t>0.145</t>
  </si>
  <si>
    <t>0.155</t>
  </si>
  <si>
    <t>0.16</t>
  </si>
  <si>
    <t>0.165</t>
  </si>
  <si>
    <t>Base -0.02</t>
  </si>
  <si>
    <t>Base -0.01</t>
  </si>
  <si>
    <t>Base +0.00</t>
  </si>
  <si>
    <t>Base +0.01</t>
  </si>
  <si>
    <t>$P$27</t>
  </si>
  <si>
    <t>-0.003</t>
  </si>
  <si>
    <t>0.003</t>
  </si>
  <si>
    <t xml:space="preserve">Base + Value: 0.027 to 0.033 </t>
  </si>
  <si>
    <t>-0.1</t>
  </si>
  <si>
    <t>-6.66666666666666E-02</t>
  </si>
  <si>
    <t>-3.33333333333333E-02</t>
  </si>
  <si>
    <t>0.027</t>
  </si>
  <si>
    <t>0.028</t>
  </si>
  <si>
    <t>0.029</t>
  </si>
  <si>
    <t>0.031</t>
  </si>
  <si>
    <t>0.032</t>
  </si>
  <si>
    <t>0.033</t>
  </si>
  <si>
    <t>$O$37</t>
  </si>
  <si>
    <t>Oil Price / 2004</t>
  </si>
  <si>
    <t>=RiskNormal(60,6,RiskStatic(60))</t>
  </si>
  <si>
    <t>RiskNormal(60,6,RiskStatic(60))</t>
  </si>
  <si>
    <t>60</t>
  </si>
  <si>
    <t>-6</t>
  </si>
  <si>
    <t>6</t>
  </si>
  <si>
    <t xml:space="preserve">Base + Value: 54 to 66 </t>
  </si>
  <si>
    <t>-6.66666666666667E-02</t>
  </si>
  <si>
    <t>3.33333333333333E-02</t>
  </si>
  <si>
    <t>54</t>
  </si>
  <si>
    <t>56</t>
  </si>
  <si>
    <t>58</t>
  </si>
  <si>
    <t>62</t>
  </si>
  <si>
    <t>64</t>
  </si>
  <si>
    <t>66</t>
  </si>
  <si>
    <t>Base -6.00</t>
  </si>
  <si>
    <t>Base -4.00</t>
  </si>
  <si>
    <t>Base -2.00</t>
  </si>
  <si>
    <t>Base +2.00</t>
  </si>
  <si>
    <t>Base +4.00</t>
  </si>
  <si>
    <t>Base +6.00</t>
  </si>
  <si>
    <t>$O$38</t>
  </si>
  <si>
    <t>Gas Price / 2004</t>
  </si>
  <si>
    <t>=RiskNormal(6,0.6,RiskStatic(6))</t>
  </si>
  <si>
    <t>RiskNormal(6,0.6,RiskStatic(6))</t>
  </si>
  <si>
    <t>-0.6</t>
  </si>
  <si>
    <t>0.6</t>
  </si>
  <si>
    <t xml:space="preserve">Base + Value: 5.4 to 6.6 </t>
  </si>
  <si>
    <t>9.99999999999999E-02</t>
  </si>
  <si>
    <t>5.4</t>
  </si>
  <si>
    <t>5.6</t>
  </si>
  <si>
    <t>5.8</t>
  </si>
  <si>
    <t>6.2</t>
  </si>
  <si>
    <t>6.4</t>
  </si>
  <si>
    <t>6.6</t>
  </si>
  <si>
    <t>Base -0.60</t>
  </si>
  <si>
    <t>Base -0.40</t>
  </si>
  <si>
    <t>Base -0.20</t>
  </si>
  <si>
    <t>Base +0.20</t>
  </si>
  <si>
    <t>Base +0.40</t>
  </si>
  <si>
    <t>Base +0.60</t>
  </si>
  <si>
    <t>Tax Rate</t>
  </si>
  <si>
    <t>$O$39</t>
  </si>
  <si>
    <t>Tax Rate / 2004</t>
  </si>
  <si>
    <t>=RiskNormal(0.5,0.05,RiskStatic(0.5))</t>
  </si>
  <si>
    <t>RiskNormal(0.5,0.05,RiskStatic(0.5))</t>
  </si>
  <si>
    <t>0.5</t>
  </si>
  <si>
    <t>-0.05</t>
  </si>
  <si>
    <t>0.05</t>
  </si>
  <si>
    <t xml:space="preserve">Base + Value: 0.45 to 0.55 </t>
  </si>
  <si>
    <t>-0.066666666666666</t>
  </si>
  <si>
    <t>-0.033333333333334</t>
  </si>
  <si>
    <t>3.33333333333341E-02</t>
  </si>
  <si>
    <t>0.066666666666666</t>
  </si>
  <si>
    <t>0.45</t>
  </si>
  <si>
    <t>0.466666666666667</t>
  </si>
  <si>
    <t>0.483333333333333</t>
  </si>
  <si>
    <t>0.516666666666667</t>
  </si>
  <si>
    <t>0.533333333333333</t>
  </si>
  <si>
    <t>0.55</t>
  </si>
  <si>
    <t>Base -0.05</t>
  </si>
  <si>
    <t>Base -0.03</t>
  </si>
  <si>
    <t>Base +0.02</t>
  </si>
  <si>
    <t>Base +0.03</t>
  </si>
  <si>
    <t>Base +0.05</t>
  </si>
  <si>
    <t>c31513250a11a9ed2d1d09257a9a48ed_x0004__x0005_ÐÏ_x0011_à¡±_x001A_á_x0004__x0004__x0004__x0004__x0004__x0004__x0004__x0004__x0004__x0004__x0004__x0004__x0004__x0004__x0004__x0004_&gt;_x0004__x0003__x0004_þÿ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0004__x0001__x0001__x0001_þÿÿÿÿÿÿÿÿÿÿÿÿÿÿÿÿÿÿÿÿÿÿÿÿÿÿÿ_x000C__x0001__x0001__x0001__x000D__x0001__x0001__x0001__x000E__x0001__x0001__x0001__x000F__x0001__x0001__x0001__x0010__x0001__x0001__x0001__x0011__x0001__x0001__x0001__x0012__x0001__x0001__x0001__x0013__x0001__x0001__x0001__x0014__x0001__x0001__x0001__x0003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_x0007_rAè×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_x001B__x0017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_x0002__x0002__x0003__x0002__x0002__x0002_O25(_x0002__x0002__x0002_=RiskNormal(0.15,0.015,RiskStatic(0.15))_x0014__x0002__x0002__x0002_r =_x0001_N25_x0001_O3_x0001_Total MOD_x0001__x0002__x0002__x0002__x0002__x0002__x0002__x0002__x0002__x0002__x0002__x0002__x0001__x0002__x0002__x0002_(_x0002__x0002__x0002__x000F__x0002__x0002__x0002_r = / Total MOD_x0001__x0002__x0002__x0002__x0002__x0002__x0002__x0002__x0002__x0002__x0002__x0002__x0002__x0002__x0002__x0002__x0002__x0002__x0002__x0002__x0003__x0002__x0002__x0002_P27(_x0002__x0002__x0002_=RiskNormal(0.03,0.003,RiskStatic(0.03))_x0018__x0002__x0002__x0002_f =_x0001_N27_x0001_P25_x0001_i = r(1+f)+f_x0001__x0002__x0004__x0005__x0004__x0004__x0004__x0004__x0004__x0004__x0001__x0004__x0004__x0004__x0001__x0004__x0004__x0004_(_x0004__x0004__x0004__x0012__x0004__x0004__x0004_f = / i = r(1+f)+f_x0001__x0004__x0004__x0004__x0004__x0004__x0004__x0004__x0004__x0004__x0004__x0004__x0004__x0004__x0004__x0004__x0004__x0004__x0004__x0004__x0003__x0004__x0004__x0004_O37 _x0004__x0004__x0004_=RiskNormal(60,6,RiskStatic(60))_x0016__x0004__x0004__x0004_Oil Price_x0001_M37_x0001_O34_x0001_2004_x0001__x0004__x0004__x0004__x0004__x0004__x0004__x0004__x0002__x0004__x0004__x0004__x0001__x0004__x0004__x0004_ _x0004__x0004__x0004__x0010__x0004__x0004__x0004_Oil Price / 2004_x0001__x0004__x0004__x0004__x0004__x0004__x0004__x0004__x0004__x0004__x0004__x0004__x0004__x0004__x0004__x0004__x0004__x0004__x0004__x0004__x0003__x0004__x0004__x0004_O38 _x0004__x0004__x0004_=RiskNormal(6,0.6,RiskStatic(6))_x0016__x0004__x0004__x0004_Gas Price_x0001_M38_x0001_O3_x0002__x0006_4_x0001_2004_x0001__x0002__x0002__x0002__x0002__x0002__x0002__x0002__x0003__x0002__x0002__x0002__x0001__x0002__x0002__x0002_ _x0002__x0002__x0002__x0010__x0002__x0002__x0002_Gas Price / 2004_x0001__x0002__x0002__x0002__x0002__x0002__x0002__x0002__x0002__x0002__x0002__x0002__x0002__x0002__x0002__x0002__x0002__x0002__x0002__x0002__x0003__x0002__x0002__x0002_O39%_x0002__x0002__x0002_=RiskNormal(0.5,0.05,RiskStatic(0.5))_x0015__x0002__x0002__x0002_Tax Rate_x0001_M39_x0001_O34_x0001_2004_x0001__x0002__x0002__x0002__x0002__x0002__x0002__x0002__x0004__x0002__x0002__x0002__x0001__x0002__x0002__x0002_%_x0002__x0002__x0002__x000F__x0002__x0002__x0002_Tax Rate / 2004_x0001__x0002__x0002__x0002__x0002__x0002__x0002__x0002__x0002__x0002__x0002__x0002__x0002__x0002__x0002__x0002__x0002__x0002__x0002__x0002__x0002__x0002__x0002__x0002__x0001__x0002__x0002__x0002__x0005__x0002__x0002__x0002_Sim#1_x0002__x0002__x0002__x0002__x0002__x0002__x0008__x0002__x0002__x0002_PATR76HL_x0001__x0002__x0002__x0002__x0005__x0002__x0002__x0002__x0004__x0002__x0002_ø_x0002__x0002__x0001__x0002__x0002__x0003__x0007_C_x0003__x0003__x0003_W4RRR36WCVXM5WQHZ8C5IC2I_x0003__x0003__x0003__x0003__x0003__x0003__x0003_ÿÿÿÿ_x0003__x0003_ÿÿÿÿ_x0003__x0003_ÿÿÿÿ_x0003__x0003_ÿÿÿÿ_x0003__x0003_ÿÿÿÿ_x0001__x0003__x0003_ÿÿÿÿóÅ?±uòæ­Â?Ú_x0006_cÿUÂ?4U_x0004__x0005_nÁ?°Ê­æóÁ?ËNk3}lÃ?£_x0007_5_x0019_¾?w'B)@DÆ?_x0005_&amp;_x0005_D_x001C__x0017_Á?_x0016_èñ¤^_x0015_Æ?µ±_x0001_.Ê+ ?ØµI.]Ì?_x0003__x000C_a_x000C_%?_´¬È?^¯¿U¨?_x001B_ÙÌ0ËÇ?Fw7¼É?eÑS?).l·?)y_x0002_P9_x0007_ ?R_x000C_ÜI?Ue¿_x0004_¬Ö?n6¨Ñ6@ ?_x0001__x0003_øºî(ý?)Y7_x0019_Ù?_x001D__x000F_£_x0019__x0007_?óQý&lt;\?ì°_x001F_Q¿}?äeAeb?ðÐ+ç_x000B__x0018_ ?£ÅÆÙJ?Ý`ùt?EðÉþÏ_?i×_x001A_ÎB¸?_x0014_ÑvIJ_x000E_?]÷+¸# ?ä^ Ä4# ?ÛÇXê¡ã ?f_x0012_Ô??V_x0004_ä7?d _x0016_×I?Æ4]ê?\_x0013_:ÇL  ?»~ÚNÊ°??5DîÜý?î}Ç±´ ?®_x001A_K½ú_x0004_?^&gt;æè(?§½X_x0002_h?ãK§Þ3_?ð_x001B__x0005__x000F_B?!_x0014_´ìx ?1*Éá?/l#¡	_x001A_?	_x000F_vÌ_x0001__x0003_b+¡?_x001D_R0ô?Ði(oN?i6Éüt?à_x0018_K ?ò_x0010_ãæ*?_x000F_g7f_x0006_ ?Ð!¯;_x000F_Á?$_x000C_l³âÛ ?ÊÙ_x000C_	î?_x0008_èÙ_x0002__x000C_?Q Â°u?Ø_x0011_Â_x001C_Íâ?°UÛÞÉ?ÀU#Åïù ?}]/_x0002_uB?ý_x0004_×Ã¨?ÍFZ¨_x0016_?ÂéÅÈï?ó¤ _x000B_°Ô¡?3_x0008_Ç´¡?õ­dÛà?0þN_x001E_Á?iôð/'¢?øÐ£¤_x0019_U ?n+`.C¡?ö·_x0014_Ç&gt;£¡?ëô¢Y?Os.1ãù?nÞùPu?¢«{Ûl~?i1a&amp;_x0011_¡?_x0002__x0004_f_x0001_Ç_x0014__x0007_Ó¢?pMÁ/(?äÿ_x001E_aÕ?yyûpÙ?±±¥_x0010_µ ?_x0012_&lt;ÌÅZA?a)îlËd ?ÑM¨ÎäÉ ?·x0ÈS½£?	ú&lt;_x000B_úB¢?ø_x0018_úí?·Ä:¶W¡?õîþ_x001E_üá?(Iðón?ùô»_x0007_ò"?æÁßZ»?aµ_x001B__x001C_¡?÷}Èöu_x0012_?_x0012_N£¡? ­ö¡?Îô}4?~B©?MÜ ?ÿÄ&amp;i_x000D_p ?¡ä__x0003_ÈXP@éòµI@&amp;[÷__x000F_HN@²_x0014_0µjL@\¨}µ¨I@W_x000F_`aL@®_x000C_KòoL@ÊÆ{T_x0007__x000B_þ³L@?ó¤ÿQJ@0µpN_x0002_N@u[±Ô_x0003_N@®÷÷¥ÑH@¹-_x000F_ë_x001F_N@/ycôéJ@_x0017_]_x0008_ý^áK@_x0007_V\êëG@{_x000F_þD"Q@ÑÛäùÀP@_ïkÌ²GK@_x0004_¤_x000E_'&amp;_x001B_I@ò(&amp;(R_x0010_P@VE.ÉI@²:®½©ñQ@à)ÐÐM@_x0016_NQé_x0012_O@_x0001__x0008_,k_x000F_Q@¬,ÕpV,K@@_x0015_ç¡óhN@±LË¬DJ@£^ym¢ãM@µ	û_x0001_ÍP@_x001C_7]Ú_x0017__x0006_L@Ñ_x0005_Æ÷_x0003__x0019_K@ZòL@_x001D_¬ªêP@½[6_x0003_7_x0015_J@h§_x0008_ñ»fO@lÛ!ÌQ"L@3è*^ýýP@_x0003__x0005__x001A_H ½¶N@ú_x0012_×£$ºK@älÌ3P@GBËúCÞL@p&gt;T#{K@g3_x0005_ûWN@u_x0015__x001C_ÓsSM@´/~^oP@1Hº.¢P@ÂTípKìO@à÷_x001A__x000D_ÖH@_x001D_y¸_x0002_ð.L@ñg:Î@¨Q@$T_x000D_ bQ@3ÓÒ_x000B_ÈO@xhµõ@O@)_x0005_ÕÔL@rifÔ_x000F_OG@l_x0003_#-VL@&gt;ýõV_nO@u\_x0012__x0003__x001B_7O@Î`e_x0004_-§N@IÌéeýM@_x0001_`Y_x001B_IP@_x000B_;ò¶?M@$b±ÜN@Ý¯¶güN@¹æÄ9M@û«mm½O@I¿J	ãK@Ìe¤Ã¤	P@#üðé_x0001__x0002_VÒJ@ò­rcÓjP@MQÎÐGtP@~Ë¨JQ@_x0016_+¯+N@_x0006_¼V_x0002_¦O@s°Ó&gt;¸ÂN@@ü_x0002__x001E_Q@¸¸Fú²TN@Q_x000C_¢\­M@åøô÷À_x000B_M@k»@_x000C_0vK@_x0016_æò¸¸M@é_x0016_"g´O@ÈçÊv_x0017_»J@»#?¸¨'P@)_x0008_ö£#M@É1ïÄM@ZÐ»y¡M@X_x001A_jS@¤I!O@à`&amp;¬a«L@aE_x0019__x0005__x000B_ùO@®¼UjF@d_x0014_ùJ©K@"'ßêqoM@.¼'VÕ{R@Ó1_x0018_ ñaJ@	»4·_x001E_;P@ö°¬&amp;;P@ââúà§Ø_x001A_@_x0003__x000B_ªÁ_x0015_@_x0001__x0002_p___x0017_P_x000E__x0015_@&lt;8_x000B_òx_x000E__x0016_@­ïS¦?_x0016_@}êRJ_x0012__x0016_@îH@ùÃ_x0016_@ìr¸o+_x001C_@ÔRLé4d_x001B_@Öm®DÒÁ_x001B_@?{ï'g_x001A_@|ûVÒ;#_x0019_@r¶.	_x0019_@Rõe*_x0002_è_x0019_@_x0014_ë PÖ_x0016_@ÚÈ_x000E__x001A_@xÔR	)_x0016_@Ê¸çK_x001C_@¼gvË_x0019_@"??ÕÇ_x0012__x0017_@·_x0012_&lt;÷Âí_x0016_@°SÀXfô_x001E_@}¦ÇQ¤´_x001A_@5=_x001C_½6Æ_x0015_@ìÄ¹Ñ¼_x0017_@à3_x0004__x001A_æZ_x0016_@;Ç)æ_x0018_@®ltGd_x0019_@_x0012_5Sìç__x001A_@ý_x0004_ÓMñõ_x0019_@õÄT]¬Ä_x0019_@¾CGé_x0019_@¦Öw'_x0015_@_x001F_Sq_x0002__x0003_{_x001B_@S_x001F_Ìµ_x0016_@J(ëìÄ_x000C__x001B_@ió_x0008_h£n_x0018_@ ¬»î7_x0017_@râîòÃ_x0018_@X"eF_x0010_]_x0018_@zb[_x0010__x001E_r_x001A_@_x0014_ç_x0007_SC_x001A_@_x001C_£ZDÒ_x0018_@ªD½¤_x0015_@6íÒi;_x0019_@Üß_x0004_·_x0017_@_x0015_l_x001F_/ü£_x0017_@NÀò_x000F_[s_x0016_@¸_x0015_Ë_x0001__x0017_@ÄGïqm_x0019_@+Zx_x0019_@rmÓ7£ú_x0018_@jFy¥\_x0014_@_x0006_2U_x001B_@w_x000D__x0004_þ=_x0017_@_x000D__x0017_]k_x001A_@à{ÕÜ_x0018_@Ú_x0004__x0007_@_x0012__x0008__x0018_@_x0001_öti ì_x0015_@Lô_x001B_%_x001E__x0019_@ëÏ¡éN_x0018_@"tM7"_x001A_@æ¾øÀ3)_x0018_@tÚâÞç _x0015_@N}+Üß_x0015_@_x0001__x0002_Ö_x0001_L=Ó_x0019_@RBív¯_x0014_@ÌáÐ#«_x0013_@S_x000F_"Ä;ý_x0017_@Ïª¨?&amp;_x0017_@ï_x000C_Q²_x0019__x0016_@_x0005__x0018_jÎ_x0015__x0018_@è°Xj­_x0018_@Á³C_x0013_@_x0018_@_x0012_Ê¨o_x0014_@cäH_x0019_@?Û_x0019_é_x001C_@Òe,c_x0017_@§RyÂ+_x001B_@;;Ñ/aÏ_x0014_@ôVø&amp;ÓÚ_x0012_@&amp;_x001F_ÕÃ_x0008_k_x0017_@ _x0005_»èË_x0017_@§5'X_x0017_@B­"òß_x0013_@Ô)5*_x0014_@¶lÈ[6_x0014__x0017_@!XÕæl_x0007__x0011_@¨&lt;#jä_x0017_@ñ~_x0008_öxà_x0017_@G*Fx/_x0015_@L%éÒQ_x0015_@©W¬Kó&lt;_x0018_@ÜÕ·/S_x0017_@Î_x0015_"½S_x001D_@~"C_x0004_OC_x0016_@¥ý-_x0018__x0003__x0004_æh_x0013_@k@Î.¥_x0016_@S-Ã1Úê_x0018_@¨%¬&lt;_x0017__x0018_@,v#àÛÞ?_x0017_/±.  ß?~5N:ì×á?91[ëY°Û?úÄkíã?Ä´þ­9à?÷~ÉÈ.ß?»Ê¢ªÍzÝ?nw Éá?7_x0014_i=yôÜ?Å_x0018_Õ&gt;õÛà?àòèËÝ?_x0004_æ_x0002_ÊÞ?+ÏÝPRß?Ö0*_x0008_Âß?'¨ç_x0016_á?\ÜÂ_x0001_Þ?»dw¯ß?_x0007_HGO_x0018_ÕÜ?_x0011_ã_x0010_c6á?Ûa¾_x0011_Ü?&amp;á_x0011_¨«ÍÜ?Ø«v8ðá?0_x001B_D$Ù?®4Ñ¶w÷×?A»w®Ø?¯~S±9ß?|oOq_x000C__x0016_Ú?_x0001__x0004_TÌØg_x000D_ß?ïÌÄÚ?_x0002_öHÇQvà?r³w_x0014_g&gt;Ý?hÈÌUÞ?sqdà?½}v_x0007_Fåà?V0EÎ_x001B_à?&amp;Ø_x0010_ç½Ý?ñò&gt;É_x0003_ÃÞ?CP¡s¨6Û?F!	ÝXÝ?T5» ÅßÝ?ÇO¸6x=Þ?_x0004_D_x001A_y¼á?!¼T&gt;Hà?_x0018_þCÿl_x0005_á?îû;òDâ?®²Ôüvùà?ìxÜ²^á?x³Ù_x0007_[à?6ûè÷Wá?í£&lt;ê_x000E_à?_x000E_3)¼á?Ö_x0008_Ò#)â?¬_x0003_åßÞ?f¿§á?_x000C_¤ºd¾vÞ?_|Å7._x0008_á?ûñ³&lt;ôàâ?·×}Ð_x0010_¦Ý?öö¼_x0002__x0004_9_x000D_ß?E_x0003__x001D__x0012_Þ?ý3_x0017_À£_x001B_Ý?:_x000B_N:â?¡ÀºÎCÜ?_x0002_å²Ì-á?î0tá?~_x001B_½õÀ¸á?_x000E_7w·à?Î&lt;·²óß?¼ü7_x0001_ê,à? ^&gt;_x001C_&amp;_x001E_Ü?Çôk;Ôà?úä_x0007_[xÛ?Á_x0012_1Ï=%Þ?_x001F_6,çß?3(Ô_x001E_Èà?l÷_x001A_¤½â?âµ*Ê¡fÚ?Ñ[Á{_x0001_â? \_x0014_ì_x000B_ã?xøÇKã?ädîÝ_x0008_à?;V¡$æGà?[ôvÆ_x0005_Ü?n³S¿jà?	Áôæ×_x001B_â?°&amp;)_x001C_iâ?LÕ~Ó¬÷Þ?=ñ.Y®à??ÔãØÈ¶à?xqZà?_x0006__x0007_òèïcÄiÜ?=µòðà?#Wwü3ÎÛ?2b'e@Âß?¸Ê)Ç__x001B_Þ?°qËòùDá?tÇÓäY(à?u®Å_x0016_fß?«_x0007_«_x0013_hà?_x0006__x0006__x0006__x0006__x0006__x0006__x0006__x0006__x0006__x0006__x0006__x0006__x0006__x0006__x0006__x0006__x0006__x0006__x0006__x0006__x0006__x0006__x0006__x0006__x0001__x0006__x0006_F	ªa	ªa_x0001__x0006__x0006__x0006__x0001__x0006__x0006__x0006_d_x0006__x0006__x0006_d_x0006__x0006__x0006_d_x0006__x0006__x0006__x0003__x0006__x0006__x0006__x0002__x0006__x0006__x0006__x0005__x0006__x0006__x0006__x0006__x0006__x0006__x0006__x0005__x0006__x0006__x0006__x0001__x0006__x0006__x0006_*e³_x0016__x0001__x0006__x0006__x0006__x0006__x0006__x0006__x0006__x0006__x0006__x0006__x0006_j,ÿ©_x0012_ÐÃ?ì@äÊ_x0005_6À?_x0015_.¹YkÂ?í¤W_x0015_¹À?Ó­Í'Ã?_x0004_¨þ=ùÃ?±_x001D__x001D_vÙÏÂ?dï¦@:äÂ?µ¡r±_x000B_Ä?u¡uISÃ?_x001A_Û_x0001__x0002_ÜÀ?_x0016_î,OVÀ?îùÇ°PÄ?Àµ}_x0018__x0005_ÜÃ?Gú_x0006_WzZÇ?85_x0005_®~À?}_x000D_`XÄ?²û+}i&gt;Ã?º×ÉsÿÀ?¶9_x000B_ÐØÁ?´ØÙ]_x000D_»Ã?n[÷´âÁ?ç¢à%¡ÕÂ?ëî_x0007_~WÁ?/8_x000B__x000B__x000D_öÄ?_x001E_O5FC«Ã?º'~_x000B_o_x0014_Â?:çt+_x000F_Å?«+_x0012_ÿÐÄ?¨ o-Ä?ÀB×?_x001D_AÄ?éY×&gt;AÃ?_x000E_ &lt;ÝÂ?P§¹ÊtÄ?Ñ^ÕäÀ?¦	_x0012_ÕfèÃ?-Å GY¿?å`æ5¿Å?á_x0017_q_x000E_n±½?ô_x000E_ Ã?_x0006__x001F__x001A_Ã?ò¦³JÂ?_x0001__x0004_)2.1³Ç?¤`\"¯[Æ?L¯Ç_x0011_&amp;»Ä?X`5¯,IÅ?Ð*¹åQ_x001F_Ä?_x001C_&amp;?»_x0005_AÅ?Væ}ù_x001C_Ç?Ô7Ì&gt;µaÄ?%ì[PÐÁ?_x0002_*î_x0003_¸Â?ãv¡0_x0003_3Á?ÎË:wÃ?ïÇ¦.©_Ã?Ã¾?_x000F_°Ä?Òêìi_x0015_Ã?yð_x0003_ÅK¤Ä?~{®ñóÄ?ÀRæÜ ûÂ?t5_x0006_mð_x0005_À?ßOÝºUÄ?ºÍå´ê´Á?HOÏÈÆ?¯M_x001C_ 6:Â?_x000F_âÚ¯_x0006_éÂ?2³_x0001_ t¡Â?î±L_x0008_ÇÁ?*ùÞTüAÁ?ó÷¸_x0010_'ÔÀ?þ´úç'Å?_x0002_cË_x0003_Ô¸Á?«þ_x0013_DDÆÄ?Äø¤_x0002__x0008_o/Â?`#_x001B_µOÿÁ?¿_x000D_-&amp;LUÂ?¿o×^Ú}Á?_x001F__x000F_% ygÂ?ø_x0007__x000D_W_x000E_'Ã?k)_x0003_ró_x0005_Ã?¿uÐÃIÅ?Ø|þ±ÐhÅ?betñ©»?º ¥ZxÃ?Æûv§_x001A_Â?G¿{_åÅ?zG¦_x0014_ñÈÃ?à½m_x0002_´¥Å?ó_x0008_öt»_x0006_Ä?­_x0010_%&amp;ãÂ?Ñ_x0018_\óÅ?±uòæ­Â?Ú_x0006_cÿUÂ?4U_x0004__x0005_nÁ?°Ê­æóÁ?ËNk3}lÃ?£_x0008_5_x0019_¾?w'B)@DÆ?_x0005_&amp;_x0005_D_x001C__x0017_Á?_x0016_èñ¤^_x0015_Æ?µ±_x0001_.Ê+ ?ØµI.]Ì?_x0002__x000C_a_x000C_%?_´¬È?^¯¿U¨?_x0001__x0003__x001B_ÙÌ0ËÇ?Fw7¼É?eÑS?).l·?)y_x0002_P9_x0003_ ?R_x000C_ÜI?Ue¿_x0004_¬Ö?n6¨Ñ6@ ?øºî(ý?)Y7_x0019_Ù?_x001D__x000F_£_x0019__x0007_?óQý&lt;\?ì°_x001F_Q¿}?äeAeb?ðÐ+ç_x000B__x0018_ ?£ÅÆÙJ?Ý`ùt?EðÉþÏ_?i×_x001A_ÎB¸?_x0014_ÑvIJ_x000E_?]÷+¸# ?ä^ Ä4# ?ÛÇXê¡ã ?f_x0012_Ô??V_x0004_ä7?d _x0016_×I?Æ4]ê?\_x0013_:ÇL  ?»~ÚNÊ°??5DîÜý?î}Ç±´ ?®_x001A_K½_x0001__x0003_ú_x0004_?^&gt;æè(?§½X_x0002_h?ãK§Þ3_?ð_x001B__x0005__x000F_B?!_x0014_´ìx ?1*Éá?/l#¡	_x001A_?	_x000F_vÌb+¡?_x001D_R0ô?Ði(oN?i6Éüt?à_x0018_K ?ò_x0010_ãæ*?_x000F_g7f_x0006_ ?Ð!¯;_x000F_Á?$_x000C_l³âÛ ?ÊÙ_x000C_	î?_x0008_èÙ_x0002__x000C_?Q Â°u?Ø_x0011_Â_x001C_Íâ?°UÛÞÉ?ÀU#Åïù ?}]/_x0002_uB?ý_x0004_×Ã¨?ÍFZ¨_x0016_?ÂéÅÈï?ó¤ _x000B_°Ô¡?3_x0008_Ç´¡?õ­dÛà?0þN_x001E_Á?iôð/'¢?_x0002__x0003_øÐ£¤_x0019_U ?n+`.C¡?ö·_x0014_Ç&gt;£¡?ëô¢Y?Os.1ãù?nÞùPu?¢«{Ûl~?i1a&amp;_x0011_¡?f_x0001_Ç_x0014__x0007_Ó¢?pMÁ/(?äÿ_x001E_aÕ?yyûpÙ?±±¥_x0010_µ ?_x0012_&lt;ÌÅZA?a)îlËd ?ÑM¨ÎäÉ ?·x0ÈS½£?	ú&lt;_x000B_úB¢?ø_x0018_úí?·Ä:¶W¡?õîþ_x001E_üá?(Iðón?ùô»_x0007_ò"?æÁßZ»?aµ_x001B__x001C_¡?÷}Èöu_x0012_?_x0012_N£¡? ­ö¡?Îô}4?~B©?MÜ ?ÿÄ&amp;i_x0005__x0006__x000D_p ?¡ä__x0003_ÈXP@éòµI@&amp;[÷__x000F_HN@²_x0014_0µjL@\¨}µ¨I@W_x000F_`aL@®_x000C_KòoL@ÊÆ{Tþ³L@?ó¤ÿQJ@0µpN_x0002_N@u[±Ô_x0003_N@®÷÷¥ÑH@¹-_x000F_ë_x001F_N@/ycôéJ@_x0017_]_x0008_ý^áK@_x0005_V\êëG@{_x000F_þD"Q@ÑÛäùÀP@_ïkÌ²GK@_x0004_¤_x000E_'&amp;_x001B_I@ò(&amp;(R_x0010_P@VE.ÉI@²:®½©ñQ@à)ÐÐM@_x0016_NQé_x0012_O@_x0001__x0008_,k_x000F_Q@¬,ÕpV,K@@_x0015_ç¡óhN@±LË¬DJ@£^ym¢ãM@µ	û_x0001_ÍP@_x0007_	_x001C_7]Ú_x0017__x0006_L@Ñ_x0005_Æ÷_x0003__x0019_K@ZòL@_x001D_¬ªêP@½[6_x0003_7_x0015_J@h§_x0008_ñ»fO@lÛ!ÌQ"L@3è*^ýýP@_x001A_H ½¶N@ú_x0012_×£$ºK@älÌ3P@GBËúCÞL@p&gt;T#{K@g3	ûWN@u_x0015__x001C_ÓsSM@´/~^oP@1Hº.¢P@ÂTípKìO@à÷_x001A__x000D_ÖH@_x001D_y¸_x0002_ð.L@ñg:Î@¨Q@$T_x000D_ bQ@3ÓÒ_x000B_ÈO@xhµõ@O@)	ÕÔL@rifÔ_x000F_OG@l_x0007_#-VL@&gt;ýõV_nO@u\_x0012__x0007__x001B_7O@Î`e_x0004_-§N@IÌéeýM@_x0001_`Y_x0001__x0002__x001B_IP@_x000B_;ò¶?M@$b±ÜN@Ý¯¶güN@¹æÄ9M@û«mm½O@I¿J	ãK@Ìe¤Ã¤	P@#üðéVÒJ@ò­rcÓjP@MQÎÐGtP@~Ë¨JQ@_x0016_+¯+N@_x0006_¼V_x0002_¦O@s°Ó&gt;¸ÂN@@ü_x0002__x001E_Q@¸¸Fú²TN@Q_x000C_¢\­M@åøô÷À_x000B_M@k»@_x000C_0vK@_x0016_æò¸¸M@é_x0016_"g´O@ÈçÊv_x0017_»J@»#?¸¨'P@)_x0008_ö£#M@É1ïÄM@ZÐ»y¡M@X_x001A_jS@¤I!O@à`&amp;¬a«L@aE_x0019__x0005__x000B_ùO@®¼UjF@_x0001__x0002_d_x0014_ùJ©K@"'ßêqoM@.¼'VÕ{R@Ó1_x0018_ ñaJ@	»4·_x001E_;P@ö°¬&amp;;P@ââúà§Ø_x001A_@_x0003__x000B_ªÁ_x0015_@p___x0017_P_x000E__x0015_@&lt;8_x000B_òx_x000E__x0016_@­ïS¦?_x0016_@}êRJ_x0012__x0016_@îH@ùÃ_x0016_@ìr¸o+_x001C_@ÔRLé4d_x001B_@Öm®DÒÁ_x001B_@?{ï'g_x001A_@|ûVÒ;#_x0019_@r¶.	_x0019_@Rõe*_x0002_è_x0019_@_x0014_ë PÖ_x0016_@ÚÈ_x000E__x001A_@xÔR	)_x0016_@Ê¸çK_x001C_@¼gvË_x0019_@"??ÕÇ_x0012__x0017_@·_x0012_&lt;÷Âí_x0016_@°SÀXfô_x001E_@}¦ÇQ¤´_x001A_@5=_x001C_½6Æ_x0015_@ìÄ¹Ñ¼_x0017_@à3_x0004__x001A__x0002__x0003_æZ_x0016_@;Ç)æ_x0018_@®ltGd_x0019_@_x0012_5Sìç__x001A_@ý_x0004_ÓMñõ_x0019_@õÄT]¬Ä_x0019_@¾CGé_x0019_@¦Öw'_x0015_@_x001F_Sq{_x001B_@S_x001F_Ìµ_x0016_@J(ëìÄ_x000C__x001B_@ió_x0008_h£n_x0018_@ ¬»î7_x0017_@râîòÃ_x0018_@X"eF_x0010_]_x0018_@zb[_x0010__x001E_r_x001A_@_x0014_ç_x0007_SC_x001A_@_x001C_£ZDÒ_x0018_@ªD½¤_x0015_@6íÒi;_x0019_@Üß_x0004_·_x0017_@_x0015_l_x001F_/ü£_x0017_@NÀò_x000F_[s_x0016_@¸_x0015_Ë_x0001__x0017_@ÄGïqm_x0019_@+Zx_x0019_@rmÓ7£ú_x0018_@jFy¥\_x0014_@_x0006_2U_x001B_@w_x000D__x0004_þ=_x0017_@_x000D__x0017_]k_x001A_@à{ÕÜ_x0018_@_x0002__x0003_Ú_x0004__x0007_@_x0012__x0008__x0018_@_x0001_öti ì_x0015_@Lô_x001B_%_x001E__x0019_@ëÏ¡éN_x0018_@"tM7"_x001A_@æ¾øÀ3)_x0018_@tÚâÞç _x0015_@N}+Üß_x0015_@Ö_x0002_L=Ó_x0019_@RBív¯_x0014_@ÌáÐ#«_x0013_@S_x000F_"Ä;ý_x0017_@Ïª¨?&amp;_x0017_@ï_x000C_Q²_x0019__x0016_@_x0005__x0018_jÎ_x0015__x0018_@è°Xj­_x0018_@Á³C_x0013_@_x0018_@_x0012_Ê¨o_x0014_@cäH_x0019_@?Û_x0019_é_x001C_@Òe,c_x0017_@§RyÂ+_x001B_@;;Ñ/aÏ_x0014_@ôVø&amp;ÓÚ_x0012_@&amp;_x001F_ÕÃ_x0008_k_x0017_@ _x0005_»èË_x0017_@§5'X_x0017_@B­"òß_x0013_@Ô)5*_x0014_@¶lÈ[6_x0014__x0017_@!XÕæl_x0007__x0011_@¨&lt;#_x0003__x0005_jä_x0017_@ñ~_x0008_öxà_x0017_@G*Fx/_x0015_@L%éÒQ_x0015_@©W¬Kó&lt;_x0018_@ÜÕ·/S_x0017_@Î_x0015_"½S_x001D_@~"C_x0004_OC_x0016_@¥ý-_x0018_æh_x0013_@k@Î.¥_x0016_@S-Ã1Úê_x0018_@¨%¬&lt;_x0017__x0018_@,v#àÛÞ?_x0017_/±.  ß?~5N:ì×á?91[ëY°Û?úÄkíã?Ä´þ­9à?÷~ÉÈ.ß?»Ê¢ªÍzÝ?nw Éá?7_x0014_i=yôÜ?Å_x0018_Õ&gt;õÛà?àòèËÝ?_x0005_æ_x0002_ÊÞ?+ÏÝPRß?Ö0*_x0008_Âß?'¨ç_x0016_á?\ÜÂ_x0001_Þ?»dw¯ß?_x0007_HGO_x0018_ÕÜ?_x0011_ã_x0010_c6á?_x0001__x0004_Ûa¾_x0011_Ü?&amp;á_x0011_¨«ÍÜ?Ø«v8ðá?0_x001B_D$Ù?®4Ñ¶w÷×?A»w®Ø?¯~S±9ß?|oOq_x000C__x0016_Ú?TÌØg_x000D_ß?ïÌÄÚ?_x0002_öHÇQvà?r³w_x0014_g&gt;Ý?hÈÌUÞ?sqdà?½}v_x0007_Fåà?V0EÎ_x001B_à?&amp;Ø_x0010_ç½Ý?ñò&gt;É_x0003_ÃÞ?CP¡s¨6Û?F!	ÝXÝ?T5» ÅßÝ?ÇO¸6x=Þ?_x0004_D_x001A_y¼á?!¼T&gt;Hà?_x0018_þCÿl_x0005_á?îû;òDâ?®²Ôüvùà?ìxÜ²^á?x³Ù_x0007_[à?6ûè÷Wá?í£&lt;ê_x000E_à?_x000E_3)¼_x0002__x0004_á?Ö_x0008_Ò#)â?¬_x0003_åßÞ?f¿§á?_x000C_¤ºd¾vÞ?_|Å7._x0008_á?ûñ³&lt;ôàâ?·×}Ð_x0010_¦Ý?öö¼9_x000D_ß?E_x0003__x001D__x0012_Þ?ý3_x0017_À£_x001B_Ý?:_x000B_N:â?¡ÀºÎCÜ?_x0002_å²Ì-á?î0tá?~_x001B_½õÀ¸á?_x000E_7w·à?Î&lt;·²óß?¼ü7_x0001_ê,à? ^&gt;_x001C_&amp;_x001E_Ü?Çôk;Ôà?úä_x0007_[xÛ?Á_x0012_1Ï=%Þ?_x001F_6,çß?3(Ô_x001E_Èà?l÷_x001A_¤½â?âµ*Ê¡fÚ?Ñ[Á{_x0001_â? \_x0014_ì_x000B_ã?xøÇKã?ädîÝ_x0008_à?;V¡$æGà?_x0002__x0004_[ôvÆ_x0005_Ü?n³S¿jà?	Áôæ×_x001B_â?°&amp;)_x001C_iâ?LÕ~Ó¬÷Þ?=ñ.Y®à??ÔãØÈ¶à?xqZà?òèïcÄiÜ?=µòðà?#Wwü3ÎÛ?2b'e@Âß?¸Ê)Ç__x001B_Þ?°qËòùDá?tÇÓäY(à?u®Å_x0016_fß?«_x0004_«_x0013_hà?îgÜ_x001C_¿ý¦@ßÖ]¢T3¤@Æb_x0001_[¥Ô§@Wcb_x001C_Ýì¢@_x0016_) +§@½_x0016__x0003_NAÁ£@¥ Ë_x000E_¤@E/jz$¥@5`C0kÔ¦@ï&amp;³}0¥@_x0011__x0003_kÊª@«wÄWo_x000C_¤@{­AÀ¶q¤@èÃUê£Ð£@·¥&gt;¥_x0001__x0002_*ô @³ä@gÄÜ¦@´ª±ðÄÛ¤@_x001A_lðÙ_x001E_©@_x0018_]_x001E_9Ôf¤@Ð~e_¥@2¤ú0Á£@¨§\$_x0002_¥@_x0004_yrcí­@|0+¦¡@¼_x001E_\4ª@LRM¬Ag¡@m¬² ¸¤@"_x0005_Z;1æ @Õ¯Ö2£@ÒC_x0012_è]î¡@@Ã/«¦&gt;¨@jü_x0004_B*R£@0$ÌB¢@K°=	*¦@_x001A_^o&lt;_x0008_«@ÃµÖe¤@ZYÞþ_x000D_¨@ _x001E_)G?Ì¡@_x000C__x001C_æ_x0017__x0016_d¨@ð_x0005__x001C_YH_x0007_¤@^é²_x0006__x000E_¤@Êé^_x0014_y§@ï@o¿û£@_x000F_1×_x0018__¡@üã_®¦@iI_x0010_ój¦@_x0001__x0005_K½"¿_x001B_ü§@¬»Æu_x0011_§@ýíÓÇQ¾£@í`_x0005_¤@Æâ±¤´ ¦@_x0002_8µ_x001D_¬@ª=Ç^4¬@Q«ìÜ(½¦@?¥É]ÎU¨@y³oßïý£@1ißVö£@Öy^ãh§@GÐ¬b0¥¢@CÁ²Z¦@Ã¾µ_x001B__x000F_¨@'·_x0001_c£@d_x000D_1lB¯¬@ê~Tõ@i·_x0018_H@Ô§@³×_x000F_&amp;©@Ð[M¯¦@Û[n¶_x000E_÷¦@µñ}_I_x001F_¦@2sy	R_x0003_©@òÀ_x000E_§"@_x0008_0I÷_x0014_ª@ÒL_x000E_Çñ¢@Lk_x0004__x000B_Ù§@åK*y@¥@ä½eÆy9©@_x000E_s_x0003_ÛO]®@Ú²_x0003__x0005_»¤@ÏóÏ_ª@_x0010_VvÛfW¨@c¸÷%#¥@_x000C_8®ªp¢@«æô_x0006_«@íB§(£@~Òlð(m£@d_x0019_·Õ£õ¥@_x0005_ãt§@+dÕñQ @å_x001D_Gz¨·¥@_x0008_òBa_x0015_Ë¬@ëY_x0006_Ï£@_x0010_¬¨ªÒ¡@vvU`ûv¨@­_x0005_óà_x000F_®@X¹¡§@¢@&amp;yh0£@&lt;3öÙò­@a=_x000E_w%¡@ààÊ_x0006_©@»_x0013_Àè¦_x0002_¦@_x0001__x0003__x0003__x0003_-_x0003__x0003__x0003_Russell Field -Excel File Justine Ihionu.xlsx_x0001__x0003__x0003__x0003__x0006__x0003__x0003__x0003_Sheet1_x0006__x0003__x0003__x0003__x0004__x0002__x0003__x0002__x0002__x0002_AH22_x001B__x0002__x0002__x0002_=RiskOutput()+SUM(AH8:AH21) _x0002__x0002__x0002_NPV_x0001_AC22_x0001_AH2_x0001_Cash Flow  MOD  30%_x0002__x0002__x0002__x0002__x0001__x0002__x0002__x0002__x0002__x0002__x0002__x0002__x0001__x0002__x0002__x0002__x000D__x0002__x0002__x0002__x0002__x0002__x0002__x0002__x0019__x0002__x0002__x0002_NPV / Cash Flow  MOD  30%_x0002__x0002__x0002__x0002__x0002__x0002__x0002__x0002__x0001__x0002_ÿÿÿÿÿÿÿÿÿÿÿÿÿÿÿÿÿÿÿÿÿÿÿÿÿÿÿÿÿÿÿÿÿÿÿÿÿÿÿ</t>
  </si>
  <si>
    <t>baeccd2d9db4060ed951c7eb9fe994f60|1|11264|71c92600c2c4c7739c75ac25e81d5843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</si>
</sst>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29"/>
        <bgColor indexed="4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6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4" fontId="0" fillId="0" borderId="3" xfId="0" applyNumberFormat="1" applyBorder="1" applyAlignment="1">
      <alignment horizontal="right" indent="1"/>
    </xf>
    <xf numFmtId="164" fontId="0" fillId="0" borderId="3" xfId="0" applyNumberFormat="1" applyBorder="1" applyAlignment="1">
      <alignment horizontal="right" indent="1"/>
    </xf>
    <xf numFmtId="4" fontId="0" fillId="0" borderId="0" xfId="0" applyNumberFormat="1"/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 applyAlignment="1">
      <alignment horizontal="right" inden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9" fontId="0" fillId="0" borderId="0" xfId="0" applyNumberFormat="1"/>
    <xf numFmtId="4" fontId="4" fillId="0" borderId="0" xfId="0" applyNumberFormat="1" applyFont="1"/>
    <xf numFmtId="0" fontId="0" fillId="10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</dxf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Cash Flow Graph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Sheet1!$B$10:$B$20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Sheet1!$AH$10:$AH$20</c:f>
              <c:numCache>
                <c:formatCode>General</c:formatCode>
                <c:ptCount val="11"/>
                <c:pt idx="0">
                  <c:v>285.49338374291125</c:v>
                </c:pt>
                <c:pt idx="1">
                  <c:v>487.67074874660995</c:v>
                </c:pt>
                <c:pt idx="2">
                  <c:v>473.91768897338147</c:v>
                </c:pt>
                <c:pt idx="3">
                  <c:v>423.12661087204356</c:v>
                </c:pt>
                <c:pt idx="4">
                  <c:v>328.43333010956582</c:v>
                </c:pt>
                <c:pt idx="5">
                  <c:v>259.57982685389652</c:v>
                </c:pt>
                <c:pt idx="6">
                  <c:v>218.03531061104763</c:v>
                </c:pt>
                <c:pt idx="7">
                  <c:v>176.60903864840708</c:v>
                </c:pt>
                <c:pt idx="8">
                  <c:v>147.7611466828811</c:v>
                </c:pt>
                <c:pt idx="9">
                  <c:v>108.8480540197921</c:v>
                </c:pt>
                <c:pt idx="10">
                  <c:v>21.692911118539946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40288"/>
        <c:axId val="194542208"/>
      </c:barChart>
      <c:catAx>
        <c:axId val="1945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542208"/>
        <c:crosses val="autoZero"/>
        <c:auto val="1"/>
        <c:lblAlgn val="ctr"/>
        <c:lblOffset val="100"/>
        <c:noMultiLvlLbl val="0"/>
      </c:catAx>
      <c:valAx>
        <c:axId val="1945422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Cash Flow (in</a:t>
                </a:r>
                <a:r>
                  <a:rPr lang="en-US" baseline="0"/>
                  <a:t> $millions)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54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CA"/>
              <a:t>NPV / Cash Flow  MOD  30%
</a:t>
            </a:r>
            <a:r>
              <a:rPr lang="en-CA" sz="82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Correlation Coefficients (Spearman Rank)</a:t>
            </a:r>
            <a:endParaRPr lang="en-CA" sz="825" b="0" i="0" u="none" strike="noStrike">
              <a:solidFill>
                <a:srgbClr val="000000"/>
              </a:solidFill>
              <a:latin typeface="Tahoma"/>
            </a:endParaRP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1.9097222222222224E-2"/>
          <c:y val="9.5580726541498656E-2"/>
          <c:w val="0.96180555555555558"/>
          <c:h val="0.84899994224630382"/>
        </c:manualLayout>
      </c:layout>
      <c:barChart>
        <c:barDir val="bar"/>
        <c:grouping val="clustered"/>
        <c:varyColors val="0"/>
        <c:ser>
          <c:idx val="0"/>
          <c:order val="0"/>
          <c:tx>
            <c:v>Curve #1</c:v>
          </c:tx>
          <c:spPr>
            <a:gradFill flip="none" rotWithShape="1">
              <a:gsLst>
                <a:gs pos="0">
                  <a:srgbClr val="DC143C"/>
                </a:gs>
                <a:gs pos="100000">
                  <a:srgbClr val="DC143C">
                    <a:shade val="46275"/>
                  </a:srgbClr>
                </a:gs>
              </a:gsLst>
              <a:lin ang="2700000" scaled="1"/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CA"/>
                      <a:t>0.61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CA"/>
                      <a:t>-0.51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CA"/>
                      <a:t>0.49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CA"/>
                      <a:t>0.24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CA"/>
                      <a:t>-0.05</a:t>
                    </a:r>
                  </a:p>
                </c:rich>
              </c:tx>
              <c:spPr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[1]Sheet1!$A$34:$A$40</c:f>
              <c:strCache>
                <c:ptCount val="6"/>
                <c:pt idx="1">
                  <c:v>Tax Rate / 2004</c:v>
                </c:pt>
                <c:pt idx="2">
                  <c:v>r = / Total MOD</c:v>
                </c:pt>
                <c:pt idx="3">
                  <c:v>Oil Price / 2004</c:v>
                </c:pt>
                <c:pt idx="4">
                  <c:v>Gas Price / 2004</c:v>
                </c:pt>
                <c:pt idx="5">
                  <c:v>f = / i = r(1+f)+f</c:v>
                </c:pt>
              </c:strCache>
            </c:strRef>
          </c:cat>
          <c:val>
            <c:numRef>
              <c:f>[1]Sheet1!$B$34:$B$40</c:f>
              <c:numCache>
                <c:formatCode>General</c:formatCode>
                <c:ptCount val="7"/>
                <c:pt idx="1">
                  <c:v>0.61026102610261024</c:v>
                </c:pt>
                <c:pt idx="2">
                  <c:v>-0.5087428742874287</c:v>
                </c:pt>
                <c:pt idx="3">
                  <c:v>0.4917011701170117</c:v>
                </c:pt>
                <c:pt idx="4">
                  <c:v>0.23635163516351634</c:v>
                </c:pt>
                <c:pt idx="5">
                  <c:v>-4.9360936093609364E-2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41670656"/>
        <c:axId val="141754368"/>
      </c:barChart>
      <c:catAx>
        <c:axId val="141670656"/>
        <c:scaling>
          <c:orientation val="maxMin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low"/>
        <c:txPr>
          <a:bodyPr rot="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41754368"/>
        <c:crossesAt val="0"/>
        <c:auto val="1"/>
        <c:lblAlgn val="ctr"/>
        <c:lblOffset val="100"/>
        <c:noMultiLvlLbl val="0"/>
      </c:catAx>
      <c:valAx>
        <c:axId val="141754368"/>
        <c:scaling>
          <c:orientation val="minMax"/>
          <c:max val="0.8"/>
          <c:min val="-0.60000000000000009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CA"/>
                  <a:t>Coefficient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41670656"/>
        <c:crosses val="max"/>
        <c:crossBetween val="midCat"/>
        <c:majorUnit val="0.2"/>
      </c:valAx>
      <c:spPr>
        <a:solidFill>
          <a:srgbClr val="F5F5F5"/>
        </a:solidFill>
      </c:spPr>
    </c:plotArea>
    <c:plotVisOnly val="1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CA"/>
              <a:t>NPV / Cash Flow  MOD  30%
</a:t>
            </a:r>
            <a:r>
              <a:rPr lang="en-CA" sz="82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Correlation Coefficients (Spearman Rank)</a:t>
            </a:r>
            <a:endParaRPr lang="en-CA" sz="825" b="0" i="0" u="none" strike="noStrike">
              <a:solidFill>
                <a:srgbClr val="000000"/>
              </a:solidFill>
              <a:latin typeface="Tahoma"/>
            </a:endParaRPr>
          </a:p>
        </c:rich>
      </c:tx>
      <c:overlay val="0"/>
    </c:title>
    <c:autoTitleDeleted val="0"/>
    <c:plotArea>
      <c:layout>
        <c:manualLayout>
          <c:xMode val="edge"/>
          <c:yMode val="edge"/>
          <c:x val="1.9097222222222224E-2"/>
          <c:y val="9.5580726541498656E-2"/>
          <c:w val="0.96180555555555558"/>
          <c:h val="0.84899994224630382"/>
        </c:manualLayout>
      </c:layout>
      <c:barChart>
        <c:barDir val="bar"/>
        <c:grouping val="clustered"/>
        <c:varyColors val="0"/>
        <c:ser>
          <c:idx val="0"/>
          <c:order val="0"/>
          <c:tx>
            <c:v>Curve #1</c:v>
          </c:tx>
          <c:spPr>
            <a:gradFill flip="none" rotWithShape="1">
              <a:gsLst>
                <a:gs pos="0">
                  <a:srgbClr val="DC143C"/>
                </a:gs>
                <a:gs pos="100000">
                  <a:srgbClr val="DC143C">
                    <a:shade val="46275"/>
                  </a:srgbClr>
                </a:gs>
              </a:gsLst>
              <a:lin ang="2700000" scaled="1"/>
              <a:tileRect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CA"/>
                      <a:t>-1.00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CA"/>
                      <a:t>-0.15</a:t>
                    </a:r>
                  </a:p>
                </c:rich>
              </c:tx>
              <c:spPr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effectLst/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 (2)'!$A$34:$A$37</c:f>
              <c:strCache>
                <c:ptCount val="3"/>
                <c:pt idx="1">
                  <c:v>r = / Inflation Rate</c:v>
                </c:pt>
                <c:pt idx="2">
                  <c:v>f = / Discount Rate</c:v>
                </c:pt>
              </c:strCache>
            </c:strRef>
          </c:cat>
          <c:val>
            <c:numRef>
              <c:f>'Sheet1 (2)'!$B$34:$B$37</c:f>
              <c:numCache>
                <c:formatCode>General</c:formatCode>
                <c:ptCount val="4"/>
                <c:pt idx="1">
                  <c:v>-1</c:v>
                </c:pt>
                <c:pt idx="2">
                  <c:v>-0.14556255625562556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4624128"/>
        <c:axId val="194630016"/>
      </c:barChart>
      <c:catAx>
        <c:axId val="194624128"/>
        <c:scaling>
          <c:orientation val="maxMin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low"/>
        <c:txPr>
          <a:bodyPr rot="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94630016"/>
        <c:crossesAt val="0"/>
        <c:auto val="1"/>
        <c:lblAlgn val="ctr"/>
        <c:lblOffset val="100"/>
        <c:noMultiLvlLbl val="0"/>
      </c:catAx>
      <c:valAx>
        <c:axId val="194630016"/>
        <c:scaling>
          <c:orientation val="minMax"/>
          <c:max val="0.2"/>
          <c:min val="-1.2000000000000002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CA"/>
                  <a:t>Coefficient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94624128"/>
        <c:crosses val="max"/>
        <c:crossBetween val="midCat"/>
        <c:majorUnit val="0.20000000000000004"/>
      </c:valAx>
      <c:spPr>
        <a:solidFill>
          <a:srgbClr val="F5F5F5"/>
        </a:solidFill>
      </c:spPr>
    </c:plotArea>
    <c:plotVisOnly val="1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513421</xdr:colOff>
      <xdr:row>23</xdr:row>
      <xdr:rowOff>138462</xdr:rowOff>
    </xdr:from>
    <xdr:to>
      <xdr:col>9</xdr:col>
      <xdr:colOff>952500</xdr:colOff>
      <xdr:row>43</xdr:row>
      <xdr:rowOff>127775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499483</xdr:colOff>
      <xdr:row>48</xdr:row>
      <xdr:rowOff>0</xdr:rowOff>
    </xdr:from>
    <xdr:to>
      <xdr:col>9</xdr:col>
      <xdr:colOff>696952</xdr:colOff>
      <xdr:row>75</xdr:row>
      <xdr:rowOff>104542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31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5">
          <cell r="A35" t="str">
            <v>Tax Rate / 2004</v>
          </cell>
          <cell r="B35">
            <v>0.61026102610261024</v>
          </cell>
        </row>
        <row r="36">
          <cell r="A36" t="str">
            <v>r = / Total MOD</v>
          </cell>
          <cell r="B36">
            <v>-0.5087428742874287</v>
          </cell>
        </row>
        <row r="37">
          <cell r="A37" t="str">
            <v>Oil Price / 2004</v>
          </cell>
          <cell r="B37">
            <v>0.4917011701170117</v>
          </cell>
        </row>
        <row r="38">
          <cell r="A38" t="str">
            <v>Gas Price / 2004</v>
          </cell>
          <cell r="B38">
            <v>0.23635163516351634</v>
          </cell>
        </row>
        <row r="39">
          <cell r="A39" t="str">
            <v>f = / i = r(1+f)+f</v>
          </cell>
          <cell r="B39">
            <v>-4.9360936093609364E-2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>
        <v>1</v>
      </c>
      <c r="B1">
        <v>1</v>
      </c>
    </row>
    <row r="2" spans="1:40" x14ac:dyDescent="0.25">
      <c r="A2" s="23">
        <f ca="1">Sheet1!$O$25</f>
        <v>0.15</v>
      </c>
      <c r="B2" t="b">
        <v>0</v>
      </c>
      <c r="C2">
        <v>1</v>
      </c>
      <c r="D2">
        <v>1</v>
      </c>
      <c r="E2" t="s">
        <v>57</v>
      </c>
      <c r="F2">
        <v>1</v>
      </c>
      <c r="G2" s="23">
        <f ca="1">Sheet1!$O$25</f>
        <v>0.15</v>
      </c>
      <c r="H2">
        <v>0</v>
      </c>
      <c r="I2">
        <v>1</v>
      </c>
      <c r="J2" t="b">
        <v>0</v>
      </c>
      <c r="K2" t="b">
        <v>0</v>
      </c>
      <c r="L2">
        <v>1</v>
      </c>
      <c r="M2" t="b">
        <v>0</v>
      </c>
      <c r="N2" t="e">
        <f>_</f>
        <v>#NAME?</v>
      </c>
    </row>
    <row r="3" spans="1:40" x14ac:dyDescent="0.25">
      <c r="A3">
        <v>0</v>
      </c>
    </row>
    <row r="4" spans="1:40" x14ac:dyDescent="0.25">
      <c r="A4">
        <f ca="1">Sheet1!$AH$22</f>
        <v>2779.3301310288152</v>
      </c>
      <c r="B4" t="b">
        <v>1</v>
      </c>
      <c r="C4">
        <v>0</v>
      </c>
      <c r="D4">
        <v>1</v>
      </c>
      <c r="F4">
        <v>1</v>
      </c>
      <c r="G4">
        <v>1</v>
      </c>
      <c r="H4">
        <v>2</v>
      </c>
      <c r="I4" t="s">
        <v>58</v>
      </c>
      <c r="J4" t="s">
        <v>59</v>
      </c>
      <c r="K4" t="s">
        <v>60</v>
      </c>
      <c r="L4" t="s">
        <v>61</v>
      </c>
      <c r="AG4">
        <f ca="1">Sheet1!$AH$22</f>
        <v>2779.3301310288152</v>
      </c>
      <c r="AH4">
        <v>1</v>
      </c>
      <c r="AI4">
        <v>1</v>
      </c>
      <c r="AJ4" t="b">
        <v>0</v>
      </c>
      <c r="AK4" t="b">
        <v>1</v>
      </c>
      <c r="AL4">
        <v>0</v>
      </c>
      <c r="AM4" t="b">
        <v>0</v>
      </c>
      <c r="AN4" t="e">
        <f>_</f>
        <v>#NAME?</v>
      </c>
    </row>
    <row r="5" spans="1:40" x14ac:dyDescent="0.25">
      <c r="A5">
        <v>0</v>
      </c>
    </row>
    <row r="6" spans="1:40" x14ac:dyDescent="0.25">
      <c r="A6" t="b">
        <v>0</v>
      </c>
      <c r="B6">
        <v>11802</v>
      </c>
      <c r="C6">
        <v>5877.7659999999996</v>
      </c>
      <c r="D6">
        <v>8688</v>
      </c>
      <c r="E6">
        <v>100</v>
      </c>
    </row>
    <row r="7" spans="1:40" x14ac:dyDescent="0.25">
      <c r="A7" t="b">
        <v>0</v>
      </c>
      <c r="B7">
        <v>11802</v>
      </c>
      <c r="C7">
        <v>5877.7659999999996</v>
      </c>
      <c r="D7">
        <v>8688</v>
      </c>
      <c r="E7">
        <v>500</v>
      </c>
    </row>
    <row r="8" spans="1:40" x14ac:dyDescent="0.25">
      <c r="A8" t="b">
        <v>0</v>
      </c>
      <c r="B8">
        <v>11802</v>
      </c>
      <c r="C8">
        <v>5877.7659999999996</v>
      </c>
      <c r="D8">
        <v>8688</v>
      </c>
      <c r="E8">
        <v>1000</v>
      </c>
    </row>
    <row r="9" spans="1:40" x14ac:dyDescent="0.25">
      <c r="A9" t="b">
        <v>0</v>
      </c>
      <c r="B9">
        <v>11802</v>
      </c>
      <c r="C9">
        <v>5877.7659999999996</v>
      </c>
      <c r="D9">
        <v>8688</v>
      </c>
      <c r="E9">
        <v>1500</v>
      </c>
    </row>
    <row r="10" spans="1:40" x14ac:dyDescent="0.25">
      <c r="A10" t="b">
        <v>0</v>
      </c>
      <c r="B10">
        <v>11802</v>
      </c>
      <c r="C10">
        <v>5877.7659999999996</v>
      </c>
      <c r="D10">
        <v>8688</v>
      </c>
      <c r="E10">
        <v>2000</v>
      </c>
    </row>
    <row r="11" spans="1:40" x14ac:dyDescent="0.25">
      <c r="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/>
  </sheetViews>
  <sheetFormatPr defaultRowHeight="15" x14ac:dyDescent="0.25"/>
  <cols>
    <col min="1" max="26" width="18.7109375" customWidth="1"/>
  </cols>
  <sheetData>
    <row r="1" spans="1:85" x14ac:dyDescent="0.25">
      <c r="A1" t="s">
        <v>64</v>
      </c>
      <c r="B1" t="s">
        <v>71</v>
      </c>
      <c r="C1" t="s">
        <v>68</v>
      </c>
      <c r="D1" t="s">
        <v>69</v>
      </c>
      <c r="E1" t="s">
        <v>66</v>
      </c>
      <c r="F1" t="s">
        <v>67</v>
      </c>
      <c r="G1" t="s">
        <v>83</v>
      </c>
      <c r="H1" t="s">
        <v>74</v>
      </c>
      <c r="I1" t="s">
        <v>75</v>
      </c>
      <c r="J1" t="s">
        <v>76</v>
      </c>
      <c r="K1" t="s">
        <v>77</v>
      </c>
      <c r="L1" t="s">
        <v>72</v>
      </c>
      <c r="M1" t="s">
        <v>78</v>
      </c>
      <c r="N1" t="s">
        <v>80</v>
      </c>
      <c r="O1" t="s">
        <v>84</v>
      </c>
      <c r="P1" t="s">
        <v>86</v>
      </c>
      <c r="Q1" t="s">
        <v>85</v>
      </c>
      <c r="R1" t="s">
        <v>65</v>
      </c>
      <c r="S1" t="s">
        <v>70</v>
      </c>
      <c r="Y1" t="s">
        <v>79</v>
      </c>
      <c r="Z1" t="s">
        <v>81</v>
      </c>
      <c r="AA1" t="s">
        <v>73</v>
      </c>
      <c r="AB1" t="s">
        <v>82</v>
      </c>
    </row>
    <row r="2" spans="1:85" x14ac:dyDescent="0.25">
      <c r="E2">
        <f ca="1">Sheet1!$AH$22</f>
        <v>2779.3301310288152</v>
      </c>
      <c r="S2">
        <v>0</v>
      </c>
    </row>
    <row r="3" spans="1:85" x14ac:dyDescent="0.25">
      <c r="A3" t="s">
        <v>62</v>
      </c>
      <c r="B3">
        <v>5</v>
      </c>
      <c r="C3" t="s">
        <v>63</v>
      </c>
    </row>
    <row r="4" spans="1:85" x14ac:dyDescent="0.25">
      <c r="A4" t="s">
        <v>64</v>
      </c>
      <c r="B4" t="s">
        <v>71</v>
      </c>
      <c r="C4" t="s">
        <v>68</v>
      </c>
      <c r="D4" t="s">
        <v>69</v>
      </c>
      <c r="E4" t="s">
        <v>66</v>
      </c>
      <c r="F4" t="s">
        <v>67</v>
      </c>
      <c r="G4" t="s">
        <v>83</v>
      </c>
      <c r="H4" t="s">
        <v>74</v>
      </c>
      <c r="I4" t="s">
        <v>75</v>
      </c>
      <c r="J4" t="s">
        <v>76</v>
      </c>
      <c r="K4" t="s">
        <v>77</v>
      </c>
      <c r="L4" t="s">
        <v>72</v>
      </c>
      <c r="M4" t="s">
        <v>78</v>
      </c>
      <c r="N4" t="s">
        <v>80</v>
      </c>
      <c r="O4" t="s">
        <v>84</v>
      </c>
      <c r="P4" t="s">
        <v>86</v>
      </c>
      <c r="Q4" t="s">
        <v>85</v>
      </c>
      <c r="R4" t="s">
        <v>65</v>
      </c>
      <c r="S4" t="s">
        <v>70</v>
      </c>
      <c r="Y4" t="s">
        <v>79</v>
      </c>
      <c r="Z4" t="s">
        <v>81</v>
      </c>
      <c r="AA4" t="s">
        <v>73</v>
      </c>
      <c r="AB4" t="s">
        <v>82</v>
      </c>
    </row>
    <row r="5" spans="1:85" x14ac:dyDescent="0.25">
      <c r="A5">
        <v>1</v>
      </c>
      <c r="B5" t="b">
        <v>1</v>
      </c>
      <c r="C5">
        <v>0</v>
      </c>
      <c r="D5" t="s">
        <v>87</v>
      </c>
      <c r="E5" s="23">
        <f ca="1">Sheet1!$O$25</f>
        <v>0.15</v>
      </c>
      <c r="F5" t="s">
        <v>106</v>
      </c>
      <c r="G5" t="s">
        <v>109</v>
      </c>
      <c r="H5" s="27" t="s">
        <v>92</v>
      </c>
      <c r="I5" s="27" t="s">
        <v>92</v>
      </c>
      <c r="J5" s="27" t="s">
        <v>107</v>
      </c>
      <c r="K5" s="27" t="s">
        <v>108</v>
      </c>
      <c r="L5" s="27" t="s">
        <v>91</v>
      </c>
      <c r="M5">
        <v>7</v>
      </c>
      <c r="N5" t="b">
        <v>1</v>
      </c>
      <c r="O5" t="b">
        <v>1</v>
      </c>
      <c r="P5">
        <v>1</v>
      </c>
      <c r="Q5">
        <v>0</v>
      </c>
      <c r="R5">
        <v>1</v>
      </c>
      <c r="S5">
        <v>0</v>
      </c>
      <c r="T5" t="s">
        <v>88</v>
      </c>
      <c r="U5" s="27" t="s">
        <v>89</v>
      </c>
      <c r="V5" t="s">
        <v>90</v>
      </c>
      <c r="W5">
        <v>1</v>
      </c>
      <c r="X5">
        <v>40</v>
      </c>
      <c r="Y5">
        <v>0</v>
      </c>
      <c r="Z5">
        <v>2</v>
      </c>
      <c r="AA5" t="b">
        <v>1</v>
      </c>
      <c r="AC5" s="27" t="s">
        <v>110</v>
      </c>
      <c r="AD5" s="27" t="s">
        <v>111</v>
      </c>
      <c r="AE5" s="27" t="s">
        <v>112</v>
      </c>
      <c r="AF5" s="27" t="s">
        <v>113</v>
      </c>
      <c r="AG5" s="27" t="s">
        <v>114</v>
      </c>
      <c r="AH5" s="27" t="s">
        <v>115</v>
      </c>
      <c r="AI5" s="27" t="s">
        <v>116</v>
      </c>
      <c r="BB5" s="27" t="s">
        <v>117</v>
      </c>
      <c r="BC5" s="27" t="s">
        <v>118</v>
      </c>
      <c r="BD5" s="27" t="s">
        <v>119</v>
      </c>
      <c r="BE5" s="27" t="s">
        <v>91</v>
      </c>
      <c r="BF5" s="27" t="s">
        <v>120</v>
      </c>
      <c r="BG5" s="27" t="s">
        <v>121</v>
      </c>
      <c r="BH5" s="27" t="s">
        <v>122</v>
      </c>
      <c r="CA5" t="s">
        <v>123</v>
      </c>
      <c r="CB5" t="s">
        <v>124</v>
      </c>
      <c r="CC5" t="s">
        <v>124</v>
      </c>
      <c r="CD5" t="s">
        <v>125</v>
      </c>
      <c r="CE5" t="s">
        <v>125</v>
      </c>
      <c r="CF5" t="s">
        <v>126</v>
      </c>
      <c r="CG5" t="s">
        <v>126</v>
      </c>
    </row>
    <row r="6" spans="1:85" x14ac:dyDescent="0.25">
      <c r="A6">
        <v>2</v>
      </c>
      <c r="B6" t="b">
        <v>1</v>
      </c>
      <c r="C6">
        <v>0</v>
      </c>
      <c r="D6" t="s">
        <v>87</v>
      </c>
      <c r="E6">
        <f ca="1">Sheet1!$P$27</f>
        <v>0.03</v>
      </c>
      <c r="F6" t="s">
        <v>127</v>
      </c>
      <c r="G6" t="s">
        <v>130</v>
      </c>
      <c r="H6" s="27" t="s">
        <v>92</v>
      </c>
      <c r="I6" s="27" t="s">
        <v>92</v>
      </c>
      <c r="J6" s="27" t="s">
        <v>128</v>
      </c>
      <c r="K6" s="27" t="s">
        <v>129</v>
      </c>
      <c r="L6" s="27" t="s">
        <v>96</v>
      </c>
      <c r="M6">
        <v>7</v>
      </c>
      <c r="N6" t="b">
        <v>1</v>
      </c>
      <c r="O6" t="b">
        <v>1</v>
      </c>
      <c r="P6">
        <v>1</v>
      </c>
      <c r="Q6">
        <v>0</v>
      </c>
      <c r="R6">
        <v>1</v>
      </c>
      <c r="S6">
        <v>1</v>
      </c>
      <c r="T6" t="s">
        <v>93</v>
      </c>
      <c r="U6" s="27" t="s">
        <v>94</v>
      </c>
      <c r="V6" t="s">
        <v>95</v>
      </c>
      <c r="W6">
        <v>1</v>
      </c>
      <c r="X6">
        <v>40</v>
      </c>
      <c r="Y6">
        <v>0</v>
      </c>
      <c r="Z6">
        <v>2</v>
      </c>
      <c r="AA6" t="b">
        <v>1</v>
      </c>
      <c r="AC6" s="27" t="s">
        <v>131</v>
      </c>
      <c r="AD6" s="27" t="s">
        <v>132</v>
      </c>
      <c r="AE6" s="27" t="s">
        <v>133</v>
      </c>
      <c r="AF6" s="27" t="s">
        <v>113</v>
      </c>
      <c r="AG6" s="27" t="s">
        <v>114</v>
      </c>
      <c r="AH6" s="27" t="s">
        <v>115</v>
      </c>
      <c r="AI6" s="27" t="s">
        <v>116</v>
      </c>
      <c r="BB6" s="27" t="s">
        <v>134</v>
      </c>
      <c r="BC6" s="27" t="s">
        <v>135</v>
      </c>
      <c r="BD6" s="27" t="s">
        <v>136</v>
      </c>
      <c r="BE6" s="27" t="s">
        <v>96</v>
      </c>
      <c r="BF6" s="27" t="s">
        <v>137</v>
      </c>
      <c r="BG6" s="27" t="s">
        <v>138</v>
      </c>
      <c r="BH6" s="27" t="s">
        <v>139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</row>
    <row r="7" spans="1:85" x14ac:dyDescent="0.25">
      <c r="A7">
        <v>3</v>
      </c>
      <c r="B7" t="b">
        <v>1</v>
      </c>
      <c r="C7">
        <v>0</v>
      </c>
      <c r="D7" t="s">
        <v>87</v>
      </c>
      <c r="E7">
        <f ca="1">Sheet1!$O$37</f>
        <v>60</v>
      </c>
      <c r="F7" t="s">
        <v>140</v>
      </c>
      <c r="G7" t="s">
        <v>147</v>
      </c>
      <c r="H7" s="27" t="s">
        <v>92</v>
      </c>
      <c r="I7" s="27" t="s">
        <v>92</v>
      </c>
      <c r="J7" s="27" t="s">
        <v>145</v>
      </c>
      <c r="K7" s="27" t="s">
        <v>146</v>
      </c>
      <c r="L7" s="27" t="s">
        <v>144</v>
      </c>
      <c r="M7">
        <v>7</v>
      </c>
      <c r="N7" t="b">
        <v>1</v>
      </c>
      <c r="O7" t="b">
        <v>1</v>
      </c>
      <c r="P7">
        <v>1</v>
      </c>
      <c r="Q7">
        <v>0</v>
      </c>
      <c r="R7">
        <v>1</v>
      </c>
      <c r="S7">
        <v>2</v>
      </c>
      <c r="T7" t="s">
        <v>141</v>
      </c>
      <c r="U7" s="27" t="s">
        <v>142</v>
      </c>
      <c r="V7" t="s">
        <v>143</v>
      </c>
      <c r="W7">
        <v>1</v>
      </c>
      <c r="X7">
        <v>32</v>
      </c>
      <c r="Y7">
        <v>0</v>
      </c>
      <c r="Z7">
        <v>2</v>
      </c>
      <c r="AA7" t="b">
        <v>1</v>
      </c>
      <c r="AC7" s="27" t="s">
        <v>131</v>
      </c>
      <c r="AD7" s="27" t="s">
        <v>148</v>
      </c>
      <c r="AE7" s="27" t="s">
        <v>133</v>
      </c>
      <c r="AF7" s="27" t="s">
        <v>113</v>
      </c>
      <c r="AG7" s="27" t="s">
        <v>149</v>
      </c>
      <c r="AH7" s="27" t="s">
        <v>115</v>
      </c>
      <c r="AI7" s="27" t="s">
        <v>116</v>
      </c>
      <c r="BB7" s="27" t="s">
        <v>150</v>
      </c>
      <c r="BC7" s="27" t="s">
        <v>151</v>
      </c>
      <c r="BD7" s="27" t="s">
        <v>152</v>
      </c>
      <c r="BE7" s="27" t="s">
        <v>144</v>
      </c>
      <c r="BF7" s="27" t="s">
        <v>153</v>
      </c>
      <c r="BG7" s="27" t="s">
        <v>154</v>
      </c>
      <c r="BH7" s="27" t="s">
        <v>155</v>
      </c>
      <c r="CA7" t="s">
        <v>156</v>
      </c>
      <c r="CB7" t="s">
        <v>157</v>
      </c>
      <c r="CC7" t="s">
        <v>158</v>
      </c>
      <c r="CD7" t="s">
        <v>125</v>
      </c>
      <c r="CE7" t="s">
        <v>159</v>
      </c>
      <c r="CF7" t="s">
        <v>160</v>
      </c>
      <c r="CG7" t="s">
        <v>161</v>
      </c>
    </row>
    <row r="8" spans="1:85" x14ac:dyDescent="0.25">
      <c r="A8">
        <v>4</v>
      </c>
      <c r="B8" t="b">
        <v>1</v>
      </c>
      <c r="C8">
        <v>0</v>
      </c>
      <c r="D8" t="s">
        <v>87</v>
      </c>
      <c r="E8">
        <f ca="1">Sheet1!$O$38</f>
        <v>6</v>
      </c>
      <c r="F8" t="s">
        <v>162</v>
      </c>
      <c r="G8" t="s">
        <v>168</v>
      </c>
      <c r="H8" s="27" t="s">
        <v>92</v>
      </c>
      <c r="I8" s="27" t="s">
        <v>92</v>
      </c>
      <c r="J8" s="27" t="s">
        <v>166</v>
      </c>
      <c r="K8" s="27" t="s">
        <v>167</v>
      </c>
      <c r="L8" s="27" t="s">
        <v>146</v>
      </c>
      <c r="M8">
        <v>7</v>
      </c>
      <c r="N8" t="b">
        <v>1</v>
      </c>
      <c r="O8" t="b">
        <v>1</v>
      </c>
      <c r="P8">
        <v>1</v>
      </c>
      <c r="Q8">
        <v>0</v>
      </c>
      <c r="R8">
        <v>1</v>
      </c>
      <c r="S8">
        <v>3</v>
      </c>
      <c r="T8" t="s">
        <v>163</v>
      </c>
      <c r="U8" s="27" t="s">
        <v>164</v>
      </c>
      <c r="V8" t="s">
        <v>165</v>
      </c>
      <c r="W8">
        <v>1</v>
      </c>
      <c r="X8">
        <v>32</v>
      </c>
      <c r="Y8">
        <v>0</v>
      </c>
      <c r="Z8">
        <v>2</v>
      </c>
      <c r="AA8" t="b">
        <v>1</v>
      </c>
      <c r="AC8" s="27" t="s">
        <v>110</v>
      </c>
      <c r="AD8" s="27" t="s">
        <v>148</v>
      </c>
      <c r="AE8" s="27" t="s">
        <v>112</v>
      </c>
      <c r="AF8" s="27" t="s">
        <v>113</v>
      </c>
      <c r="AG8" s="27" t="s">
        <v>114</v>
      </c>
      <c r="AH8" s="27" t="s">
        <v>115</v>
      </c>
      <c r="AI8" s="27" t="s">
        <v>169</v>
      </c>
      <c r="BB8" s="27" t="s">
        <v>170</v>
      </c>
      <c r="BC8" s="27" t="s">
        <v>171</v>
      </c>
      <c r="BD8" s="27" t="s">
        <v>172</v>
      </c>
      <c r="BE8" s="27" t="s">
        <v>146</v>
      </c>
      <c r="BF8" s="27" t="s">
        <v>173</v>
      </c>
      <c r="BG8" s="27" t="s">
        <v>174</v>
      </c>
      <c r="BH8" s="27" t="s">
        <v>175</v>
      </c>
      <c r="CA8" t="s">
        <v>176</v>
      </c>
      <c r="CB8" t="s">
        <v>177</v>
      </c>
      <c r="CC8" t="s">
        <v>178</v>
      </c>
      <c r="CD8" t="s">
        <v>125</v>
      </c>
      <c r="CE8" t="s">
        <v>179</v>
      </c>
      <c r="CF8" t="s">
        <v>180</v>
      </c>
      <c r="CG8" t="s">
        <v>181</v>
      </c>
    </row>
    <row r="9" spans="1:85" x14ac:dyDescent="0.25">
      <c r="A9">
        <v>5</v>
      </c>
      <c r="B9" t="b">
        <v>1</v>
      </c>
      <c r="C9">
        <v>0</v>
      </c>
      <c r="D9" t="s">
        <v>87</v>
      </c>
      <c r="E9">
        <f ca="1">Sheet1!$O$39</f>
        <v>0.5</v>
      </c>
      <c r="F9" t="s">
        <v>183</v>
      </c>
      <c r="G9" t="s">
        <v>190</v>
      </c>
      <c r="H9" s="27" t="s">
        <v>92</v>
      </c>
      <c r="I9" s="27" t="s">
        <v>92</v>
      </c>
      <c r="J9" s="27" t="s">
        <v>188</v>
      </c>
      <c r="K9" s="27" t="s">
        <v>189</v>
      </c>
      <c r="L9" s="27" t="s">
        <v>187</v>
      </c>
      <c r="M9">
        <v>7</v>
      </c>
      <c r="N9" t="b">
        <v>1</v>
      </c>
      <c r="O9" t="b">
        <v>1</v>
      </c>
      <c r="P9">
        <v>1</v>
      </c>
      <c r="Q9">
        <v>0</v>
      </c>
      <c r="R9">
        <v>1</v>
      </c>
      <c r="S9">
        <v>4</v>
      </c>
      <c r="T9" t="s">
        <v>184</v>
      </c>
      <c r="U9" s="27" t="s">
        <v>185</v>
      </c>
      <c r="V9" t="s">
        <v>186</v>
      </c>
      <c r="W9">
        <v>1</v>
      </c>
      <c r="X9">
        <v>37</v>
      </c>
      <c r="Y9">
        <v>0</v>
      </c>
      <c r="Z9">
        <v>2</v>
      </c>
      <c r="AA9" t="b">
        <v>1</v>
      </c>
      <c r="AC9" s="27" t="s">
        <v>131</v>
      </c>
      <c r="AD9" s="27" t="s">
        <v>191</v>
      </c>
      <c r="AE9" s="27" t="s">
        <v>192</v>
      </c>
      <c r="AF9" s="27" t="s">
        <v>113</v>
      </c>
      <c r="AG9" s="27" t="s">
        <v>193</v>
      </c>
      <c r="AH9" s="27" t="s">
        <v>194</v>
      </c>
      <c r="AI9" s="27" t="s">
        <v>116</v>
      </c>
      <c r="BB9" s="27" t="s">
        <v>195</v>
      </c>
      <c r="BC9" s="27" t="s">
        <v>196</v>
      </c>
      <c r="BD9" s="27" t="s">
        <v>197</v>
      </c>
      <c r="BE9" s="27" t="s">
        <v>187</v>
      </c>
      <c r="BF9" s="27" t="s">
        <v>198</v>
      </c>
      <c r="BG9" s="27" t="s">
        <v>199</v>
      </c>
      <c r="BH9" s="27" t="s">
        <v>200</v>
      </c>
      <c r="CA9" t="s">
        <v>201</v>
      </c>
      <c r="CB9" t="s">
        <v>202</v>
      </c>
      <c r="CC9" t="s">
        <v>123</v>
      </c>
      <c r="CD9" t="s">
        <v>125</v>
      </c>
      <c r="CE9" t="s">
        <v>203</v>
      </c>
      <c r="CF9" t="s">
        <v>204</v>
      </c>
      <c r="CG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27" t="s">
        <v>207</v>
      </c>
      <c r="B1" s="27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47"/>
  <sheetViews>
    <sheetView tabSelected="1" topLeftCell="A34" zoomScale="82" zoomScaleNormal="82" workbookViewId="0">
      <selection activeCell="Y30" sqref="Y30:AD36"/>
    </sheetView>
  </sheetViews>
  <sheetFormatPr defaultRowHeight="15" x14ac:dyDescent="0.25"/>
  <cols>
    <col min="2" max="3" width="9.140625" customWidth="1"/>
    <col min="8" max="8" width="12" customWidth="1"/>
    <col min="9" max="9" width="21.5703125" customWidth="1"/>
    <col min="10" max="10" width="16" customWidth="1"/>
    <col min="11" max="11" width="20.140625" customWidth="1"/>
    <col min="13" max="13" width="7.140625" customWidth="1"/>
    <col min="23" max="24" width="9.42578125" bestFit="1" customWidth="1"/>
    <col min="25" max="26" width="9.7109375" bestFit="1" customWidth="1"/>
    <col min="27" max="27" width="14.5703125" customWidth="1"/>
    <col min="28" max="28" width="11" customWidth="1"/>
    <col min="30" max="31" width="9.7109375" bestFit="1" customWidth="1"/>
    <col min="32" max="32" width="11.5703125" customWidth="1"/>
    <col min="33" max="33" width="11.42578125" customWidth="1"/>
    <col min="34" max="34" width="14.7109375" customWidth="1"/>
    <col min="35" max="35" width="19.85546875" customWidth="1"/>
  </cols>
  <sheetData>
    <row r="2" spans="1:36" ht="15" customHeight="1" x14ac:dyDescent="0.25">
      <c r="A2" s="44" t="s">
        <v>0</v>
      </c>
      <c r="B2" s="44" t="s">
        <v>1</v>
      </c>
      <c r="C2" s="51" t="s">
        <v>103</v>
      </c>
      <c r="D2" s="44" t="s">
        <v>2</v>
      </c>
      <c r="E2" s="45" t="s">
        <v>3</v>
      </c>
      <c r="F2" s="45"/>
      <c r="G2" s="46" t="s">
        <v>4</v>
      </c>
      <c r="H2" s="46"/>
      <c r="I2" s="53" t="s">
        <v>5</v>
      </c>
      <c r="J2" s="53"/>
      <c r="K2" s="53"/>
      <c r="L2" s="53"/>
      <c r="M2" s="53"/>
      <c r="N2" s="53"/>
      <c r="O2" s="53"/>
      <c r="P2" s="47" t="s">
        <v>6</v>
      </c>
      <c r="Q2" s="47"/>
      <c r="R2" s="22" t="s">
        <v>30</v>
      </c>
      <c r="S2" s="1" t="s">
        <v>28</v>
      </c>
      <c r="T2" s="1"/>
      <c r="U2" s="48" t="s">
        <v>7</v>
      </c>
      <c r="V2" s="48"/>
      <c r="W2" s="49" t="s">
        <v>8</v>
      </c>
      <c r="X2" s="49" t="s">
        <v>9</v>
      </c>
      <c r="Y2" s="50" t="s">
        <v>10</v>
      </c>
      <c r="Z2" s="50" t="s">
        <v>11</v>
      </c>
      <c r="AA2" s="54" t="s">
        <v>12</v>
      </c>
      <c r="AB2" s="54" t="s">
        <v>13</v>
      </c>
      <c r="AC2" s="43" t="s">
        <v>44</v>
      </c>
      <c r="AD2" s="43" t="s">
        <v>52</v>
      </c>
      <c r="AE2" s="43" t="s">
        <v>14</v>
      </c>
      <c r="AF2" s="37" t="s">
        <v>15</v>
      </c>
      <c r="AG2" s="38" t="s">
        <v>16</v>
      </c>
      <c r="AH2" s="38" t="s">
        <v>17</v>
      </c>
      <c r="AI2" s="25" t="s">
        <v>46</v>
      </c>
      <c r="AJ2" s="26" t="s">
        <v>47</v>
      </c>
    </row>
    <row r="3" spans="1:36" ht="26.25" x14ac:dyDescent="0.25">
      <c r="A3" s="44"/>
      <c r="B3" s="44"/>
      <c r="C3" s="52"/>
      <c r="D3" s="44"/>
      <c r="E3" s="2" t="s">
        <v>18</v>
      </c>
      <c r="F3" s="2" t="s">
        <v>19</v>
      </c>
      <c r="G3" s="3" t="s">
        <v>18</v>
      </c>
      <c r="H3" s="3" t="s">
        <v>19</v>
      </c>
      <c r="I3" s="4" t="s">
        <v>18</v>
      </c>
      <c r="J3" s="4" t="s">
        <v>19</v>
      </c>
      <c r="K3" s="4" t="s">
        <v>20</v>
      </c>
      <c r="L3" s="4"/>
      <c r="M3" s="4"/>
      <c r="N3" s="21" t="s">
        <v>29</v>
      </c>
      <c r="O3" s="4" t="s">
        <v>21</v>
      </c>
      <c r="P3" s="47" t="s">
        <v>34</v>
      </c>
      <c r="Q3" s="47"/>
      <c r="R3" s="22" t="s">
        <v>28</v>
      </c>
      <c r="S3" s="1" t="s">
        <v>43</v>
      </c>
      <c r="T3" s="5"/>
      <c r="U3" s="6" t="s">
        <v>22</v>
      </c>
      <c r="V3" s="7" t="s">
        <v>23</v>
      </c>
      <c r="W3" s="49"/>
      <c r="X3" s="49"/>
      <c r="Y3" s="50"/>
      <c r="Z3" s="50"/>
      <c r="AA3" s="54"/>
      <c r="AB3" s="54"/>
      <c r="AC3" s="43"/>
      <c r="AD3" s="43"/>
      <c r="AE3" s="43"/>
      <c r="AF3" s="39"/>
      <c r="AG3" s="40"/>
      <c r="AH3" s="40"/>
      <c r="AI3" s="25"/>
      <c r="AJ3" s="26"/>
    </row>
    <row r="4" spans="1:36" x14ac:dyDescent="0.25">
      <c r="G4" s="9"/>
      <c r="H4" s="9"/>
      <c r="Y4">
        <v>0</v>
      </c>
      <c r="AD4" s="23">
        <f ca="1">O25</f>
        <v>0.15</v>
      </c>
    </row>
    <row r="5" spans="1:36" x14ac:dyDescent="0.25">
      <c r="B5">
        <v>2001</v>
      </c>
      <c r="C5">
        <f ca="1">P27</f>
        <v>0.03</v>
      </c>
      <c r="D5" s="8">
        <f ca="1">D6/Q29</f>
        <v>91.514165935315944</v>
      </c>
      <c r="K5">
        <v>0</v>
      </c>
      <c r="N5">
        <f t="shared" ref="N5:N10" ca="1" si="0">100/D5</f>
        <v>1.0927270000000002</v>
      </c>
      <c r="R5">
        <v>10</v>
      </c>
      <c r="S5">
        <v>10</v>
      </c>
      <c r="U5">
        <v>0</v>
      </c>
      <c r="W5" s="13">
        <f>K5-S5-U5</f>
        <v>-10</v>
      </c>
      <c r="X5" s="13"/>
      <c r="Y5">
        <v>-10</v>
      </c>
      <c r="Z5">
        <f t="shared" ref="Z5:Z10" ca="1" si="1">Y5/N5</f>
        <v>-9.151416593531593</v>
      </c>
      <c r="AA5">
        <f>Y5+AA4</f>
        <v>-10</v>
      </c>
      <c r="AB5">
        <f ca="1">Z5+AB4</f>
        <v>-9.151416593531593</v>
      </c>
      <c r="AC5" s="14"/>
      <c r="AD5" s="23">
        <f ca="1">O25</f>
        <v>0.15</v>
      </c>
      <c r="AG5">
        <v>0</v>
      </c>
      <c r="AH5">
        <f t="shared" ref="AH5:AH21" ca="1" si="2">AG5/N5</f>
        <v>0</v>
      </c>
      <c r="AI5">
        <f>AG5+AI4</f>
        <v>0</v>
      </c>
      <c r="AJ5">
        <f ca="1">AH5+AJ4</f>
        <v>0</v>
      </c>
    </row>
    <row r="6" spans="1:36" x14ac:dyDescent="0.25">
      <c r="B6">
        <v>2002</v>
      </c>
      <c r="C6">
        <f ca="1">P27</f>
        <v>0.03</v>
      </c>
      <c r="D6" s="8">
        <f ca="1">D7/Q29</f>
        <v>94.259590913375419</v>
      </c>
      <c r="K6">
        <v>0</v>
      </c>
      <c r="N6">
        <f t="shared" ca="1" si="0"/>
        <v>1.0609000000000002</v>
      </c>
      <c r="R6">
        <v>10</v>
      </c>
      <c r="S6">
        <v>10</v>
      </c>
      <c r="U6">
        <v>0</v>
      </c>
      <c r="W6" s="13">
        <f t="shared" ref="W6:W21" si="3">K6-S6-U6</f>
        <v>-10</v>
      </c>
      <c r="X6" s="14"/>
      <c r="Y6" s="14">
        <v>-10</v>
      </c>
      <c r="Z6" s="14">
        <f t="shared" ca="1" si="1"/>
        <v>-9.4259590913375426</v>
      </c>
      <c r="AA6">
        <f t="shared" ref="AA6:AA21" si="4">Y6+AA5</f>
        <v>-20</v>
      </c>
      <c r="AB6">
        <f t="shared" ref="AB6:AB21" ca="1" si="5">Z6+AB5</f>
        <v>-18.577375684869136</v>
      </c>
      <c r="AC6" s="14"/>
      <c r="AD6" s="23">
        <f ca="1">O25</f>
        <v>0.15</v>
      </c>
      <c r="AG6" s="14">
        <v>0</v>
      </c>
      <c r="AH6">
        <f t="shared" ca="1" si="2"/>
        <v>0</v>
      </c>
      <c r="AI6">
        <f t="shared" ref="AI6:AI21" si="6">AG6+AI5</f>
        <v>0</v>
      </c>
      <c r="AJ6">
        <f t="shared" ref="AJ6:AJ21" ca="1" si="7">AH6+AJ5</f>
        <v>0</v>
      </c>
    </row>
    <row r="7" spans="1:36" x14ac:dyDescent="0.25">
      <c r="B7">
        <v>2003</v>
      </c>
      <c r="C7">
        <f ca="1">P27</f>
        <v>0.03</v>
      </c>
      <c r="D7" s="8">
        <f>D8/1.03</f>
        <v>97.087378640776691</v>
      </c>
      <c r="K7">
        <v>0</v>
      </c>
      <c r="N7">
        <f t="shared" si="0"/>
        <v>1.03</v>
      </c>
      <c r="R7">
        <v>10</v>
      </c>
      <c r="S7">
        <v>10</v>
      </c>
      <c r="U7" s="10">
        <v>8</v>
      </c>
      <c r="V7" s="8">
        <f>U7/N7</f>
        <v>7.766990291262136</v>
      </c>
      <c r="W7" s="13">
        <f t="shared" si="3"/>
        <v>-18</v>
      </c>
      <c r="X7" s="14"/>
      <c r="Y7" s="14">
        <v>-18</v>
      </c>
      <c r="Z7" s="14">
        <f t="shared" si="1"/>
        <v>-17.475728155339805</v>
      </c>
      <c r="AA7">
        <f t="shared" si="4"/>
        <v>-38</v>
      </c>
      <c r="AB7">
        <f t="shared" ca="1" si="5"/>
        <v>-36.053103840208941</v>
      </c>
      <c r="AC7" s="14"/>
      <c r="AD7" s="23">
        <f ca="1">O25</f>
        <v>0.15</v>
      </c>
      <c r="AE7" s="14"/>
      <c r="AF7" s="14"/>
      <c r="AG7" s="14">
        <v>0</v>
      </c>
      <c r="AH7">
        <f t="shared" si="2"/>
        <v>0</v>
      </c>
      <c r="AI7">
        <f t="shared" si="6"/>
        <v>0</v>
      </c>
      <c r="AJ7">
        <f t="shared" ca="1" si="7"/>
        <v>0</v>
      </c>
    </row>
    <row r="8" spans="1:36" x14ac:dyDescent="0.25">
      <c r="A8">
        <v>0</v>
      </c>
      <c r="B8">
        <v>2004</v>
      </c>
      <c r="C8">
        <f ca="1">P27</f>
        <v>0.03</v>
      </c>
      <c r="D8">
        <v>100</v>
      </c>
      <c r="E8" s="8"/>
      <c r="F8" s="8"/>
      <c r="K8">
        <v>0</v>
      </c>
      <c r="N8">
        <f t="shared" si="0"/>
        <v>1</v>
      </c>
      <c r="R8">
        <v>10</v>
      </c>
      <c r="S8">
        <v>10</v>
      </c>
      <c r="U8" s="10">
        <v>8</v>
      </c>
      <c r="V8" s="8">
        <f t="shared" ref="V8:V21" si="8">U8/N8</f>
        <v>8</v>
      </c>
      <c r="W8" s="13">
        <f t="shared" si="3"/>
        <v>-18</v>
      </c>
      <c r="X8" s="14"/>
      <c r="Y8" s="14">
        <v>-18</v>
      </c>
      <c r="Z8" s="14">
        <f t="shared" si="1"/>
        <v>-18</v>
      </c>
      <c r="AA8">
        <f t="shared" si="4"/>
        <v>-56</v>
      </c>
      <c r="AB8">
        <f t="shared" ca="1" si="5"/>
        <v>-54.053103840208941</v>
      </c>
      <c r="AC8" s="14">
        <f ca="1">1/(1+S25)^A8</f>
        <v>1</v>
      </c>
      <c r="AD8" s="23">
        <f ca="1">O25</f>
        <v>0.15</v>
      </c>
      <c r="AE8" s="14">
        <f t="shared" ref="AE8:AE21" ca="1" si="9">AC8*Y8</f>
        <v>-18</v>
      </c>
      <c r="AF8" s="14">
        <f t="shared" ref="AF8:AF21" ca="1" si="10">AC8*Z8</f>
        <v>-18</v>
      </c>
      <c r="AG8" s="14">
        <f ca="1">AE8*0.3</f>
        <v>-5.3999999999999995</v>
      </c>
      <c r="AH8">
        <f t="shared" ca="1" si="2"/>
        <v>-5.3999999999999995</v>
      </c>
      <c r="AI8">
        <f t="shared" ca="1" si="6"/>
        <v>-5.3999999999999995</v>
      </c>
      <c r="AJ8">
        <f t="shared" ca="1" si="7"/>
        <v>-5.3999999999999995</v>
      </c>
    </row>
    <row r="9" spans="1:36" x14ac:dyDescent="0.25">
      <c r="A9">
        <v>1</v>
      </c>
      <c r="B9">
        <v>2005</v>
      </c>
      <c r="C9">
        <f ca="1">P27</f>
        <v>0.03</v>
      </c>
      <c r="D9" s="8">
        <f ca="1">D8*Q29</f>
        <v>103</v>
      </c>
      <c r="E9" s="8"/>
      <c r="F9" s="8"/>
      <c r="K9">
        <v>0</v>
      </c>
      <c r="N9">
        <f t="shared" ca="1" si="0"/>
        <v>0.970873786407767</v>
      </c>
      <c r="R9">
        <v>10</v>
      </c>
      <c r="S9">
        <v>10</v>
      </c>
      <c r="U9" s="10">
        <f>35+7+500</f>
        <v>542</v>
      </c>
      <c r="V9" s="8">
        <f t="shared" ca="1" si="8"/>
        <v>558.26</v>
      </c>
      <c r="W9" s="13">
        <f t="shared" si="3"/>
        <v>-552</v>
      </c>
      <c r="X9" s="14"/>
      <c r="Y9" s="14">
        <v>-552</v>
      </c>
      <c r="Z9" s="14">
        <f t="shared" ca="1" si="1"/>
        <v>-568.55999999999995</v>
      </c>
      <c r="AA9">
        <f t="shared" si="4"/>
        <v>-608</v>
      </c>
      <c r="AB9">
        <f t="shared" ca="1" si="5"/>
        <v>-622.61310384020885</v>
      </c>
      <c r="AC9" s="14">
        <f ca="1">1/(1+S25)^A9</f>
        <v>0.84423807513718874</v>
      </c>
      <c r="AD9" s="23">
        <f ca="1">O25</f>
        <v>0.15</v>
      </c>
      <c r="AE9" s="14">
        <f t="shared" ca="1" si="9"/>
        <v>-466.01941747572818</v>
      </c>
      <c r="AF9" s="14">
        <f t="shared" ca="1" si="10"/>
        <v>-480</v>
      </c>
      <c r="AG9" s="14">
        <f t="shared" ref="AG9:AG21" ca="1" si="11">AE9*0.3</f>
        <v>-139.80582524271844</v>
      </c>
      <c r="AH9">
        <f t="shared" ca="1" si="2"/>
        <v>-144</v>
      </c>
      <c r="AI9">
        <f t="shared" ca="1" si="6"/>
        <v>-145.20582524271845</v>
      </c>
      <c r="AJ9">
        <f t="shared" ca="1" si="7"/>
        <v>-149.4</v>
      </c>
    </row>
    <row r="10" spans="1:36" x14ac:dyDescent="0.25">
      <c r="A10">
        <v>2</v>
      </c>
      <c r="B10">
        <v>2006</v>
      </c>
      <c r="C10">
        <f ca="1">P27</f>
        <v>0.03</v>
      </c>
      <c r="D10" s="8">
        <f ca="1">D9*Q29</f>
        <v>106.09</v>
      </c>
      <c r="E10" s="8">
        <f ca="1">O37</f>
        <v>60</v>
      </c>
      <c r="F10" s="8">
        <f ca="1">O38</f>
        <v>6</v>
      </c>
      <c r="G10">
        <v>38.5</v>
      </c>
      <c r="H10">
        <v>262.8</v>
      </c>
      <c r="I10" s="10">
        <f ca="1">E10*G10</f>
        <v>2310</v>
      </c>
      <c r="J10" s="11">
        <f ca="1">F10*H10</f>
        <v>1576.8000000000002</v>
      </c>
      <c r="K10" s="12">
        <f ca="1">I10+J10</f>
        <v>3886.8</v>
      </c>
      <c r="N10">
        <f t="shared" ca="1" si="0"/>
        <v>0.94259590913375435</v>
      </c>
      <c r="O10">
        <f ca="1">K10/N10</f>
        <v>4123.50612</v>
      </c>
      <c r="P10" s="10">
        <f t="shared" ref="P10:P20" si="12">G10*3</f>
        <v>115.5</v>
      </c>
      <c r="Q10">
        <f t="shared" ref="Q10:Q20" si="13">H10*1.5</f>
        <v>394.20000000000005</v>
      </c>
      <c r="R10">
        <v>10</v>
      </c>
      <c r="S10" s="12">
        <f>P10+Q10+R10</f>
        <v>519.70000000000005</v>
      </c>
      <c r="U10" s="10">
        <f>100+50+700</f>
        <v>850</v>
      </c>
      <c r="V10" s="8">
        <f t="shared" ca="1" si="8"/>
        <v>901.76499999999999</v>
      </c>
      <c r="W10" s="13">
        <f t="shared" ca="1" si="3"/>
        <v>2517.1000000000004</v>
      </c>
      <c r="X10" s="14">
        <f ca="1">O39</f>
        <v>0.5</v>
      </c>
      <c r="Y10" s="14">
        <f ca="1">X10*W10</f>
        <v>1258.5500000000002</v>
      </c>
      <c r="Z10" s="14">
        <f t="shared" ca="1" si="1"/>
        <v>1335.1956950000001</v>
      </c>
      <c r="AA10">
        <f t="shared" ca="1" si="4"/>
        <v>650.55000000000018</v>
      </c>
      <c r="AB10">
        <f t="shared" ca="1" si="5"/>
        <v>712.58259115979126</v>
      </c>
      <c r="AC10" s="14">
        <f ca="1">1/(1+S25)^A10</f>
        <v>0.71273792751134568</v>
      </c>
      <c r="AD10" s="23">
        <f ca="1">O25</f>
        <v>0.15</v>
      </c>
      <c r="AE10" s="14">
        <f t="shared" ca="1" si="9"/>
        <v>897.0163186694042</v>
      </c>
      <c r="AF10" s="14">
        <f t="shared" ca="1" si="10"/>
        <v>951.64461247637087</v>
      </c>
      <c r="AG10" s="14">
        <f t="shared" ca="1" si="11"/>
        <v>269.10489560082124</v>
      </c>
      <c r="AH10">
        <f t="shared" ca="1" si="2"/>
        <v>285.49338374291125</v>
      </c>
      <c r="AI10">
        <f t="shared" ca="1" si="6"/>
        <v>123.89907035810279</v>
      </c>
      <c r="AJ10">
        <f t="shared" ca="1" si="7"/>
        <v>136.09338374291124</v>
      </c>
    </row>
    <row r="11" spans="1:36" x14ac:dyDescent="0.25">
      <c r="A11">
        <v>3</v>
      </c>
      <c r="B11">
        <v>2007</v>
      </c>
      <c r="C11">
        <f ca="1">P27</f>
        <v>0.03</v>
      </c>
      <c r="D11" s="8">
        <f ca="1">D10*Q29</f>
        <v>109.2727</v>
      </c>
      <c r="E11" s="8">
        <f ca="1">O37</f>
        <v>60</v>
      </c>
      <c r="F11" s="8">
        <f ca="1">O38</f>
        <v>6</v>
      </c>
      <c r="G11">
        <v>60.5</v>
      </c>
      <c r="H11">
        <v>361.35</v>
      </c>
      <c r="I11" s="10">
        <f t="shared" ref="I11:I20" ca="1" si="14">E11*G11</f>
        <v>3630</v>
      </c>
      <c r="J11" s="11">
        <f t="shared" ref="J11:J20" ca="1" si="15">F11*H11</f>
        <v>2168.1000000000004</v>
      </c>
      <c r="K11" s="12">
        <f t="shared" ref="K11:K20" ca="1" si="16">I11+J11</f>
        <v>5798.1</v>
      </c>
      <c r="N11">
        <f t="shared" ref="N11:N21" ca="1" si="17">100/D11</f>
        <v>0.91514165935315961</v>
      </c>
      <c r="O11">
        <f t="shared" ref="O11:O20" ca="1" si="18">K11/N11</f>
        <v>6335.7404187000002</v>
      </c>
      <c r="P11" s="10">
        <f t="shared" si="12"/>
        <v>181.5</v>
      </c>
      <c r="Q11">
        <f t="shared" si="13"/>
        <v>542.02500000000009</v>
      </c>
      <c r="R11">
        <v>10</v>
      </c>
      <c r="S11" s="12">
        <f t="shared" ref="S11:S21" si="19">P11+Q11+R11</f>
        <v>733.52500000000009</v>
      </c>
      <c r="U11" s="10">
        <f>50+70</f>
        <v>120</v>
      </c>
      <c r="V11" s="8">
        <f t="shared" ca="1" si="8"/>
        <v>131.12724</v>
      </c>
      <c r="W11" s="14">
        <f ca="1">K11-S11-U11</f>
        <v>4944.5750000000007</v>
      </c>
      <c r="X11" s="14">
        <f ca="1">O39</f>
        <v>0.5</v>
      </c>
      <c r="Y11" s="14">
        <f t="shared" ref="Y11:Y21" ca="1" si="20">X11*W11</f>
        <v>2472.2875000000004</v>
      </c>
      <c r="Z11" s="14">
        <f t="shared" ref="Z11:Z21" ca="1" si="21">Y11/N11</f>
        <v>2701.5353030125002</v>
      </c>
      <c r="AA11">
        <f t="shared" ca="1" si="4"/>
        <v>3122.8375000000005</v>
      </c>
      <c r="AB11">
        <f t="shared" ca="1" si="5"/>
        <v>3414.1178941722915</v>
      </c>
      <c r="AC11" s="14">
        <f ca="1">1/(1+S25)^A11</f>
        <v>0.60172049599944766</v>
      </c>
      <c r="AD11" s="23">
        <f ca="1">O25</f>
        <v>0.15</v>
      </c>
      <c r="AE11" s="14">
        <f t="shared" ca="1" si="9"/>
        <v>1487.6260607532347</v>
      </c>
      <c r="AF11" s="14">
        <f t="shared" ca="1" si="10"/>
        <v>1625.5691624886997</v>
      </c>
      <c r="AG11" s="14">
        <f t="shared" ca="1" si="11"/>
        <v>446.2878182259704</v>
      </c>
      <c r="AH11">
        <f t="shared" ca="1" si="2"/>
        <v>487.67074874660995</v>
      </c>
      <c r="AI11">
        <f t="shared" ca="1" si="6"/>
        <v>570.18688858407313</v>
      </c>
      <c r="AJ11">
        <f t="shared" ca="1" si="7"/>
        <v>623.76413248952122</v>
      </c>
    </row>
    <row r="12" spans="1:36" x14ac:dyDescent="0.25">
      <c r="A12">
        <v>4</v>
      </c>
      <c r="B12">
        <v>2008</v>
      </c>
      <c r="C12">
        <f ca="1">P27</f>
        <v>0.03</v>
      </c>
      <c r="D12" s="8">
        <f ca="1">D11*Q29</f>
        <v>112.550881</v>
      </c>
      <c r="E12" s="8">
        <f ca="1">O37</f>
        <v>60</v>
      </c>
      <c r="F12" s="8">
        <f ca="1">O38</f>
        <v>6</v>
      </c>
      <c r="G12">
        <v>66</v>
      </c>
      <c r="H12">
        <v>394.2</v>
      </c>
      <c r="I12" s="10">
        <f t="shared" ca="1" si="14"/>
        <v>3960</v>
      </c>
      <c r="J12" s="11">
        <f t="shared" ca="1" si="15"/>
        <v>2365.1999999999998</v>
      </c>
      <c r="K12" s="12">
        <f t="shared" ca="1" si="16"/>
        <v>6325.2</v>
      </c>
      <c r="N12">
        <f t="shared" ca="1" si="17"/>
        <v>0.88848704791568889</v>
      </c>
      <c r="O12">
        <f t="shared" ca="1" si="18"/>
        <v>7119.0683250120001</v>
      </c>
      <c r="P12" s="10">
        <f t="shared" si="12"/>
        <v>198</v>
      </c>
      <c r="Q12">
        <f t="shared" si="13"/>
        <v>591.29999999999995</v>
      </c>
      <c r="R12">
        <v>10</v>
      </c>
      <c r="S12" s="12">
        <f t="shared" si="19"/>
        <v>799.3</v>
      </c>
      <c r="U12" s="10">
        <v>0</v>
      </c>
      <c r="V12" s="8">
        <f t="shared" ca="1" si="8"/>
        <v>0</v>
      </c>
      <c r="W12" s="13">
        <f t="shared" ca="1" si="3"/>
        <v>5525.9</v>
      </c>
      <c r="X12" s="14">
        <f ca="1">O39</f>
        <v>0.5</v>
      </c>
      <c r="Y12" s="14">
        <f t="shared" ca="1" si="20"/>
        <v>2762.95</v>
      </c>
      <c r="Z12" s="14">
        <f t="shared" ca="1" si="21"/>
        <v>3109.7245665894998</v>
      </c>
      <c r="AA12">
        <f t="shared" ca="1" si="4"/>
        <v>5885.7875000000004</v>
      </c>
      <c r="AB12">
        <f t="shared" ca="1" si="5"/>
        <v>6523.8424607617908</v>
      </c>
      <c r="AC12" s="14">
        <f ca="1">1/(1+S25)^A12</f>
        <v>0.50799535331316814</v>
      </c>
      <c r="AD12" s="23">
        <f ca="1">O25</f>
        <v>0.15</v>
      </c>
      <c r="AE12" s="14">
        <f t="shared" ca="1" si="9"/>
        <v>1403.5657614366178</v>
      </c>
      <c r="AF12" s="14">
        <f t="shared" ca="1" si="10"/>
        <v>1579.7256299112717</v>
      </c>
      <c r="AG12" s="14">
        <f t="shared" ca="1" si="11"/>
        <v>421.06972843098532</v>
      </c>
      <c r="AH12">
        <f t="shared" ca="1" si="2"/>
        <v>473.91768897338147</v>
      </c>
      <c r="AI12">
        <f t="shared" ca="1" si="6"/>
        <v>991.25661701505851</v>
      </c>
      <c r="AJ12">
        <f t="shared" ca="1" si="7"/>
        <v>1097.6818214629027</v>
      </c>
    </row>
    <row r="13" spans="1:36" x14ac:dyDescent="0.25">
      <c r="A13">
        <v>5</v>
      </c>
      <c r="B13">
        <v>2009</v>
      </c>
      <c r="C13">
        <f ca="1">P27</f>
        <v>0.03</v>
      </c>
      <c r="D13" s="8">
        <f ca="1">D12*Q29</f>
        <v>115.92740743</v>
      </c>
      <c r="E13" s="8">
        <f ca="1">O37</f>
        <v>60</v>
      </c>
      <c r="F13" s="8">
        <f ca="1">O38</f>
        <v>6</v>
      </c>
      <c r="G13">
        <v>66</v>
      </c>
      <c r="H13">
        <v>427.05</v>
      </c>
      <c r="I13" s="10">
        <f t="shared" ca="1" si="14"/>
        <v>3960</v>
      </c>
      <c r="J13" s="11">
        <f t="shared" ca="1" si="15"/>
        <v>2562.3000000000002</v>
      </c>
      <c r="K13" s="12">
        <f t="shared" ca="1" si="16"/>
        <v>6522.3</v>
      </c>
      <c r="N13">
        <f t="shared" ca="1" si="17"/>
        <v>0.862608784384164</v>
      </c>
      <c r="O13">
        <f t="shared" ca="1" si="18"/>
        <v>7561.1332948068903</v>
      </c>
      <c r="P13" s="10">
        <f t="shared" si="12"/>
        <v>198</v>
      </c>
      <c r="Q13">
        <f t="shared" si="13"/>
        <v>640.57500000000005</v>
      </c>
      <c r="R13">
        <v>10</v>
      </c>
      <c r="S13" s="12">
        <f t="shared" si="19"/>
        <v>848.57500000000005</v>
      </c>
      <c r="U13" s="10">
        <v>0</v>
      </c>
      <c r="V13" s="8">
        <f t="shared" ca="1" si="8"/>
        <v>0</v>
      </c>
      <c r="W13" s="14">
        <f ca="1">K13-S13-U13</f>
        <v>5673.7250000000004</v>
      </c>
      <c r="X13" s="14">
        <f ca="1">O39</f>
        <v>0.5</v>
      </c>
      <c r="Y13" s="14">
        <f t="shared" ca="1" si="20"/>
        <v>2836.8625000000002</v>
      </c>
      <c r="Z13" s="14">
        <f t="shared" ca="1" si="21"/>
        <v>3288.7011486038841</v>
      </c>
      <c r="AA13">
        <f t="shared" ca="1" si="4"/>
        <v>8722.6500000000015</v>
      </c>
      <c r="AB13">
        <f t="shared" ca="1" si="5"/>
        <v>9812.5436093656754</v>
      </c>
      <c r="AC13" s="14">
        <f ca="1">1/(1+S25)^A13</f>
        <v>0.42886901925974524</v>
      </c>
      <c r="AD13" s="23">
        <f ca="1">O25</f>
        <v>0.15</v>
      </c>
      <c r="AE13" s="14">
        <f t="shared" ca="1" si="9"/>
        <v>1216.6424381497491</v>
      </c>
      <c r="AF13" s="14">
        <f t="shared" ca="1" si="10"/>
        <v>1410.4220362401454</v>
      </c>
      <c r="AG13" s="14">
        <f t="shared" ca="1" si="11"/>
        <v>364.99273144492469</v>
      </c>
      <c r="AH13">
        <f t="shared" ca="1" si="2"/>
        <v>423.12661087204356</v>
      </c>
      <c r="AI13">
        <f t="shared" ca="1" si="6"/>
        <v>1356.2493484599831</v>
      </c>
      <c r="AJ13">
        <f t="shared" ca="1" si="7"/>
        <v>1520.8084323349462</v>
      </c>
    </row>
    <row r="14" spans="1:36" x14ac:dyDescent="0.25">
      <c r="A14">
        <v>6</v>
      </c>
      <c r="B14">
        <v>2010</v>
      </c>
      <c r="C14">
        <f ca="1">P27</f>
        <v>0.03</v>
      </c>
      <c r="D14" s="8">
        <f ca="1">D13*Q29</f>
        <v>119.4052296529</v>
      </c>
      <c r="E14" s="8">
        <f ca="1">O37</f>
        <v>60</v>
      </c>
      <c r="F14" s="8">
        <f ca="1">O38</f>
        <v>6</v>
      </c>
      <c r="G14">
        <v>60.5</v>
      </c>
      <c r="H14">
        <v>361.35</v>
      </c>
      <c r="I14" s="10">
        <f t="shared" ca="1" si="14"/>
        <v>3630</v>
      </c>
      <c r="J14" s="11">
        <f t="shared" ca="1" si="15"/>
        <v>2168.1000000000004</v>
      </c>
      <c r="K14" s="12">
        <f t="shared" ca="1" si="16"/>
        <v>5798.1</v>
      </c>
      <c r="N14">
        <f t="shared" ca="1" si="17"/>
        <v>0.83748425668365434</v>
      </c>
      <c r="O14">
        <f t="shared" ca="1" si="18"/>
        <v>6923.2346205047952</v>
      </c>
      <c r="P14" s="10">
        <f t="shared" si="12"/>
        <v>181.5</v>
      </c>
      <c r="Q14">
        <f t="shared" si="13"/>
        <v>542.02500000000009</v>
      </c>
      <c r="R14">
        <v>10</v>
      </c>
      <c r="S14" s="12">
        <f t="shared" si="19"/>
        <v>733.52500000000009</v>
      </c>
      <c r="U14" s="10">
        <v>0</v>
      </c>
      <c r="V14" s="8">
        <f t="shared" ca="1" si="8"/>
        <v>0</v>
      </c>
      <c r="W14" s="14">
        <f ca="1">K14-S14-U14</f>
        <v>5064.5750000000007</v>
      </c>
      <c r="X14" s="14">
        <f ca="1">O39</f>
        <v>0.5</v>
      </c>
      <c r="Y14" s="14">
        <f t="shared" ca="1" si="20"/>
        <v>2532.2875000000004</v>
      </c>
      <c r="Z14" s="14">
        <f t="shared" ca="1" si="21"/>
        <v>3023.6837048466805</v>
      </c>
      <c r="AA14">
        <f t="shared" ca="1" si="4"/>
        <v>11254.937500000002</v>
      </c>
      <c r="AB14">
        <f t="shared" ca="1" si="5"/>
        <v>12836.227314212356</v>
      </c>
      <c r="AC14" s="14">
        <f ca="1">1/(1+S25)^A14</f>
        <v>0.36206755530582124</v>
      </c>
      <c r="AD14" s="23">
        <f ca="1">O25</f>
        <v>0.15</v>
      </c>
      <c r="AE14" s="14">
        <f t="shared" ca="1" si="9"/>
        <v>916.85914445648996</v>
      </c>
      <c r="AF14" s="14">
        <f t="shared" ca="1" si="10"/>
        <v>1094.777767031886</v>
      </c>
      <c r="AG14" s="14">
        <f t="shared" ca="1" si="11"/>
        <v>275.057743336947</v>
      </c>
      <c r="AH14">
        <f t="shared" ca="1" si="2"/>
        <v>328.43333010956582</v>
      </c>
      <c r="AI14">
        <f t="shared" ca="1" si="6"/>
        <v>1631.3070917969301</v>
      </c>
      <c r="AJ14">
        <f t="shared" ca="1" si="7"/>
        <v>1849.241762444512</v>
      </c>
    </row>
    <row r="15" spans="1:36" x14ac:dyDescent="0.25">
      <c r="A15">
        <v>7</v>
      </c>
      <c r="B15">
        <v>2011</v>
      </c>
      <c r="C15">
        <f ca="1">P27</f>
        <v>0.03</v>
      </c>
      <c r="D15" s="8">
        <f ca="1">D14*Q29</f>
        <v>122.987386542487</v>
      </c>
      <c r="E15" s="8">
        <f ca="1">O37</f>
        <v>60</v>
      </c>
      <c r="F15" s="8">
        <f ca="1">O38</f>
        <v>6</v>
      </c>
      <c r="G15">
        <v>55</v>
      </c>
      <c r="H15">
        <v>328.5</v>
      </c>
      <c r="I15" s="10">
        <f t="shared" ca="1" si="14"/>
        <v>3300</v>
      </c>
      <c r="J15" s="11">
        <f t="shared" ca="1" si="15"/>
        <v>1971</v>
      </c>
      <c r="K15" s="12">
        <f t="shared" ca="1" si="16"/>
        <v>5271</v>
      </c>
      <c r="N15">
        <f t="shared" ca="1" si="17"/>
        <v>0.81309151134335378</v>
      </c>
      <c r="O15">
        <f t="shared" ca="1" si="18"/>
        <v>6482.6651446544893</v>
      </c>
      <c r="P15" s="10">
        <f t="shared" si="12"/>
        <v>165</v>
      </c>
      <c r="Q15">
        <f t="shared" si="13"/>
        <v>492.75</v>
      </c>
      <c r="R15">
        <v>10</v>
      </c>
      <c r="S15" s="12">
        <f t="shared" si="19"/>
        <v>667.75</v>
      </c>
      <c r="U15" s="10">
        <v>0</v>
      </c>
      <c r="V15" s="8">
        <f t="shared" ca="1" si="8"/>
        <v>0</v>
      </c>
      <c r="W15" s="13">
        <f t="shared" ca="1" si="3"/>
        <v>4603.25</v>
      </c>
      <c r="X15" s="14">
        <f ca="1">O39</f>
        <v>0.5</v>
      </c>
      <c r="Y15" s="14">
        <f t="shared" ca="1" si="20"/>
        <v>2301.625</v>
      </c>
      <c r="Z15" s="14">
        <f t="shared" ca="1" si="21"/>
        <v>2830.7084355085162</v>
      </c>
      <c r="AA15">
        <f t="shared" ca="1" si="4"/>
        <v>13556.562500000002</v>
      </c>
      <c r="AB15">
        <f t="shared" ca="1" si="5"/>
        <v>15666.935749720873</v>
      </c>
      <c r="AC15" s="14">
        <f ca="1">1/(1+S25)^A15</f>
        <v>0.30567121596101421</v>
      </c>
      <c r="AD15" s="23">
        <f ca="1">O25</f>
        <v>0.15</v>
      </c>
      <c r="AE15" s="14">
        <f t="shared" ca="1" si="9"/>
        <v>703.5405124362693</v>
      </c>
      <c r="AF15" s="14">
        <f t="shared" ca="1" si="10"/>
        <v>865.26608951298829</v>
      </c>
      <c r="AG15" s="14">
        <f t="shared" ca="1" si="11"/>
        <v>211.06215373088079</v>
      </c>
      <c r="AH15">
        <f t="shared" ca="1" si="2"/>
        <v>259.57982685389652</v>
      </c>
      <c r="AI15">
        <f t="shared" ca="1" si="6"/>
        <v>1842.3692455278108</v>
      </c>
      <c r="AJ15">
        <f t="shared" ca="1" si="7"/>
        <v>2108.8215892984085</v>
      </c>
    </row>
    <row r="16" spans="1:36" x14ac:dyDescent="0.25">
      <c r="A16">
        <v>8</v>
      </c>
      <c r="B16">
        <v>2012</v>
      </c>
      <c r="C16">
        <f ca="1">P27</f>
        <v>0.03</v>
      </c>
      <c r="D16" s="8">
        <f ca="1">D15*Q29</f>
        <v>126.67700813876162</v>
      </c>
      <c r="E16" s="8">
        <f ca="1">O37</f>
        <v>60</v>
      </c>
      <c r="F16" s="8">
        <f ca="1">O38</f>
        <v>6</v>
      </c>
      <c r="G16">
        <v>52.25</v>
      </c>
      <c r="H16">
        <v>328.5</v>
      </c>
      <c r="I16" s="10">
        <f t="shared" ca="1" si="14"/>
        <v>3135</v>
      </c>
      <c r="J16" s="11">
        <f t="shared" ca="1" si="15"/>
        <v>1971</v>
      </c>
      <c r="K16" s="12">
        <f t="shared" ca="1" si="16"/>
        <v>5106</v>
      </c>
      <c r="N16">
        <f t="shared" ca="1" si="17"/>
        <v>0.78940923431393561</v>
      </c>
      <c r="O16">
        <f t="shared" ca="1" si="18"/>
        <v>6468.1280355651679</v>
      </c>
      <c r="P16" s="10">
        <f t="shared" si="12"/>
        <v>156.75</v>
      </c>
      <c r="Q16">
        <f t="shared" si="13"/>
        <v>492.75</v>
      </c>
      <c r="R16">
        <v>10</v>
      </c>
      <c r="S16" s="12">
        <f t="shared" si="19"/>
        <v>659.5</v>
      </c>
      <c r="U16" s="10">
        <v>0</v>
      </c>
      <c r="V16" s="8">
        <f t="shared" ca="1" si="8"/>
        <v>0</v>
      </c>
      <c r="W16" s="13">
        <f t="shared" ca="1" si="3"/>
        <v>4446.5</v>
      </c>
      <c r="X16" s="14">
        <f ca="1">O39</f>
        <v>0.5</v>
      </c>
      <c r="Y16" s="14">
        <f t="shared" ca="1" si="20"/>
        <v>2223.25</v>
      </c>
      <c r="Z16" s="14">
        <f t="shared" ca="1" si="21"/>
        <v>2816.3465834450176</v>
      </c>
      <c r="AA16">
        <f t="shared" ca="1" si="4"/>
        <v>15779.812500000002</v>
      </c>
      <c r="AB16">
        <f t="shared" ca="1" si="5"/>
        <v>18483.282333165891</v>
      </c>
      <c r="AC16" s="14">
        <f ca="1">1/(1+S25)^A16</f>
        <v>0.25805927898777054</v>
      </c>
      <c r="AD16" s="23">
        <f ca="1">O25</f>
        <v>0.15</v>
      </c>
      <c r="AE16" s="14">
        <f t="shared" ca="1" si="9"/>
        <v>573.7302920095608</v>
      </c>
      <c r="AF16" s="14">
        <f t="shared" ca="1" si="10"/>
        <v>726.78436870349219</v>
      </c>
      <c r="AG16" s="14">
        <f t="shared" ca="1" si="11"/>
        <v>172.11908760286823</v>
      </c>
      <c r="AH16">
        <f t="shared" ca="1" si="2"/>
        <v>218.03531061104763</v>
      </c>
      <c r="AI16">
        <f t="shared" ca="1" si="6"/>
        <v>2014.4883331306789</v>
      </c>
      <c r="AJ16">
        <f t="shared" ca="1" si="7"/>
        <v>2326.8568999094559</v>
      </c>
    </row>
    <row r="17" spans="1:36" x14ac:dyDescent="0.25">
      <c r="A17">
        <v>9</v>
      </c>
      <c r="B17">
        <v>2013</v>
      </c>
      <c r="C17">
        <f ca="1">P27</f>
        <v>0.03</v>
      </c>
      <c r="D17" s="8">
        <f ca="1">D16*Q29</f>
        <v>130.47731838292447</v>
      </c>
      <c r="E17" s="8">
        <f ca="1">O37</f>
        <v>60</v>
      </c>
      <c r="F17" s="8">
        <f ca="1">O38</f>
        <v>6</v>
      </c>
      <c r="G17">
        <v>49.5</v>
      </c>
      <c r="H17">
        <v>295.64999999999998</v>
      </c>
      <c r="I17" s="10">
        <f t="shared" ca="1" si="14"/>
        <v>2970</v>
      </c>
      <c r="J17" s="11">
        <f t="shared" ca="1" si="15"/>
        <v>1773.8999999999999</v>
      </c>
      <c r="K17" s="12">
        <f t="shared" ca="1" si="16"/>
        <v>4743.8999999999996</v>
      </c>
      <c r="N17">
        <f t="shared" ca="1" si="17"/>
        <v>0.76641673234362684</v>
      </c>
      <c r="O17">
        <f t="shared" ca="1" si="18"/>
        <v>6189.7135067675536</v>
      </c>
      <c r="P17" s="10">
        <f t="shared" si="12"/>
        <v>148.5</v>
      </c>
      <c r="Q17">
        <f t="shared" si="13"/>
        <v>443.47499999999997</v>
      </c>
      <c r="R17">
        <v>10</v>
      </c>
      <c r="S17" s="12">
        <f t="shared" si="19"/>
        <v>601.97499999999991</v>
      </c>
      <c r="U17" s="10">
        <v>0</v>
      </c>
      <c r="V17" s="8">
        <f t="shared" ca="1" si="8"/>
        <v>0</v>
      </c>
      <c r="W17" s="14">
        <f ca="1">K17-S17-U17</f>
        <v>4141.9249999999993</v>
      </c>
      <c r="X17" s="14">
        <f ca="1">O39</f>
        <v>0.5</v>
      </c>
      <c r="Y17" s="14">
        <f t="shared" ca="1" si="20"/>
        <v>2070.9624999999996</v>
      </c>
      <c r="Z17" s="14">
        <f t="shared" ca="1" si="21"/>
        <v>2702.1363347159718</v>
      </c>
      <c r="AA17">
        <f t="shared" ca="1" si="4"/>
        <v>17850.775000000001</v>
      </c>
      <c r="AB17">
        <f t="shared" ca="1" si="5"/>
        <v>21185.418667881862</v>
      </c>
      <c r="AC17" s="14">
        <f ca="1">1/(1+S25)^A17</f>
        <v>0.21786346896392619</v>
      </c>
      <c r="AD17" s="23">
        <f ca="1">O25</f>
        <v>0.15</v>
      </c>
      <c r="AE17" s="14">
        <f t="shared" ca="1" si="9"/>
        <v>451.18707434420492</v>
      </c>
      <c r="AF17" s="14">
        <f t="shared" ca="1" si="10"/>
        <v>588.69679549469038</v>
      </c>
      <c r="AG17" s="14">
        <f t="shared" ca="1" si="11"/>
        <v>135.35612230326146</v>
      </c>
      <c r="AH17">
        <f t="shared" ca="1" si="2"/>
        <v>176.60903864840708</v>
      </c>
      <c r="AI17">
        <f t="shared" ca="1" si="6"/>
        <v>2149.8444554339403</v>
      </c>
      <c r="AJ17">
        <f t="shared" ca="1" si="7"/>
        <v>2503.465938557863</v>
      </c>
    </row>
    <row r="18" spans="1:36" x14ac:dyDescent="0.25">
      <c r="A18">
        <v>10</v>
      </c>
      <c r="B18">
        <v>2014</v>
      </c>
      <c r="C18">
        <f ca="1">P27</f>
        <v>0.03</v>
      </c>
      <c r="D18" s="8">
        <f ca="1">D17*Q29</f>
        <v>134.39163793441222</v>
      </c>
      <c r="E18" s="8">
        <f ca="1">O37</f>
        <v>60</v>
      </c>
      <c r="F18" s="8">
        <f ca="1">O38</f>
        <v>6</v>
      </c>
      <c r="G18">
        <v>46.75</v>
      </c>
      <c r="H18">
        <v>295.64999999999998</v>
      </c>
      <c r="I18" s="10">
        <f t="shared" ca="1" si="14"/>
        <v>2805</v>
      </c>
      <c r="J18" s="11">
        <f t="shared" ca="1" si="15"/>
        <v>1773.8999999999999</v>
      </c>
      <c r="K18" s="12">
        <f t="shared" ca="1" si="16"/>
        <v>4578.8999999999996</v>
      </c>
      <c r="N18">
        <f t="shared" ca="1" si="17"/>
        <v>0.74409391489672494</v>
      </c>
      <c r="O18">
        <f t="shared" ca="1" si="18"/>
        <v>6153.6587093788012</v>
      </c>
      <c r="P18" s="10">
        <f t="shared" si="12"/>
        <v>140.25</v>
      </c>
      <c r="Q18">
        <f t="shared" si="13"/>
        <v>443.47499999999997</v>
      </c>
      <c r="R18">
        <v>10</v>
      </c>
      <c r="S18" s="12">
        <f t="shared" si="19"/>
        <v>593.72499999999991</v>
      </c>
      <c r="U18" s="10">
        <v>0</v>
      </c>
      <c r="V18" s="8">
        <f t="shared" ca="1" si="8"/>
        <v>0</v>
      </c>
      <c r="W18" s="14">
        <f ca="1">K18-S18-U18</f>
        <v>3985.1749999999997</v>
      </c>
      <c r="X18" s="14">
        <f ca="1">O39</f>
        <v>0.5</v>
      </c>
      <c r="Y18" s="14">
        <f t="shared" ca="1" si="20"/>
        <v>1992.5874999999999</v>
      </c>
      <c r="Z18" s="14">
        <f t="shared" ca="1" si="21"/>
        <v>2677.8709785263559</v>
      </c>
      <c r="AA18">
        <f t="shared" ca="1" si="4"/>
        <v>19843.362500000003</v>
      </c>
      <c r="AB18">
        <f t="shared" ca="1" si="5"/>
        <v>23863.289646408219</v>
      </c>
      <c r="AC18" s="14">
        <f ca="1">1/(1+S25)^A18</f>
        <v>0.18392863568081574</v>
      </c>
      <c r="AD18" s="23">
        <f ca="1">O25</f>
        <v>0.15</v>
      </c>
      <c r="AE18" s="14">
        <f t="shared" ca="1" si="9"/>
        <v>366.49390034964739</v>
      </c>
      <c r="AF18" s="14">
        <f t="shared" ca="1" si="10"/>
        <v>492.53715560960364</v>
      </c>
      <c r="AG18" s="14">
        <f t="shared" ca="1" si="11"/>
        <v>109.94817010489422</v>
      </c>
      <c r="AH18">
        <f t="shared" ca="1" si="2"/>
        <v>147.7611466828811</v>
      </c>
      <c r="AI18">
        <f t="shared" ca="1" si="6"/>
        <v>2259.7926255388347</v>
      </c>
      <c r="AJ18">
        <f t="shared" ca="1" si="7"/>
        <v>2651.2270852407441</v>
      </c>
    </row>
    <row r="19" spans="1:36" x14ac:dyDescent="0.25">
      <c r="A19">
        <v>11</v>
      </c>
      <c r="B19">
        <v>2015</v>
      </c>
      <c r="C19">
        <f ca="1">P27</f>
        <v>0.03</v>
      </c>
      <c r="D19" s="8">
        <f ca="1">D18*Q29</f>
        <v>138.4233870724446</v>
      </c>
      <c r="E19" s="8">
        <f ca="1">O37</f>
        <v>60</v>
      </c>
      <c r="F19" s="8">
        <f ca="1">O38</f>
        <v>6</v>
      </c>
      <c r="G19">
        <v>41.25</v>
      </c>
      <c r="H19">
        <v>229.95</v>
      </c>
      <c r="I19" s="10">
        <f t="shared" ca="1" si="14"/>
        <v>2475</v>
      </c>
      <c r="J19" s="11">
        <f t="shared" ca="1" si="15"/>
        <v>1379.6999999999998</v>
      </c>
      <c r="K19" s="12">
        <f t="shared" ca="1" si="16"/>
        <v>3854.7</v>
      </c>
      <c r="N19">
        <f t="shared" ca="1" si="17"/>
        <v>0.72242127659876199</v>
      </c>
      <c r="O19">
        <f t="shared" ca="1" si="18"/>
        <v>5335.8063014815216</v>
      </c>
      <c r="P19" s="10">
        <f t="shared" si="12"/>
        <v>123.75</v>
      </c>
      <c r="Q19">
        <f t="shared" si="13"/>
        <v>344.92499999999995</v>
      </c>
      <c r="R19">
        <v>10</v>
      </c>
      <c r="S19" s="12">
        <f t="shared" si="19"/>
        <v>478.67499999999995</v>
      </c>
      <c r="U19" s="10">
        <v>0</v>
      </c>
      <c r="V19" s="8">
        <f t="shared" ca="1" si="8"/>
        <v>0</v>
      </c>
      <c r="W19" s="14">
        <f ca="1">K19-S19-U19</f>
        <v>3376.0249999999996</v>
      </c>
      <c r="X19" s="14">
        <f ca="1">O39</f>
        <v>0.5</v>
      </c>
      <c r="Y19" s="14">
        <f t="shared" ca="1" si="20"/>
        <v>1688.0124999999998</v>
      </c>
      <c r="Z19" s="14">
        <f t="shared" ca="1" si="21"/>
        <v>2336.6040767062486</v>
      </c>
      <c r="AA19">
        <f t="shared" ca="1" si="4"/>
        <v>21531.375000000004</v>
      </c>
      <c r="AB19">
        <f t="shared" ca="1" si="5"/>
        <v>26199.893723114466</v>
      </c>
      <c r="AC19" s="14">
        <f ca="1">1/(1+S25)^A19</f>
        <v>0.15527955734978113</v>
      </c>
      <c r="AD19" s="23">
        <f ca="1">O25</f>
        <v>0.15</v>
      </c>
      <c r="AE19" s="14">
        <f t="shared" ca="1" si="9"/>
        <v>262.1138338008974</v>
      </c>
      <c r="AF19" s="14">
        <f t="shared" ca="1" si="10"/>
        <v>362.82684673264032</v>
      </c>
      <c r="AG19" s="14">
        <f t="shared" ca="1" si="11"/>
        <v>78.634150140269213</v>
      </c>
      <c r="AH19">
        <f t="shared" ca="1" si="2"/>
        <v>108.8480540197921</v>
      </c>
      <c r="AI19">
        <f t="shared" ca="1" si="6"/>
        <v>2338.4267756791041</v>
      </c>
      <c r="AJ19">
        <f t="shared" ca="1" si="7"/>
        <v>2760.0751392605362</v>
      </c>
    </row>
    <row r="20" spans="1:36" x14ac:dyDescent="0.25">
      <c r="A20">
        <v>12</v>
      </c>
      <c r="B20">
        <v>2016</v>
      </c>
      <c r="C20">
        <f ca="1">P27</f>
        <v>0.03</v>
      </c>
      <c r="D20" s="8">
        <f ca="1">D19*Q29</f>
        <v>142.57608868461793</v>
      </c>
      <c r="E20" s="8">
        <f ca="1">O37</f>
        <v>60</v>
      </c>
      <c r="F20" s="8">
        <f ca="1">O38</f>
        <v>6</v>
      </c>
      <c r="G20">
        <v>13.75</v>
      </c>
      <c r="H20">
        <v>0</v>
      </c>
      <c r="I20" s="10">
        <f t="shared" ca="1" si="14"/>
        <v>825</v>
      </c>
      <c r="J20" s="11">
        <f t="shared" ca="1" si="15"/>
        <v>0</v>
      </c>
      <c r="K20" s="12">
        <f t="shared" ca="1" si="16"/>
        <v>825</v>
      </c>
      <c r="N20">
        <f t="shared" ca="1" si="17"/>
        <v>0.70137988019297293</v>
      </c>
      <c r="O20">
        <f t="shared" ca="1" si="18"/>
        <v>1176.2527316480978</v>
      </c>
      <c r="P20" s="10">
        <f t="shared" si="12"/>
        <v>41.25</v>
      </c>
      <c r="Q20">
        <f t="shared" si="13"/>
        <v>0</v>
      </c>
      <c r="R20">
        <v>10</v>
      </c>
      <c r="S20" s="12">
        <f t="shared" si="19"/>
        <v>51.25</v>
      </c>
      <c r="U20" s="10">
        <v>0</v>
      </c>
      <c r="V20" s="8">
        <f t="shared" ca="1" si="8"/>
        <v>0</v>
      </c>
      <c r="W20" s="13">
        <f t="shared" ca="1" si="3"/>
        <v>773.75</v>
      </c>
      <c r="X20" s="14">
        <f ca="1">O39</f>
        <v>0.5</v>
      </c>
      <c r="Y20" s="14">
        <f t="shared" ca="1" si="20"/>
        <v>386.875</v>
      </c>
      <c r="Z20" s="14">
        <f t="shared" ca="1" si="21"/>
        <v>551.59124309861556</v>
      </c>
      <c r="AA20">
        <f t="shared" ca="1" si="4"/>
        <v>21918.250000000004</v>
      </c>
      <c r="AB20">
        <f t="shared" ca="1" si="5"/>
        <v>26751.484966213084</v>
      </c>
      <c r="AC20" s="14">
        <f ca="1">1/(1+S25)^A20</f>
        <v>0.13109291460513395</v>
      </c>
      <c r="AD20" s="23">
        <f ca="1">O25</f>
        <v>0.15</v>
      </c>
      <c r="AE20" s="14">
        <f t="shared" ca="1" si="9"/>
        <v>50.716571337861197</v>
      </c>
      <c r="AF20" s="14">
        <f t="shared" ca="1" si="10"/>
        <v>72.309703728466488</v>
      </c>
      <c r="AG20" s="14">
        <f t="shared" ca="1" si="11"/>
        <v>15.214971401358358</v>
      </c>
      <c r="AH20">
        <f t="shared" ca="1" si="2"/>
        <v>21.692911118539946</v>
      </c>
      <c r="AI20">
        <f t="shared" ca="1" si="6"/>
        <v>2353.6417470804627</v>
      </c>
      <c r="AJ20">
        <f t="shared" ca="1" si="7"/>
        <v>2781.7680503790762</v>
      </c>
    </row>
    <row r="21" spans="1:36" x14ac:dyDescent="0.25">
      <c r="A21">
        <v>13</v>
      </c>
      <c r="B21">
        <v>2017</v>
      </c>
      <c r="C21">
        <f ca="1">P27</f>
        <v>0.03</v>
      </c>
      <c r="D21" s="8">
        <f ca="1">D20*Q29</f>
        <v>146.85337134515646</v>
      </c>
      <c r="E21" s="8"/>
      <c r="F21" s="8"/>
      <c r="I21" s="10"/>
      <c r="J21" s="11"/>
      <c r="K21" s="12"/>
      <c r="N21">
        <f t="shared" ca="1" si="17"/>
        <v>0.68095133999317758</v>
      </c>
      <c r="P21" s="10"/>
      <c r="S21" s="12">
        <f t="shared" si="19"/>
        <v>0</v>
      </c>
      <c r="U21" s="10">
        <v>100</v>
      </c>
      <c r="V21" s="8">
        <f t="shared" ca="1" si="8"/>
        <v>146.85337134515646</v>
      </c>
      <c r="W21" s="13">
        <f t="shared" si="3"/>
        <v>-100</v>
      </c>
      <c r="X21" s="14">
        <f ca="1">O39</f>
        <v>0.5</v>
      </c>
      <c r="Y21" s="14">
        <f t="shared" ca="1" si="20"/>
        <v>-50</v>
      </c>
      <c r="Z21" s="14">
        <f t="shared" ca="1" si="21"/>
        <v>-73.42668567257823</v>
      </c>
      <c r="AA21">
        <f t="shared" ca="1" si="4"/>
        <v>21868.250000000004</v>
      </c>
      <c r="AB21">
        <f t="shared" ca="1" si="5"/>
        <v>26678.058280540507</v>
      </c>
      <c r="AC21" s="14">
        <f ca="1">1/(1+S25)^A21</f>
        <v>0.11067362989036214</v>
      </c>
      <c r="AD21" s="23">
        <f ca="1">O25</f>
        <v>0.15</v>
      </c>
      <c r="AE21" s="14">
        <f t="shared" ca="1" si="9"/>
        <v>-5.533681494518107</v>
      </c>
      <c r="AF21" s="14">
        <f t="shared" ca="1" si="10"/>
        <v>-8.12639783420288</v>
      </c>
      <c r="AG21" s="14">
        <f t="shared" ca="1" si="11"/>
        <v>-1.6601044483554321</v>
      </c>
      <c r="AH21">
        <f t="shared" ca="1" si="2"/>
        <v>-2.4379193502608638</v>
      </c>
      <c r="AI21">
        <f t="shared" ca="1" si="6"/>
        <v>2351.9816426321072</v>
      </c>
      <c r="AJ21">
        <f t="shared" ca="1" si="7"/>
        <v>2779.3301310288152</v>
      </c>
    </row>
    <row r="22" spans="1:36" x14ac:dyDescent="0.25">
      <c r="E22" s="8"/>
      <c r="F22" s="8"/>
      <c r="AC22" s="16" t="s">
        <v>49</v>
      </c>
      <c r="AE22" s="24">
        <f ca="1">SUM(AE8:AE21)</f>
        <v>7839.9388087736907</v>
      </c>
      <c r="AF22" s="24">
        <f ca="1">SUM(AF8:AF21)</f>
        <v>9264.4337700960496</v>
      </c>
      <c r="AG22" s="24">
        <f ca="1">SUM(AG8:AG21)</f>
        <v>2351.9816426321072</v>
      </c>
      <c r="AH22" s="16">
        <f ca="1">_xll.RiskOutput()+SUM(AH8:AH21)</f>
        <v>2779.3301310288152</v>
      </c>
    </row>
    <row r="24" spans="1:36" x14ac:dyDescent="0.25">
      <c r="J24" s="15"/>
      <c r="K24" s="17"/>
      <c r="L24" s="16"/>
      <c r="N24" s="16"/>
      <c r="O24" s="16"/>
      <c r="P24" s="16"/>
      <c r="Q24" s="16"/>
      <c r="R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36" x14ac:dyDescent="0.25">
      <c r="D25" s="41"/>
      <c r="E25" s="41"/>
      <c r="L25" t="s">
        <v>24</v>
      </c>
      <c r="N25" t="s">
        <v>53</v>
      </c>
      <c r="O25" s="23">
        <f ca="1">_xll.RiskNormal(0.15,0.015,_xll.RiskStatic(0.15))</f>
        <v>0.15</v>
      </c>
      <c r="P25" s="41" t="s">
        <v>54</v>
      </c>
      <c r="Q25" s="41"/>
      <c r="R25" t="s">
        <v>25</v>
      </c>
      <c r="S25" s="18">
        <f ca="1">(O25*(1+P27))+P27</f>
        <v>0.1845</v>
      </c>
    </row>
    <row r="26" spans="1:36" x14ac:dyDescent="0.25">
      <c r="L26" t="s">
        <v>35</v>
      </c>
      <c r="N26" t="s">
        <v>56</v>
      </c>
      <c r="O26" s="18">
        <f ca="1">S25</f>
        <v>0.1845</v>
      </c>
    </row>
    <row r="27" spans="1:36" x14ac:dyDescent="0.25">
      <c r="L27" t="s">
        <v>36</v>
      </c>
      <c r="N27" t="s">
        <v>55</v>
      </c>
      <c r="O27" s="23">
        <v>0.03</v>
      </c>
      <c r="P27">
        <f ca="1">_xll.RiskNormal(0.03,0.003,_xll.RiskStatic(0.03))</f>
        <v>0.03</v>
      </c>
      <c r="Q27" s="20"/>
    </row>
    <row r="28" spans="1:36" x14ac:dyDescent="0.25">
      <c r="W28" s="15" t="s">
        <v>50</v>
      </c>
    </row>
    <row r="29" spans="1:36" x14ac:dyDescent="0.25">
      <c r="M29" s="41" t="s">
        <v>37</v>
      </c>
      <c r="N29" s="41"/>
      <c r="O29" t="s">
        <v>27</v>
      </c>
      <c r="P29" t="s">
        <v>26</v>
      </c>
      <c r="Q29">
        <f ca="1">1+P27</f>
        <v>1.03</v>
      </c>
      <c r="T29" s="19"/>
      <c r="Z29" s="41" t="s">
        <v>52</v>
      </c>
      <c r="AA29" s="41"/>
    </row>
    <row r="30" spans="1:36" x14ac:dyDescent="0.25">
      <c r="M30" s="41" t="s">
        <v>38</v>
      </c>
      <c r="N30" s="41"/>
      <c r="O30" t="s">
        <v>31</v>
      </c>
      <c r="W30" s="41" t="s">
        <v>51</v>
      </c>
      <c r="X30" s="41"/>
      <c r="Y30">
        <f ca="1">AH22</f>
        <v>2779.3301310288152</v>
      </c>
      <c r="Z30" s="23">
        <v>0.05</v>
      </c>
      <c r="AA30" s="23">
        <v>0.1</v>
      </c>
      <c r="AB30" s="23">
        <v>0.15</v>
      </c>
      <c r="AC30" s="23">
        <v>0.2</v>
      </c>
      <c r="AD30" s="23">
        <v>0.25</v>
      </c>
    </row>
    <row r="31" spans="1:36" x14ac:dyDescent="0.25">
      <c r="M31" s="41" t="s">
        <v>39</v>
      </c>
      <c r="N31" s="41"/>
      <c r="O31" t="s">
        <v>32</v>
      </c>
      <c r="Y31">
        <v>0.01</v>
      </c>
      <c r="Z31">
        <f t="dataTable" ref="Z31:AD36" dt2D="1" dtr="1" r1="O25" r2="P27" ca="1"/>
        <v>4798.0663312697616</v>
      </c>
      <c r="AA31">
        <v>3606.2960846096807</v>
      </c>
      <c r="AB31">
        <v>2779.3301310288134</v>
      </c>
      <c r="AC31">
        <v>2188.7303231359233</v>
      </c>
      <c r="AD31">
        <v>1755.9685120991232</v>
      </c>
    </row>
    <row r="32" spans="1:36" x14ac:dyDescent="0.25">
      <c r="M32" s="41" t="s">
        <v>40</v>
      </c>
      <c r="N32" s="41"/>
      <c r="O32" t="s">
        <v>33</v>
      </c>
      <c r="Y32">
        <v>0.02</v>
      </c>
      <c r="Z32">
        <v>4798.0663312697643</v>
      </c>
      <c r="AA32">
        <v>3606.2960846096776</v>
      </c>
      <c r="AB32">
        <v>2779.3301310288125</v>
      </c>
      <c r="AC32">
        <v>2188.7303231359233</v>
      </c>
      <c r="AD32">
        <v>1755.9685120991239</v>
      </c>
    </row>
    <row r="33" spans="7:30" x14ac:dyDescent="0.25">
      <c r="M33" s="41" t="s">
        <v>41</v>
      </c>
      <c r="N33" s="41"/>
      <c r="O33">
        <v>100</v>
      </c>
      <c r="Y33">
        <v>0.03</v>
      </c>
      <c r="Z33">
        <v>4798.0663312697652</v>
      </c>
      <c r="AA33">
        <v>3606.2960846096803</v>
      </c>
      <c r="AB33">
        <v>2779.3301310288152</v>
      </c>
      <c r="AC33">
        <v>2188.7303231359228</v>
      </c>
      <c r="AD33">
        <v>1755.9685120991223</v>
      </c>
    </row>
    <row r="34" spans="7:30" x14ac:dyDescent="0.25">
      <c r="M34" s="41" t="s">
        <v>42</v>
      </c>
      <c r="N34" s="41"/>
      <c r="O34">
        <v>2004</v>
      </c>
      <c r="Y34">
        <v>0.04</v>
      </c>
      <c r="Z34">
        <v>4798.0663312697616</v>
      </c>
      <c r="AA34">
        <v>3606.296084609678</v>
      </c>
      <c r="AB34">
        <v>2779.3301310288143</v>
      </c>
      <c r="AC34">
        <v>2188.7303231359238</v>
      </c>
      <c r="AD34">
        <v>1755.968512099123</v>
      </c>
    </row>
    <row r="35" spans="7:30" x14ac:dyDescent="0.25">
      <c r="M35" s="41" t="s">
        <v>45</v>
      </c>
      <c r="N35" s="41"/>
      <c r="O35" s="23">
        <v>0.5</v>
      </c>
      <c r="Y35">
        <v>0.05</v>
      </c>
      <c r="Z35">
        <v>4798.0663312697625</v>
      </c>
      <c r="AA35">
        <v>3606.2960846096817</v>
      </c>
      <c r="AB35">
        <v>2779.3301310288134</v>
      </c>
      <c r="AC35">
        <v>2188.7303231359233</v>
      </c>
      <c r="AD35">
        <v>1755.9685120991232</v>
      </c>
    </row>
    <row r="36" spans="7:30" x14ac:dyDescent="0.25">
      <c r="M36" s="41" t="s">
        <v>48</v>
      </c>
      <c r="N36" s="41"/>
      <c r="O36" s="23">
        <v>0.3</v>
      </c>
      <c r="Y36">
        <v>0.06</v>
      </c>
      <c r="Z36">
        <v>4798.0663312697634</v>
      </c>
      <c r="AA36">
        <v>3606.296084609683</v>
      </c>
      <c r="AB36">
        <v>2779.330131028812</v>
      </c>
      <c r="AC36">
        <v>2188.7303231359233</v>
      </c>
      <c r="AD36">
        <v>1755.9685120991232</v>
      </c>
    </row>
    <row r="37" spans="7:30" x14ac:dyDescent="0.25">
      <c r="M37" s="41" t="s">
        <v>104</v>
      </c>
      <c r="N37" s="41"/>
      <c r="O37">
        <f ca="1">_xll.RiskNormal(60,6,_xll.RiskStatic(60))</f>
        <v>60</v>
      </c>
    </row>
    <row r="38" spans="7:30" x14ac:dyDescent="0.25">
      <c r="M38" s="41" t="s">
        <v>105</v>
      </c>
      <c r="N38" s="41"/>
      <c r="O38">
        <f ca="1">_xll.RiskNormal(6,0.6,_xll.RiskStatic(6))</f>
        <v>6</v>
      </c>
    </row>
    <row r="39" spans="7:30" x14ac:dyDescent="0.25">
      <c r="M39" s="41" t="s">
        <v>182</v>
      </c>
      <c r="N39" s="41"/>
      <c r="O39">
        <f ca="1">_xll.RiskNormal(0.5,0.05,_xll.RiskStatic(0.5))</f>
        <v>0.5</v>
      </c>
    </row>
    <row r="47" spans="7:30" ht="18.75" x14ac:dyDescent="0.3">
      <c r="G47" s="42" t="s">
        <v>97</v>
      </c>
      <c r="H47" s="42"/>
    </row>
  </sheetData>
  <mergeCells count="35">
    <mergeCell ref="AA2:AA3"/>
    <mergeCell ref="AB2:AB3"/>
    <mergeCell ref="AC2:AC3"/>
    <mergeCell ref="Z29:AA29"/>
    <mergeCell ref="M29:N29"/>
    <mergeCell ref="P25:Q25"/>
    <mergeCell ref="AE2:AE3"/>
    <mergeCell ref="A2:A3"/>
    <mergeCell ref="B2:B3"/>
    <mergeCell ref="D2:D3"/>
    <mergeCell ref="E2:F2"/>
    <mergeCell ref="G2:H2"/>
    <mergeCell ref="P2:Q2"/>
    <mergeCell ref="U2:V2"/>
    <mergeCell ref="W2:W3"/>
    <mergeCell ref="X2:X3"/>
    <mergeCell ref="Y2:Y3"/>
    <mergeCell ref="Z2:Z3"/>
    <mergeCell ref="C2:C3"/>
    <mergeCell ref="AD2:AD3"/>
    <mergeCell ref="I2:O2"/>
    <mergeCell ref="P3:Q3"/>
    <mergeCell ref="D25:E25"/>
    <mergeCell ref="G47:H47"/>
    <mergeCell ref="W30:X30"/>
    <mergeCell ref="M35:N35"/>
    <mergeCell ref="M37:N37"/>
    <mergeCell ref="M38:N38"/>
    <mergeCell ref="M39:N39"/>
    <mergeCell ref="M36:N36"/>
    <mergeCell ref="M30:N30"/>
    <mergeCell ref="M31:N31"/>
    <mergeCell ref="M32:N32"/>
    <mergeCell ref="M33:N33"/>
    <mergeCell ref="M34:N34"/>
  </mergeCells>
  <pageMargins left="0.7" right="0.7" top="0.75" bottom="0.75" header="0.3" footer="0.3"/>
  <pageSetup paperSize="119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D37"/>
  <sheetViews>
    <sheetView topLeftCell="A16" workbookViewId="0">
      <selection activeCell="A33" sqref="A33:C34"/>
    </sheetView>
  </sheetViews>
  <sheetFormatPr defaultRowHeight="15" x14ac:dyDescent="0.25"/>
  <sheetData>
    <row r="33" spans="1:4" x14ac:dyDescent="0.25">
      <c r="A33" s="28"/>
      <c r="B33" s="29" t="s">
        <v>98</v>
      </c>
      <c r="C33" s="29" t="s">
        <v>99</v>
      </c>
      <c r="D33" s="30" t="s">
        <v>100</v>
      </c>
    </row>
    <row r="34" spans="1:4" x14ac:dyDescent="0.25">
      <c r="A34" s="31"/>
      <c r="B34" s="32"/>
      <c r="C34" s="32"/>
      <c r="D34" s="33"/>
    </row>
    <row r="35" spans="1:4" x14ac:dyDescent="0.25">
      <c r="A35" s="31" t="s">
        <v>101</v>
      </c>
      <c r="B35" s="32">
        <v>-1</v>
      </c>
      <c r="C35" s="32"/>
      <c r="D35" s="33">
        <v>-1</v>
      </c>
    </row>
    <row r="36" spans="1:4" x14ac:dyDescent="0.25">
      <c r="A36" s="31" t="s">
        <v>102</v>
      </c>
      <c r="B36" s="32">
        <v>-0.14556255625562556</v>
      </c>
      <c r="C36" s="32"/>
      <c r="D36" s="33">
        <v>-0.15</v>
      </c>
    </row>
    <row r="37" spans="1:4" x14ac:dyDescent="0.25">
      <c r="A37" s="34"/>
      <c r="B37" s="35"/>
      <c r="C37" s="35"/>
      <c r="D37" s="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D1A53FB55EB45949920AA68BFD669" ma:contentTypeVersion="7" ma:contentTypeDescription="Create a new document." ma:contentTypeScope="" ma:versionID="690b9ba8f63ec0eea2d12cd5035dedab">
  <xsd:schema xmlns:xsd="http://www.w3.org/2001/XMLSchema" xmlns:xs="http://www.w3.org/2001/XMLSchema" xmlns:p="http://schemas.microsoft.com/office/2006/metadata/properties" xmlns:ns3="916d222b-3e56-4749-88ec-797c3f7addb5" xmlns:ns4="424b843b-2302-46a6-9a3a-dba469a2cb15" targetNamespace="http://schemas.microsoft.com/office/2006/metadata/properties" ma:root="true" ma:fieldsID="28572643b06a9aca753d3a26cb864c1d" ns3:_="" ns4:_="">
    <xsd:import namespace="916d222b-3e56-4749-88ec-797c3f7addb5"/>
    <xsd:import namespace="424b843b-2302-46a6-9a3a-dba469a2cb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d222b-3e56-4749-88ec-797c3f7ad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b843b-2302-46a6-9a3a-dba469a2c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B9EAE-BDDC-42C4-976A-F2F01BC91589}">
  <ds:schemaRefs>
    <ds:schemaRef ds:uri="http://purl.org/dc/elements/1.1/"/>
    <ds:schemaRef ds:uri="http://www.w3.org/XML/1998/namespace"/>
    <ds:schemaRef ds:uri="http://purl.org/dc/terms/"/>
    <ds:schemaRef ds:uri="424b843b-2302-46a6-9a3a-dba469a2cb15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16d222b-3e56-4749-88ec-797c3f7addb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7B1913-6FE5-47D9-B290-EE236050E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C1A99-9395-48C2-88B0-3B3D1A94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d222b-3e56-4749-88ec-797c3f7addb5"/>
    <ds:schemaRef ds:uri="424b843b-2302-46a6-9a3a-dba469a2c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RiskSerializationData</vt:lpstr>
      <vt:lpstr>senseInfo</vt:lpstr>
      <vt:lpstr>rsklibSimData</vt:lpstr>
      <vt:lpstr>Sheet1</vt:lpstr>
      <vt:lpstr>Sheet1 (2)</vt:lpstr>
    </vt:vector>
  </TitlesOfParts>
  <Company>ITaCS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Rezaei-Gomari, Sina</dc:creator>
  <cp:lastModifiedBy>Theresa Ogwara</cp:lastModifiedBy>
  <dcterms:created xsi:type="dcterms:W3CDTF">2016-05-09T09:16:10Z</dcterms:created>
  <dcterms:modified xsi:type="dcterms:W3CDTF">2021-12-03T12:34:41Z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0x0101004C4D1A53FB55EB45949920AA68BFD669</vt:lpwstr>
  </property>
</Properties>
</file>