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aaron\Desktop\university\FYP\Project2\Result Report\"/>
    </mc:Choice>
  </mc:AlternateContent>
  <xr:revisionPtr revIDLastSave="0" documentId="13_ncr:1_{C9536CE5-AD18-4B94-8DCF-5628BC06F73B}" xr6:coauthVersionLast="47" xr6:coauthVersionMax="47" xr10:uidLastSave="{00000000-0000-0000-0000-000000000000}"/>
  <bookViews>
    <workbookView xWindow="-120" yWindow="-120" windowWidth="29040" windowHeight="15720" xr2:uid="{1BCCBCCB-1ADC-4D8B-9138-B492286AF496}"/>
  </bookViews>
  <sheets>
    <sheet name="Consolidation" sheetId="11" r:id="rId1"/>
    <sheet name="Confusion Matrix" sheetId="12" r:id="rId2"/>
    <sheet name="Final Week3" sheetId="10" r:id="rId3"/>
    <sheet name="Final Week8" sheetId="9" r:id="rId4"/>
    <sheet name="Final Week12" sheetId="7" r:id="rId5"/>
    <sheet name="Final Week18" sheetId="6" r:id="rId6"/>
    <sheet name="Preliminary" sheetId="1" r:id="rId7"/>
    <sheet name="T1_W8" sheetId="2" r:id="rId8"/>
    <sheet name="T2_W8" sheetId="3" r:id="rId9"/>
    <sheet name="T1_W12" sheetId="4"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17" i="11" l="1"/>
  <c r="X17" i="11"/>
  <c r="Y17" i="11"/>
  <c r="Z17" i="11"/>
  <c r="W18" i="11"/>
  <c r="X18" i="11"/>
  <c r="Y18" i="11"/>
  <c r="Z18" i="11"/>
  <c r="W19" i="11"/>
  <c r="X19" i="11"/>
  <c r="Y19" i="11"/>
  <c r="Z19" i="11"/>
  <c r="W20" i="11"/>
  <c r="X20" i="11"/>
  <c r="Y20" i="11"/>
  <c r="Z20" i="11"/>
  <c r="W21" i="11"/>
  <c r="X21" i="11"/>
  <c r="Y21" i="11"/>
  <c r="Z21" i="11"/>
  <c r="W22" i="11"/>
  <c r="X22" i="11"/>
  <c r="Y22" i="11"/>
  <c r="Z22" i="11"/>
  <c r="W23" i="11"/>
  <c r="X23" i="11"/>
  <c r="Y23" i="11"/>
  <c r="Z23" i="11"/>
  <c r="W24" i="11"/>
  <c r="X24" i="11"/>
  <c r="Y24" i="11"/>
  <c r="Z24" i="11"/>
  <c r="W25" i="11"/>
  <c r="X25" i="11"/>
  <c r="Y25" i="11"/>
  <c r="Z25" i="11"/>
  <c r="W26" i="11"/>
  <c r="X26" i="11"/>
  <c r="Y26" i="11"/>
  <c r="Z26" i="11"/>
  <c r="W27" i="11"/>
  <c r="X27" i="11"/>
  <c r="Y27" i="11"/>
  <c r="Z27" i="11"/>
  <c r="W28" i="11"/>
  <c r="X28" i="11"/>
  <c r="Y28" i="11"/>
  <c r="Z28" i="11"/>
  <c r="V18" i="11"/>
  <c r="V19" i="11"/>
  <c r="V20" i="11"/>
  <c r="V21" i="11"/>
  <c r="V22" i="11"/>
  <c r="V23" i="11"/>
  <c r="V24" i="11"/>
  <c r="V25" i="11"/>
  <c r="V26" i="11"/>
  <c r="V27" i="11"/>
  <c r="V28" i="11"/>
  <c r="V17" i="11"/>
  <c r="V14" i="11"/>
  <c r="W14" i="11"/>
  <c r="X14" i="11"/>
  <c r="Y14" i="11"/>
  <c r="Z14" i="11"/>
  <c r="V15" i="11"/>
  <c r="W15" i="11"/>
  <c r="X15" i="11"/>
  <c r="Y15" i="11"/>
  <c r="Z15" i="11"/>
  <c r="V16" i="11"/>
  <c r="W16" i="11"/>
  <c r="X16" i="11"/>
  <c r="Y16" i="11"/>
  <c r="Z16" i="11"/>
  <c r="W13" i="11"/>
  <c r="X13" i="11"/>
  <c r="Y13" i="11"/>
  <c r="Z13" i="11"/>
  <c r="V13" i="11"/>
  <c r="W3" i="11"/>
  <c r="X3" i="11"/>
  <c r="Y3" i="11"/>
  <c r="Z3" i="11"/>
  <c r="W4" i="11"/>
  <c r="X4" i="11"/>
  <c r="Y4" i="11"/>
  <c r="Z4" i="11"/>
  <c r="W5" i="11"/>
  <c r="X5" i="11"/>
  <c r="Y5" i="11"/>
  <c r="Z5" i="11"/>
  <c r="W6" i="11"/>
  <c r="X6" i="11"/>
  <c r="Y6" i="11"/>
  <c r="Z6" i="11"/>
  <c r="W7" i="11"/>
  <c r="X7" i="11"/>
  <c r="Y7" i="11"/>
  <c r="Z7" i="11"/>
  <c r="W8" i="11"/>
  <c r="X8" i="11"/>
  <c r="Y8" i="11"/>
  <c r="Z8" i="11"/>
  <c r="W9" i="11"/>
  <c r="X9" i="11"/>
  <c r="Y9" i="11"/>
  <c r="Z9" i="11"/>
  <c r="W10" i="11"/>
  <c r="X10" i="11"/>
  <c r="Y10" i="11"/>
  <c r="Z10" i="11"/>
  <c r="W11" i="11"/>
  <c r="X11" i="11"/>
  <c r="Y11" i="11"/>
  <c r="Z11" i="11"/>
  <c r="W12" i="11"/>
  <c r="X12" i="11"/>
  <c r="Y12" i="11"/>
  <c r="Z12" i="11"/>
  <c r="V4" i="11"/>
  <c r="V5" i="11"/>
  <c r="V6" i="11"/>
  <c r="V7" i="11"/>
  <c r="V8" i="11"/>
  <c r="V9" i="11"/>
  <c r="V10" i="11"/>
  <c r="V11" i="11"/>
  <c r="V12" i="11"/>
  <c r="V3" i="11"/>
  <c r="D24" i="12"/>
  <c r="C24" i="12"/>
  <c r="D23" i="12"/>
  <c r="C23" i="12"/>
  <c r="D20" i="12"/>
  <c r="C20" i="12"/>
  <c r="D19" i="12"/>
  <c r="C19" i="12"/>
  <c r="D16" i="12"/>
  <c r="C16" i="12"/>
  <c r="D15" i="12"/>
  <c r="C15" i="12"/>
  <c r="D12" i="12"/>
  <c r="C12" i="12"/>
  <c r="D11" i="12"/>
  <c r="C11" i="12"/>
  <c r="D8" i="12"/>
  <c r="C8" i="12"/>
  <c r="D7" i="12"/>
  <c r="C7" i="12"/>
  <c r="P7" i="11" l="1"/>
  <c r="L18" i="11"/>
  <c r="M18" i="11"/>
  <c r="N18" i="11"/>
  <c r="O18" i="11"/>
  <c r="P18" i="11"/>
  <c r="Q18" i="11"/>
  <c r="R18" i="11"/>
  <c r="S18" i="11"/>
  <c r="T18" i="11"/>
  <c r="U18" i="11"/>
  <c r="L19" i="11"/>
  <c r="M19" i="11"/>
  <c r="N19" i="11"/>
  <c r="O19" i="11"/>
  <c r="P19" i="11"/>
  <c r="Q19" i="11"/>
  <c r="R19" i="11"/>
  <c r="S19" i="11"/>
  <c r="T19" i="11"/>
  <c r="U19" i="11"/>
  <c r="L20" i="11"/>
  <c r="M20" i="11"/>
  <c r="N20" i="11"/>
  <c r="O20" i="11"/>
  <c r="P20" i="11"/>
  <c r="Q20" i="11"/>
  <c r="R20" i="11"/>
  <c r="S20" i="11"/>
  <c r="T20" i="11"/>
  <c r="U20" i="11"/>
  <c r="L21" i="11"/>
  <c r="M21" i="11"/>
  <c r="N21" i="11"/>
  <c r="O21" i="11"/>
  <c r="P21" i="11"/>
  <c r="Q21" i="11"/>
  <c r="R21" i="11"/>
  <c r="S21" i="11"/>
  <c r="T21" i="11"/>
  <c r="U21" i="11"/>
  <c r="L22" i="11"/>
  <c r="M22" i="11"/>
  <c r="N22" i="11"/>
  <c r="O22" i="11"/>
  <c r="P22" i="11"/>
  <c r="Q22" i="11"/>
  <c r="R22" i="11"/>
  <c r="S22" i="11"/>
  <c r="T22" i="11"/>
  <c r="U22" i="11"/>
  <c r="L23" i="11"/>
  <c r="M23" i="11"/>
  <c r="N23" i="11"/>
  <c r="O23" i="11"/>
  <c r="P23" i="11"/>
  <c r="Q23" i="11"/>
  <c r="R23" i="11"/>
  <c r="S23" i="11"/>
  <c r="T23" i="11"/>
  <c r="U23" i="11"/>
  <c r="L24" i="11"/>
  <c r="M24" i="11"/>
  <c r="N24" i="11"/>
  <c r="O24" i="11"/>
  <c r="P24" i="11"/>
  <c r="Q24" i="11"/>
  <c r="R24" i="11"/>
  <c r="S24" i="11"/>
  <c r="T24" i="11"/>
  <c r="U24" i="11"/>
  <c r="L25" i="11"/>
  <c r="M25" i="11"/>
  <c r="N25" i="11"/>
  <c r="O25" i="11"/>
  <c r="P25" i="11"/>
  <c r="Q25" i="11"/>
  <c r="R25" i="11"/>
  <c r="S25" i="11"/>
  <c r="T25" i="11"/>
  <c r="U25" i="11"/>
  <c r="L26" i="11"/>
  <c r="M26" i="11"/>
  <c r="N26" i="11"/>
  <c r="O26" i="11"/>
  <c r="P26" i="11"/>
  <c r="Q26" i="11"/>
  <c r="R26" i="11"/>
  <c r="S26" i="11"/>
  <c r="T26" i="11"/>
  <c r="U26" i="11"/>
  <c r="G27" i="11"/>
  <c r="H27" i="11"/>
  <c r="I27" i="11"/>
  <c r="J27" i="11"/>
  <c r="K27" i="11"/>
  <c r="L27" i="11"/>
  <c r="M27" i="11"/>
  <c r="N27" i="11"/>
  <c r="O27" i="11"/>
  <c r="P27" i="11"/>
  <c r="Q27" i="11"/>
  <c r="R27" i="11"/>
  <c r="S27" i="11"/>
  <c r="T27" i="11"/>
  <c r="U27" i="11"/>
  <c r="G28" i="11"/>
  <c r="H28" i="11"/>
  <c r="I28" i="11"/>
  <c r="J28" i="11"/>
  <c r="K28" i="11"/>
  <c r="L28" i="11"/>
  <c r="M28" i="11"/>
  <c r="N28" i="11"/>
  <c r="O28" i="11"/>
  <c r="P28" i="11"/>
  <c r="Q28" i="11"/>
  <c r="R28" i="11"/>
  <c r="S28" i="11"/>
  <c r="T28" i="11"/>
  <c r="U28" i="11"/>
  <c r="U17" i="11"/>
  <c r="T17" i="11"/>
  <c r="S17" i="11"/>
  <c r="R17" i="11"/>
  <c r="Q17" i="11"/>
  <c r="P17" i="11"/>
  <c r="O17" i="11"/>
  <c r="N17" i="11"/>
  <c r="M17" i="11"/>
  <c r="L17" i="11"/>
  <c r="L14" i="11"/>
  <c r="M14" i="11"/>
  <c r="N14" i="11"/>
  <c r="O14" i="11"/>
  <c r="P14" i="11"/>
  <c r="Q14" i="11"/>
  <c r="R14" i="11"/>
  <c r="S14" i="11"/>
  <c r="T14" i="11"/>
  <c r="U14" i="11"/>
  <c r="I15" i="11"/>
  <c r="L15" i="11"/>
  <c r="M15" i="11"/>
  <c r="N15" i="11"/>
  <c r="O15" i="11"/>
  <c r="P15" i="11"/>
  <c r="Q15" i="11"/>
  <c r="R15" i="11"/>
  <c r="S15" i="11"/>
  <c r="T15" i="11"/>
  <c r="U15" i="11"/>
  <c r="L16" i="11"/>
  <c r="M16" i="11"/>
  <c r="N16" i="11"/>
  <c r="O16" i="11"/>
  <c r="P16" i="11"/>
  <c r="Q16" i="11"/>
  <c r="R16" i="11"/>
  <c r="S16" i="11"/>
  <c r="T16" i="11"/>
  <c r="U16" i="11"/>
  <c r="U13" i="11"/>
  <c r="T13" i="11"/>
  <c r="S13" i="11"/>
  <c r="R13" i="11"/>
  <c r="Q13" i="11"/>
  <c r="P13" i="11"/>
  <c r="O13" i="11"/>
  <c r="N13" i="11"/>
  <c r="M13" i="11"/>
  <c r="L13" i="11"/>
  <c r="L9" i="11"/>
  <c r="M9" i="11"/>
  <c r="N9" i="11"/>
  <c r="O9" i="11"/>
  <c r="P9" i="11"/>
  <c r="Q9" i="11"/>
  <c r="R9" i="11"/>
  <c r="S9" i="11"/>
  <c r="T9" i="11"/>
  <c r="U9" i="11"/>
  <c r="L10" i="11"/>
  <c r="M10" i="11"/>
  <c r="N10" i="11"/>
  <c r="O10" i="11"/>
  <c r="P10" i="11"/>
  <c r="Q10" i="11"/>
  <c r="R10" i="11"/>
  <c r="S10" i="11"/>
  <c r="T10" i="11"/>
  <c r="U10" i="11"/>
  <c r="L11" i="11"/>
  <c r="M11" i="11"/>
  <c r="N11" i="11"/>
  <c r="O11" i="11"/>
  <c r="P11" i="11"/>
  <c r="Q11" i="11"/>
  <c r="R11" i="11"/>
  <c r="S11" i="11"/>
  <c r="T11" i="11"/>
  <c r="U11" i="11"/>
  <c r="L12" i="11"/>
  <c r="M12" i="11"/>
  <c r="N12" i="11"/>
  <c r="O12" i="11"/>
  <c r="P12" i="11"/>
  <c r="Q12" i="11"/>
  <c r="R12" i="11"/>
  <c r="S12" i="11"/>
  <c r="T12" i="11"/>
  <c r="U12" i="11"/>
  <c r="U8" i="11"/>
  <c r="T8" i="11"/>
  <c r="S8" i="11"/>
  <c r="R8" i="11"/>
  <c r="Q8" i="11"/>
  <c r="P8" i="11"/>
  <c r="O8" i="11"/>
  <c r="N8" i="11"/>
  <c r="M8" i="11"/>
  <c r="L8" i="11"/>
  <c r="Q4" i="11"/>
  <c r="R4" i="11"/>
  <c r="S4" i="11"/>
  <c r="T4" i="11"/>
  <c r="U4" i="11"/>
  <c r="Q5" i="11"/>
  <c r="R5" i="11"/>
  <c r="S5" i="11"/>
  <c r="T5" i="11"/>
  <c r="U5" i="11"/>
  <c r="Q6" i="11"/>
  <c r="R6" i="11"/>
  <c r="S6" i="11"/>
  <c r="T6" i="11"/>
  <c r="U6" i="11"/>
  <c r="Q7" i="11"/>
  <c r="R7" i="11"/>
  <c r="S7" i="11"/>
  <c r="T7" i="11"/>
  <c r="U7" i="11"/>
  <c r="L4" i="11"/>
  <c r="M4" i="11"/>
  <c r="N4" i="11"/>
  <c r="O4" i="11"/>
  <c r="P4" i="11"/>
  <c r="L5" i="11"/>
  <c r="M5" i="11"/>
  <c r="N5" i="11"/>
  <c r="O5" i="11"/>
  <c r="P5" i="11"/>
  <c r="L6" i="11"/>
  <c r="M6" i="11"/>
  <c r="N6" i="11"/>
  <c r="O6" i="11"/>
  <c r="P6" i="11"/>
  <c r="L7" i="11"/>
  <c r="M7" i="11"/>
  <c r="N7" i="11"/>
  <c r="O7" i="11"/>
  <c r="H5" i="11"/>
  <c r="J5" i="11"/>
  <c r="U3" i="11"/>
  <c r="T3" i="11"/>
  <c r="S3" i="11"/>
  <c r="R3" i="11"/>
  <c r="Q3" i="11"/>
  <c r="P3" i="11"/>
  <c r="O3" i="11"/>
  <c r="N3" i="11"/>
  <c r="M3" i="11"/>
  <c r="L3" i="11"/>
  <c r="B27" i="11"/>
  <c r="C27" i="11"/>
  <c r="D27" i="11"/>
  <c r="E27" i="11"/>
  <c r="F27" i="11"/>
  <c r="B28" i="11"/>
  <c r="C28" i="11"/>
  <c r="D28" i="11"/>
  <c r="E28" i="11"/>
  <c r="F28" i="11"/>
  <c r="P22" i="10"/>
  <c r="M22" i="10"/>
  <c r="M21" i="10" s="1"/>
  <c r="J22" i="10"/>
  <c r="J21" i="10" s="1"/>
  <c r="G22" i="10"/>
  <c r="C16" i="11" s="1"/>
  <c r="D22" i="10"/>
  <c r="D21" i="10" s="1"/>
  <c r="P19" i="10"/>
  <c r="P20" i="10" s="1"/>
  <c r="M19" i="10"/>
  <c r="J19" i="10"/>
  <c r="D13" i="11" s="1"/>
  <c r="G19" i="10"/>
  <c r="G20" i="10" s="1"/>
  <c r="D19" i="10"/>
  <c r="D20" i="10" s="1"/>
  <c r="B14" i="11" s="1"/>
  <c r="P22" i="9"/>
  <c r="P21" i="9" s="1"/>
  <c r="M22" i="9"/>
  <c r="J16" i="11" s="1"/>
  <c r="J22" i="9"/>
  <c r="J26" i="9" s="1"/>
  <c r="I19" i="11" s="1"/>
  <c r="G22" i="9"/>
  <c r="H16" i="11" s="1"/>
  <c r="D22" i="9"/>
  <c r="J21" i="9"/>
  <c r="J30" i="9" s="1"/>
  <c r="I23" i="11" s="1"/>
  <c r="D21" i="9"/>
  <c r="D30" i="9" s="1"/>
  <c r="G23" i="11" s="1"/>
  <c r="P19" i="9"/>
  <c r="M19" i="9"/>
  <c r="J19" i="9"/>
  <c r="J20" i="9" s="1"/>
  <c r="G19" i="9"/>
  <c r="G20" i="9" s="1"/>
  <c r="D19" i="9"/>
  <c r="D20" i="9" s="1"/>
  <c r="G14" i="11" s="1"/>
  <c r="P30" i="7"/>
  <c r="P27" i="7"/>
  <c r="M27" i="7"/>
  <c r="P24" i="7"/>
  <c r="M24" i="7"/>
  <c r="J24" i="7"/>
  <c r="P22" i="7"/>
  <c r="P26" i="7" s="1"/>
  <c r="M22" i="7"/>
  <c r="M26" i="7" s="1"/>
  <c r="J22" i="7"/>
  <c r="J26" i="7" s="1"/>
  <c r="G22" i="7"/>
  <c r="G24" i="7" s="1"/>
  <c r="D22" i="7"/>
  <c r="D24" i="7" s="1"/>
  <c r="P21" i="7"/>
  <c r="M21" i="7"/>
  <c r="M30" i="7" s="1"/>
  <c r="J21" i="7"/>
  <c r="J30" i="7" s="1"/>
  <c r="G21" i="7"/>
  <c r="G30" i="7" s="1"/>
  <c r="D21" i="7"/>
  <c r="D30" i="7" s="1"/>
  <c r="P20" i="7"/>
  <c r="P25" i="7" s="1"/>
  <c r="M20" i="7"/>
  <c r="M25" i="7" s="1"/>
  <c r="J20" i="7"/>
  <c r="J25" i="7" s="1"/>
  <c r="G20" i="7"/>
  <c r="G29" i="7" s="1"/>
  <c r="P19" i="7"/>
  <c r="P33" i="7" s="1"/>
  <c r="M19" i="7"/>
  <c r="M33" i="7" s="1"/>
  <c r="J19" i="7"/>
  <c r="J27" i="7" s="1"/>
  <c r="G19" i="7"/>
  <c r="G27" i="7" s="1"/>
  <c r="D19" i="7"/>
  <c r="D20" i="7" s="1"/>
  <c r="G24" i="6"/>
  <c r="J24" i="6"/>
  <c r="M24" i="6"/>
  <c r="P24" i="6"/>
  <c r="G25" i="6"/>
  <c r="G28" i="6" s="1"/>
  <c r="J25" i="6"/>
  <c r="M25" i="6"/>
  <c r="P25" i="6"/>
  <c r="G26" i="6"/>
  <c r="G32" i="6" s="1"/>
  <c r="J26" i="6"/>
  <c r="J31" i="6" s="1"/>
  <c r="M26" i="6"/>
  <c r="P26" i="6"/>
  <c r="G27" i="6"/>
  <c r="J27" i="6"/>
  <c r="M27" i="6"/>
  <c r="M32" i="6" s="1"/>
  <c r="P27" i="6"/>
  <c r="P32" i="6" s="1"/>
  <c r="M28" i="6"/>
  <c r="P28" i="6"/>
  <c r="G29" i="6"/>
  <c r="J29" i="6"/>
  <c r="M29" i="6"/>
  <c r="P29" i="6"/>
  <c r="G30" i="6"/>
  <c r="J30" i="6"/>
  <c r="M30" i="6"/>
  <c r="P30" i="6"/>
  <c r="M31" i="6"/>
  <c r="P31" i="6"/>
  <c r="G33" i="6"/>
  <c r="J33" i="6"/>
  <c r="M33" i="6"/>
  <c r="P33" i="6"/>
  <c r="D33" i="6"/>
  <c r="D32" i="6"/>
  <c r="D31" i="6"/>
  <c r="D30" i="6"/>
  <c r="D29" i="6"/>
  <c r="D28" i="6"/>
  <c r="D27" i="6"/>
  <c r="D26" i="6"/>
  <c r="D24" i="6"/>
  <c r="D25" i="6"/>
  <c r="G19" i="6"/>
  <c r="J19" i="6"/>
  <c r="J20" i="6" s="1"/>
  <c r="M19" i="6"/>
  <c r="M20" i="6" s="1"/>
  <c r="P19" i="6"/>
  <c r="P20" i="6" s="1"/>
  <c r="G20" i="6"/>
  <c r="G21" i="6"/>
  <c r="J21" i="6"/>
  <c r="G22" i="6"/>
  <c r="J22" i="6"/>
  <c r="M22" i="6"/>
  <c r="M21" i="6" s="1"/>
  <c r="P22" i="6"/>
  <c r="P21" i="6" s="1"/>
  <c r="D21" i="6"/>
  <c r="D22" i="6"/>
  <c r="D20" i="6"/>
  <c r="D19" i="6"/>
  <c r="P17" i="6"/>
  <c r="M17" i="6"/>
  <c r="J17" i="6"/>
  <c r="G17" i="6"/>
  <c r="D17" i="6"/>
  <c r="P16" i="6"/>
  <c r="M16" i="6"/>
  <c r="J16" i="6"/>
  <c r="G16" i="6"/>
  <c r="D16" i="6"/>
  <c r="P15" i="6"/>
  <c r="M15" i="6"/>
  <c r="J15" i="6"/>
  <c r="G15" i="6"/>
  <c r="D15" i="6"/>
  <c r="P14" i="6"/>
  <c r="M14" i="6"/>
  <c r="J14" i="6"/>
  <c r="G14" i="6"/>
  <c r="D14" i="6"/>
  <c r="P13" i="6"/>
  <c r="M13" i="6"/>
  <c r="J13" i="6"/>
  <c r="G13" i="6"/>
  <c r="D13" i="6"/>
  <c r="P10" i="6"/>
  <c r="M10" i="6"/>
  <c r="J10" i="6"/>
  <c r="G10" i="6"/>
  <c r="D10" i="6"/>
  <c r="P9" i="6"/>
  <c r="M9" i="6"/>
  <c r="J9" i="6"/>
  <c r="G9" i="6"/>
  <c r="D9" i="6"/>
  <c r="P8" i="6"/>
  <c r="M8" i="6"/>
  <c r="J8" i="6"/>
  <c r="G8" i="6"/>
  <c r="D8" i="6"/>
  <c r="P7" i="6"/>
  <c r="M7" i="6"/>
  <c r="J7" i="6"/>
  <c r="G7" i="6"/>
  <c r="D7" i="6"/>
  <c r="P6" i="6"/>
  <c r="M6" i="6"/>
  <c r="J6" i="6"/>
  <c r="G6" i="6"/>
  <c r="D6" i="6"/>
  <c r="P17" i="7"/>
  <c r="M17" i="7"/>
  <c r="J17" i="7"/>
  <c r="G17" i="7"/>
  <c r="D17" i="7"/>
  <c r="P16" i="7"/>
  <c r="M16" i="7"/>
  <c r="J16" i="7"/>
  <c r="G16" i="7"/>
  <c r="D16" i="7"/>
  <c r="P15" i="7"/>
  <c r="M15" i="7"/>
  <c r="J15" i="7"/>
  <c r="G15" i="7"/>
  <c r="D15" i="7"/>
  <c r="P14" i="7"/>
  <c r="M14" i="7"/>
  <c r="J14" i="7"/>
  <c r="G14" i="7"/>
  <c r="D14" i="7"/>
  <c r="P13" i="7"/>
  <c r="M13" i="7"/>
  <c r="J13" i="7"/>
  <c r="G13" i="7"/>
  <c r="D13" i="7"/>
  <c r="P10" i="7"/>
  <c r="M10" i="7"/>
  <c r="J10" i="7"/>
  <c r="G10" i="7"/>
  <c r="D10" i="7"/>
  <c r="P9" i="7"/>
  <c r="M9" i="7"/>
  <c r="J9" i="7"/>
  <c r="G9" i="7"/>
  <c r="D9" i="7"/>
  <c r="P8" i="7"/>
  <c r="M8" i="7"/>
  <c r="J8" i="7"/>
  <c r="G8" i="7"/>
  <c r="D8" i="7"/>
  <c r="P7" i="7"/>
  <c r="M7" i="7"/>
  <c r="J7" i="7"/>
  <c r="G7" i="7"/>
  <c r="D7" i="7"/>
  <c r="P6" i="7"/>
  <c r="M6" i="7"/>
  <c r="J6" i="7"/>
  <c r="G6" i="7"/>
  <c r="D6" i="7"/>
  <c r="P17" i="9"/>
  <c r="K12" i="11" s="1"/>
  <c r="M17" i="9"/>
  <c r="J12" i="11" s="1"/>
  <c r="J17" i="9"/>
  <c r="I12" i="11" s="1"/>
  <c r="G17" i="9"/>
  <c r="H12" i="11" s="1"/>
  <c r="D17" i="9"/>
  <c r="G12" i="11" s="1"/>
  <c r="P16" i="9"/>
  <c r="K11" i="11" s="1"/>
  <c r="M16" i="9"/>
  <c r="J11" i="11" s="1"/>
  <c r="J16" i="9"/>
  <c r="I11" i="11" s="1"/>
  <c r="G16" i="9"/>
  <c r="H11" i="11" s="1"/>
  <c r="D16" i="9"/>
  <c r="G11" i="11" s="1"/>
  <c r="P15" i="9"/>
  <c r="K10" i="11" s="1"/>
  <c r="M15" i="9"/>
  <c r="J10" i="11" s="1"/>
  <c r="J15" i="9"/>
  <c r="I10" i="11" s="1"/>
  <c r="G15" i="9"/>
  <c r="H10" i="11" s="1"/>
  <c r="D15" i="9"/>
  <c r="G10" i="11" s="1"/>
  <c r="P14" i="9"/>
  <c r="K9" i="11" s="1"/>
  <c r="M14" i="9"/>
  <c r="J9" i="11" s="1"/>
  <c r="J14" i="9"/>
  <c r="I9" i="11" s="1"/>
  <c r="G14" i="9"/>
  <c r="H9" i="11" s="1"/>
  <c r="D14" i="9"/>
  <c r="G9" i="11" s="1"/>
  <c r="P13" i="9"/>
  <c r="K8" i="11" s="1"/>
  <c r="M13" i="9"/>
  <c r="J8" i="11" s="1"/>
  <c r="J13" i="9"/>
  <c r="I8" i="11" s="1"/>
  <c r="G13" i="9"/>
  <c r="H8" i="11" s="1"/>
  <c r="D13" i="9"/>
  <c r="G8" i="11" s="1"/>
  <c r="P10" i="9"/>
  <c r="K7" i="11" s="1"/>
  <c r="M10" i="9"/>
  <c r="J7" i="11" s="1"/>
  <c r="J10" i="9"/>
  <c r="I7" i="11" s="1"/>
  <c r="G10" i="9"/>
  <c r="H7" i="11" s="1"/>
  <c r="D10" i="9"/>
  <c r="G7" i="11" s="1"/>
  <c r="P9" i="9"/>
  <c r="K6" i="11" s="1"/>
  <c r="M9" i="9"/>
  <c r="J6" i="11" s="1"/>
  <c r="J9" i="9"/>
  <c r="I6" i="11" s="1"/>
  <c r="G9" i="9"/>
  <c r="H6" i="11" s="1"/>
  <c r="D9" i="9"/>
  <c r="G6" i="11" s="1"/>
  <c r="P8" i="9"/>
  <c r="K5" i="11" s="1"/>
  <c r="M8" i="9"/>
  <c r="J8" i="9"/>
  <c r="I5" i="11" s="1"/>
  <c r="G8" i="9"/>
  <c r="D8" i="9"/>
  <c r="G5" i="11" s="1"/>
  <c r="P7" i="9"/>
  <c r="K4" i="11" s="1"/>
  <c r="M7" i="9"/>
  <c r="J4" i="11" s="1"/>
  <c r="J7" i="9"/>
  <c r="I4" i="11" s="1"/>
  <c r="G7" i="9"/>
  <c r="H4" i="11" s="1"/>
  <c r="D7" i="9"/>
  <c r="G4" i="11" s="1"/>
  <c r="P6" i="9"/>
  <c r="K3" i="11" s="1"/>
  <c r="M6" i="9"/>
  <c r="J3" i="11" s="1"/>
  <c r="J6" i="9"/>
  <c r="I3" i="11" s="1"/>
  <c r="G6" i="9"/>
  <c r="H3" i="11" s="1"/>
  <c r="D6" i="9"/>
  <c r="G3" i="11" s="1"/>
  <c r="P17" i="10"/>
  <c r="F12" i="11" s="1"/>
  <c r="M17" i="10"/>
  <c r="E12" i="11" s="1"/>
  <c r="J17" i="10"/>
  <c r="D12" i="11" s="1"/>
  <c r="G17" i="10"/>
  <c r="C12" i="11" s="1"/>
  <c r="D17" i="10"/>
  <c r="B12" i="11" s="1"/>
  <c r="P16" i="10"/>
  <c r="F11" i="11" s="1"/>
  <c r="M16" i="10"/>
  <c r="E11" i="11" s="1"/>
  <c r="J16" i="10"/>
  <c r="D11" i="11" s="1"/>
  <c r="G16" i="10"/>
  <c r="C11" i="11" s="1"/>
  <c r="D16" i="10"/>
  <c r="B11" i="11" s="1"/>
  <c r="P15" i="10"/>
  <c r="F10" i="11" s="1"/>
  <c r="M15" i="10"/>
  <c r="E10" i="11" s="1"/>
  <c r="J15" i="10"/>
  <c r="D10" i="11" s="1"/>
  <c r="G15" i="10"/>
  <c r="C10" i="11" s="1"/>
  <c r="D15" i="10"/>
  <c r="B10" i="11" s="1"/>
  <c r="P14" i="10"/>
  <c r="F9" i="11" s="1"/>
  <c r="M14" i="10"/>
  <c r="E9" i="11" s="1"/>
  <c r="J14" i="10"/>
  <c r="D9" i="11" s="1"/>
  <c r="G14" i="10"/>
  <c r="C9" i="11" s="1"/>
  <c r="D14" i="10"/>
  <c r="B9" i="11" s="1"/>
  <c r="P13" i="10"/>
  <c r="F8" i="11" s="1"/>
  <c r="M13" i="10"/>
  <c r="E8" i="11" s="1"/>
  <c r="J13" i="10"/>
  <c r="D8" i="11" s="1"/>
  <c r="G13" i="10"/>
  <c r="C8" i="11" s="1"/>
  <c r="D13" i="10"/>
  <c r="B8" i="11" s="1"/>
  <c r="P10" i="10"/>
  <c r="F7" i="11" s="1"/>
  <c r="M10" i="10"/>
  <c r="E7" i="11" s="1"/>
  <c r="J10" i="10"/>
  <c r="D7" i="11" s="1"/>
  <c r="G10" i="10"/>
  <c r="C7" i="11" s="1"/>
  <c r="D10" i="10"/>
  <c r="B7" i="11" s="1"/>
  <c r="P9" i="10"/>
  <c r="F6" i="11" s="1"/>
  <c r="M9" i="10"/>
  <c r="E6" i="11" s="1"/>
  <c r="J9" i="10"/>
  <c r="D6" i="11" s="1"/>
  <c r="G9" i="10"/>
  <c r="C6" i="11" s="1"/>
  <c r="D9" i="10"/>
  <c r="B6" i="11" s="1"/>
  <c r="P8" i="10"/>
  <c r="F5" i="11" s="1"/>
  <c r="M8" i="10"/>
  <c r="E5" i="11" s="1"/>
  <c r="J8" i="10"/>
  <c r="D5" i="11" s="1"/>
  <c r="G8" i="10"/>
  <c r="C5" i="11" s="1"/>
  <c r="D8" i="10"/>
  <c r="B5" i="11" s="1"/>
  <c r="P7" i="10"/>
  <c r="F4" i="11" s="1"/>
  <c r="M7" i="10"/>
  <c r="E4" i="11" s="1"/>
  <c r="J7" i="10"/>
  <c r="D4" i="11" s="1"/>
  <c r="G7" i="10"/>
  <c r="C4" i="11" s="1"/>
  <c r="D7" i="10"/>
  <c r="B4" i="11" s="1"/>
  <c r="P6" i="10"/>
  <c r="F3" i="11" s="1"/>
  <c r="M6" i="10"/>
  <c r="E3" i="11" s="1"/>
  <c r="J6" i="10"/>
  <c r="D3" i="11" s="1"/>
  <c r="G6" i="10"/>
  <c r="C3" i="11" s="1"/>
  <c r="D6" i="10"/>
  <c r="B3" i="11" s="1"/>
  <c r="P17" i="4"/>
  <c r="M17" i="4"/>
  <c r="J17" i="4"/>
  <c r="G17" i="4"/>
  <c r="D17" i="4"/>
  <c r="P16" i="4"/>
  <c r="M16" i="4"/>
  <c r="J16" i="4"/>
  <c r="G16" i="4"/>
  <c r="D16" i="4"/>
  <c r="P15" i="4"/>
  <c r="M15" i="4"/>
  <c r="J15" i="4"/>
  <c r="G15" i="4"/>
  <c r="D15" i="4"/>
  <c r="P14" i="4"/>
  <c r="M14" i="4"/>
  <c r="J14" i="4"/>
  <c r="G14" i="4"/>
  <c r="D14" i="4"/>
  <c r="P13" i="4"/>
  <c r="M13" i="4"/>
  <c r="J13" i="4"/>
  <c r="G13" i="4"/>
  <c r="D13" i="4"/>
  <c r="P10" i="4"/>
  <c r="M10" i="4"/>
  <c r="J10" i="4"/>
  <c r="G10" i="4"/>
  <c r="D10" i="4"/>
  <c r="P9" i="4"/>
  <c r="M9" i="4"/>
  <c r="J9" i="4"/>
  <c r="G9" i="4"/>
  <c r="D9" i="4"/>
  <c r="P8" i="4"/>
  <c r="M8" i="4"/>
  <c r="J8" i="4"/>
  <c r="G8" i="4"/>
  <c r="D8" i="4"/>
  <c r="P7" i="4"/>
  <c r="M7" i="4"/>
  <c r="J7" i="4"/>
  <c r="G7" i="4"/>
  <c r="D7" i="4"/>
  <c r="P6" i="4"/>
  <c r="M6" i="4"/>
  <c r="J6" i="4"/>
  <c r="G6" i="4"/>
  <c r="D6" i="4"/>
  <c r="P17" i="3"/>
  <c r="M17" i="3"/>
  <c r="J17" i="3"/>
  <c r="G17" i="3"/>
  <c r="D17" i="3"/>
  <c r="P16" i="3"/>
  <c r="M16" i="3"/>
  <c r="J16" i="3"/>
  <c r="G16" i="3"/>
  <c r="D16" i="3"/>
  <c r="P15" i="3"/>
  <c r="M15" i="3"/>
  <c r="J15" i="3"/>
  <c r="G15" i="3"/>
  <c r="D15" i="3"/>
  <c r="P14" i="3"/>
  <c r="M14" i="3"/>
  <c r="J14" i="3"/>
  <c r="G14" i="3"/>
  <c r="D14" i="3"/>
  <c r="P13" i="3"/>
  <c r="M13" i="3"/>
  <c r="J13" i="3"/>
  <c r="G13" i="3"/>
  <c r="D13" i="3"/>
  <c r="P10" i="3"/>
  <c r="M10" i="3"/>
  <c r="J10" i="3"/>
  <c r="G10" i="3"/>
  <c r="D10" i="3"/>
  <c r="P9" i="3"/>
  <c r="M9" i="3"/>
  <c r="J9" i="3"/>
  <c r="G9" i="3"/>
  <c r="D9" i="3"/>
  <c r="P8" i="3"/>
  <c r="M8" i="3"/>
  <c r="J8" i="3"/>
  <c r="G8" i="3"/>
  <c r="D8" i="3"/>
  <c r="P7" i="3"/>
  <c r="M7" i="3"/>
  <c r="J7" i="3"/>
  <c r="G7" i="3"/>
  <c r="D7" i="3"/>
  <c r="P6" i="3"/>
  <c r="M6" i="3"/>
  <c r="J6" i="3"/>
  <c r="G6" i="3"/>
  <c r="D6" i="3"/>
  <c r="J15" i="2"/>
  <c r="P19" i="2"/>
  <c r="M19" i="2"/>
  <c r="J19" i="2"/>
  <c r="G19" i="2"/>
  <c r="D19" i="2"/>
  <c r="P18" i="2"/>
  <c r="M18" i="2"/>
  <c r="J18" i="2"/>
  <c r="G18" i="2"/>
  <c r="D18" i="2"/>
  <c r="P17" i="2"/>
  <c r="M17" i="2"/>
  <c r="J17" i="2"/>
  <c r="G17" i="2"/>
  <c r="D17" i="2"/>
  <c r="P16" i="2"/>
  <c r="M16" i="2"/>
  <c r="J16" i="2"/>
  <c r="G16" i="2"/>
  <c r="D16" i="2"/>
  <c r="P15" i="2"/>
  <c r="M15" i="2"/>
  <c r="G15" i="2"/>
  <c r="D15" i="2"/>
  <c r="P14" i="2"/>
  <c r="M14" i="2"/>
  <c r="J14" i="2"/>
  <c r="G14" i="2"/>
  <c r="D14" i="2"/>
  <c r="P13" i="2"/>
  <c r="M13" i="2"/>
  <c r="J13" i="2"/>
  <c r="G13" i="2"/>
  <c r="D13" i="2"/>
  <c r="P10" i="2"/>
  <c r="M10" i="2"/>
  <c r="J10" i="2"/>
  <c r="G10" i="2"/>
  <c r="D10" i="2"/>
  <c r="P9" i="2"/>
  <c r="M9" i="2"/>
  <c r="J9" i="2"/>
  <c r="G9" i="2"/>
  <c r="D9" i="2"/>
  <c r="P8" i="2"/>
  <c r="M8" i="2"/>
  <c r="J8" i="2"/>
  <c r="G8" i="2"/>
  <c r="D8" i="2"/>
  <c r="P7" i="2"/>
  <c r="M7" i="2"/>
  <c r="J7" i="2"/>
  <c r="G7" i="2"/>
  <c r="D7" i="2"/>
  <c r="P6" i="2"/>
  <c r="M6" i="2"/>
  <c r="J6" i="2"/>
  <c r="G6" i="2"/>
  <c r="D6" i="2"/>
  <c r="F22" i="1"/>
  <c r="F21" i="1"/>
  <c r="F20" i="1"/>
  <c r="F19" i="1"/>
  <c r="F18" i="1"/>
  <c r="F17" i="1"/>
  <c r="F16" i="1"/>
  <c r="F15" i="1"/>
  <c r="F14" i="1"/>
  <c r="F13" i="1"/>
  <c r="F10" i="1"/>
  <c r="F9" i="1"/>
  <c r="F8" i="1"/>
  <c r="F7" i="1"/>
  <c r="F6" i="1"/>
  <c r="F5" i="1"/>
  <c r="F4" i="1"/>
  <c r="E22" i="1"/>
  <c r="E21" i="1"/>
  <c r="E20" i="1"/>
  <c r="E19" i="1"/>
  <c r="E18" i="1"/>
  <c r="E17" i="1"/>
  <c r="E16" i="1"/>
  <c r="E15" i="1"/>
  <c r="E14" i="1"/>
  <c r="E13" i="1"/>
  <c r="E10" i="1"/>
  <c r="E9" i="1"/>
  <c r="E8" i="1"/>
  <c r="E7" i="1"/>
  <c r="E6" i="1"/>
  <c r="E5" i="1"/>
  <c r="E4" i="1"/>
  <c r="D22" i="1"/>
  <c r="D21" i="1"/>
  <c r="D20" i="1"/>
  <c r="D19" i="1"/>
  <c r="D18" i="1"/>
  <c r="D17" i="1"/>
  <c r="D16" i="1"/>
  <c r="D15" i="1"/>
  <c r="D13" i="1"/>
  <c r="D14" i="1"/>
  <c r="D10" i="1"/>
  <c r="D9" i="1"/>
  <c r="D8" i="1"/>
  <c r="D7" i="1"/>
  <c r="D6" i="1"/>
  <c r="D5" i="1"/>
  <c r="D4" i="1"/>
  <c r="C22" i="1"/>
  <c r="C21" i="1"/>
  <c r="C20" i="1"/>
  <c r="C19" i="1"/>
  <c r="C18" i="1"/>
  <c r="C17" i="1"/>
  <c r="C16" i="1"/>
  <c r="C15" i="1"/>
  <c r="C14" i="1"/>
  <c r="C13" i="1"/>
  <c r="C10" i="1"/>
  <c r="C9" i="1"/>
  <c r="C8" i="1"/>
  <c r="C7" i="1"/>
  <c r="C6" i="1"/>
  <c r="C5" i="1"/>
  <c r="C4" i="1"/>
  <c r="B22" i="1"/>
  <c r="B21" i="1"/>
  <c r="B5" i="1"/>
  <c r="B7" i="1"/>
  <c r="B8" i="1"/>
  <c r="B9" i="1"/>
  <c r="B6" i="1"/>
  <c r="B4" i="1"/>
  <c r="B20" i="1"/>
  <c r="B19" i="1"/>
  <c r="B18" i="1"/>
  <c r="B17" i="1"/>
  <c r="B16" i="1"/>
  <c r="B15" i="1"/>
  <c r="B14" i="1"/>
  <c r="B13" i="1"/>
  <c r="B10" i="1"/>
  <c r="G29" i="9" l="1"/>
  <c r="H22" i="11" s="1"/>
  <c r="H14" i="11"/>
  <c r="J25" i="9"/>
  <c r="I18" i="11" s="1"/>
  <c r="I14" i="11"/>
  <c r="J24" i="9"/>
  <c r="I17" i="11" s="1"/>
  <c r="K15" i="11"/>
  <c r="P30" i="9"/>
  <c r="K23" i="11" s="1"/>
  <c r="H13" i="11"/>
  <c r="I13" i="11"/>
  <c r="J13" i="11"/>
  <c r="P33" i="9"/>
  <c r="K26" i="11" s="1"/>
  <c r="K13" i="11"/>
  <c r="M33" i="9"/>
  <c r="J26" i="11" s="1"/>
  <c r="M20" i="9"/>
  <c r="P20" i="9"/>
  <c r="G21" i="9"/>
  <c r="K16" i="11"/>
  <c r="M21" i="9"/>
  <c r="I16" i="11"/>
  <c r="D26" i="9"/>
  <c r="G19" i="11" s="1"/>
  <c r="G15" i="11"/>
  <c r="G24" i="9"/>
  <c r="H17" i="11" s="1"/>
  <c r="G16" i="11"/>
  <c r="G27" i="9"/>
  <c r="H20" i="11" s="1"/>
  <c r="J27" i="9"/>
  <c r="I20" i="11" s="1"/>
  <c r="P26" i="9"/>
  <c r="K19" i="11" s="1"/>
  <c r="G13" i="11"/>
  <c r="M27" i="10"/>
  <c r="E20" i="11" s="1"/>
  <c r="M20" i="10"/>
  <c r="M29" i="10" s="1"/>
  <c r="E22" i="11" s="1"/>
  <c r="G21" i="10"/>
  <c r="G26" i="10" s="1"/>
  <c r="C19" i="11" s="1"/>
  <c r="D16" i="11"/>
  <c r="B13" i="11"/>
  <c r="B16" i="11"/>
  <c r="D30" i="10"/>
  <c r="B23" i="11" s="1"/>
  <c r="B15" i="11"/>
  <c r="J30" i="10"/>
  <c r="D23" i="11" s="1"/>
  <c r="D15" i="11"/>
  <c r="G29" i="10"/>
  <c r="C22" i="11" s="1"/>
  <c r="C14" i="11"/>
  <c r="P25" i="10"/>
  <c r="F18" i="11" s="1"/>
  <c r="F14" i="11"/>
  <c r="M30" i="10"/>
  <c r="E23" i="11" s="1"/>
  <c r="E15" i="11"/>
  <c r="M33" i="10"/>
  <c r="E26" i="11" s="1"/>
  <c r="P27" i="10"/>
  <c r="F20" i="11" s="1"/>
  <c r="J20" i="10"/>
  <c r="M24" i="10"/>
  <c r="E17" i="11" s="1"/>
  <c r="E14" i="11"/>
  <c r="E16" i="11"/>
  <c r="G27" i="10"/>
  <c r="C20" i="11" s="1"/>
  <c r="P21" i="10"/>
  <c r="P26" i="10" s="1"/>
  <c r="F19" i="11" s="1"/>
  <c r="D24" i="10"/>
  <c r="B17" i="11" s="1"/>
  <c r="E13" i="11"/>
  <c r="G24" i="10"/>
  <c r="C17" i="11" s="1"/>
  <c r="F13" i="11"/>
  <c r="C13" i="11"/>
  <c r="J26" i="10"/>
  <c r="D19" i="11" s="1"/>
  <c r="F16" i="11"/>
  <c r="D25" i="10"/>
  <c r="B18" i="11" s="1"/>
  <c r="D29" i="10"/>
  <c r="B22" i="11" s="1"/>
  <c r="G25" i="10"/>
  <c r="D26" i="10"/>
  <c r="B19" i="11" s="1"/>
  <c r="M25" i="10"/>
  <c r="E18" i="11" s="1"/>
  <c r="M26" i="10"/>
  <c r="E19" i="11" s="1"/>
  <c r="P29" i="10"/>
  <c r="F22" i="11" s="1"/>
  <c r="D33" i="10"/>
  <c r="B26" i="11" s="1"/>
  <c r="J29" i="10"/>
  <c r="D22" i="11" s="1"/>
  <c r="G33" i="10"/>
  <c r="C26" i="11" s="1"/>
  <c r="D27" i="10"/>
  <c r="B20" i="11" s="1"/>
  <c r="G30" i="10"/>
  <c r="C23" i="11" s="1"/>
  <c r="J33" i="10"/>
  <c r="D26" i="11" s="1"/>
  <c r="D29" i="9"/>
  <c r="G22" i="11" s="1"/>
  <c r="D25" i="9"/>
  <c r="J32" i="9"/>
  <c r="I25" i="11" s="1"/>
  <c r="J31" i="9"/>
  <c r="I24" i="11" s="1"/>
  <c r="G25" i="9"/>
  <c r="H18" i="11" s="1"/>
  <c r="G26" i="9"/>
  <c r="H19" i="11" s="1"/>
  <c r="J29" i="9"/>
  <c r="I22" i="11" s="1"/>
  <c r="D33" i="9"/>
  <c r="G26" i="11" s="1"/>
  <c r="P29" i="9"/>
  <c r="K22" i="11" s="1"/>
  <c r="G33" i="9"/>
  <c r="H26" i="11" s="1"/>
  <c r="D27" i="9"/>
  <c r="G20" i="11" s="1"/>
  <c r="J33" i="9"/>
  <c r="I26" i="11" s="1"/>
  <c r="M26" i="9"/>
  <c r="J19" i="11" s="1"/>
  <c r="D24" i="9"/>
  <c r="G17" i="11" s="1"/>
  <c r="D25" i="7"/>
  <c r="D29" i="7"/>
  <c r="M28" i="7"/>
  <c r="J31" i="7"/>
  <c r="J32" i="7"/>
  <c r="M32" i="7"/>
  <c r="M31" i="7"/>
  <c r="P32" i="7"/>
  <c r="P31" i="7"/>
  <c r="J28" i="7"/>
  <c r="P28" i="7"/>
  <c r="G25" i="7"/>
  <c r="D26" i="7"/>
  <c r="G26" i="7"/>
  <c r="M29" i="7"/>
  <c r="J29" i="7"/>
  <c r="P29" i="7"/>
  <c r="D33" i="7"/>
  <c r="G33" i="7"/>
  <c r="D27" i="7"/>
  <c r="J33" i="7"/>
  <c r="J32" i="6"/>
  <c r="J28" i="6"/>
  <c r="G31" i="6"/>
  <c r="M29" i="9" l="1"/>
  <c r="J22" i="11" s="1"/>
  <c r="J14" i="11"/>
  <c r="P31" i="9"/>
  <c r="K24" i="11" s="1"/>
  <c r="D28" i="9"/>
  <c r="G21" i="11" s="1"/>
  <c r="G18" i="11"/>
  <c r="M30" i="9"/>
  <c r="J23" i="11" s="1"/>
  <c r="J15" i="11"/>
  <c r="M27" i="9"/>
  <c r="J20" i="11" s="1"/>
  <c r="M24" i="9"/>
  <c r="J17" i="11" s="1"/>
  <c r="M25" i="9"/>
  <c r="D31" i="9"/>
  <c r="G24" i="11" s="1"/>
  <c r="G30" i="9"/>
  <c r="H23" i="11" s="1"/>
  <c r="H15" i="11"/>
  <c r="D32" i="9"/>
  <c r="G25" i="11" s="1"/>
  <c r="P25" i="9"/>
  <c r="K14" i="11"/>
  <c r="P24" i="9"/>
  <c r="K17" i="11" s="1"/>
  <c r="J28" i="9"/>
  <c r="I21" i="11" s="1"/>
  <c r="P27" i="9"/>
  <c r="C15" i="11"/>
  <c r="G31" i="10"/>
  <c r="C24" i="11" s="1"/>
  <c r="J25" i="10"/>
  <c r="D14" i="11"/>
  <c r="P31" i="10"/>
  <c r="F24" i="11" s="1"/>
  <c r="P32" i="10"/>
  <c r="F25" i="11" s="1"/>
  <c r="J24" i="10"/>
  <c r="D17" i="11" s="1"/>
  <c r="J27" i="10"/>
  <c r="D20" i="11" s="1"/>
  <c r="P30" i="10"/>
  <c r="F23" i="11" s="1"/>
  <c r="F15" i="11"/>
  <c r="G28" i="10"/>
  <c r="C21" i="11" s="1"/>
  <c r="C18" i="11"/>
  <c r="P28" i="10"/>
  <c r="F21" i="11" s="1"/>
  <c r="J31" i="10"/>
  <c r="D24" i="11" s="1"/>
  <c r="J32" i="10"/>
  <c r="D25" i="11" s="1"/>
  <c r="P33" i="10"/>
  <c r="F26" i="11" s="1"/>
  <c r="P24" i="10"/>
  <c r="F17" i="11" s="1"/>
  <c r="G32" i="10"/>
  <c r="C25" i="11" s="1"/>
  <c r="M28" i="10"/>
  <c r="E21" i="11" s="1"/>
  <c r="M32" i="10"/>
  <c r="E25" i="11" s="1"/>
  <c r="M31" i="10"/>
  <c r="E24" i="11" s="1"/>
  <c r="D28" i="10"/>
  <c r="B21" i="11" s="1"/>
  <c r="D31" i="10"/>
  <c r="B24" i="11" s="1"/>
  <c r="D32" i="10"/>
  <c r="B25" i="11" s="1"/>
  <c r="G28" i="9"/>
  <c r="H21" i="11" s="1"/>
  <c r="M31" i="9"/>
  <c r="J24" i="11" s="1"/>
  <c r="M32" i="9"/>
  <c r="J25" i="11" s="1"/>
  <c r="G31" i="9"/>
  <c r="H24" i="11" s="1"/>
  <c r="G32" i="9"/>
  <c r="H25" i="11" s="1"/>
  <c r="G31" i="7"/>
  <c r="G32" i="7"/>
  <c r="G28" i="7"/>
  <c r="D31" i="7"/>
  <c r="D32" i="7"/>
  <c r="D28" i="7"/>
  <c r="M28" i="9" l="1"/>
  <c r="J21" i="11" s="1"/>
  <c r="J18" i="11"/>
  <c r="K20" i="11"/>
  <c r="P32" i="9"/>
  <c r="K25" i="11" s="1"/>
  <c r="K18" i="11"/>
  <c r="P28" i="9"/>
  <c r="K21" i="11" s="1"/>
  <c r="D18" i="11"/>
  <c r="J28" i="10"/>
  <c r="D21" i="11" s="1"/>
</calcChain>
</file>

<file path=xl/sharedStrings.xml><?xml version="1.0" encoding="utf-8"?>
<sst xmlns="http://schemas.openxmlformats.org/spreadsheetml/2006/main" count="787" uniqueCount="228">
  <si>
    <t>Good</t>
  </si>
  <si>
    <t>Normal</t>
  </si>
  <si>
    <t>Cflow</t>
  </si>
  <si>
    <t>contrast down 0.5</t>
  </si>
  <si>
    <t>contrast down 0.7</t>
  </si>
  <si>
    <t>contrast down 0.9</t>
  </si>
  <si>
    <t>contrast up 1.1</t>
  </si>
  <si>
    <t>contrast up 1.3</t>
  </si>
  <si>
    <t>contrast up 1.5</t>
  </si>
  <si>
    <t>bad</t>
  </si>
  <si>
    <t>dying 1</t>
  </si>
  <si>
    <t>dying 2</t>
  </si>
  <si>
    <t>dying 3</t>
  </si>
  <si>
    <t>grayscale</t>
  </si>
  <si>
    <t>hue down 5</t>
  </si>
  <si>
    <t>hue down 15</t>
  </si>
  <si>
    <t>hue down 30</t>
  </si>
  <si>
    <t>hue up 5</t>
  </si>
  <si>
    <t>hue up 15</t>
  </si>
  <si>
    <t>hue up 30</t>
  </si>
  <si>
    <t>fastflow</t>
  </si>
  <si>
    <t>patchcore</t>
  </si>
  <si>
    <t>reverse distillation</t>
  </si>
  <si>
    <t>stfpm</t>
  </si>
  <si>
    <t>remarks</t>
  </si>
  <si>
    <t>dying is obvious</t>
  </si>
  <si>
    <t>due down 15 ++ is ok</t>
  </si>
  <si>
    <t>hue 15++ is ok</t>
  </si>
  <si>
    <t>grayscale fail</t>
  </si>
  <si>
    <t>have noice</t>
  </si>
  <si>
    <t>can see, too sensitive and flag many wrong</t>
  </si>
  <si>
    <t>not reaaly can see but decent, have noice</t>
  </si>
  <si>
    <t>hue up and down 15 is ok</t>
  </si>
  <si>
    <t>dying have some thing</t>
  </si>
  <si>
    <t>good have some issue on detection</t>
  </si>
  <si>
    <t>can see, but due to new data it flag background as normal but new plat have some problem recognising</t>
  </si>
  <si>
    <t>it has low confidence but there are some of the rare background object that it also flag</t>
  </si>
  <si>
    <t>the good result actually all pass, just that it has some minor issue so good can be disregard</t>
  </si>
  <si>
    <t>special remarks</t>
  </si>
  <si>
    <t>good use actual result by the model</t>
  </si>
  <si>
    <t>bad due to some model flaging everything as anomaly, so I will manually go through and see if the machine flag background or actually found the anomaly</t>
  </si>
  <si>
    <t xml:space="preserve"> </t>
  </si>
  <si>
    <t>contrast increase by 50% have some issue as too much sunlight feeling flag anomaly, so 50% is too much</t>
  </si>
  <si>
    <t>the images normal is normal, contrast is percentage, dying is random colour shift which very obvious, grayscale is grayscale, hue is +- number, also all changes is done only with a mask</t>
  </si>
  <si>
    <t>dying spot on, very confidend, no background false positive</t>
  </si>
  <si>
    <t>hue down 15+ is not that bad</t>
  </si>
  <si>
    <t>hue up is a problem, even with improvement is percentage but not that good don’t recommend</t>
  </si>
  <si>
    <t>btw this a result for anomaly detection</t>
  </si>
  <si>
    <t>very sensitive, plant corner it detect as anomaly</t>
  </si>
  <si>
    <t>good have bad result due to that so not for good detection</t>
  </si>
  <si>
    <t>it has low confidence for good as flag as anomaly so might need to adjust it manually</t>
  </si>
  <si>
    <t>it can ignore some background, just plant very sensitive</t>
  </si>
  <si>
    <t>contrast up due to its sensitivity, it flag very quickly, so it might need to be time sensitive</t>
  </si>
  <si>
    <t>dying pretty good quite accurate</t>
  </si>
  <si>
    <t>I think good is quite struggling but in bad I think images is too small like the masking is like 2 pixel or 3 wide which they cannot see, but accuracy improve when plant is large</t>
  </si>
  <si>
    <t>overall remarks for all model</t>
  </si>
  <si>
    <t>hue down is ok starting with 15</t>
  </si>
  <si>
    <t>hue up not reaaly that good tho</t>
  </si>
  <si>
    <t>I want a the result be strength weakness for each model, where to use it, which is the best model and rank them, also give me which characteristic I should use for next batch to increase the roc score</t>
  </si>
  <si>
    <t>confidence for good so close to 5050 that it could not decide</t>
  </si>
  <si>
    <t>there are some rare object in background it can detect</t>
  </si>
  <si>
    <t>contrast down  0.7 and above all good same like normal confidence</t>
  </si>
  <si>
    <t>contrast down 0.7 has lowerconfidence compare to normal</t>
  </si>
  <si>
    <t>contrast up also have rare object error and low confidence like normal</t>
  </si>
  <si>
    <t>overall good is very close and have looks quite good, just that need to redo the threshold since it so close</t>
  </si>
  <si>
    <t>grayscale cannot see anything</t>
  </si>
  <si>
    <t>this model is on point for anomaly, it correctly highlighted the anomaly region</t>
  </si>
  <si>
    <t>hue down 30 on point</t>
  </si>
  <si>
    <t>hue down 15 have nice highlight on anomaly</t>
  </si>
  <si>
    <t>hue up 5 cannot see</t>
  </si>
  <si>
    <t>hue up 15 cannot see</t>
  </si>
  <si>
    <t>hue up 30 can see</t>
  </si>
  <si>
    <t>I am probably bias for stfpm since it has the best heatmap for the anomaly region compare to others noise stuff so take it for account</t>
  </si>
  <si>
    <t>Week 8</t>
  </si>
  <si>
    <t>the images normal is normal, contrast is percentage, dying is random colour shift which very obvious, hue is +- number, also all changes is done only with a mask</t>
  </si>
  <si>
    <t>can see, quite good</t>
  </si>
  <si>
    <t>some part of the plant leaves have lower accuracy</t>
  </si>
  <si>
    <t>Correct</t>
  </si>
  <si>
    <t>Total</t>
  </si>
  <si>
    <t>Accuracy</t>
  </si>
  <si>
    <t>some part in godd it just detect anomaly in the plant</t>
  </si>
  <si>
    <t>no really can see well</t>
  </si>
  <si>
    <t>dying not sure it can see also just random flag</t>
  </si>
  <si>
    <t>hue up is quite good tho, it can spot the hue up</t>
  </si>
  <si>
    <t xml:space="preserve">hue down same as dying </t>
  </si>
  <si>
    <t>background have an effect on the anomaly</t>
  </si>
  <si>
    <t>not really can see well, heat map on large chunk of images</t>
  </si>
  <si>
    <t>dying is spot on can see all the anomaly</t>
  </si>
  <si>
    <t xml:space="preserve">hue down pretty good can see </t>
  </si>
  <si>
    <t>hue up not that good cannot see, hue up 30 better but not really reliable</t>
  </si>
  <si>
    <t>good all can see just that some of rare item in background or some sharp conner makes it anomaly</t>
  </si>
  <si>
    <t>bad hue down is good</t>
  </si>
  <si>
    <t>hue up not reaaly that good</t>
  </si>
  <si>
    <t>dying very good</t>
  </si>
  <si>
    <t>good very good, all can see, just some rare object detected flag as anomaly, can apply mask to filter out the heat map location</t>
  </si>
  <si>
    <t xml:space="preserve">dying got 2 images like abit wrong but mostly ok </t>
  </si>
  <si>
    <t>hue down pretty good</t>
  </si>
  <si>
    <t>hue up really bad cannot see</t>
  </si>
  <si>
    <t>just fail</t>
  </si>
  <si>
    <t>cannot see</t>
  </si>
  <si>
    <t>have some wrong in good here and there</t>
  </si>
  <si>
    <t>dying pretty good can see with correct heatmap</t>
  </si>
  <si>
    <t>hue down not really that good, not that bad tho</t>
  </si>
  <si>
    <t>good really good</t>
  </si>
  <si>
    <t>there are some a bit minor anomaly but not on plant , only at background</t>
  </si>
  <si>
    <t xml:space="preserve">dygin good </t>
  </si>
  <si>
    <t>hue down can see, but not enough to flag as anomaly</t>
  </si>
  <si>
    <t>monor anomaly detected on background of good</t>
  </si>
  <si>
    <t>dying pretty good</t>
  </si>
  <si>
    <t>hue down, there is also highligted on the plant but not enough to flag as anomaly</t>
  </si>
  <si>
    <t>good perfect</t>
  </si>
  <si>
    <t>some error on rare background object</t>
  </si>
  <si>
    <t>dying due to plant too small so one error</t>
  </si>
  <si>
    <t>hue 15 due to slight miscolouring of the leaves it did not flag it as anomaly</t>
  </si>
  <si>
    <t>I can say that the plant is too small for it to see properly</t>
  </si>
  <si>
    <t>not reaaly can see for good not sure what it is coping on</t>
  </si>
  <si>
    <t>bad are just the worst cannot see the anomaly flag everyting as good</t>
  </si>
  <si>
    <t>good is quite good, flag some rare background as anomaly</t>
  </si>
  <si>
    <t>dying is quite good the threshold make it such that the dying part have 51-70% anomaly which makes thresholding good</t>
  </si>
  <si>
    <t>hue 15 due to lack of test not conclusive, but can say noable to see, but hue 30 yes can see but not sensitive due to plant too small</t>
  </si>
  <si>
    <t>good is quite good, able to flag rare background which is good</t>
  </si>
  <si>
    <t>detected plant shadow which is interesting as anomaly which is correct in good</t>
  </si>
  <si>
    <t>good is more sensitive compare to fastflow and have better heatmap compare to fast flow</t>
  </si>
  <si>
    <t>dying perfect</t>
  </si>
  <si>
    <t>hue 15 is can see</t>
  </si>
  <si>
    <t>hue 30 observe that some error occur due to small plant hard to detect</t>
  </si>
  <si>
    <t>can see falling plant which is good</t>
  </si>
  <si>
    <t>compare to others fastflow might be wrong compare to patchcore or reverse distillation</t>
  </si>
  <si>
    <t>interesting plant</t>
  </si>
  <si>
    <t>dying 3 have one is suppose to be good and fast flow detected it so other have 1 wrong in their dying 3 due to this perfect</t>
  </si>
  <si>
    <t xml:space="preserve">this is excellent can see even background, the most accurate so even more rare background is flagged which Is very good, </t>
  </si>
  <si>
    <t>I can say this model good bad result due to its excellent on seeing the plant and background</t>
  </si>
  <si>
    <t>dyign also good like dying 3 can see one is good which is excellent</t>
  </si>
  <si>
    <t>hue is perfect which is quite good</t>
  </si>
  <si>
    <t>good use actual and double confirm with validate, basedon if looks correct only pass</t>
  </si>
  <si>
    <t>quite much aligning on normal</t>
  </si>
  <si>
    <t>not sure if it is working or not</t>
  </si>
  <si>
    <t>good is ok</t>
  </si>
  <si>
    <t>bad hmm can see where not sensitive enough to flag</t>
  </si>
  <si>
    <t>bad hmm can see but not sensitive enough to flag</t>
  </si>
  <si>
    <t>good, detected yellowing on leaves on good, could be more sensitive</t>
  </si>
  <si>
    <t>bad can find it need more sensitive</t>
  </si>
  <si>
    <t>dying should be obvious for anyone, hue down will be more realistic</t>
  </si>
  <si>
    <t>hue down might have score but those also flag as anomaly in good so not working</t>
  </si>
  <si>
    <t>good is good nothing wrong</t>
  </si>
  <si>
    <t>bad can tell there is something but maybe hue down 15 error range is within margin</t>
  </si>
  <si>
    <t>background Is filtered manually, non issue</t>
  </si>
  <si>
    <t>good is decen</t>
  </si>
  <si>
    <t>bad is a mix batch not sure it can see anything or not</t>
  </si>
  <si>
    <t>good is quite good, background noise have been filtered so the score is quite good</t>
  </si>
  <si>
    <t>bad is not that bad can see, its decent not the best not the worst</t>
  </si>
  <si>
    <t>good is quite good not need to filter as it learns it well for good</t>
  </si>
  <si>
    <t>bad is good dying is obvious</t>
  </si>
  <si>
    <t>hue down 15 due to minor changes it can see but not sensitive enough to call it anomaly</t>
  </si>
  <si>
    <t>good is quite good and able to see the thing clearly</t>
  </si>
  <si>
    <t xml:space="preserve">bad is quite decent an see which is bad and hue task perform ok </t>
  </si>
  <si>
    <t>good is excellent</t>
  </si>
  <si>
    <t>bad is excellent</t>
  </si>
  <si>
    <t>good is decent not that good tho bit of noise</t>
  </si>
  <si>
    <t>good is decent no that good tho bit of noise</t>
  </si>
  <si>
    <t>perfect , can detect shadow of plant as anomaly which is interesting</t>
  </si>
  <si>
    <t>good is pretty good, just some background affecting the score</t>
  </si>
  <si>
    <t>good is perfect</t>
  </si>
  <si>
    <t>bad is perfect for dying since its obvious</t>
  </si>
  <si>
    <t>hue down as expected can see but due to 15 not enough and 30 can see</t>
  </si>
  <si>
    <t>bad is terible</t>
  </si>
  <si>
    <t>bad is not that good not sure tho</t>
  </si>
  <si>
    <t>bad is excellent for dying since is obvious</t>
  </si>
  <si>
    <t xml:space="preserve">hue down might not be obvious enough to fail </t>
  </si>
  <si>
    <t>bad is not that bad can see but not all</t>
  </si>
  <si>
    <t>bad hue is bad but can see a bit</t>
  </si>
  <si>
    <t>good not really lot of pathc</t>
  </si>
  <si>
    <t>good quite decent, I can say its ok but a lot of wrong</t>
  </si>
  <si>
    <t xml:space="preserve">good there is plant root that grow like triangle which flag as anomaly but that should be normal maybe due to lack of dataset of such plant </t>
  </si>
  <si>
    <t>detected quite abit of pot anomaly has been filtered quite good so good is 2nd best but not really tho</t>
  </si>
  <si>
    <t>good is perfect nothing is flag as anoamly as expecteed</t>
  </si>
  <si>
    <t>bad dying even when fail to detect it has high score on the anomaly region which is good</t>
  </si>
  <si>
    <t>hue down 15 even tho the rating is less, but it still rank the anomaly region as high</t>
  </si>
  <si>
    <t>I could be the image too small for anomaly so bigger image will improve the score</t>
  </si>
  <si>
    <t>hude down 30 is impressive</t>
  </si>
  <si>
    <t>dygin can tell but no anoamly can say is quite good and use as validation</t>
  </si>
  <si>
    <t>hue down also same thing like dying bad but can see</t>
  </si>
  <si>
    <t>bad is ok not that bad, can locate and can find where the error is</t>
  </si>
  <si>
    <t>hue down 30 can see is quite impressive</t>
  </si>
  <si>
    <t>dying is almost perfect, in fact it can find all obvious</t>
  </si>
  <si>
    <t>bad all the roi is perfect</t>
  </si>
  <si>
    <t>hue down 15 might not be sensitive enough for it to flag as anomaly</t>
  </si>
  <si>
    <t>bad dying might not be the best but those the failed can still see the anomaly region just not high enough to flag</t>
  </si>
  <si>
    <t>hue down 15 not that good but all the detection on bad work fo rthe root so not bad</t>
  </si>
  <si>
    <t xml:space="preserve">hue down 30 can see but not enough to be flag as anomaly </t>
  </si>
  <si>
    <t>week3</t>
  </si>
  <si>
    <t>week8</t>
  </si>
  <si>
    <t>week12</t>
  </si>
  <si>
    <t>week18</t>
  </si>
  <si>
    <t>TN</t>
  </si>
  <si>
    <t>FP</t>
  </si>
  <si>
    <t>FN</t>
  </si>
  <si>
    <t>TP</t>
  </si>
  <si>
    <t>Precision</t>
  </si>
  <si>
    <t>F1 Score</t>
  </si>
  <si>
    <t>Specificity</t>
  </si>
  <si>
    <t>False Positive Rate</t>
  </si>
  <si>
    <t>False Negative Rate</t>
  </si>
  <si>
    <t>Balanced Accuracy</t>
  </si>
  <si>
    <t>Youden's Index (J)</t>
  </si>
  <si>
    <t>Negative Predictive Value</t>
  </si>
  <si>
    <t>Recall (Sensitivity)</t>
  </si>
  <si>
    <t>AUPR</t>
  </si>
  <si>
    <t>AUROC</t>
  </si>
  <si>
    <t>variable</t>
  </si>
  <si>
    <t>model</t>
  </si>
  <si>
    <t>week 3</t>
  </si>
  <si>
    <t>week 8</t>
  </si>
  <si>
    <t>week 12</t>
  </si>
  <si>
    <t>week 18</t>
  </si>
  <si>
    <t>cflow</t>
  </si>
  <si>
    <t>Confusion Matrix Generator</t>
  </si>
  <si>
    <t>Input</t>
  </si>
  <si>
    <t>First</t>
  </si>
  <si>
    <t>Second</t>
  </si>
  <si>
    <t>Third</t>
  </si>
  <si>
    <t>Forth</t>
  </si>
  <si>
    <t>Fifth</t>
  </si>
  <si>
    <t>Actual Positive</t>
  </si>
  <si>
    <t>Actual Negative</t>
  </si>
  <si>
    <t>Predicted Positive</t>
  </si>
  <si>
    <t>Predicted Negative</t>
  </si>
  <si>
    <t>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</si>
</sst>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sz val="8"/>
      <name val="Aptos Narrow"/>
      <family val="2"/>
      <scheme val="minor"/>
    </font>
    <font>
      <sz val="11"/>
      <color rgb="FFFF0000"/>
      <name val="Aptos Narrow"/>
      <family val="2"/>
      <scheme val="minor"/>
    </font>
    <font>
      <sz val="11"/>
      <color theme="1"/>
      <name val="Aptos Narrow"/>
      <family val="2"/>
      <scheme val="minor"/>
    </font>
  </fonts>
  <fills count="3">
    <fill>
      <patternFill patternType="none"/>
    </fill>
    <fill>
      <patternFill patternType="gray125"/>
    </fill>
    <fill>
      <patternFill patternType="solid">
        <fgColor theme="6" tint="0.59999389629810485"/>
        <bgColor indexed="64"/>
      </patternFill>
    </fill>
  </fills>
  <borders count="16">
    <border>
      <left/>
      <right/>
      <top/>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style="thin">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style="thin">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2">
    <xf numFmtId="0" fontId="0" fillId="0" borderId="0"/>
    <xf numFmtId="9" fontId="3" fillId="0" borderId="0" applyFont="0" applyFill="0" applyBorder="0" applyAlignment="0" applyProtection="0"/>
  </cellStyleXfs>
  <cellXfs count="48">
    <xf numFmtId="0" fontId="0" fillId="0" borderId="0" xfId="0"/>
    <xf numFmtId="10" fontId="0" fillId="0" borderId="0" xfId="0" applyNumberFormat="1"/>
    <xf numFmtId="12" fontId="0" fillId="0" borderId="0" xfId="0" applyNumberFormat="1"/>
    <xf numFmtId="1" fontId="0" fillId="0" borderId="0" xfId="0" applyNumberFormat="1"/>
    <xf numFmtId="0" fontId="2" fillId="2" borderId="0" xfId="0" applyFont="1" applyFill="1"/>
    <xf numFmtId="10" fontId="0" fillId="0" borderId="0" xfId="1" applyNumberFormat="1" applyFont="1"/>
    <xf numFmtId="10" fontId="3" fillId="0" borderId="0" xfId="1" applyNumberFormat="1" applyFont="1"/>
    <xf numFmtId="10" fontId="0" fillId="0" borderId="0" xfId="0" applyNumberFormat="1" applyFont="1"/>
    <xf numFmtId="10" fontId="3" fillId="0" borderId="0" xfId="0" applyNumberFormat="1" applyFont="1"/>
    <xf numFmtId="0" fontId="0" fillId="0" borderId="0" xfId="0" applyBorder="1"/>
    <xf numFmtId="10" fontId="0" fillId="0" borderId="0" xfId="0" applyNumberFormat="1" applyBorder="1"/>
    <xf numFmtId="1" fontId="0" fillId="0" borderId="0" xfId="0" applyNumberFormat="1" applyBorder="1"/>
    <xf numFmtId="0" fontId="0" fillId="0" borderId="3" xfId="0" applyBorder="1" applyAlignment="1">
      <alignment horizontal="center"/>
    </xf>
    <xf numFmtId="0" fontId="0" fillId="0" borderId="4" xfId="0" applyBorder="1" applyAlignment="1">
      <alignment horizontal="center"/>
    </xf>
    <xf numFmtId="10" fontId="0" fillId="0" borderId="6" xfId="0" applyNumberFormat="1" applyBorder="1"/>
    <xf numFmtId="1" fontId="0" fillId="0" borderId="6" xfId="0" applyNumberFormat="1" applyBorder="1"/>
    <xf numFmtId="10" fontId="0" fillId="0" borderId="7" xfId="0" applyNumberFormat="1" applyBorder="1"/>
    <xf numFmtId="10" fontId="0" fillId="0" borderId="8" xfId="0" applyNumberFormat="1" applyBorder="1"/>
    <xf numFmtId="10" fontId="0" fillId="0" borderId="9" xfId="1" applyNumberFormat="1" applyFont="1" applyBorder="1"/>
    <xf numFmtId="0" fontId="0" fillId="0" borderId="11" xfId="0" applyBorder="1"/>
    <xf numFmtId="0" fontId="0" fillId="0" borderId="12" xfId="0" applyBorder="1"/>
    <xf numFmtId="0" fontId="0" fillId="0" borderId="9" xfId="0" applyBorder="1" applyAlignment="1">
      <alignment horizontal="center"/>
    </xf>
    <xf numFmtId="0" fontId="0" fillId="0" borderId="10" xfId="0" applyBorder="1"/>
    <xf numFmtId="10" fontId="0" fillId="0" borderId="11" xfId="0" applyNumberFormat="1" applyBorder="1"/>
    <xf numFmtId="1" fontId="0" fillId="0" borderId="11" xfId="0" applyNumberFormat="1" applyBorder="1"/>
    <xf numFmtId="10" fontId="0" fillId="0" borderId="12" xfId="0" applyNumberFormat="1" applyBorder="1"/>
    <xf numFmtId="0" fontId="0" fillId="0" borderId="9" xfId="0" applyBorder="1"/>
    <xf numFmtId="0" fontId="0" fillId="0" borderId="3" xfId="0" applyBorder="1"/>
    <xf numFmtId="0" fontId="0" fillId="0" borderId="4" xfId="0" applyBorder="1"/>
    <xf numFmtId="10" fontId="0" fillId="0" borderId="13" xfId="1" applyNumberFormat="1" applyFont="1" applyBorder="1"/>
    <xf numFmtId="0" fontId="0" fillId="0" borderId="13" xfId="0" applyBorder="1"/>
    <xf numFmtId="0" fontId="0" fillId="0" borderId="14" xfId="0" applyBorder="1"/>
    <xf numFmtId="0" fontId="0" fillId="0" borderId="15" xfId="0" applyBorder="1"/>
    <xf numFmtId="1" fontId="0" fillId="0" borderId="9" xfId="0" applyNumberFormat="1" applyBorder="1"/>
    <xf numFmtId="1" fontId="0" fillId="0" borderId="3" xfId="0" applyNumberFormat="1" applyBorder="1"/>
    <xf numFmtId="1" fontId="0" fillId="0" borderId="4" xfId="0" applyNumberFormat="1" applyBorder="1"/>
    <xf numFmtId="1" fontId="0" fillId="0" borderId="12" xfId="0" applyNumberFormat="1" applyBorder="1"/>
    <xf numFmtId="1" fontId="0" fillId="0" borderId="7" xfId="0" applyNumberFormat="1" applyBorder="1"/>
    <xf numFmtId="1" fontId="0" fillId="0" borderId="8" xfId="0" applyNumberFormat="1" applyBorder="1"/>
    <xf numFmtId="10" fontId="0" fillId="0" borderId="10" xfId="0" applyNumberFormat="1" applyBorder="1"/>
    <xf numFmtId="10" fontId="0" fillId="0" borderId="1" xfId="0" applyNumberFormat="1" applyBorder="1"/>
    <xf numFmtId="10" fontId="0" fillId="0" borderId="5" xfId="0" applyNumberFormat="1" applyBorder="1"/>
    <xf numFmtId="10" fontId="0" fillId="0" borderId="9" xfId="0" applyNumberFormat="1" applyBorder="1"/>
    <xf numFmtId="10" fontId="0" fillId="0" borderId="3" xfId="0" applyNumberFormat="1" applyBorder="1"/>
    <xf numFmtId="10" fontId="0" fillId="0" borderId="4" xfId="0" applyNumberFormat="1" applyBorder="1"/>
    <xf numFmtId="0" fontId="0" fillId="0" borderId="6" xfId="0" applyBorder="1"/>
    <xf numFmtId="0" fontId="0" fillId="0" borderId="8" xfId="0" applyBorder="1"/>
    <xf numFmtId="0" fontId="0" fillId="0" borderId="2" xfId="0" applyBorder="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90D1D-74E7-46EE-A71C-0664C5D5F8BA}">
  <dimension ref="A1:Z28"/>
  <sheetViews>
    <sheetView tabSelected="1" zoomScaleNormal="100" workbookViewId="0">
      <selection activeCell="I32" sqref="I32"/>
    </sheetView>
  </sheetViews>
  <sheetFormatPr defaultRowHeight="15" x14ac:dyDescent="0.25"/>
  <cols>
    <col min="1" max="1" width="23.42578125" bestFit="1" customWidth="1"/>
    <col min="24" max="24" width="9.140625" customWidth="1"/>
    <col min="25" max="25" width="10.42578125" customWidth="1"/>
    <col min="26" max="26" width="10.5703125" customWidth="1"/>
  </cols>
  <sheetData>
    <row r="1" spans="1:26" ht="15.75" thickBot="1" x14ac:dyDescent="0.3">
      <c r="A1" s="18" t="s">
        <v>209</v>
      </c>
      <c r="B1" s="21" t="s">
        <v>211</v>
      </c>
      <c r="C1" s="12"/>
      <c r="D1" s="12"/>
      <c r="E1" s="12"/>
      <c r="F1" s="13"/>
      <c r="G1" s="21" t="s">
        <v>212</v>
      </c>
      <c r="H1" s="12"/>
      <c r="I1" s="12"/>
      <c r="J1" s="12"/>
      <c r="K1" s="12"/>
      <c r="L1" s="21" t="s">
        <v>213</v>
      </c>
      <c r="M1" s="12"/>
      <c r="N1" s="12"/>
      <c r="O1" s="12"/>
      <c r="P1" s="13"/>
      <c r="Q1" s="21" t="s">
        <v>214</v>
      </c>
      <c r="R1" s="12"/>
      <c r="S1" s="12"/>
      <c r="T1" s="12"/>
      <c r="U1" s="12"/>
      <c r="V1" s="21" t="s">
        <v>227</v>
      </c>
      <c r="W1" s="12"/>
      <c r="X1" s="12"/>
      <c r="Y1" s="12"/>
      <c r="Z1" s="13"/>
    </row>
    <row r="2" spans="1:26" x14ac:dyDescent="0.25">
      <c r="A2" s="29" t="s">
        <v>210</v>
      </c>
      <c r="B2" s="30" t="s">
        <v>215</v>
      </c>
      <c r="C2" s="31" t="s">
        <v>20</v>
      </c>
      <c r="D2" s="31" t="s">
        <v>21</v>
      </c>
      <c r="E2" s="31" t="s">
        <v>22</v>
      </c>
      <c r="F2" s="32" t="s">
        <v>23</v>
      </c>
      <c r="G2" s="30" t="s">
        <v>215</v>
      </c>
      <c r="H2" s="31" t="s">
        <v>20</v>
      </c>
      <c r="I2" s="31" t="s">
        <v>21</v>
      </c>
      <c r="J2" s="31" t="s">
        <v>22</v>
      </c>
      <c r="K2" s="31" t="s">
        <v>23</v>
      </c>
      <c r="L2" s="30" t="s">
        <v>215</v>
      </c>
      <c r="M2" s="31" t="s">
        <v>20</v>
      </c>
      <c r="N2" s="31" t="s">
        <v>21</v>
      </c>
      <c r="O2" s="31" t="s">
        <v>22</v>
      </c>
      <c r="P2" s="32" t="s">
        <v>23</v>
      </c>
      <c r="Q2" s="30" t="s">
        <v>215</v>
      </c>
      <c r="R2" s="31" t="s">
        <v>20</v>
      </c>
      <c r="S2" s="31" t="s">
        <v>21</v>
      </c>
      <c r="T2" s="31" t="s">
        <v>22</v>
      </c>
      <c r="U2" s="31" t="s">
        <v>23</v>
      </c>
      <c r="V2" s="26" t="s">
        <v>215</v>
      </c>
      <c r="W2" s="27" t="s">
        <v>20</v>
      </c>
      <c r="X2" s="27" t="s">
        <v>21</v>
      </c>
      <c r="Y2" s="27" t="s">
        <v>22</v>
      </c>
      <c r="Z2" s="28" t="s">
        <v>23</v>
      </c>
    </row>
    <row r="3" spans="1:26" x14ac:dyDescent="0.25">
      <c r="A3" s="19" t="s">
        <v>1</v>
      </c>
      <c r="B3" s="23">
        <f>'Final Week3'!D6</f>
        <v>0.83333333333333337</v>
      </c>
      <c r="C3" s="10">
        <f>'Final Week3'!G6</f>
        <v>1</v>
      </c>
      <c r="D3" s="10">
        <f>'Final Week3'!J6</f>
        <v>1</v>
      </c>
      <c r="E3" s="10">
        <f>'Final Week3'!M6</f>
        <v>0.83333333333333337</v>
      </c>
      <c r="F3" s="14">
        <f>'Final Week3'!P6</f>
        <v>1</v>
      </c>
      <c r="G3" s="23">
        <f>'Final Week8'!D6</f>
        <v>1</v>
      </c>
      <c r="H3" s="10">
        <f>'Final Week8'!G6</f>
        <v>0.91666666666666663</v>
      </c>
      <c r="I3" s="10">
        <f>'Final Week8'!J6</f>
        <v>1</v>
      </c>
      <c r="J3" s="10">
        <f>'Final Week8'!M6</f>
        <v>1</v>
      </c>
      <c r="K3" s="10">
        <f>'Final Week8'!P6</f>
        <v>1</v>
      </c>
      <c r="L3" s="23">
        <f>'Final Week12'!D6</f>
        <v>0.6</v>
      </c>
      <c r="M3" s="10">
        <f>'Final Week12'!G6</f>
        <v>0.6</v>
      </c>
      <c r="N3" s="10">
        <f>'Final Week12'!J6</f>
        <v>1</v>
      </c>
      <c r="O3" s="10">
        <f>'Final Week12'!M6</f>
        <v>0.88888888888888884</v>
      </c>
      <c r="P3" s="14">
        <f>'Final Week12'!P6</f>
        <v>1</v>
      </c>
      <c r="Q3" s="23">
        <f>'Final Week18'!D6</f>
        <v>0.5625</v>
      </c>
      <c r="R3" s="10">
        <f>'Final Week18'!G6</f>
        <v>1</v>
      </c>
      <c r="S3" s="10">
        <f>'Final Week18'!J6</f>
        <v>1</v>
      </c>
      <c r="T3" s="10">
        <f>'Final Week18'!M6</f>
        <v>1</v>
      </c>
      <c r="U3" s="10">
        <f>'Final Week18'!P6</f>
        <v>1</v>
      </c>
      <c r="V3" s="39">
        <f>AVERAGE(B3,G3,L3,Q3)</f>
        <v>0.74895833333333339</v>
      </c>
      <c r="W3" s="40">
        <f t="shared" ref="W3:Z13" si="0">AVERAGE(C3,H3,M3,R3)</f>
        <v>0.87916666666666665</v>
      </c>
      <c r="X3" s="40">
        <f t="shared" si="0"/>
        <v>1</v>
      </c>
      <c r="Y3" s="40">
        <f t="shared" si="0"/>
        <v>0.93055555555555558</v>
      </c>
      <c r="Z3" s="41">
        <f t="shared" si="0"/>
        <v>1</v>
      </c>
    </row>
    <row r="4" spans="1:26" x14ac:dyDescent="0.25">
      <c r="A4" s="19" t="s">
        <v>4</v>
      </c>
      <c r="B4" s="23">
        <f>'Final Week3'!D7</f>
        <v>0.75</v>
      </c>
      <c r="C4" s="10">
        <f>'Final Week3'!G7</f>
        <v>1</v>
      </c>
      <c r="D4" s="10">
        <f>'Final Week3'!J7</f>
        <v>1</v>
      </c>
      <c r="E4" s="10">
        <f>'Final Week3'!M7</f>
        <v>1</v>
      </c>
      <c r="F4" s="14">
        <f>'Final Week3'!P7</f>
        <v>0.75</v>
      </c>
      <c r="G4" s="23">
        <f>'Final Week8'!D7</f>
        <v>0.7857142857142857</v>
      </c>
      <c r="H4" s="10">
        <f>'Final Week8'!G7</f>
        <v>1</v>
      </c>
      <c r="I4" s="10">
        <f>'Final Week8'!J7</f>
        <v>1</v>
      </c>
      <c r="J4" s="10">
        <f>'Final Week8'!M7</f>
        <v>1</v>
      </c>
      <c r="K4" s="10">
        <f>'Final Week8'!P7</f>
        <v>1</v>
      </c>
      <c r="L4" s="23">
        <f>'Final Week12'!D7</f>
        <v>0.7142857142857143</v>
      </c>
      <c r="M4" s="10">
        <f>'Final Week12'!G7</f>
        <v>0.8571428571428571</v>
      </c>
      <c r="N4" s="10">
        <f>'Final Week12'!J7</f>
        <v>1</v>
      </c>
      <c r="O4" s="10">
        <f>'Final Week12'!M7</f>
        <v>0.75</v>
      </c>
      <c r="P4" s="14">
        <f>'Final Week12'!P7</f>
        <v>1</v>
      </c>
      <c r="Q4" s="23">
        <f>'Final Week18'!D7</f>
        <v>0.3888888888888889</v>
      </c>
      <c r="R4" s="10">
        <f>'Final Week18'!G7</f>
        <v>0.88888888888888884</v>
      </c>
      <c r="S4" s="10">
        <f>'Final Week18'!J7</f>
        <v>1</v>
      </c>
      <c r="T4" s="10">
        <f>'Final Week18'!M7</f>
        <v>0.94444444444444442</v>
      </c>
      <c r="U4" s="10">
        <f>'Final Week18'!P7</f>
        <v>1</v>
      </c>
      <c r="V4" s="23">
        <f t="shared" ref="V4:V12" si="1">AVERAGE(B4,G4,L4,Q4)</f>
        <v>0.65972222222222221</v>
      </c>
      <c r="W4" s="10">
        <f t="shared" si="0"/>
        <v>0.93650793650793651</v>
      </c>
      <c r="X4" s="10">
        <f t="shared" si="0"/>
        <v>1</v>
      </c>
      <c r="Y4" s="10">
        <f t="shared" si="0"/>
        <v>0.92361111111111116</v>
      </c>
      <c r="Z4" s="14">
        <f t="shared" si="0"/>
        <v>0.9375</v>
      </c>
    </row>
    <row r="5" spans="1:26" x14ac:dyDescent="0.25">
      <c r="A5" s="19" t="s">
        <v>5</v>
      </c>
      <c r="B5" s="23">
        <f>'Final Week3'!D8</f>
        <v>1</v>
      </c>
      <c r="C5" s="10">
        <f>'Final Week3'!G8</f>
        <v>1</v>
      </c>
      <c r="D5" s="10">
        <f>'Final Week3'!J8</f>
        <v>1</v>
      </c>
      <c r="E5" s="10">
        <f>'Final Week3'!M8</f>
        <v>1</v>
      </c>
      <c r="F5" s="14">
        <f>'Final Week3'!P8</f>
        <v>1</v>
      </c>
      <c r="G5" s="23">
        <f>'Final Week8'!D8</f>
        <v>1</v>
      </c>
      <c r="H5" s="10">
        <f>'Final Week8'!G8</f>
        <v>1</v>
      </c>
      <c r="I5" s="10">
        <f>'Final Week8'!J8</f>
        <v>1</v>
      </c>
      <c r="J5" s="10">
        <f>'Final Week8'!M8</f>
        <v>1</v>
      </c>
      <c r="K5" s="10">
        <f>'Final Week8'!P8</f>
        <v>1</v>
      </c>
      <c r="L5" s="23">
        <f>'Final Week12'!D8</f>
        <v>0.8</v>
      </c>
      <c r="M5" s="10">
        <f>'Final Week12'!G8</f>
        <v>0.8</v>
      </c>
      <c r="N5" s="10">
        <f>'Final Week12'!J8</f>
        <v>1</v>
      </c>
      <c r="O5" s="10">
        <f>'Final Week12'!M8</f>
        <v>1</v>
      </c>
      <c r="P5" s="14">
        <f>'Final Week12'!P8</f>
        <v>1</v>
      </c>
      <c r="Q5" s="23">
        <f>'Final Week18'!D8</f>
        <v>0.33333333333333331</v>
      </c>
      <c r="R5" s="10">
        <f>'Final Week18'!G8</f>
        <v>0.8666666666666667</v>
      </c>
      <c r="S5" s="10">
        <f>'Final Week18'!J8</f>
        <v>1</v>
      </c>
      <c r="T5" s="10">
        <f>'Final Week18'!M8</f>
        <v>0.8666666666666667</v>
      </c>
      <c r="U5" s="10">
        <f>'Final Week18'!P8</f>
        <v>1</v>
      </c>
      <c r="V5" s="23">
        <f t="shared" si="1"/>
        <v>0.78333333333333333</v>
      </c>
      <c r="W5" s="10">
        <f t="shared" si="0"/>
        <v>0.91666666666666663</v>
      </c>
      <c r="X5" s="10">
        <f t="shared" si="0"/>
        <v>1</v>
      </c>
      <c r="Y5" s="10">
        <f t="shared" si="0"/>
        <v>0.96666666666666667</v>
      </c>
      <c r="Z5" s="14">
        <f t="shared" si="0"/>
        <v>1</v>
      </c>
    </row>
    <row r="6" spans="1:26" x14ac:dyDescent="0.25">
      <c r="A6" s="19" t="s">
        <v>6</v>
      </c>
      <c r="B6" s="23">
        <f>'Final Week3'!D9</f>
        <v>0.75</v>
      </c>
      <c r="C6" s="10">
        <f>'Final Week3'!G9</f>
        <v>1</v>
      </c>
      <c r="D6" s="10">
        <f>'Final Week3'!J9</f>
        <v>1</v>
      </c>
      <c r="E6" s="10">
        <f>'Final Week3'!M9</f>
        <v>0.75</v>
      </c>
      <c r="F6" s="14">
        <f>'Final Week3'!P9</f>
        <v>1</v>
      </c>
      <c r="G6" s="23">
        <f>'Final Week8'!D9</f>
        <v>0.81818181818181823</v>
      </c>
      <c r="H6" s="10">
        <f>'Final Week8'!G9</f>
        <v>0.90909090909090906</v>
      </c>
      <c r="I6" s="10">
        <f>'Final Week8'!J9</f>
        <v>1</v>
      </c>
      <c r="J6" s="10">
        <f>'Final Week8'!M9</f>
        <v>1</v>
      </c>
      <c r="K6" s="10">
        <f>'Final Week8'!P9</f>
        <v>1</v>
      </c>
      <c r="L6" s="23">
        <f>'Final Week12'!D9</f>
        <v>0.83333333333333337</v>
      </c>
      <c r="M6" s="10">
        <f>'Final Week12'!G9</f>
        <v>0.83333333333333337</v>
      </c>
      <c r="N6" s="10">
        <f>'Final Week12'!J9</f>
        <v>1</v>
      </c>
      <c r="O6" s="10">
        <f>'Final Week12'!M9</f>
        <v>0.66666666666666663</v>
      </c>
      <c r="P6" s="14">
        <f>'Final Week12'!P9</f>
        <v>1</v>
      </c>
      <c r="Q6" s="23">
        <f>'Final Week18'!D9</f>
        <v>0.47368421052631576</v>
      </c>
      <c r="R6" s="10">
        <f>'Final Week18'!G9</f>
        <v>0.89473684210526316</v>
      </c>
      <c r="S6" s="10">
        <f>'Final Week18'!J9</f>
        <v>1</v>
      </c>
      <c r="T6" s="10">
        <f>'Final Week18'!M9</f>
        <v>1</v>
      </c>
      <c r="U6" s="10">
        <f>'Final Week18'!P9</f>
        <v>1</v>
      </c>
      <c r="V6" s="23">
        <f t="shared" si="1"/>
        <v>0.71879984051036694</v>
      </c>
      <c r="W6" s="10">
        <f t="shared" si="0"/>
        <v>0.90929027113237648</v>
      </c>
      <c r="X6" s="10">
        <f t="shared" si="0"/>
        <v>1</v>
      </c>
      <c r="Y6" s="10">
        <f t="shared" si="0"/>
        <v>0.85416666666666663</v>
      </c>
      <c r="Z6" s="14">
        <f t="shared" si="0"/>
        <v>1</v>
      </c>
    </row>
    <row r="7" spans="1:26" x14ac:dyDescent="0.25">
      <c r="A7" s="19" t="s">
        <v>7</v>
      </c>
      <c r="B7" s="23">
        <f>'Final Week3'!D10</f>
        <v>0.66666666666666663</v>
      </c>
      <c r="C7" s="10">
        <f>'Final Week3'!G10</f>
        <v>1</v>
      </c>
      <c r="D7" s="10">
        <f>'Final Week3'!J10</f>
        <v>1</v>
      </c>
      <c r="E7" s="10">
        <f>'Final Week3'!M10</f>
        <v>0.66666666666666663</v>
      </c>
      <c r="F7" s="14">
        <f>'Final Week3'!P10</f>
        <v>1</v>
      </c>
      <c r="G7" s="23">
        <f>'Final Week8'!D10</f>
        <v>1</v>
      </c>
      <c r="H7" s="10">
        <f>'Final Week8'!G10</f>
        <v>0.8</v>
      </c>
      <c r="I7" s="10">
        <f>'Final Week8'!J10</f>
        <v>1</v>
      </c>
      <c r="J7" s="10">
        <f>'Final Week8'!M10</f>
        <v>0.92307692307692313</v>
      </c>
      <c r="K7" s="10">
        <f>'Final Week8'!P10</f>
        <v>1</v>
      </c>
      <c r="L7" s="23">
        <f>'Final Week12'!D10</f>
        <v>0.8</v>
      </c>
      <c r="M7" s="10">
        <f>'Final Week12'!G10</f>
        <v>0.8</v>
      </c>
      <c r="N7" s="10">
        <f>'Final Week12'!J10</f>
        <v>1</v>
      </c>
      <c r="O7" s="10">
        <f>'Final Week12'!M10</f>
        <v>1</v>
      </c>
      <c r="P7" s="14">
        <f>'Final Week12'!P10</f>
        <v>1</v>
      </c>
      <c r="Q7" s="23">
        <f>'Final Week18'!D10</f>
        <v>0.4</v>
      </c>
      <c r="R7" s="10">
        <f>'Final Week18'!G10</f>
        <v>0.85</v>
      </c>
      <c r="S7" s="10">
        <f>'Final Week18'!J10</f>
        <v>1</v>
      </c>
      <c r="T7" s="10">
        <f>'Final Week18'!M10</f>
        <v>0.9</v>
      </c>
      <c r="U7" s="10">
        <f>'Final Week18'!P10</f>
        <v>1</v>
      </c>
      <c r="V7" s="23">
        <f t="shared" si="1"/>
        <v>0.71666666666666667</v>
      </c>
      <c r="W7" s="10">
        <f t="shared" si="0"/>
        <v>0.86250000000000004</v>
      </c>
      <c r="X7" s="10">
        <f t="shared" si="0"/>
        <v>1</v>
      </c>
      <c r="Y7" s="10">
        <f t="shared" si="0"/>
        <v>0.87243589743589745</v>
      </c>
      <c r="Z7" s="14">
        <f t="shared" si="0"/>
        <v>1</v>
      </c>
    </row>
    <row r="8" spans="1:26" x14ac:dyDescent="0.25">
      <c r="A8" s="22" t="s">
        <v>10</v>
      </c>
      <c r="B8" s="39">
        <f>'Final Week3'!D13</f>
        <v>1</v>
      </c>
      <c r="C8" s="40">
        <f>'Final Week3'!G13</f>
        <v>1</v>
      </c>
      <c r="D8" s="40">
        <f>'Final Week3'!J13</f>
        <v>0.75</v>
      </c>
      <c r="E8" s="40">
        <f>'Final Week3'!M13</f>
        <v>0.75</v>
      </c>
      <c r="F8" s="41">
        <f>'Final Week3'!P13</f>
        <v>0.5</v>
      </c>
      <c r="G8" s="39">
        <f>'Final Week8'!D13</f>
        <v>0.27272727272727271</v>
      </c>
      <c r="H8" s="40">
        <f>'Final Week8'!G13</f>
        <v>0.72727272727272729</v>
      </c>
      <c r="I8" s="40">
        <f>'Final Week8'!J13</f>
        <v>0.81818181818181823</v>
      </c>
      <c r="J8" s="40">
        <f>'Final Week8'!M13</f>
        <v>0.875</v>
      </c>
      <c r="K8" s="40">
        <f>'Final Week8'!P13</f>
        <v>0.75</v>
      </c>
      <c r="L8" s="39">
        <f>'Final Week12'!D13</f>
        <v>0.2</v>
      </c>
      <c r="M8" s="40">
        <f>'Final Week12'!G13</f>
        <v>0.6</v>
      </c>
      <c r="N8" s="40">
        <f>'Final Week12'!J13</f>
        <v>0.8</v>
      </c>
      <c r="O8" s="40">
        <f>'Final Week12'!M13</f>
        <v>0.7142857142857143</v>
      </c>
      <c r="P8" s="41">
        <f>'Final Week12'!P13</f>
        <v>0.8571428571428571</v>
      </c>
      <c r="Q8" s="39">
        <f>'Final Week18'!D13</f>
        <v>0.42857142857142855</v>
      </c>
      <c r="R8" s="40">
        <f>'Final Week18'!G13</f>
        <v>0.47619047619047616</v>
      </c>
      <c r="S8" s="40">
        <f>'Final Week18'!J13</f>
        <v>0.95238095238095233</v>
      </c>
      <c r="T8" s="40">
        <f>'Final Week18'!M13</f>
        <v>0.80952380952380953</v>
      </c>
      <c r="U8" s="40">
        <f>'Final Week18'!P13</f>
        <v>0.8571428571428571</v>
      </c>
      <c r="V8" s="23">
        <f t="shared" si="1"/>
        <v>0.47532467532467532</v>
      </c>
      <c r="W8" s="10">
        <f t="shared" si="0"/>
        <v>0.70086580086580086</v>
      </c>
      <c r="X8" s="10">
        <f t="shared" si="0"/>
        <v>0.83014069264069268</v>
      </c>
      <c r="Y8" s="10">
        <f t="shared" si="0"/>
        <v>0.78720238095238093</v>
      </c>
      <c r="Z8" s="14">
        <f t="shared" si="0"/>
        <v>0.7410714285714286</v>
      </c>
    </row>
    <row r="9" spans="1:26" x14ac:dyDescent="0.25">
      <c r="A9" s="19" t="s">
        <v>11</v>
      </c>
      <c r="B9" s="23">
        <f>'Final Week3'!D14</f>
        <v>0</v>
      </c>
      <c r="C9" s="10">
        <f>'Final Week3'!G14</f>
        <v>1</v>
      </c>
      <c r="D9" s="10">
        <f>'Final Week3'!J14</f>
        <v>1</v>
      </c>
      <c r="E9" s="10">
        <f>'Final Week3'!M14</f>
        <v>0</v>
      </c>
      <c r="F9" s="14">
        <f>'Final Week3'!P14</f>
        <v>1</v>
      </c>
      <c r="G9" s="23">
        <f>'Final Week8'!D14</f>
        <v>0.3</v>
      </c>
      <c r="H9" s="10">
        <f>'Final Week8'!G14</f>
        <v>1</v>
      </c>
      <c r="I9" s="10">
        <f>'Final Week8'!J14</f>
        <v>1</v>
      </c>
      <c r="J9" s="10">
        <f>'Final Week8'!M14</f>
        <v>0.91666666666666663</v>
      </c>
      <c r="K9" s="10">
        <f>'Final Week8'!P14</f>
        <v>0.91666666666666663</v>
      </c>
      <c r="L9" s="23">
        <f>'Final Week12'!D14</f>
        <v>0.14285714285714285</v>
      </c>
      <c r="M9" s="10">
        <f>'Final Week12'!G14</f>
        <v>0.5714285714285714</v>
      </c>
      <c r="N9" s="10">
        <f>'Final Week12'!J14</f>
        <v>1</v>
      </c>
      <c r="O9" s="10">
        <f>'Final Week12'!M14</f>
        <v>1</v>
      </c>
      <c r="P9" s="14">
        <f>'Final Week12'!P14</f>
        <v>1</v>
      </c>
      <c r="Q9" s="23">
        <f>'Final Week18'!D14</f>
        <v>0.45454545454545453</v>
      </c>
      <c r="R9" s="10">
        <f>'Final Week18'!G14</f>
        <v>0.81818181818181823</v>
      </c>
      <c r="S9" s="10">
        <f>'Final Week18'!J14</f>
        <v>1</v>
      </c>
      <c r="T9" s="10">
        <f>'Final Week18'!M14</f>
        <v>1</v>
      </c>
      <c r="U9" s="10">
        <f>'Final Week18'!P14</f>
        <v>0.90909090909090906</v>
      </c>
      <c r="V9" s="23">
        <f t="shared" si="1"/>
        <v>0.22435064935064936</v>
      </c>
      <c r="W9" s="10">
        <f t="shared" si="0"/>
        <v>0.84740259740259738</v>
      </c>
      <c r="X9" s="10">
        <f t="shared" si="0"/>
        <v>1</v>
      </c>
      <c r="Y9" s="10">
        <f t="shared" si="0"/>
        <v>0.72916666666666663</v>
      </c>
      <c r="Z9" s="14">
        <f t="shared" si="0"/>
        <v>0.95643939393939392</v>
      </c>
    </row>
    <row r="10" spans="1:26" x14ac:dyDescent="0.25">
      <c r="A10" s="19" t="s">
        <v>12</v>
      </c>
      <c r="B10" s="23">
        <f>'Final Week3'!D15</f>
        <v>0.33333333333333331</v>
      </c>
      <c r="C10" s="10">
        <f>'Final Week3'!G15</f>
        <v>0.66666666666666663</v>
      </c>
      <c r="D10" s="10">
        <f>'Final Week3'!J15</f>
        <v>1</v>
      </c>
      <c r="E10" s="10">
        <f>'Final Week3'!M15</f>
        <v>0.66666666666666663</v>
      </c>
      <c r="F10" s="14">
        <f>'Final Week3'!P15</f>
        <v>1</v>
      </c>
      <c r="G10" s="23">
        <f>'Final Week8'!D15</f>
        <v>0.1111111111111111</v>
      </c>
      <c r="H10" s="10">
        <f>'Final Week8'!G15</f>
        <v>0.88888888888888884</v>
      </c>
      <c r="I10" s="10">
        <f>'Final Week8'!J15</f>
        <v>1</v>
      </c>
      <c r="J10" s="10">
        <f>'Final Week8'!M15</f>
        <v>1</v>
      </c>
      <c r="K10" s="10">
        <f>'Final Week8'!P15</f>
        <v>1</v>
      </c>
      <c r="L10" s="23">
        <f>'Final Week12'!D15</f>
        <v>0.33333333333333331</v>
      </c>
      <c r="M10" s="10">
        <f>'Final Week12'!G15</f>
        <v>1</v>
      </c>
      <c r="N10" s="10">
        <f>'Final Week12'!J15</f>
        <v>1</v>
      </c>
      <c r="O10" s="10">
        <f>'Final Week12'!M15</f>
        <v>1</v>
      </c>
      <c r="P10" s="14">
        <f>'Final Week12'!P15</f>
        <v>1</v>
      </c>
      <c r="Q10" s="23">
        <f>'Final Week18'!D15</f>
        <v>0.55000000000000004</v>
      </c>
      <c r="R10" s="10">
        <f>'Final Week18'!G15</f>
        <v>0.95</v>
      </c>
      <c r="S10" s="10">
        <f>'Final Week18'!J15</f>
        <v>1</v>
      </c>
      <c r="T10" s="10">
        <f>'Final Week18'!M15</f>
        <v>1</v>
      </c>
      <c r="U10" s="10">
        <f>'Final Week18'!P15</f>
        <v>1</v>
      </c>
      <c r="V10" s="23">
        <f t="shared" si="1"/>
        <v>0.33194444444444443</v>
      </c>
      <c r="W10" s="10">
        <f t="shared" si="0"/>
        <v>0.87638888888888888</v>
      </c>
      <c r="X10" s="10">
        <f t="shared" si="0"/>
        <v>1</v>
      </c>
      <c r="Y10" s="10">
        <f t="shared" si="0"/>
        <v>0.91666666666666663</v>
      </c>
      <c r="Z10" s="14">
        <f t="shared" si="0"/>
        <v>1</v>
      </c>
    </row>
    <row r="11" spans="1:26" x14ac:dyDescent="0.25">
      <c r="A11" s="19" t="s">
        <v>15</v>
      </c>
      <c r="B11" s="23">
        <f>'Final Week3'!D16</f>
        <v>0.16666666666666666</v>
      </c>
      <c r="C11" s="10">
        <f>'Final Week3'!G16</f>
        <v>0</v>
      </c>
      <c r="D11" s="10">
        <f>'Final Week3'!J16</f>
        <v>0</v>
      </c>
      <c r="E11" s="9">
        <f>'Final Week3'!M16</f>
        <v>0.33333333333333331</v>
      </c>
      <c r="F11" s="14">
        <f>'Final Week3'!P16</f>
        <v>0</v>
      </c>
      <c r="G11" s="23">
        <f>'Final Week8'!D16</f>
        <v>0.30769230769230771</v>
      </c>
      <c r="H11" s="10">
        <f>'Final Week8'!G16</f>
        <v>0.38461538461538464</v>
      </c>
      <c r="I11" s="10">
        <f>'Final Week8'!J16</f>
        <v>0.15384615384615385</v>
      </c>
      <c r="J11" s="10">
        <f>'Final Week8'!M16</f>
        <v>0.18181818181818182</v>
      </c>
      <c r="K11" s="9">
        <f>'Final Week8'!P16</f>
        <v>0.45454545454545453</v>
      </c>
      <c r="L11" s="23">
        <f>'Final Week12'!D16</f>
        <v>0.2</v>
      </c>
      <c r="M11" s="9">
        <f>'Final Week12'!G16</f>
        <v>0.4</v>
      </c>
      <c r="N11" s="9">
        <f>'Final Week12'!J16</f>
        <v>0.4</v>
      </c>
      <c r="O11" s="9">
        <f>'Final Week12'!M16</f>
        <v>0.4</v>
      </c>
      <c r="P11" s="9">
        <f>'Final Week12'!P16</f>
        <v>0.4</v>
      </c>
      <c r="Q11" s="23">
        <f>'Final Week18'!D16</f>
        <v>0.125</v>
      </c>
      <c r="R11" s="10">
        <f>'Final Week18'!G16</f>
        <v>0.1875</v>
      </c>
      <c r="S11" s="10">
        <f>'Final Week18'!J16</f>
        <v>0.1875</v>
      </c>
      <c r="T11" s="10">
        <f>'Final Week18'!M16</f>
        <v>0.25</v>
      </c>
      <c r="U11" s="9">
        <f>'Final Week18'!P16</f>
        <v>0.3125</v>
      </c>
      <c r="V11" s="23">
        <f t="shared" si="1"/>
        <v>0.1998397435897436</v>
      </c>
      <c r="W11" s="10">
        <f t="shared" si="0"/>
        <v>0.24302884615384618</v>
      </c>
      <c r="X11" s="10">
        <f t="shared" si="0"/>
        <v>0.18533653846153847</v>
      </c>
      <c r="Y11" s="10">
        <f t="shared" si="0"/>
        <v>0.29128787878787876</v>
      </c>
      <c r="Z11" s="14">
        <f t="shared" si="0"/>
        <v>0.29176136363636362</v>
      </c>
    </row>
    <row r="12" spans="1:26" ht="15.75" thickBot="1" x14ac:dyDescent="0.3">
      <c r="A12" s="19" t="s">
        <v>16</v>
      </c>
      <c r="B12" s="23">
        <f>'Final Week3'!D17</f>
        <v>0.2</v>
      </c>
      <c r="C12" s="10">
        <f>'Final Week3'!G17</f>
        <v>0.2</v>
      </c>
      <c r="D12" s="10">
        <f>'Final Week3'!J17</f>
        <v>0.2</v>
      </c>
      <c r="E12" s="10">
        <f>'Final Week3'!M17</f>
        <v>0.33333333333333331</v>
      </c>
      <c r="F12" s="9">
        <f>'Final Week3'!P17</f>
        <v>0.83333333333333337</v>
      </c>
      <c r="G12" s="23">
        <f>'Final Week8'!D17</f>
        <v>0.2</v>
      </c>
      <c r="H12" s="10">
        <f>'Final Week8'!G17</f>
        <v>0</v>
      </c>
      <c r="I12" s="10">
        <f>'Final Week8'!J17</f>
        <v>0.3</v>
      </c>
      <c r="J12" s="10">
        <f>'Final Week8'!M17</f>
        <v>0.38461538461538464</v>
      </c>
      <c r="K12" s="9">
        <f>'Final Week8'!P17</f>
        <v>0.69230769230769229</v>
      </c>
      <c r="L12" s="23">
        <f>'Final Week12'!D17</f>
        <v>0.25</v>
      </c>
      <c r="M12" s="10">
        <f>'Final Week12'!G17</f>
        <v>0.375</v>
      </c>
      <c r="N12" s="10">
        <f>'Final Week12'!J17</f>
        <v>0.25</v>
      </c>
      <c r="O12" s="9">
        <f>'Final Week12'!M17</f>
        <v>0.75</v>
      </c>
      <c r="P12" s="9">
        <f>'Final Week12'!P17</f>
        <v>0.75</v>
      </c>
      <c r="Q12" s="23">
        <f>'Final Week18'!D17</f>
        <v>0.35</v>
      </c>
      <c r="R12" s="9">
        <f>'Final Week18'!G17</f>
        <v>0.95</v>
      </c>
      <c r="S12" s="9">
        <f>'Final Week18'!J17</f>
        <v>0.95</v>
      </c>
      <c r="T12" s="10">
        <f>'Final Week18'!M17</f>
        <v>0.6</v>
      </c>
      <c r="U12" s="10">
        <f>'Final Week18'!P17</f>
        <v>0.9</v>
      </c>
      <c r="V12" s="23">
        <f t="shared" si="1"/>
        <v>0.25</v>
      </c>
      <c r="W12" s="10">
        <f t="shared" si="0"/>
        <v>0.38124999999999998</v>
      </c>
      <c r="X12" s="10">
        <f t="shared" si="0"/>
        <v>0.42499999999999999</v>
      </c>
      <c r="Y12" s="10">
        <f t="shared" si="0"/>
        <v>0.51698717948717954</v>
      </c>
      <c r="Z12" s="14">
        <f t="shared" si="0"/>
        <v>0.79391025641025637</v>
      </c>
    </row>
    <row r="13" spans="1:26" x14ac:dyDescent="0.25">
      <c r="A13" s="26" t="s">
        <v>194</v>
      </c>
      <c r="B13" s="33">
        <f>'Final Week3'!D19</f>
        <v>16</v>
      </c>
      <c r="C13" s="34">
        <f>'Final Week3'!G19</f>
        <v>20</v>
      </c>
      <c r="D13" s="34">
        <f>'Final Week3'!J19</f>
        <v>20</v>
      </c>
      <c r="E13" s="34">
        <f>'Final Week3'!M19</f>
        <v>17</v>
      </c>
      <c r="F13" s="35">
        <f>'Final Week3'!P19</f>
        <v>19</v>
      </c>
      <c r="G13" s="33">
        <f>'Final Week8'!D19</f>
        <v>48</v>
      </c>
      <c r="H13" s="34">
        <f>'Final Week8'!G19</f>
        <v>50</v>
      </c>
      <c r="I13" s="34">
        <f>'Final Week8'!J19</f>
        <v>53</v>
      </c>
      <c r="J13" s="34">
        <f>'Final Week8'!M19</f>
        <v>52</v>
      </c>
      <c r="K13" s="34">
        <f>'Final Week8'!P19</f>
        <v>54</v>
      </c>
      <c r="L13" s="33">
        <f>'Final Week12'!D19</f>
        <v>21</v>
      </c>
      <c r="M13" s="34">
        <f>'Final Week12'!G19</f>
        <v>22</v>
      </c>
      <c r="N13" s="34">
        <f>'Final Week12'!J19</f>
        <v>28</v>
      </c>
      <c r="O13" s="34">
        <f>'Final Week12'!M19</f>
        <v>24</v>
      </c>
      <c r="P13" s="35">
        <f>'Final Week12'!P19</f>
        <v>28</v>
      </c>
      <c r="Q13" s="33">
        <f>'Final Week18'!D19</f>
        <v>38</v>
      </c>
      <c r="R13" s="34">
        <f>'Final Week18'!G19</f>
        <v>79</v>
      </c>
      <c r="S13" s="34">
        <f>'Final Week18'!J19</f>
        <v>88</v>
      </c>
      <c r="T13" s="34">
        <f>'Final Week18'!M19</f>
        <v>83</v>
      </c>
      <c r="U13" s="34">
        <f>'Final Week18'!P19</f>
        <v>88</v>
      </c>
      <c r="V13" s="33">
        <f>AVERAGE(B13,G13,L13,Q13)</f>
        <v>30.75</v>
      </c>
      <c r="W13" s="34">
        <f t="shared" si="0"/>
        <v>42.75</v>
      </c>
      <c r="X13" s="34">
        <f t="shared" si="0"/>
        <v>47.25</v>
      </c>
      <c r="Y13" s="34">
        <f t="shared" si="0"/>
        <v>44</v>
      </c>
      <c r="Z13" s="35">
        <f t="shared" si="0"/>
        <v>47.25</v>
      </c>
    </row>
    <row r="14" spans="1:26" x14ac:dyDescent="0.25">
      <c r="A14" s="19" t="s">
        <v>195</v>
      </c>
      <c r="B14" s="24">
        <f>'Final Week3'!D20</f>
        <v>4</v>
      </c>
      <c r="C14" s="11">
        <f>'Final Week3'!G20</f>
        <v>0</v>
      </c>
      <c r="D14" s="11">
        <f>'Final Week3'!J20</f>
        <v>0</v>
      </c>
      <c r="E14" s="11">
        <f>'Final Week3'!M20</f>
        <v>3</v>
      </c>
      <c r="F14" s="15">
        <f>'Final Week3'!P20</f>
        <v>1</v>
      </c>
      <c r="G14" s="24">
        <f>'Final Week8'!D20</f>
        <v>5</v>
      </c>
      <c r="H14" s="11">
        <f>'Final Week8'!G20</f>
        <v>3</v>
      </c>
      <c r="I14" s="11">
        <f>'Final Week8'!J20</f>
        <v>0</v>
      </c>
      <c r="J14" s="11">
        <f>'Final Week8'!M20</f>
        <v>1</v>
      </c>
      <c r="K14" s="11">
        <f>'Final Week8'!P20</f>
        <v>0</v>
      </c>
      <c r="L14" s="24">
        <f>'Final Week12'!D20</f>
        <v>7</v>
      </c>
      <c r="M14" s="11">
        <f>'Final Week12'!G20</f>
        <v>6</v>
      </c>
      <c r="N14" s="11">
        <f>'Final Week12'!J20</f>
        <v>0</v>
      </c>
      <c r="O14" s="11">
        <f>'Final Week12'!M20</f>
        <v>4</v>
      </c>
      <c r="P14" s="15">
        <f>'Final Week12'!P20</f>
        <v>0</v>
      </c>
      <c r="Q14" s="24">
        <f>'Final Week18'!D20</f>
        <v>50</v>
      </c>
      <c r="R14" s="11">
        <f>'Final Week18'!G20</f>
        <v>9</v>
      </c>
      <c r="S14" s="11">
        <f>'Final Week18'!J20</f>
        <v>0</v>
      </c>
      <c r="T14" s="11">
        <f>'Final Week18'!M20</f>
        <v>5</v>
      </c>
      <c r="U14" s="11">
        <f>'Final Week18'!P20</f>
        <v>0</v>
      </c>
      <c r="V14" s="24">
        <f t="shared" ref="V14:V16" si="2">AVERAGE(B14,G14,L14,Q14)</f>
        <v>16.5</v>
      </c>
      <c r="W14" s="11">
        <f t="shared" ref="W14:W28" si="3">AVERAGE(C14,H14,M14,R14)</f>
        <v>4.5</v>
      </c>
      <c r="X14" s="11">
        <f t="shared" ref="X14:X28" si="4">AVERAGE(D14,I14,N14,S14)</f>
        <v>0</v>
      </c>
      <c r="Y14" s="11">
        <f t="shared" ref="Y14:Y28" si="5">AVERAGE(E14,J14,O14,T14)</f>
        <v>3.25</v>
      </c>
      <c r="Z14" s="15">
        <f t="shared" ref="Z14:Z28" si="6">AVERAGE(F14,K14,P14,U14)</f>
        <v>0.25</v>
      </c>
    </row>
    <row r="15" spans="1:26" x14ac:dyDescent="0.25">
      <c r="A15" s="19" t="s">
        <v>196</v>
      </c>
      <c r="B15" s="24">
        <f>'Final Week3'!D21</f>
        <v>13</v>
      </c>
      <c r="C15" s="11">
        <f>'Final Week3'!G21</f>
        <v>11</v>
      </c>
      <c r="D15" s="11">
        <f>'Final Week3'!J21</f>
        <v>11</v>
      </c>
      <c r="E15" s="11">
        <f>'Final Week3'!M21</f>
        <v>12</v>
      </c>
      <c r="F15" s="15">
        <f>'Final Week3'!P21</f>
        <v>9</v>
      </c>
      <c r="G15" s="24">
        <f>'Final Week8'!D21</f>
        <v>40</v>
      </c>
      <c r="H15" s="11">
        <f>'Final Week8'!G21</f>
        <v>22</v>
      </c>
      <c r="I15" s="11">
        <f>'Final Week8'!J21</f>
        <v>20</v>
      </c>
      <c r="J15" s="11">
        <f>'Final Week8'!M21</f>
        <v>19</v>
      </c>
      <c r="K15" s="11">
        <f>'Final Week8'!P21</f>
        <v>13</v>
      </c>
      <c r="L15" s="24">
        <f>'Final Week12'!D21</f>
        <v>22</v>
      </c>
      <c r="M15" s="11">
        <f>'Final Week12'!G21</f>
        <v>13</v>
      </c>
      <c r="N15" s="11">
        <f>'Final Week12'!J21</f>
        <v>10</v>
      </c>
      <c r="O15" s="11">
        <f>'Final Week12'!M21</f>
        <v>6</v>
      </c>
      <c r="P15" s="15">
        <f>'Final Week12'!P21</f>
        <v>5</v>
      </c>
      <c r="Q15" s="24">
        <f>'Final Week18'!D21</f>
        <v>54</v>
      </c>
      <c r="R15" s="11">
        <f>'Final Week18'!G21</f>
        <v>28</v>
      </c>
      <c r="S15" s="11">
        <f>'Final Week18'!J21</f>
        <v>15</v>
      </c>
      <c r="T15" s="11">
        <f>'Final Week18'!M21</f>
        <v>24</v>
      </c>
      <c r="U15" s="11">
        <f>'Final Week18'!P21</f>
        <v>17</v>
      </c>
      <c r="V15" s="24">
        <f t="shared" si="2"/>
        <v>32.25</v>
      </c>
      <c r="W15" s="11">
        <f t="shared" si="3"/>
        <v>18.5</v>
      </c>
      <c r="X15" s="11">
        <f t="shared" si="4"/>
        <v>14</v>
      </c>
      <c r="Y15" s="11">
        <f t="shared" si="5"/>
        <v>15.25</v>
      </c>
      <c r="Z15" s="15">
        <f t="shared" si="6"/>
        <v>11</v>
      </c>
    </row>
    <row r="16" spans="1:26" ht="15.75" thickBot="1" x14ac:dyDescent="0.3">
      <c r="A16" s="20" t="s">
        <v>197</v>
      </c>
      <c r="B16" s="36">
        <f>'Final Week3'!D22</f>
        <v>7</v>
      </c>
      <c r="C16" s="37">
        <f>'Final Week3'!G22</f>
        <v>9</v>
      </c>
      <c r="D16" s="37">
        <f>'Final Week3'!J22</f>
        <v>9</v>
      </c>
      <c r="E16" s="37">
        <f>'Final Week3'!M22</f>
        <v>9</v>
      </c>
      <c r="F16" s="38">
        <f>'Final Week3'!P22</f>
        <v>12</v>
      </c>
      <c r="G16" s="36">
        <f>'Final Week8'!D22</f>
        <v>13</v>
      </c>
      <c r="H16" s="37">
        <f>'Final Week8'!G22</f>
        <v>31</v>
      </c>
      <c r="I16" s="37">
        <f>'Final Week8'!J22</f>
        <v>33</v>
      </c>
      <c r="J16" s="37">
        <f>'Final Week8'!M22</f>
        <v>34</v>
      </c>
      <c r="K16" s="37">
        <f>'Final Week8'!P22</f>
        <v>40</v>
      </c>
      <c r="L16" s="36">
        <f>'Final Week12'!D22</f>
        <v>6</v>
      </c>
      <c r="M16" s="37">
        <f>'Final Week12'!G22</f>
        <v>15</v>
      </c>
      <c r="N16" s="37">
        <f>'Final Week12'!J22</f>
        <v>18</v>
      </c>
      <c r="O16" s="37">
        <f>'Final Week12'!M22</f>
        <v>22</v>
      </c>
      <c r="P16" s="38">
        <f>'Final Week12'!P22</f>
        <v>23</v>
      </c>
      <c r="Q16" s="36">
        <f>'Final Week18'!D22</f>
        <v>34</v>
      </c>
      <c r="R16" s="37">
        <f>'Final Week18'!G22</f>
        <v>60</v>
      </c>
      <c r="S16" s="37">
        <f>'Final Week18'!J22</f>
        <v>73</v>
      </c>
      <c r="T16" s="37">
        <f>'Final Week18'!M22</f>
        <v>64</v>
      </c>
      <c r="U16" s="37">
        <f>'Final Week18'!P22</f>
        <v>71</v>
      </c>
      <c r="V16" s="36">
        <f t="shared" si="2"/>
        <v>15</v>
      </c>
      <c r="W16" s="37">
        <f t="shared" si="3"/>
        <v>28.75</v>
      </c>
      <c r="X16" s="37">
        <f t="shared" si="4"/>
        <v>33.25</v>
      </c>
      <c r="Y16" s="37">
        <f t="shared" si="5"/>
        <v>32.25</v>
      </c>
      <c r="Z16" s="38">
        <f t="shared" si="6"/>
        <v>36.5</v>
      </c>
    </row>
    <row r="17" spans="1:26" x14ac:dyDescent="0.25">
      <c r="A17" s="19" t="s">
        <v>79</v>
      </c>
      <c r="B17" s="23">
        <f>'Final Week3'!D24</f>
        <v>0.57499999999999996</v>
      </c>
      <c r="C17" s="10">
        <f>'Final Week3'!G24</f>
        <v>0.72499999999999998</v>
      </c>
      <c r="D17" s="10">
        <f>'Final Week3'!J24</f>
        <v>0.72499999999999998</v>
      </c>
      <c r="E17" s="10">
        <f>'Final Week3'!M24</f>
        <v>0.63414634146341464</v>
      </c>
      <c r="F17" s="14">
        <f>'Final Week3'!P24</f>
        <v>0.75609756097560976</v>
      </c>
      <c r="G17" s="23">
        <f>'Final Week8'!D24</f>
        <v>0.57547169811320753</v>
      </c>
      <c r="H17" s="10">
        <f>'Final Week8'!G24</f>
        <v>0.76415094339622647</v>
      </c>
      <c r="I17" s="10">
        <f>'Final Week8'!J24</f>
        <v>0.81132075471698117</v>
      </c>
      <c r="J17" s="10">
        <f>'Final Week8'!M24</f>
        <v>0.81132075471698117</v>
      </c>
      <c r="K17" s="10">
        <f>'Final Week8'!P24</f>
        <v>0.87850467289719625</v>
      </c>
      <c r="L17" s="23">
        <f>'Final Week12'!D24</f>
        <v>0.48214285714285715</v>
      </c>
      <c r="M17" s="10">
        <f>'Final Week12'!G24</f>
        <v>0.6607142857142857</v>
      </c>
      <c r="N17" s="10">
        <f>'Final Week12'!J24</f>
        <v>0.8214285714285714</v>
      </c>
      <c r="O17" s="10">
        <f>'Final Week12'!M24</f>
        <v>0.8214285714285714</v>
      </c>
      <c r="P17" s="14">
        <f>'Final Week12'!P24</f>
        <v>0.9107142857142857</v>
      </c>
      <c r="Q17" s="23">
        <f>'Final Week18'!D24</f>
        <v>0.40909090909090912</v>
      </c>
      <c r="R17" s="10">
        <f>'Final Week18'!G24</f>
        <v>0.78977272727272729</v>
      </c>
      <c r="S17" s="10">
        <f>'Final Week18'!J24</f>
        <v>0.91477272727272729</v>
      </c>
      <c r="T17" s="10">
        <f>'Final Week18'!M24</f>
        <v>0.83522727272727271</v>
      </c>
      <c r="U17" s="10">
        <f>'Final Week18'!P24</f>
        <v>0.90340909090909094</v>
      </c>
      <c r="V17" s="42">
        <f>AVERAGE(B17,G17,L17,Q17)</f>
        <v>0.51042636608674341</v>
      </c>
      <c r="W17" s="43">
        <f t="shared" si="3"/>
        <v>0.73490948909580989</v>
      </c>
      <c r="X17" s="43">
        <f t="shared" si="4"/>
        <v>0.81813051335456999</v>
      </c>
      <c r="Y17" s="43">
        <f t="shared" si="5"/>
        <v>0.7755307350840599</v>
      </c>
      <c r="Z17" s="44">
        <f t="shared" si="6"/>
        <v>0.86218140262404563</v>
      </c>
    </row>
    <row r="18" spans="1:26" x14ac:dyDescent="0.25">
      <c r="A18" s="19" t="s">
        <v>198</v>
      </c>
      <c r="B18" s="23">
        <f>'Final Week3'!D25</f>
        <v>0.63636363636363635</v>
      </c>
      <c r="C18" s="10">
        <f>'Final Week3'!G25</f>
        <v>1</v>
      </c>
      <c r="D18" s="10">
        <f>'Final Week3'!J25</f>
        <v>1</v>
      </c>
      <c r="E18" s="10">
        <f>'Final Week3'!M25</f>
        <v>0.75</v>
      </c>
      <c r="F18" s="14">
        <f>'Final Week3'!P25</f>
        <v>0.92307692307692313</v>
      </c>
      <c r="G18" s="23">
        <f>'Final Week8'!D25</f>
        <v>0.72222222222222221</v>
      </c>
      <c r="H18" s="10">
        <f>'Final Week8'!G25</f>
        <v>0.91176470588235292</v>
      </c>
      <c r="I18" s="10">
        <f>'Final Week8'!J25</f>
        <v>1</v>
      </c>
      <c r="J18" s="10">
        <f>'Final Week8'!M25</f>
        <v>0.97142857142857142</v>
      </c>
      <c r="K18" s="10">
        <f>'Final Week8'!P25</f>
        <v>1</v>
      </c>
      <c r="L18" s="23">
        <f>'Final Week12'!D25</f>
        <v>0.46153846153846156</v>
      </c>
      <c r="M18" s="10">
        <f>'Final Week12'!G25</f>
        <v>0.7142857142857143</v>
      </c>
      <c r="N18" s="10">
        <f>'Final Week12'!J25</f>
        <v>1</v>
      </c>
      <c r="O18" s="10">
        <f>'Final Week12'!M25</f>
        <v>0.84615384615384615</v>
      </c>
      <c r="P18" s="14">
        <f>'Final Week12'!P25</f>
        <v>1</v>
      </c>
      <c r="Q18" s="23">
        <f>'Final Week18'!D25</f>
        <v>0.40476190476190477</v>
      </c>
      <c r="R18" s="10">
        <f>'Final Week18'!G25</f>
        <v>0.86956521739130432</v>
      </c>
      <c r="S18" s="10">
        <f>'Final Week18'!J25</f>
        <v>1</v>
      </c>
      <c r="T18" s="10">
        <f>'Final Week18'!M25</f>
        <v>0.92753623188405798</v>
      </c>
      <c r="U18" s="10">
        <f>'Final Week18'!P25</f>
        <v>1</v>
      </c>
      <c r="V18" s="23">
        <f t="shared" ref="V18:V28" si="7">AVERAGE(B18,G18,L18,Q18)</f>
        <v>0.55622155622155622</v>
      </c>
      <c r="W18" s="10">
        <f t="shared" si="3"/>
        <v>0.87390390938984286</v>
      </c>
      <c r="X18" s="10">
        <f t="shared" si="4"/>
        <v>1</v>
      </c>
      <c r="Y18" s="10">
        <f t="shared" si="5"/>
        <v>0.87377966236661897</v>
      </c>
      <c r="Z18" s="14">
        <f t="shared" si="6"/>
        <v>0.98076923076923084</v>
      </c>
    </row>
    <row r="19" spans="1:26" x14ac:dyDescent="0.25">
      <c r="A19" s="19" t="s">
        <v>206</v>
      </c>
      <c r="B19" s="23">
        <f>'Final Week3'!D26</f>
        <v>0.35</v>
      </c>
      <c r="C19" s="10">
        <f>'Final Week3'!G26</f>
        <v>0.45</v>
      </c>
      <c r="D19" s="10">
        <f>'Final Week3'!J26</f>
        <v>0.45</v>
      </c>
      <c r="E19" s="10">
        <f>'Final Week3'!M26</f>
        <v>0.42857142857142855</v>
      </c>
      <c r="F19" s="14">
        <f>'Final Week3'!P26</f>
        <v>0.5714285714285714</v>
      </c>
      <c r="G19" s="23">
        <f>'Final Week8'!D26</f>
        <v>0.24528301886792453</v>
      </c>
      <c r="H19" s="10">
        <f>'Final Week8'!G26</f>
        <v>0.58490566037735847</v>
      </c>
      <c r="I19" s="10">
        <f>'Final Week8'!J26</f>
        <v>0.62264150943396224</v>
      </c>
      <c r="J19" s="10">
        <f>'Final Week8'!M26</f>
        <v>0.64150943396226412</v>
      </c>
      <c r="K19" s="10">
        <f>'Final Week8'!P26</f>
        <v>0.75471698113207553</v>
      </c>
      <c r="L19" s="23">
        <f>'Final Week12'!D26</f>
        <v>0.21428571428571427</v>
      </c>
      <c r="M19" s="10">
        <f>'Final Week12'!G26</f>
        <v>0.5357142857142857</v>
      </c>
      <c r="N19" s="10">
        <f>'Final Week12'!J26</f>
        <v>0.6428571428571429</v>
      </c>
      <c r="O19" s="10">
        <f>'Final Week12'!M26</f>
        <v>0.7857142857142857</v>
      </c>
      <c r="P19" s="14">
        <f>'Final Week12'!P26</f>
        <v>0.8214285714285714</v>
      </c>
      <c r="Q19" s="23">
        <f>'Final Week18'!D26</f>
        <v>0.38636363636363635</v>
      </c>
      <c r="R19" s="10">
        <f>'Final Week18'!G26</f>
        <v>0.68181818181818177</v>
      </c>
      <c r="S19" s="10">
        <f>'Final Week18'!J26</f>
        <v>0.82954545454545459</v>
      </c>
      <c r="T19" s="10">
        <f>'Final Week18'!M26</f>
        <v>0.72727272727272729</v>
      </c>
      <c r="U19" s="10">
        <f>'Final Week18'!P26</f>
        <v>0.80681818181818177</v>
      </c>
      <c r="V19" s="23">
        <f t="shared" si="7"/>
        <v>0.2989830923793188</v>
      </c>
      <c r="W19" s="10">
        <f t="shared" si="3"/>
        <v>0.5631095319774565</v>
      </c>
      <c r="X19" s="10">
        <f t="shared" si="4"/>
        <v>0.63626102670913998</v>
      </c>
      <c r="Y19" s="10">
        <f t="shared" si="5"/>
        <v>0.64576696888017637</v>
      </c>
      <c r="Z19" s="14">
        <f t="shared" si="6"/>
        <v>0.73859807645185005</v>
      </c>
    </row>
    <row r="20" spans="1:26" x14ac:dyDescent="0.25">
      <c r="A20" s="19" t="s">
        <v>200</v>
      </c>
      <c r="B20" s="23">
        <f>'Final Week3'!D27</f>
        <v>0.8</v>
      </c>
      <c r="C20" s="10">
        <f>'Final Week3'!G27</f>
        <v>1</v>
      </c>
      <c r="D20" s="10">
        <f>'Final Week3'!J27</f>
        <v>1</v>
      </c>
      <c r="E20" s="10">
        <f>'Final Week3'!M27</f>
        <v>0.85</v>
      </c>
      <c r="F20" s="14">
        <f>'Final Week3'!P27</f>
        <v>0.95</v>
      </c>
      <c r="G20" s="23">
        <f>'Final Week8'!D27</f>
        <v>0.90566037735849059</v>
      </c>
      <c r="H20" s="10">
        <f>'Final Week8'!G27</f>
        <v>0.94339622641509435</v>
      </c>
      <c r="I20" s="10">
        <f>'Final Week8'!J27</f>
        <v>1</v>
      </c>
      <c r="J20" s="10">
        <f>'Final Week8'!M27</f>
        <v>0.98113207547169812</v>
      </c>
      <c r="K20" s="10">
        <f>'Final Week8'!P27</f>
        <v>1</v>
      </c>
      <c r="L20" s="23">
        <f>'Final Week12'!D27</f>
        <v>0.75</v>
      </c>
      <c r="M20" s="10">
        <f>'Final Week12'!G27</f>
        <v>0.7857142857142857</v>
      </c>
      <c r="N20" s="10">
        <f>'Final Week12'!J27</f>
        <v>1</v>
      </c>
      <c r="O20" s="10">
        <f>'Final Week12'!M27</f>
        <v>0.8571428571428571</v>
      </c>
      <c r="P20" s="14">
        <f>'Final Week12'!P27</f>
        <v>1</v>
      </c>
      <c r="Q20" s="23">
        <f>'Final Week18'!D27</f>
        <v>0.43181818181818182</v>
      </c>
      <c r="R20" s="10">
        <f>'Final Week18'!G27</f>
        <v>0.89772727272727271</v>
      </c>
      <c r="S20" s="10">
        <f>'Final Week18'!J27</f>
        <v>1</v>
      </c>
      <c r="T20" s="10">
        <f>'Final Week18'!M27</f>
        <v>0.94318181818181823</v>
      </c>
      <c r="U20" s="10">
        <f>'Final Week18'!P27</f>
        <v>1</v>
      </c>
      <c r="V20" s="23">
        <f t="shared" si="7"/>
        <v>0.72186963979416807</v>
      </c>
      <c r="W20" s="10">
        <f t="shared" si="3"/>
        <v>0.90670944621416316</v>
      </c>
      <c r="X20" s="10">
        <f t="shared" si="4"/>
        <v>1</v>
      </c>
      <c r="Y20" s="10">
        <f t="shared" si="5"/>
        <v>0.90786418769909338</v>
      </c>
      <c r="Z20" s="14">
        <f t="shared" si="6"/>
        <v>0.98750000000000004</v>
      </c>
    </row>
    <row r="21" spans="1:26" x14ac:dyDescent="0.25">
      <c r="A21" s="19" t="s">
        <v>199</v>
      </c>
      <c r="B21" s="23">
        <f>'Final Week3'!D28</f>
        <v>0.45161290322580644</v>
      </c>
      <c r="C21" s="10">
        <f>'Final Week3'!G28</f>
        <v>0.62068965517241381</v>
      </c>
      <c r="D21" s="10">
        <f>'Final Week3'!J28</f>
        <v>0.62068965517241381</v>
      </c>
      <c r="E21" s="10">
        <f>'Final Week3'!M28</f>
        <v>0.54545454545454541</v>
      </c>
      <c r="F21" s="14">
        <f>'Final Week3'!P28</f>
        <v>0.70588235294117652</v>
      </c>
      <c r="G21" s="23">
        <f>'Final Week8'!D28</f>
        <v>0.36619718309859156</v>
      </c>
      <c r="H21" s="10">
        <f>'Final Week8'!G28</f>
        <v>0.71264367816091945</v>
      </c>
      <c r="I21" s="10">
        <f>'Final Week8'!J28</f>
        <v>0.7674418604651162</v>
      </c>
      <c r="J21" s="10">
        <f>'Final Week8'!M28</f>
        <v>0.77272727272727271</v>
      </c>
      <c r="K21" s="10">
        <f>'Final Week8'!P28</f>
        <v>0.86021505376344087</v>
      </c>
      <c r="L21" s="23">
        <f>'Final Week12'!D28</f>
        <v>0.29268292682926828</v>
      </c>
      <c r="M21" s="10">
        <f>'Final Week12'!G28</f>
        <v>0.61224489795918369</v>
      </c>
      <c r="N21" s="10">
        <f>'Final Week12'!J28</f>
        <v>0.78260869565217395</v>
      </c>
      <c r="O21" s="10">
        <f>'Final Week12'!M28</f>
        <v>0.81481481481481477</v>
      </c>
      <c r="P21" s="14">
        <f>'Final Week12'!P28</f>
        <v>0.90196078431372551</v>
      </c>
      <c r="Q21" s="23">
        <f>'Final Week18'!D28</f>
        <v>0.39534883720930231</v>
      </c>
      <c r="R21" s="10">
        <f>'Final Week18'!G28</f>
        <v>0.76433121019108274</v>
      </c>
      <c r="S21" s="10">
        <f>'Final Week18'!J28</f>
        <v>0.90683229813664601</v>
      </c>
      <c r="T21" s="10">
        <f>'Final Week18'!M28</f>
        <v>0.8152866242038217</v>
      </c>
      <c r="U21" s="10">
        <f>'Final Week18'!P28</f>
        <v>0.89308176100628933</v>
      </c>
      <c r="V21" s="23">
        <f t="shared" si="7"/>
        <v>0.37646046259074217</v>
      </c>
      <c r="W21" s="10">
        <f t="shared" si="3"/>
        <v>0.67747736037089989</v>
      </c>
      <c r="X21" s="10">
        <f t="shared" si="4"/>
        <v>0.76939312735658749</v>
      </c>
      <c r="Y21" s="10">
        <f t="shared" si="5"/>
        <v>0.73707081430011367</v>
      </c>
      <c r="Z21" s="14">
        <f t="shared" si="6"/>
        <v>0.84028498800615803</v>
      </c>
    </row>
    <row r="22" spans="1:26" x14ac:dyDescent="0.25">
      <c r="A22" s="19" t="s">
        <v>201</v>
      </c>
      <c r="B22" s="23">
        <f>'Final Week3'!D29</f>
        <v>0.2</v>
      </c>
      <c r="C22" s="10">
        <f>'Final Week3'!G29</f>
        <v>0</v>
      </c>
      <c r="D22" s="10">
        <f>'Final Week3'!J29</f>
        <v>0</v>
      </c>
      <c r="E22" s="10">
        <f>'Final Week3'!M29</f>
        <v>0.15</v>
      </c>
      <c r="F22" s="14">
        <f>'Final Week3'!P29</f>
        <v>0.05</v>
      </c>
      <c r="G22" s="23">
        <f>'Final Week8'!D29</f>
        <v>9.4339622641509441E-2</v>
      </c>
      <c r="H22" s="10">
        <f>'Final Week8'!G29</f>
        <v>5.6603773584905662E-2</v>
      </c>
      <c r="I22" s="10">
        <f>'Final Week8'!J29</f>
        <v>0</v>
      </c>
      <c r="J22" s="10">
        <f>'Final Week8'!M29</f>
        <v>1.8867924528301886E-2</v>
      </c>
      <c r="K22" s="10">
        <f>'Final Week8'!P29</f>
        <v>0</v>
      </c>
      <c r="L22" s="23">
        <f>'Final Week12'!D29</f>
        <v>0.25</v>
      </c>
      <c r="M22" s="10">
        <f>'Final Week12'!G29</f>
        <v>0.21428571428571427</v>
      </c>
      <c r="N22" s="10">
        <f>'Final Week12'!J29</f>
        <v>0</v>
      </c>
      <c r="O22" s="10">
        <f>'Final Week12'!M29</f>
        <v>0.14285714285714285</v>
      </c>
      <c r="P22" s="14">
        <f>'Final Week12'!P29</f>
        <v>0</v>
      </c>
      <c r="Q22" s="23">
        <f>'Final Week18'!D29</f>
        <v>0.56818181818181823</v>
      </c>
      <c r="R22" s="10">
        <f>'Final Week18'!G29</f>
        <v>0.10227272727272728</v>
      </c>
      <c r="S22" s="10">
        <f>'Final Week18'!J29</f>
        <v>0</v>
      </c>
      <c r="T22" s="10">
        <f>'Final Week18'!M29</f>
        <v>5.6818181818181816E-2</v>
      </c>
      <c r="U22" s="10">
        <f>'Final Week18'!P29</f>
        <v>0</v>
      </c>
      <c r="V22" s="23">
        <f t="shared" si="7"/>
        <v>0.27813036020583193</v>
      </c>
      <c r="W22" s="10">
        <f t="shared" si="3"/>
        <v>9.3290553785836811E-2</v>
      </c>
      <c r="X22" s="10">
        <f t="shared" si="4"/>
        <v>0</v>
      </c>
      <c r="Y22" s="10">
        <f t="shared" si="5"/>
        <v>9.213581230090663E-2</v>
      </c>
      <c r="Z22" s="14">
        <f t="shared" si="6"/>
        <v>1.2500000000000001E-2</v>
      </c>
    </row>
    <row r="23" spans="1:26" x14ac:dyDescent="0.25">
      <c r="A23" s="19" t="s">
        <v>202</v>
      </c>
      <c r="B23" s="23">
        <f>'Final Week3'!D30</f>
        <v>0.65</v>
      </c>
      <c r="C23" s="10">
        <f>'Final Week3'!G30</f>
        <v>0.55000000000000004</v>
      </c>
      <c r="D23" s="10">
        <f>'Final Week3'!J30</f>
        <v>0.55000000000000004</v>
      </c>
      <c r="E23" s="10">
        <f>'Final Week3'!M30</f>
        <v>0.5714285714285714</v>
      </c>
      <c r="F23" s="14">
        <f>'Final Week3'!P30</f>
        <v>0.42857142857142855</v>
      </c>
      <c r="G23" s="23">
        <f>'Final Week8'!D30</f>
        <v>0.75471698113207553</v>
      </c>
      <c r="H23" s="10">
        <f>'Final Week8'!G30</f>
        <v>0.41509433962264153</v>
      </c>
      <c r="I23" s="10">
        <f>'Final Week8'!J30</f>
        <v>0.37735849056603776</v>
      </c>
      <c r="J23" s="10">
        <f>'Final Week8'!M30</f>
        <v>0.35849056603773582</v>
      </c>
      <c r="K23" s="10">
        <f>'Final Week8'!P30</f>
        <v>0.24528301886792453</v>
      </c>
      <c r="L23" s="23">
        <f>'Final Week12'!D30</f>
        <v>0.7857142857142857</v>
      </c>
      <c r="M23" s="10">
        <f>'Final Week12'!G30</f>
        <v>0.4642857142857143</v>
      </c>
      <c r="N23" s="10">
        <f>'Final Week12'!J30</f>
        <v>0.35714285714285715</v>
      </c>
      <c r="O23" s="10">
        <f>'Final Week12'!M30</f>
        <v>0.21428571428571427</v>
      </c>
      <c r="P23" s="14">
        <f>'Final Week12'!P30</f>
        <v>0.17857142857142858</v>
      </c>
      <c r="Q23" s="23">
        <f>'Final Week18'!D30</f>
        <v>0.61363636363636365</v>
      </c>
      <c r="R23" s="10">
        <f>'Final Week18'!G30</f>
        <v>0.31818181818181818</v>
      </c>
      <c r="S23" s="10">
        <f>'Final Week18'!J30</f>
        <v>0.17045454545454544</v>
      </c>
      <c r="T23" s="10">
        <f>'Final Week18'!M30</f>
        <v>0.27272727272727271</v>
      </c>
      <c r="U23" s="10">
        <f>'Final Week18'!P30</f>
        <v>0.19318181818181818</v>
      </c>
      <c r="V23" s="23">
        <f t="shared" si="7"/>
        <v>0.70101690762068125</v>
      </c>
      <c r="W23" s="10">
        <f t="shared" si="3"/>
        <v>0.4368904680225435</v>
      </c>
      <c r="X23" s="10">
        <f t="shared" si="4"/>
        <v>0.36373897329086008</v>
      </c>
      <c r="Y23" s="10">
        <f t="shared" si="5"/>
        <v>0.35423303111982352</v>
      </c>
      <c r="Z23" s="14">
        <f t="shared" si="6"/>
        <v>0.26140192354814995</v>
      </c>
    </row>
    <row r="24" spans="1:26" x14ac:dyDescent="0.25">
      <c r="A24" s="19" t="s">
        <v>203</v>
      </c>
      <c r="B24" s="23">
        <f>'Final Week3'!D31</f>
        <v>0.57499999999999996</v>
      </c>
      <c r="C24" s="10">
        <f>'Final Week3'!G31</f>
        <v>0.72499999999999998</v>
      </c>
      <c r="D24" s="10">
        <f>'Final Week3'!J31</f>
        <v>0.72499999999999998</v>
      </c>
      <c r="E24" s="10">
        <f>'Final Week3'!M31</f>
        <v>0.63928571428571423</v>
      </c>
      <c r="F24" s="14">
        <f>'Final Week3'!P31</f>
        <v>0.76071428571428568</v>
      </c>
      <c r="G24" s="23">
        <f>'Final Week8'!D31</f>
        <v>0.57547169811320753</v>
      </c>
      <c r="H24" s="10">
        <f>'Final Week8'!G31</f>
        <v>0.76415094339622636</v>
      </c>
      <c r="I24" s="10">
        <f>'Final Week8'!J31</f>
        <v>0.81132075471698117</v>
      </c>
      <c r="J24" s="10">
        <f>'Final Week8'!M31</f>
        <v>0.81132075471698117</v>
      </c>
      <c r="K24" s="10">
        <f>'Final Week8'!P31</f>
        <v>0.87735849056603776</v>
      </c>
      <c r="L24" s="23">
        <f>'Final Week12'!D31</f>
        <v>0.48214285714285715</v>
      </c>
      <c r="M24" s="10">
        <f>'Final Week12'!G31</f>
        <v>0.6607142857142857</v>
      </c>
      <c r="N24" s="10">
        <f>'Final Week12'!J31</f>
        <v>0.8214285714285714</v>
      </c>
      <c r="O24" s="10">
        <f>'Final Week12'!M31</f>
        <v>0.8214285714285714</v>
      </c>
      <c r="P24" s="14">
        <f>'Final Week12'!P31</f>
        <v>0.9107142857142857</v>
      </c>
      <c r="Q24" s="23">
        <f>'Final Week18'!D31</f>
        <v>0.40909090909090906</v>
      </c>
      <c r="R24" s="10">
        <f>'Final Week18'!G31</f>
        <v>0.78977272727272729</v>
      </c>
      <c r="S24" s="10">
        <f>'Final Week18'!J31</f>
        <v>0.91477272727272729</v>
      </c>
      <c r="T24" s="10">
        <f>'Final Week18'!M31</f>
        <v>0.83522727272727271</v>
      </c>
      <c r="U24" s="10">
        <f>'Final Week18'!P31</f>
        <v>0.90340909090909083</v>
      </c>
      <c r="V24" s="23">
        <f t="shared" si="7"/>
        <v>0.51042636608674341</v>
      </c>
      <c r="W24" s="10">
        <f t="shared" si="3"/>
        <v>0.73490948909580989</v>
      </c>
      <c r="X24" s="10">
        <f t="shared" si="4"/>
        <v>0.81813051335456999</v>
      </c>
      <c r="Y24" s="10">
        <f t="shared" si="5"/>
        <v>0.77681557828963488</v>
      </c>
      <c r="Z24" s="14">
        <f t="shared" si="6"/>
        <v>0.86304903822592494</v>
      </c>
    </row>
    <row r="25" spans="1:26" x14ac:dyDescent="0.25">
      <c r="A25" s="19" t="s">
        <v>204</v>
      </c>
      <c r="B25" s="23">
        <f>'Final Week3'!D32</f>
        <v>0.14999999999999991</v>
      </c>
      <c r="C25" s="10">
        <f>'Final Week3'!G32</f>
        <v>0.44999999999999996</v>
      </c>
      <c r="D25" s="10">
        <f>'Final Week3'!J32</f>
        <v>0.44999999999999996</v>
      </c>
      <c r="E25" s="10">
        <f>'Final Week3'!M32</f>
        <v>0.27857142857142847</v>
      </c>
      <c r="F25" s="14">
        <f>'Final Week3'!P32</f>
        <v>0.52142857142857135</v>
      </c>
      <c r="G25" s="23">
        <f>'Final Week8'!D32</f>
        <v>0.15094339622641506</v>
      </c>
      <c r="H25" s="10">
        <f>'Final Week8'!G32</f>
        <v>0.52830188679245271</v>
      </c>
      <c r="I25" s="10">
        <f>'Final Week8'!J32</f>
        <v>0.62264150943396235</v>
      </c>
      <c r="J25" s="10">
        <f>'Final Week8'!M32</f>
        <v>0.62264150943396235</v>
      </c>
      <c r="K25" s="10">
        <f>'Final Week8'!P32</f>
        <v>0.75471698113207553</v>
      </c>
      <c r="L25" s="23">
        <f>'Final Week12'!D32</f>
        <v>-3.5714285714285698E-2</v>
      </c>
      <c r="M25" s="10">
        <f>'Final Week12'!G32</f>
        <v>0.3214285714285714</v>
      </c>
      <c r="N25" s="10">
        <f>'Final Week12'!J32</f>
        <v>0.64285714285714279</v>
      </c>
      <c r="O25" s="10">
        <f>'Final Week12'!M32</f>
        <v>0.64285714285714279</v>
      </c>
      <c r="P25" s="14">
        <f>'Final Week12'!P32</f>
        <v>0.8214285714285714</v>
      </c>
      <c r="Q25" s="23">
        <f>'Final Week18'!D32</f>
        <v>-0.18181818181818188</v>
      </c>
      <c r="R25" s="10">
        <f>'Final Week18'!G32</f>
        <v>0.57954545454545459</v>
      </c>
      <c r="S25" s="10">
        <f>'Final Week18'!J32</f>
        <v>0.82954545454545459</v>
      </c>
      <c r="T25" s="10">
        <f>'Final Week18'!M32</f>
        <v>0.67045454545454541</v>
      </c>
      <c r="U25" s="10">
        <f>'Final Week18'!P32</f>
        <v>0.80681818181818166</v>
      </c>
      <c r="V25" s="23">
        <f t="shared" si="7"/>
        <v>2.0852732173486849E-2</v>
      </c>
      <c r="W25" s="10">
        <f t="shared" si="3"/>
        <v>0.46981897819161966</v>
      </c>
      <c r="X25" s="10">
        <f t="shared" si="4"/>
        <v>0.63626102670913998</v>
      </c>
      <c r="Y25" s="10">
        <f t="shared" si="5"/>
        <v>0.55363115657926976</v>
      </c>
      <c r="Z25" s="14">
        <f t="shared" si="6"/>
        <v>0.72609807645184998</v>
      </c>
    </row>
    <row r="26" spans="1:26" ht="15.75" thickBot="1" x14ac:dyDescent="0.3">
      <c r="A26" s="19" t="s">
        <v>205</v>
      </c>
      <c r="B26" s="23">
        <f>'Final Week3'!D33</f>
        <v>0.55172413793103448</v>
      </c>
      <c r="C26" s="10">
        <f>'Final Week3'!G33</f>
        <v>0.64516129032258063</v>
      </c>
      <c r="D26" s="10">
        <f>'Final Week3'!J33</f>
        <v>0.64516129032258063</v>
      </c>
      <c r="E26" s="10">
        <f>'Final Week3'!M33</f>
        <v>0.58620689655172409</v>
      </c>
      <c r="F26" s="14">
        <f>'Final Week3'!P33</f>
        <v>0.6785714285714286</v>
      </c>
      <c r="G26" s="23">
        <f>'Final Week8'!D33</f>
        <v>0.54545454545454541</v>
      </c>
      <c r="H26" s="10">
        <f>'Final Week8'!G33</f>
        <v>0.69444444444444442</v>
      </c>
      <c r="I26" s="10">
        <f>'Final Week8'!J33</f>
        <v>0.72602739726027399</v>
      </c>
      <c r="J26" s="10">
        <f>'Final Week8'!M33</f>
        <v>0.73239436619718312</v>
      </c>
      <c r="K26" s="10">
        <f>'Final Week8'!P33</f>
        <v>0.80597014925373134</v>
      </c>
      <c r="L26" s="23">
        <f>'Final Week12'!D33</f>
        <v>0.48837209302325579</v>
      </c>
      <c r="M26" s="10">
        <f>'Final Week12'!G33</f>
        <v>0.62857142857142856</v>
      </c>
      <c r="N26" s="10">
        <f>'Final Week12'!J33</f>
        <v>0.73684210526315785</v>
      </c>
      <c r="O26" s="10">
        <f>'Final Week12'!M33</f>
        <v>0.8</v>
      </c>
      <c r="P26" s="14">
        <f>'Final Week12'!P33</f>
        <v>0.84848484848484851</v>
      </c>
      <c r="Q26" s="23">
        <f>'Final Week18'!D33</f>
        <v>0.41304347826086957</v>
      </c>
      <c r="R26" s="10">
        <f>'Final Week18'!G33</f>
        <v>0.73831775700934577</v>
      </c>
      <c r="S26" s="10">
        <f>'Final Week18'!J33</f>
        <v>0.85436893203883491</v>
      </c>
      <c r="T26" s="10">
        <f>'Final Week18'!M33</f>
        <v>0.77570093457943923</v>
      </c>
      <c r="U26" s="10">
        <f>'Final Week18'!P33</f>
        <v>0.83809523809523812</v>
      </c>
      <c r="V26" s="25">
        <f t="shared" si="7"/>
        <v>0.49964856366742633</v>
      </c>
      <c r="W26" s="16">
        <f t="shared" si="3"/>
        <v>0.67662373008694987</v>
      </c>
      <c r="X26" s="16">
        <f t="shared" si="4"/>
        <v>0.74059993122121193</v>
      </c>
      <c r="Y26" s="16">
        <f t="shared" si="5"/>
        <v>0.72357554933208657</v>
      </c>
      <c r="Z26" s="17">
        <f t="shared" si="6"/>
        <v>0.79278041610131167</v>
      </c>
    </row>
    <row r="27" spans="1:26" x14ac:dyDescent="0.25">
      <c r="A27" s="26" t="s">
        <v>208</v>
      </c>
      <c r="B27" s="42">
        <f>'Final Week3'!D34</f>
        <v>0.81000006198883001</v>
      </c>
      <c r="C27" s="43">
        <f>'Final Week3'!G34</f>
        <v>0.68500000238418501</v>
      </c>
      <c r="D27" s="43">
        <f>'Final Week3'!J34</f>
        <v>0.792500019073486</v>
      </c>
      <c r="E27" s="43">
        <f>'Final Week3'!M34</f>
        <v>0.76749998331069902</v>
      </c>
      <c r="F27" s="44">
        <f>'Final Week3'!P34</f>
        <v>0.75750005245208696</v>
      </c>
      <c r="G27" s="42">
        <f>'Final Week8'!D34</f>
        <v>0.75987899303436202</v>
      </c>
      <c r="H27" s="43">
        <f>'Final Week8'!G34</f>
        <v>0.76682096719741799</v>
      </c>
      <c r="I27" s="43">
        <f>'Final Week8'!J34</f>
        <v>0.84122467041015603</v>
      </c>
      <c r="J27" s="43">
        <f>'Final Week8'!M34</f>
        <v>0.85617661476135198</v>
      </c>
      <c r="K27" s="43">
        <f>'Final Week8'!P34</f>
        <v>0.806870818138122</v>
      </c>
      <c r="L27" s="42">
        <f>'Final Week12'!D34</f>
        <v>7.1428567171096802E-2</v>
      </c>
      <c r="M27" s="43">
        <f>'Final Week12'!G34</f>
        <v>0.78826534748077304</v>
      </c>
      <c r="N27" s="43">
        <f>'Final Week12'!J34</f>
        <v>0.75765311717987005</v>
      </c>
      <c r="O27" s="43">
        <f>'Final Week12'!M34</f>
        <v>0.73086738586425704</v>
      </c>
      <c r="P27" s="44">
        <f>'Final Week12'!P34</f>
        <v>0.76594388484954801</v>
      </c>
      <c r="Q27" s="42">
        <f>'Final Week18'!D34</f>
        <v>0.17884813249111101</v>
      </c>
      <c r="R27" s="43">
        <f>'Final Week18'!G34</f>
        <v>0.91425621509552002</v>
      </c>
      <c r="S27" s="43">
        <f>'Final Week18'!J34</f>
        <v>0.91864669322967496</v>
      </c>
      <c r="T27" s="43">
        <f>'Final Week18'!M34</f>
        <v>0.887784123420715</v>
      </c>
      <c r="U27" s="43">
        <f>'Final Week18'!P34</f>
        <v>0.97481918334960904</v>
      </c>
      <c r="V27" s="23">
        <f t="shared" si="7"/>
        <v>0.45503893867134998</v>
      </c>
      <c r="W27" s="10">
        <f t="shared" si="3"/>
        <v>0.78858563303947404</v>
      </c>
      <c r="X27" s="10">
        <f t="shared" si="4"/>
        <v>0.82750612497329679</v>
      </c>
      <c r="Y27" s="10">
        <f t="shared" si="5"/>
        <v>0.81058202683925573</v>
      </c>
      <c r="Z27" s="14">
        <f t="shared" si="6"/>
        <v>0.82628348469734147</v>
      </c>
    </row>
    <row r="28" spans="1:26" ht="15.75" thickBot="1" x14ac:dyDescent="0.3">
      <c r="A28" s="20" t="s">
        <v>207</v>
      </c>
      <c r="B28" s="25">
        <f>'Final Week3'!D35</f>
        <v>0.82686930894851596</v>
      </c>
      <c r="C28" s="16">
        <f>'Final Week3'!G35</f>
        <v>0.72278165817260698</v>
      </c>
      <c r="D28" s="16">
        <f>'Final Week3'!J35</f>
        <v>0.83093768358230502</v>
      </c>
      <c r="E28" s="16">
        <f>'Final Week3'!M35</f>
        <v>0.76448243856429998</v>
      </c>
      <c r="F28" s="17">
        <f>'Final Week3'!P35</f>
        <v>0.81791085004806496</v>
      </c>
      <c r="G28" s="25">
        <f>'Final Week8'!D35</f>
        <v>0.84753638505935602</v>
      </c>
      <c r="H28" s="16">
        <f>'Final Week8'!G35</f>
        <v>0.759912729263305</v>
      </c>
      <c r="I28" s="16">
        <f>'Final Week8'!J35</f>
        <v>0.89035487174987704</v>
      </c>
      <c r="J28" s="16">
        <f>'Final Week8'!M35</f>
        <v>0.88827097415923995</v>
      </c>
      <c r="K28" s="16">
        <f>'Final Week8'!P35</f>
        <v>0.77168798446655196</v>
      </c>
      <c r="L28" s="25">
        <f>'Final Week12'!D35</f>
        <v>0.75</v>
      </c>
      <c r="M28" s="16">
        <f>'Final Week12'!G35</f>
        <v>0.78491550683975198</v>
      </c>
      <c r="N28" s="16">
        <f>'Final Week12'!J35</f>
        <v>0.70907676219940097</v>
      </c>
      <c r="O28" s="16">
        <f>'Final Week12'!M35</f>
        <v>0.71601206064224199</v>
      </c>
      <c r="P28" s="17">
        <f>'Final Week12'!P35</f>
        <v>0.66633170843124301</v>
      </c>
      <c r="Q28" s="25">
        <f>'Final Week18'!D35</f>
        <v>0.34596651792526201</v>
      </c>
      <c r="R28" s="16">
        <f>'Final Week18'!G35</f>
        <v>0.93030297756195002</v>
      </c>
      <c r="S28" s="16">
        <f>'Final Week18'!J35</f>
        <v>0.94107651710510198</v>
      </c>
      <c r="T28" s="16">
        <f>'Final Week18'!M35</f>
        <v>0.90458601713180498</v>
      </c>
      <c r="U28" s="16">
        <f>'Final Week18'!P35</f>
        <v>0.97953259944915705</v>
      </c>
      <c r="V28" s="25">
        <f t="shared" si="7"/>
        <v>0.69259305298328344</v>
      </c>
      <c r="W28" s="16">
        <f t="shared" si="3"/>
        <v>0.79947821795940355</v>
      </c>
      <c r="X28" s="16">
        <f t="shared" si="4"/>
        <v>0.84286145865917128</v>
      </c>
      <c r="Y28" s="16">
        <f t="shared" si="5"/>
        <v>0.81833787262439672</v>
      </c>
      <c r="Z28" s="17">
        <f t="shared" si="6"/>
        <v>0.80886578559875422</v>
      </c>
    </row>
  </sheetData>
  <mergeCells count="5">
    <mergeCell ref="V1:Z1"/>
    <mergeCell ref="B1:F1"/>
    <mergeCell ref="G1:K1"/>
    <mergeCell ref="L1:P1"/>
    <mergeCell ref="Q1:U1"/>
  </mergeCells>
  <phoneticPr fontId="1" type="noConversion"/>
  <conditionalFormatting sqref="A1:A2">
    <cfRule type="colorScale" priority="54">
      <colorScale>
        <cfvo type="min"/>
        <cfvo type="percentile" val="50"/>
        <cfvo type="max"/>
        <color rgb="FFF8696B"/>
        <color rgb="FFFFEB84"/>
        <color rgb="FF63BE7B"/>
      </colorScale>
    </cfRule>
  </conditionalFormatting>
  <conditionalFormatting sqref="A1:A2">
    <cfRule type="colorScale" priority="53">
      <colorScale>
        <cfvo type="min"/>
        <cfvo type="percentile" val="50"/>
        <cfvo type="max"/>
        <color rgb="FFF8696B"/>
        <color rgb="FFFFEB84"/>
        <color rgb="FF63BE7B"/>
      </colorScale>
    </cfRule>
  </conditionalFormatting>
  <conditionalFormatting sqref="A1">
    <cfRule type="colorScale" priority="52">
      <colorScale>
        <cfvo type="min"/>
        <cfvo type="percentile" val="50"/>
        <cfvo type="max"/>
        <color rgb="FFF8696B"/>
        <color rgb="FFFFEB84"/>
        <color rgb="FF63BE7B"/>
      </colorScale>
    </cfRule>
  </conditionalFormatting>
  <conditionalFormatting sqref="A2">
    <cfRule type="colorScale" priority="51">
      <colorScale>
        <cfvo type="min"/>
        <cfvo type="percentile" val="50"/>
        <cfvo type="max"/>
        <color rgb="FFF8696B"/>
        <color rgb="FFFFEB84"/>
        <color rgb="FF63BE7B"/>
      </colorScale>
    </cfRule>
  </conditionalFormatting>
  <conditionalFormatting sqref="A1:A2">
    <cfRule type="colorScale" priority="42">
      <colorScale>
        <cfvo type="min"/>
        <cfvo type="percentile" val="50"/>
        <cfvo type="max"/>
        <color rgb="FFF8696B"/>
        <color rgb="FFFFEB84"/>
        <color rgb="FF63BE7B"/>
      </colorScale>
    </cfRule>
  </conditionalFormatting>
  <conditionalFormatting sqref="A1:A2">
    <cfRule type="colorScale" priority="40">
      <colorScale>
        <cfvo type="min"/>
        <cfvo type="percentile" val="50"/>
        <cfvo type="max"/>
        <color rgb="FFF8696B"/>
        <color rgb="FFFFEB84"/>
        <color rgb="FF63BE7B"/>
      </colorScale>
    </cfRule>
  </conditionalFormatting>
  <conditionalFormatting sqref="B3:F12">
    <cfRule type="colorScale" priority="38">
      <colorScale>
        <cfvo type="min"/>
        <cfvo type="percentile" val="50"/>
        <cfvo type="max"/>
        <color rgb="FFF8696B"/>
        <color rgb="FFFFEB84"/>
        <color rgb="FF63BE7B"/>
      </colorScale>
    </cfRule>
  </conditionalFormatting>
  <conditionalFormatting sqref="B3:U12">
    <cfRule type="colorScale" priority="37">
      <colorScale>
        <cfvo type="min"/>
        <cfvo type="percentile" val="50"/>
        <cfvo type="max"/>
        <color rgb="FFF8696B"/>
        <color rgb="FFFFEB84"/>
        <color rgb="FF63BE7B"/>
      </colorScale>
    </cfRule>
  </conditionalFormatting>
  <conditionalFormatting sqref="B26:U26 B24:U24 B18:U21 B17:Z17 V18:Z28">
    <cfRule type="colorScale" priority="36">
      <colorScale>
        <cfvo type="min"/>
        <cfvo type="percentile" val="50"/>
        <cfvo type="max"/>
        <color rgb="FFF8696B"/>
        <color rgb="FFFFEB84"/>
        <color rgb="FF63BE7B"/>
      </colorScale>
    </cfRule>
  </conditionalFormatting>
  <conditionalFormatting sqref="B25:U25">
    <cfRule type="colorScale" priority="35">
      <colorScale>
        <cfvo type="min"/>
        <cfvo type="percentile" val="50"/>
        <cfvo type="max"/>
        <color rgb="FFF8696B"/>
        <color rgb="FFFFEB84"/>
        <color rgb="FF63BE7B"/>
      </colorScale>
    </cfRule>
  </conditionalFormatting>
  <conditionalFormatting sqref="B22:U23">
    <cfRule type="colorScale" priority="34">
      <colorScale>
        <cfvo type="min"/>
        <cfvo type="percentile" val="50"/>
        <cfvo type="max"/>
        <color rgb="FF63BE7B"/>
        <color rgb="FFFFEB84"/>
        <color rgb="FFF8696B"/>
      </colorScale>
    </cfRule>
  </conditionalFormatting>
  <conditionalFormatting sqref="B13:U16">
    <cfRule type="colorScale" priority="33">
      <colorScale>
        <cfvo type="min"/>
        <cfvo type="percentile" val="50"/>
        <cfvo type="max"/>
        <color rgb="FFF8696B"/>
        <color rgb="FFFFEB84"/>
        <color rgb="FF63BE7B"/>
      </colorScale>
    </cfRule>
  </conditionalFormatting>
  <conditionalFormatting sqref="B27:F28">
    <cfRule type="colorScale" priority="32">
      <colorScale>
        <cfvo type="min"/>
        <cfvo type="percentile" val="50"/>
        <cfvo type="max"/>
        <color rgb="FFF8696B"/>
        <color rgb="FFFFEB84"/>
        <color rgb="FF63BE7B"/>
      </colorScale>
    </cfRule>
  </conditionalFormatting>
  <conditionalFormatting sqref="G27:K28">
    <cfRule type="colorScale" priority="31">
      <colorScale>
        <cfvo type="min"/>
        <cfvo type="percentile" val="50"/>
        <cfvo type="max"/>
        <color rgb="FFF8696B"/>
        <color rgb="FFFFEB84"/>
        <color rgb="FF63BE7B"/>
      </colorScale>
    </cfRule>
  </conditionalFormatting>
  <conditionalFormatting sqref="L27:P28">
    <cfRule type="colorScale" priority="30">
      <colorScale>
        <cfvo type="min"/>
        <cfvo type="percentile" val="50"/>
        <cfvo type="max"/>
        <color rgb="FFF8696B"/>
        <color rgb="FFFFEB84"/>
        <color rgb="FF63BE7B"/>
      </colorScale>
    </cfRule>
  </conditionalFormatting>
  <conditionalFormatting sqref="Q27:U28">
    <cfRule type="colorScale" priority="29">
      <colorScale>
        <cfvo type="min"/>
        <cfvo type="percentile" val="50"/>
        <cfvo type="max"/>
        <color rgb="FFF8696B"/>
        <color rgb="FFFFEB84"/>
        <color rgb="FF63BE7B"/>
      </colorScale>
    </cfRule>
  </conditionalFormatting>
  <conditionalFormatting sqref="B13:F16">
    <cfRule type="colorScale" priority="18">
      <colorScale>
        <cfvo type="min"/>
        <cfvo type="max"/>
        <color rgb="FFFCFCFF"/>
        <color rgb="FF63BE7B"/>
      </colorScale>
    </cfRule>
  </conditionalFormatting>
  <conditionalFormatting sqref="G13:K16">
    <cfRule type="colorScale" priority="17">
      <colorScale>
        <cfvo type="min"/>
        <cfvo type="max"/>
        <color rgb="FFFCFCFF"/>
        <color rgb="FF63BE7B"/>
      </colorScale>
    </cfRule>
  </conditionalFormatting>
  <conditionalFormatting sqref="L13:P16">
    <cfRule type="colorScale" priority="16">
      <colorScale>
        <cfvo type="min"/>
        <cfvo type="max"/>
        <color rgb="FFFCFCFF"/>
        <color rgb="FF63BE7B"/>
      </colorScale>
    </cfRule>
  </conditionalFormatting>
  <conditionalFormatting sqref="Q13:U16">
    <cfRule type="colorScale" priority="15">
      <colorScale>
        <cfvo type="min"/>
        <cfvo type="max"/>
        <color rgb="FFFCFCFF"/>
        <color rgb="FF63BE7B"/>
      </colorScale>
    </cfRule>
  </conditionalFormatting>
  <conditionalFormatting sqref="A33">
    <cfRule type="colorScale" priority="14">
      <colorScale>
        <cfvo type="min"/>
        <cfvo type="percentile" val="50"/>
        <cfvo type="max"/>
        <color rgb="FFF8696B"/>
        <color rgb="FFFFEB84"/>
        <color rgb="FF63BE7B"/>
      </colorScale>
    </cfRule>
  </conditionalFormatting>
  <conditionalFormatting sqref="A33">
    <cfRule type="colorScale" priority="13">
      <colorScale>
        <cfvo type="min"/>
        <cfvo type="percentile" val="50"/>
        <cfvo type="max"/>
        <color rgb="FFF8696B"/>
        <color rgb="FFFFEB84"/>
        <color rgb="FF63BE7B"/>
      </colorScale>
    </cfRule>
  </conditionalFormatting>
  <conditionalFormatting sqref="A33">
    <cfRule type="colorScale" priority="12">
      <colorScale>
        <cfvo type="min"/>
        <cfvo type="percentile" val="50"/>
        <cfvo type="max"/>
        <color rgb="FFF8696B"/>
        <color rgb="FFFFEB84"/>
        <color rgb="FF63BE7B"/>
      </colorScale>
    </cfRule>
  </conditionalFormatting>
  <conditionalFormatting sqref="A33">
    <cfRule type="colorScale" priority="11">
      <colorScale>
        <cfvo type="min"/>
        <cfvo type="percentile" val="50"/>
        <cfvo type="max"/>
        <color rgb="FFF8696B"/>
        <color rgb="FFFFEB84"/>
        <color rgb="FF63BE7B"/>
      </colorScale>
    </cfRule>
  </conditionalFormatting>
  <conditionalFormatting sqref="A33">
    <cfRule type="colorScale" priority="10">
      <colorScale>
        <cfvo type="min"/>
        <cfvo type="percentile" val="50"/>
        <cfvo type="max"/>
        <color rgb="FFF8696B"/>
        <color rgb="FFFFEB84"/>
        <color rgb="FF63BE7B"/>
      </colorScale>
    </cfRule>
  </conditionalFormatting>
  <conditionalFormatting sqref="B43:F43 B41:F41 B34:F38">
    <cfRule type="colorScale" priority="9">
      <colorScale>
        <cfvo type="min"/>
        <cfvo type="percentile" val="50"/>
        <cfvo type="max"/>
        <color rgb="FFF8696B"/>
        <color rgb="FFFFEB84"/>
        <color rgb="FF63BE7B"/>
      </colorScale>
    </cfRule>
  </conditionalFormatting>
  <conditionalFormatting sqref="B42:F42">
    <cfRule type="colorScale" priority="8">
      <colorScale>
        <cfvo type="min"/>
        <cfvo type="percentile" val="50"/>
        <cfvo type="max"/>
        <color rgb="FFF8696B"/>
        <color rgb="FFFFEB84"/>
        <color rgb="FF63BE7B"/>
      </colorScale>
    </cfRule>
  </conditionalFormatting>
  <conditionalFormatting sqref="B39:F40">
    <cfRule type="colorScale" priority="7">
      <colorScale>
        <cfvo type="min"/>
        <cfvo type="percentile" val="50"/>
        <cfvo type="max"/>
        <color rgb="FF63BE7B"/>
        <color rgb="FFFFEB84"/>
        <color rgb="FFF8696B"/>
      </colorScale>
    </cfRule>
  </conditionalFormatting>
  <conditionalFormatting sqref="B44:F45">
    <cfRule type="colorScale" priority="6">
      <colorScale>
        <cfvo type="min"/>
        <cfvo type="percentile" val="50"/>
        <cfvo type="max"/>
        <color rgb="FFF8696B"/>
        <color rgb="FFFFEB84"/>
        <color rgb="FF63BE7B"/>
      </colorScale>
    </cfRule>
  </conditionalFormatting>
  <conditionalFormatting sqref="V3:Z12">
    <cfRule type="colorScale" priority="5">
      <colorScale>
        <cfvo type="min"/>
        <cfvo type="percentile" val="50"/>
        <cfvo type="max"/>
        <color rgb="FFF8696B"/>
        <color rgb="FFFFEB84"/>
        <color rgb="FF63BE7B"/>
      </colorScale>
    </cfRule>
  </conditionalFormatting>
  <conditionalFormatting sqref="V13:Z16">
    <cfRule type="colorScale" priority="3">
      <colorScale>
        <cfvo type="min"/>
        <cfvo type="percentile" val="50"/>
        <cfvo type="max"/>
        <color rgb="FFF8696B"/>
        <color rgb="FFFFEB84"/>
        <color rgb="FF63BE7B"/>
      </colorScale>
    </cfRule>
  </conditionalFormatting>
  <conditionalFormatting sqref="V13:Z16">
    <cfRule type="colorScale" priority="1">
      <colorScale>
        <cfvo type="min"/>
        <cfvo type="max"/>
        <color rgb="FFFCFCFF"/>
        <color rgb="FF63BE7B"/>
      </colorScale>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0F1A4-48DC-4C33-B886-4544D6738D60}">
  <dimension ref="A1:X33"/>
  <sheetViews>
    <sheetView workbookViewId="0">
      <selection activeCell="O2" sqref="O2"/>
    </sheetView>
  </sheetViews>
  <sheetFormatPr defaultRowHeight="15" x14ac:dyDescent="0.25"/>
  <cols>
    <col min="1" max="1" width="32.85546875" customWidth="1"/>
  </cols>
  <sheetData>
    <row r="1" spans="1:24" x14ac:dyDescent="0.25">
      <c r="A1" t="s">
        <v>38</v>
      </c>
      <c r="B1" t="s">
        <v>39</v>
      </c>
      <c r="C1" t="s">
        <v>40</v>
      </c>
      <c r="D1" t="s">
        <v>74</v>
      </c>
      <c r="E1" t="s">
        <v>47</v>
      </c>
      <c r="F1" t="s">
        <v>58</v>
      </c>
      <c r="G1" t="s">
        <v>41</v>
      </c>
      <c r="O1" t="s">
        <v>41</v>
      </c>
      <c r="X1" t="s">
        <v>41</v>
      </c>
    </row>
    <row r="2" spans="1:24" x14ac:dyDescent="0.25">
      <c r="B2" t="s">
        <v>73</v>
      </c>
      <c r="K2" s="4" t="s">
        <v>128</v>
      </c>
      <c r="L2" s="4"/>
    </row>
    <row r="4" spans="1:24" x14ac:dyDescent="0.25">
      <c r="A4" t="s">
        <v>0</v>
      </c>
      <c r="B4" t="s">
        <v>2</v>
      </c>
      <c r="E4" t="s">
        <v>20</v>
      </c>
      <c r="H4" t="s">
        <v>21</v>
      </c>
      <c r="K4" t="s">
        <v>22</v>
      </c>
      <c r="N4" t="s">
        <v>23</v>
      </c>
    </row>
    <row r="5" spans="1:24" x14ac:dyDescent="0.25">
      <c r="B5" t="s">
        <v>77</v>
      </c>
      <c r="C5" t="s">
        <v>78</v>
      </c>
      <c r="D5" t="s">
        <v>79</v>
      </c>
      <c r="E5" t="s">
        <v>77</v>
      </c>
      <c r="F5" t="s">
        <v>78</v>
      </c>
      <c r="G5" t="s">
        <v>79</v>
      </c>
      <c r="H5" t="s">
        <v>77</v>
      </c>
      <c r="I5" t="s">
        <v>78</v>
      </c>
      <c r="J5" t="s">
        <v>79</v>
      </c>
      <c r="K5" t="s">
        <v>77</v>
      </c>
      <c r="L5" t="s">
        <v>78</v>
      </c>
      <c r="M5" t="s">
        <v>79</v>
      </c>
      <c r="N5" t="s">
        <v>77</v>
      </c>
      <c r="O5" t="s">
        <v>78</v>
      </c>
      <c r="P5" t="s">
        <v>79</v>
      </c>
    </row>
    <row r="6" spans="1:24" x14ac:dyDescent="0.25">
      <c r="A6" t="s">
        <v>1</v>
      </c>
      <c r="B6" s="3">
        <v>8</v>
      </c>
      <c r="C6" s="3">
        <v>8</v>
      </c>
      <c r="D6" s="1">
        <f>B6/C6</f>
        <v>1</v>
      </c>
      <c r="E6" s="3">
        <v>5</v>
      </c>
      <c r="F6" s="3">
        <v>8</v>
      </c>
      <c r="G6" s="1">
        <f>E6/F6</f>
        <v>0.625</v>
      </c>
      <c r="H6" s="3">
        <v>3</v>
      </c>
      <c r="I6" s="3">
        <v>8</v>
      </c>
      <c r="J6" s="1">
        <f>H6/I6</f>
        <v>0.375</v>
      </c>
      <c r="K6" s="3">
        <v>4</v>
      </c>
      <c r="L6" s="3">
        <v>8</v>
      </c>
      <c r="M6" s="1">
        <f t="shared" ref="M6:P17" si="0">K6/L6</f>
        <v>0.5</v>
      </c>
      <c r="N6" s="3">
        <v>2</v>
      </c>
      <c r="O6" s="3">
        <v>8</v>
      </c>
      <c r="P6" s="1">
        <f t="shared" si="0"/>
        <v>0.25</v>
      </c>
    </row>
    <row r="7" spans="1:24" x14ac:dyDescent="0.25">
      <c r="A7" t="s">
        <v>4</v>
      </c>
      <c r="B7" s="3">
        <v>6</v>
      </c>
      <c r="C7" s="3">
        <v>6</v>
      </c>
      <c r="D7" s="1">
        <f t="shared" ref="D7:D17" si="1">B7/C7</f>
        <v>1</v>
      </c>
      <c r="E7" s="3">
        <v>4</v>
      </c>
      <c r="F7" s="3">
        <v>6</v>
      </c>
      <c r="G7" s="1">
        <f t="shared" ref="G7:G17" si="2">E7/F7</f>
        <v>0.66666666666666663</v>
      </c>
      <c r="H7" s="3">
        <v>4</v>
      </c>
      <c r="I7" s="3">
        <v>6</v>
      </c>
      <c r="J7" s="1">
        <f t="shared" ref="J7:J17" si="3">H7/I7</f>
        <v>0.66666666666666663</v>
      </c>
      <c r="K7" s="3">
        <v>4</v>
      </c>
      <c r="L7" s="3">
        <v>6</v>
      </c>
      <c r="M7" s="1">
        <f t="shared" si="0"/>
        <v>0.66666666666666663</v>
      </c>
      <c r="N7" s="3">
        <v>1</v>
      </c>
      <c r="O7" s="3">
        <v>6</v>
      </c>
      <c r="P7" s="1">
        <f t="shared" si="0"/>
        <v>0.16666666666666666</v>
      </c>
    </row>
    <row r="8" spans="1:24" x14ac:dyDescent="0.25">
      <c r="A8" t="s">
        <v>5</v>
      </c>
      <c r="B8" s="3">
        <v>2</v>
      </c>
      <c r="C8" s="3">
        <v>2</v>
      </c>
      <c r="D8" s="1">
        <f t="shared" si="1"/>
        <v>1</v>
      </c>
      <c r="E8" s="3">
        <v>1</v>
      </c>
      <c r="F8" s="3">
        <v>2</v>
      </c>
      <c r="G8" s="1">
        <f t="shared" si="2"/>
        <v>0.5</v>
      </c>
      <c r="H8" s="3">
        <v>1</v>
      </c>
      <c r="I8" s="3">
        <v>2</v>
      </c>
      <c r="J8" s="1">
        <f t="shared" si="3"/>
        <v>0.5</v>
      </c>
      <c r="K8" s="3">
        <v>0</v>
      </c>
      <c r="L8" s="3">
        <v>2</v>
      </c>
      <c r="M8" s="1">
        <f t="shared" si="0"/>
        <v>0</v>
      </c>
      <c r="N8" s="3">
        <v>0</v>
      </c>
      <c r="O8" s="3">
        <v>2</v>
      </c>
      <c r="P8" s="1">
        <f t="shared" si="0"/>
        <v>0</v>
      </c>
    </row>
    <row r="9" spans="1:24" x14ac:dyDescent="0.25">
      <c r="A9" t="s">
        <v>6</v>
      </c>
      <c r="B9" s="3">
        <v>5</v>
      </c>
      <c r="C9" s="3">
        <v>5</v>
      </c>
      <c r="D9" s="1">
        <f t="shared" si="1"/>
        <v>1</v>
      </c>
      <c r="E9" s="3">
        <v>3</v>
      </c>
      <c r="F9" s="3">
        <v>5</v>
      </c>
      <c r="G9" s="1">
        <f t="shared" si="2"/>
        <v>0.6</v>
      </c>
      <c r="H9" s="3">
        <v>2</v>
      </c>
      <c r="I9" s="3">
        <v>5</v>
      </c>
      <c r="J9" s="1">
        <f t="shared" si="3"/>
        <v>0.4</v>
      </c>
      <c r="K9" s="3">
        <v>2</v>
      </c>
      <c r="L9" s="3">
        <v>5</v>
      </c>
      <c r="M9" s="1">
        <f t="shared" si="0"/>
        <v>0.4</v>
      </c>
      <c r="N9" s="3">
        <v>0</v>
      </c>
      <c r="O9" s="3">
        <v>5</v>
      </c>
      <c r="P9" s="1">
        <f t="shared" si="0"/>
        <v>0</v>
      </c>
    </row>
    <row r="10" spans="1:24" x14ac:dyDescent="0.25">
      <c r="A10" t="s">
        <v>7</v>
      </c>
      <c r="B10" s="3">
        <v>7</v>
      </c>
      <c r="C10" s="3">
        <v>7</v>
      </c>
      <c r="D10" s="1">
        <f t="shared" si="1"/>
        <v>1</v>
      </c>
      <c r="E10" s="3">
        <v>4</v>
      </c>
      <c r="F10" s="3">
        <v>7</v>
      </c>
      <c r="G10" s="1">
        <f t="shared" si="2"/>
        <v>0.5714285714285714</v>
      </c>
      <c r="H10" s="3">
        <v>2</v>
      </c>
      <c r="I10" s="3">
        <v>7</v>
      </c>
      <c r="J10" s="1">
        <f t="shared" si="3"/>
        <v>0.2857142857142857</v>
      </c>
      <c r="K10" s="3">
        <v>2</v>
      </c>
      <c r="L10" s="3">
        <v>7</v>
      </c>
      <c r="M10" s="1">
        <f t="shared" si="0"/>
        <v>0.2857142857142857</v>
      </c>
      <c r="N10" s="3">
        <v>1</v>
      </c>
      <c r="O10" s="3">
        <v>7</v>
      </c>
      <c r="P10" s="1">
        <f t="shared" si="0"/>
        <v>0.14285714285714285</v>
      </c>
    </row>
    <row r="11" spans="1:24" x14ac:dyDescent="0.25">
      <c r="B11" s="3"/>
      <c r="C11" s="3"/>
      <c r="D11" s="1"/>
      <c r="E11" s="3"/>
      <c r="F11" s="3"/>
      <c r="G11" s="1"/>
      <c r="H11" s="3"/>
      <c r="I11" s="3"/>
      <c r="J11" s="1"/>
      <c r="K11" s="3"/>
      <c r="L11" s="3"/>
      <c r="M11" s="1"/>
      <c r="N11" s="3"/>
      <c r="O11" s="3"/>
      <c r="P11" s="1"/>
    </row>
    <row r="12" spans="1:24" x14ac:dyDescent="0.25">
      <c r="A12" t="s">
        <v>9</v>
      </c>
      <c r="B12" s="3"/>
      <c r="C12" s="3"/>
      <c r="D12" s="1"/>
      <c r="E12" s="3"/>
      <c r="F12" s="3"/>
      <c r="G12" s="1"/>
      <c r="H12" s="3"/>
      <c r="I12" s="3"/>
      <c r="J12" s="1"/>
      <c r="K12" s="3"/>
      <c r="L12" s="3"/>
      <c r="M12" s="1"/>
      <c r="N12" s="3"/>
      <c r="O12" s="3"/>
      <c r="P12" s="1"/>
    </row>
    <row r="13" spans="1:24" x14ac:dyDescent="0.25">
      <c r="A13" t="s">
        <v>10</v>
      </c>
      <c r="B13" s="3">
        <v>0</v>
      </c>
      <c r="C13" s="3">
        <v>4</v>
      </c>
      <c r="D13" s="1">
        <f t="shared" si="1"/>
        <v>0</v>
      </c>
      <c r="E13" s="3">
        <v>4</v>
      </c>
      <c r="F13" s="3">
        <v>4</v>
      </c>
      <c r="G13" s="1">
        <f t="shared" si="2"/>
        <v>1</v>
      </c>
      <c r="H13" s="3">
        <v>4</v>
      </c>
      <c r="I13" s="3">
        <v>4</v>
      </c>
      <c r="J13" s="1">
        <f t="shared" si="3"/>
        <v>1</v>
      </c>
      <c r="K13" s="3">
        <v>4</v>
      </c>
      <c r="L13" s="3">
        <v>4</v>
      </c>
      <c r="M13" s="1">
        <f t="shared" si="0"/>
        <v>1</v>
      </c>
      <c r="N13" s="3">
        <v>4</v>
      </c>
      <c r="O13" s="3">
        <v>4</v>
      </c>
      <c r="P13" s="1">
        <f t="shared" si="0"/>
        <v>1</v>
      </c>
    </row>
    <row r="14" spans="1:24" x14ac:dyDescent="0.25">
      <c r="A14" t="s">
        <v>11</v>
      </c>
      <c r="B14" s="3">
        <v>0</v>
      </c>
      <c r="C14" s="3">
        <v>8</v>
      </c>
      <c r="D14" s="1">
        <f t="shared" si="1"/>
        <v>0</v>
      </c>
      <c r="E14" s="3">
        <v>7</v>
      </c>
      <c r="F14" s="3">
        <v>8</v>
      </c>
      <c r="G14" s="1">
        <f t="shared" si="2"/>
        <v>0.875</v>
      </c>
      <c r="H14" s="3">
        <v>8</v>
      </c>
      <c r="I14" s="3">
        <v>8</v>
      </c>
      <c r="J14" s="1">
        <f t="shared" si="3"/>
        <v>1</v>
      </c>
      <c r="K14" s="3">
        <v>8</v>
      </c>
      <c r="L14" s="3">
        <v>8</v>
      </c>
      <c r="M14" s="1">
        <f t="shared" si="0"/>
        <v>1</v>
      </c>
      <c r="N14" s="3">
        <v>8</v>
      </c>
      <c r="O14" s="3">
        <v>8</v>
      </c>
      <c r="P14" s="1">
        <f t="shared" si="0"/>
        <v>1</v>
      </c>
    </row>
    <row r="15" spans="1:24" x14ac:dyDescent="0.25">
      <c r="A15" t="s">
        <v>12</v>
      </c>
      <c r="B15" s="3">
        <v>0</v>
      </c>
      <c r="C15" s="3">
        <v>9</v>
      </c>
      <c r="D15" s="1">
        <f t="shared" si="1"/>
        <v>0</v>
      </c>
      <c r="E15" s="3">
        <v>7</v>
      </c>
      <c r="F15" s="3">
        <v>9</v>
      </c>
      <c r="G15" s="1">
        <f t="shared" si="2"/>
        <v>0.77777777777777779</v>
      </c>
      <c r="H15" s="3">
        <v>8</v>
      </c>
      <c r="I15" s="3">
        <v>9</v>
      </c>
      <c r="J15" s="1">
        <f t="shared" si="3"/>
        <v>0.88888888888888884</v>
      </c>
      <c r="K15" s="3">
        <v>9</v>
      </c>
      <c r="L15" s="3">
        <v>9</v>
      </c>
      <c r="M15" s="1">
        <f t="shared" si="0"/>
        <v>1</v>
      </c>
      <c r="N15" s="3">
        <v>9</v>
      </c>
      <c r="O15" s="3">
        <v>9</v>
      </c>
      <c r="P15" s="1">
        <f t="shared" si="0"/>
        <v>1</v>
      </c>
    </row>
    <row r="16" spans="1:24" x14ac:dyDescent="0.25">
      <c r="A16" t="s">
        <v>15</v>
      </c>
      <c r="B16" s="3">
        <v>0</v>
      </c>
      <c r="C16" s="3">
        <v>2</v>
      </c>
      <c r="D16" s="1">
        <f t="shared" si="1"/>
        <v>0</v>
      </c>
      <c r="E16" s="3">
        <v>0</v>
      </c>
      <c r="F16" s="3">
        <v>2</v>
      </c>
      <c r="G16" s="1">
        <f t="shared" si="2"/>
        <v>0</v>
      </c>
      <c r="H16" s="3">
        <v>2</v>
      </c>
      <c r="I16" s="3">
        <v>2</v>
      </c>
      <c r="J16" s="1">
        <f t="shared" si="3"/>
        <v>1</v>
      </c>
      <c r="K16" s="3">
        <v>2</v>
      </c>
      <c r="L16" s="3">
        <v>2</v>
      </c>
      <c r="M16" s="1">
        <f t="shared" si="0"/>
        <v>1</v>
      </c>
      <c r="N16" s="3">
        <v>2</v>
      </c>
      <c r="O16" s="3">
        <v>2</v>
      </c>
      <c r="P16" s="1">
        <f t="shared" si="0"/>
        <v>1</v>
      </c>
    </row>
    <row r="17" spans="1:16" x14ac:dyDescent="0.25">
      <c r="A17" t="s">
        <v>16</v>
      </c>
      <c r="B17" s="3">
        <v>0</v>
      </c>
      <c r="C17" s="3">
        <v>5</v>
      </c>
      <c r="D17" s="1">
        <f t="shared" si="1"/>
        <v>0</v>
      </c>
      <c r="E17" s="3">
        <v>3</v>
      </c>
      <c r="F17" s="3">
        <v>5</v>
      </c>
      <c r="G17" s="1">
        <f t="shared" si="2"/>
        <v>0.6</v>
      </c>
      <c r="H17" s="3">
        <v>3</v>
      </c>
      <c r="I17" s="3">
        <v>5</v>
      </c>
      <c r="J17" s="1">
        <f t="shared" si="3"/>
        <v>0.6</v>
      </c>
      <c r="K17" s="3">
        <v>5</v>
      </c>
      <c r="L17" s="3">
        <v>5</v>
      </c>
      <c r="M17" s="1">
        <f t="shared" si="0"/>
        <v>1</v>
      </c>
      <c r="N17" s="3">
        <v>5</v>
      </c>
      <c r="O17" s="3">
        <v>5</v>
      </c>
      <c r="P17" s="1">
        <f t="shared" si="0"/>
        <v>1</v>
      </c>
    </row>
    <row r="18" spans="1:16" x14ac:dyDescent="0.25">
      <c r="B18" s="2"/>
      <c r="C18" s="2"/>
      <c r="D18" s="2"/>
      <c r="E18" s="2"/>
      <c r="F18" s="2"/>
      <c r="G18" s="2"/>
      <c r="H18" s="2"/>
      <c r="I18" s="2"/>
      <c r="J18" s="2"/>
      <c r="K18" s="2"/>
      <c r="L18" s="2"/>
      <c r="M18" s="2"/>
      <c r="N18" s="2"/>
    </row>
    <row r="19" spans="1:16" x14ac:dyDescent="0.25">
      <c r="A19" t="s">
        <v>24</v>
      </c>
      <c r="B19" t="s">
        <v>115</v>
      </c>
      <c r="E19" t="s">
        <v>117</v>
      </c>
      <c r="H19" t="s">
        <v>120</v>
      </c>
      <c r="K19" t="s">
        <v>126</v>
      </c>
      <c r="N19" t="s">
        <v>130</v>
      </c>
    </row>
    <row r="20" spans="1:16" x14ac:dyDescent="0.25">
      <c r="B20" t="s">
        <v>116</v>
      </c>
      <c r="E20" t="s">
        <v>118</v>
      </c>
      <c r="H20" t="s">
        <v>121</v>
      </c>
      <c r="K20" t="s">
        <v>129</v>
      </c>
      <c r="N20" t="s">
        <v>131</v>
      </c>
    </row>
    <row r="21" spans="1:16" x14ac:dyDescent="0.25">
      <c r="E21" t="s">
        <v>119</v>
      </c>
      <c r="H21" t="s">
        <v>122</v>
      </c>
      <c r="N21" t="s">
        <v>132</v>
      </c>
    </row>
    <row r="22" spans="1:16" x14ac:dyDescent="0.25">
      <c r="H22" t="s">
        <v>123</v>
      </c>
      <c r="N22" t="s">
        <v>133</v>
      </c>
    </row>
    <row r="23" spans="1:16" x14ac:dyDescent="0.25">
      <c r="H23" t="s">
        <v>124</v>
      </c>
    </row>
    <row r="24" spans="1:16" x14ac:dyDescent="0.25">
      <c r="E24" t="s">
        <v>127</v>
      </c>
      <c r="H24" t="s">
        <v>125</v>
      </c>
    </row>
    <row r="28" spans="1:16" x14ac:dyDescent="0.25">
      <c r="B28" t="s">
        <v>41</v>
      </c>
      <c r="E28" t="s">
        <v>41</v>
      </c>
      <c r="H28" t="s">
        <v>41</v>
      </c>
      <c r="K28" t="s">
        <v>41</v>
      </c>
      <c r="N28" t="s">
        <v>41</v>
      </c>
      <c r="O28" t="s">
        <v>41</v>
      </c>
    </row>
    <row r="29" spans="1:16" x14ac:dyDescent="0.25">
      <c r="B29" t="s">
        <v>41</v>
      </c>
      <c r="E29" t="s">
        <v>41</v>
      </c>
      <c r="H29" t="s">
        <v>41</v>
      </c>
      <c r="K29" t="s">
        <v>41</v>
      </c>
      <c r="N29" t="s">
        <v>41</v>
      </c>
      <c r="O29" t="s">
        <v>41</v>
      </c>
    </row>
    <row r="30" spans="1:16" x14ac:dyDescent="0.25">
      <c r="B30" t="s">
        <v>41</v>
      </c>
      <c r="E30" t="s">
        <v>41</v>
      </c>
      <c r="H30" t="s">
        <v>41</v>
      </c>
      <c r="K30" t="s">
        <v>41</v>
      </c>
      <c r="N30" t="s">
        <v>41</v>
      </c>
      <c r="O30" t="s">
        <v>41</v>
      </c>
    </row>
    <row r="31" spans="1:16" x14ac:dyDescent="0.25">
      <c r="B31" t="s">
        <v>41</v>
      </c>
      <c r="E31" t="s">
        <v>41</v>
      </c>
      <c r="K31" t="s">
        <v>41</v>
      </c>
      <c r="N31" t="s">
        <v>41</v>
      </c>
      <c r="O31" t="s">
        <v>41</v>
      </c>
    </row>
    <row r="33" spans="5:8" x14ac:dyDescent="0.25">
      <c r="E33" t="s">
        <v>41</v>
      </c>
      <c r="H33" t="s">
        <v>41</v>
      </c>
    </row>
  </sheetData>
  <conditionalFormatting sqref="D6:D17 G6:G17 J6:J17 P6:P17 M6:M17">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26D8F-7522-4CE9-8805-2EC01CCB0C7C}">
  <dimension ref="A1:F24"/>
  <sheetViews>
    <sheetView workbookViewId="0">
      <selection activeCell="B2" sqref="B2"/>
    </sheetView>
  </sheetViews>
  <sheetFormatPr defaultRowHeight="15" x14ac:dyDescent="0.25"/>
  <sheetData>
    <row r="1" spans="1:6" x14ac:dyDescent="0.25">
      <c r="A1" t="s">
        <v>216</v>
      </c>
    </row>
    <row r="2" spans="1:6" x14ac:dyDescent="0.25">
      <c r="A2" t="s">
        <v>217</v>
      </c>
      <c r="B2">
        <v>38</v>
      </c>
      <c r="C2">
        <v>79</v>
      </c>
      <c r="D2">
        <v>88</v>
      </c>
      <c r="E2">
        <v>83</v>
      </c>
      <c r="F2">
        <v>88</v>
      </c>
    </row>
    <row r="3" spans="1:6" x14ac:dyDescent="0.25">
      <c r="B3">
        <v>50</v>
      </c>
      <c r="C3">
        <v>9</v>
      </c>
      <c r="D3">
        <v>0</v>
      </c>
      <c r="E3">
        <v>5</v>
      </c>
      <c r="F3">
        <v>0</v>
      </c>
    </row>
    <row r="4" spans="1:6" x14ac:dyDescent="0.25">
      <c r="B4">
        <v>54</v>
      </c>
      <c r="C4">
        <v>28</v>
      </c>
      <c r="D4">
        <v>15</v>
      </c>
      <c r="E4">
        <v>24</v>
      </c>
      <c r="F4">
        <v>17</v>
      </c>
    </row>
    <row r="5" spans="1:6" ht="15.75" thickBot="1" x14ac:dyDescent="0.3">
      <c r="B5">
        <v>34</v>
      </c>
      <c r="C5">
        <v>60</v>
      </c>
      <c r="D5">
        <v>73</v>
      </c>
      <c r="E5">
        <v>64</v>
      </c>
      <c r="F5">
        <v>71</v>
      </c>
    </row>
    <row r="6" spans="1:6" ht="15.75" thickBot="1" x14ac:dyDescent="0.3">
      <c r="B6" s="47"/>
      <c r="C6" s="27" t="s">
        <v>225</v>
      </c>
      <c r="D6" s="28" t="s">
        <v>226</v>
      </c>
    </row>
    <row r="7" spans="1:6" x14ac:dyDescent="0.25">
      <c r="A7" t="s">
        <v>218</v>
      </c>
      <c r="B7" s="19" t="s">
        <v>223</v>
      </c>
      <c r="C7" s="26">
        <f>B5</f>
        <v>34</v>
      </c>
      <c r="D7" s="35">
        <f>Consolidation!B15</f>
        <v>13</v>
      </c>
    </row>
    <row r="8" spans="1:6" ht="15.75" thickBot="1" x14ac:dyDescent="0.3">
      <c r="B8" s="20" t="s">
        <v>224</v>
      </c>
      <c r="C8" s="20">
        <f>B3</f>
        <v>50</v>
      </c>
      <c r="D8" s="38">
        <f>Consolidation!B13</f>
        <v>16</v>
      </c>
    </row>
    <row r="9" spans="1:6" ht="15.75" thickBot="1" x14ac:dyDescent="0.3">
      <c r="D9" s="3"/>
    </row>
    <row r="10" spans="1:6" ht="15.75" thickBot="1" x14ac:dyDescent="0.3">
      <c r="B10" s="47"/>
      <c r="C10" s="27" t="s">
        <v>225</v>
      </c>
      <c r="D10" s="28" t="s">
        <v>226</v>
      </c>
    </row>
    <row r="11" spans="1:6" x14ac:dyDescent="0.25">
      <c r="A11" t="s">
        <v>219</v>
      </c>
      <c r="B11" s="19" t="s">
        <v>223</v>
      </c>
      <c r="C11" s="26">
        <f>C5</f>
        <v>60</v>
      </c>
      <c r="D11" s="28">
        <f>C4</f>
        <v>28</v>
      </c>
    </row>
    <row r="12" spans="1:6" ht="15.75" thickBot="1" x14ac:dyDescent="0.3">
      <c r="B12" s="20" t="s">
        <v>224</v>
      </c>
      <c r="C12" s="20">
        <f>C3</f>
        <v>9</v>
      </c>
      <c r="D12" s="46">
        <f>C2</f>
        <v>79</v>
      </c>
    </row>
    <row r="13" spans="1:6" ht="15.75" thickBot="1" x14ac:dyDescent="0.3"/>
    <row r="14" spans="1:6" ht="15.75" thickBot="1" x14ac:dyDescent="0.3">
      <c r="B14" s="47"/>
      <c r="C14" s="27" t="s">
        <v>225</v>
      </c>
      <c r="D14" s="28" t="s">
        <v>226</v>
      </c>
    </row>
    <row r="15" spans="1:6" x14ac:dyDescent="0.25">
      <c r="A15" t="s">
        <v>220</v>
      </c>
      <c r="B15" s="19" t="s">
        <v>223</v>
      </c>
      <c r="C15" s="26">
        <f>D5</f>
        <v>73</v>
      </c>
      <c r="D15" s="28">
        <f>D4</f>
        <v>15</v>
      </c>
    </row>
    <row r="16" spans="1:6" ht="15.75" thickBot="1" x14ac:dyDescent="0.3">
      <c r="B16" s="20" t="s">
        <v>224</v>
      </c>
      <c r="C16" s="20">
        <f>D3</f>
        <v>0</v>
      </c>
      <c r="D16" s="46">
        <f>D2</f>
        <v>88</v>
      </c>
    </row>
    <row r="17" spans="1:4" ht="15.75" thickBot="1" x14ac:dyDescent="0.3"/>
    <row r="18" spans="1:4" ht="15.75" thickBot="1" x14ac:dyDescent="0.3">
      <c r="B18" s="47"/>
      <c r="C18" s="27" t="s">
        <v>225</v>
      </c>
      <c r="D18" s="28" t="s">
        <v>226</v>
      </c>
    </row>
    <row r="19" spans="1:4" x14ac:dyDescent="0.25">
      <c r="A19" t="s">
        <v>221</v>
      </c>
      <c r="B19" s="19" t="s">
        <v>223</v>
      </c>
      <c r="C19" s="26">
        <f>E5</f>
        <v>64</v>
      </c>
      <c r="D19" s="28">
        <f>E4</f>
        <v>24</v>
      </c>
    </row>
    <row r="20" spans="1:4" ht="15.75" thickBot="1" x14ac:dyDescent="0.3">
      <c r="B20" s="20" t="s">
        <v>224</v>
      </c>
      <c r="C20" s="20">
        <f>E3</f>
        <v>5</v>
      </c>
      <c r="D20" s="46">
        <f>E2</f>
        <v>83</v>
      </c>
    </row>
    <row r="21" spans="1:4" ht="15.75" thickBot="1" x14ac:dyDescent="0.3"/>
    <row r="22" spans="1:4" ht="15.75" thickBot="1" x14ac:dyDescent="0.3">
      <c r="B22" s="47"/>
      <c r="C22" s="27" t="s">
        <v>225</v>
      </c>
      <c r="D22" s="28" t="s">
        <v>226</v>
      </c>
    </row>
    <row r="23" spans="1:4" x14ac:dyDescent="0.25">
      <c r="A23" t="s">
        <v>222</v>
      </c>
      <c r="B23" s="19" t="s">
        <v>223</v>
      </c>
      <c r="C23" s="26">
        <f>F5</f>
        <v>71</v>
      </c>
      <c r="D23" s="28">
        <f>F4</f>
        <v>17</v>
      </c>
    </row>
    <row r="24" spans="1:4" ht="15.75" thickBot="1" x14ac:dyDescent="0.3">
      <c r="B24" s="20" t="s">
        <v>224</v>
      </c>
      <c r="C24" s="20">
        <f>F3</f>
        <v>0</v>
      </c>
      <c r="D24" s="46">
        <f>F2</f>
        <v>88</v>
      </c>
    </row>
  </sheetData>
  <conditionalFormatting sqref="C7:D8">
    <cfRule type="colorScale" priority="5">
      <colorScale>
        <cfvo type="min"/>
        <cfvo type="max"/>
        <color rgb="FFFCFCFF"/>
        <color rgb="FF63BE7B"/>
      </colorScale>
    </cfRule>
    <cfRule type="colorScale" priority="10">
      <colorScale>
        <cfvo type="min"/>
        <cfvo type="percentile" val="50"/>
        <cfvo type="max"/>
        <color rgb="FFF8696B"/>
        <color rgb="FFFFEB84"/>
        <color rgb="FF63BE7B"/>
      </colorScale>
    </cfRule>
  </conditionalFormatting>
  <conditionalFormatting sqref="C11:D12">
    <cfRule type="colorScale" priority="4">
      <colorScale>
        <cfvo type="min"/>
        <cfvo type="max"/>
        <color rgb="FFFCFCFF"/>
        <color rgb="FF63BE7B"/>
      </colorScale>
    </cfRule>
    <cfRule type="colorScale" priority="9">
      <colorScale>
        <cfvo type="min"/>
        <cfvo type="percentile" val="50"/>
        <cfvo type="max"/>
        <color rgb="FFF8696B"/>
        <color rgb="FFFFEB84"/>
        <color rgb="FF63BE7B"/>
      </colorScale>
    </cfRule>
  </conditionalFormatting>
  <conditionalFormatting sqref="C15:D16">
    <cfRule type="colorScale" priority="3">
      <colorScale>
        <cfvo type="min"/>
        <cfvo type="max"/>
        <color rgb="FFFCFCFF"/>
        <color rgb="FF63BE7B"/>
      </colorScale>
    </cfRule>
    <cfRule type="colorScale" priority="8">
      <colorScale>
        <cfvo type="min"/>
        <cfvo type="percentile" val="50"/>
        <cfvo type="max"/>
        <color rgb="FFF8696B"/>
        <color rgb="FFFFEB84"/>
        <color rgb="FF63BE7B"/>
      </colorScale>
    </cfRule>
  </conditionalFormatting>
  <conditionalFormatting sqref="C19:D20">
    <cfRule type="colorScale" priority="2">
      <colorScale>
        <cfvo type="min"/>
        <cfvo type="max"/>
        <color rgb="FFFCFCFF"/>
        <color rgb="FF63BE7B"/>
      </colorScale>
    </cfRule>
    <cfRule type="colorScale" priority="7">
      <colorScale>
        <cfvo type="min"/>
        <cfvo type="percentile" val="50"/>
        <cfvo type="max"/>
        <color rgb="FFF8696B"/>
        <color rgb="FFFFEB84"/>
        <color rgb="FF63BE7B"/>
      </colorScale>
    </cfRule>
  </conditionalFormatting>
  <conditionalFormatting sqref="C23:D24">
    <cfRule type="colorScale" priority="1">
      <colorScale>
        <cfvo type="min"/>
        <cfvo type="max"/>
        <color rgb="FFFCFCFF"/>
        <color rgb="FF63BE7B"/>
      </colorScale>
    </cfRule>
    <cfRule type="colorScale" priority="6">
      <colorScale>
        <cfvo type="min"/>
        <cfvo type="percentile" val="5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1C268-7FCE-4612-AD44-B7E5B1156B32}">
  <dimension ref="A1:X40"/>
  <sheetViews>
    <sheetView topLeftCell="A18" zoomScaleNormal="100" workbookViewId="0">
      <selection activeCell="F14" sqref="F14"/>
    </sheetView>
  </sheetViews>
  <sheetFormatPr defaultRowHeight="15" x14ac:dyDescent="0.25"/>
  <cols>
    <col min="1" max="1" width="16" customWidth="1"/>
  </cols>
  <sheetData>
    <row r="1" spans="1:24" x14ac:dyDescent="0.25">
      <c r="A1" t="s">
        <v>38</v>
      </c>
      <c r="B1" t="s">
        <v>134</v>
      </c>
      <c r="C1" t="s">
        <v>40</v>
      </c>
      <c r="D1" t="s">
        <v>74</v>
      </c>
      <c r="E1" t="s">
        <v>47</v>
      </c>
      <c r="F1" t="s">
        <v>58</v>
      </c>
      <c r="G1" t="s">
        <v>142</v>
      </c>
      <c r="H1" t="s">
        <v>146</v>
      </c>
      <c r="I1" t="s">
        <v>41</v>
      </c>
      <c r="O1" t="s">
        <v>41</v>
      </c>
      <c r="X1" t="s">
        <v>41</v>
      </c>
    </row>
    <row r="2" spans="1:24" x14ac:dyDescent="0.25">
      <c r="A2" t="s">
        <v>190</v>
      </c>
    </row>
    <row r="3" spans="1:24" ht="15.75" thickBot="1" x14ac:dyDescent="0.3"/>
    <row r="4" spans="1:24" x14ac:dyDescent="0.25">
      <c r="A4" s="26" t="s">
        <v>0</v>
      </c>
      <c r="B4" s="27" t="s">
        <v>2</v>
      </c>
      <c r="C4" s="27"/>
      <c r="D4" s="27"/>
      <c r="E4" s="27" t="s">
        <v>20</v>
      </c>
      <c r="F4" s="27"/>
      <c r="G4" s="27"/>
      <c r="H4" s="27" t="s">
        <v>21</v>
      </c>
      <c r="I4" s="27"/>
      <c r="J4" s="27"/>
      <c r="K4" s="27" t="s">
        <v>22</v>
      </c>
      <c r="L4" s="27"/>
      <c r="M4" s="27"/>
      <c r="N4" s="27" t="s">
        <v>23</v>
      </c>
      <c r="O4" s="27"/>
      <c r="P4" s="28"/>
    </row>
    <row r="5" spans="1:24" x14ac:dyDescent="0.25">
      <c r="A5" s="19"/>
      <c r="B5" s="9" t="s">
        <v>77</v>
      </c>
      <c r="C5" s="9" t="s">
        <v>78</v>
      </c>
      <c r="D5" s="9" t="s">
        <v>79</v>
      </c>
      <c r="E5" s="9" t="s">
        <v>77</v>
      </c>
      <c r="F5" s="9" t="s">
        <v>78</v>
      </c>
      <c r="G5" s="9" t="s">
        <v>79</v>
      </c>
      <c r="H5" s="9" t="s">
        <v>77</v>
      </c>
      <c r="I5" s="9" t="s">
        <v>78</v>
      </c>
      <c r="J5" s="9" t="s">
        <v>79</v>
      </c>
      <c r="K5" s="9" t="s">
        <v>77</v>
      </c>
      <c r="L5" s="9" t="s">
        <v>78</v>
      </c>
      <c r="M5" s="9" t="s">
        <v>79</v>
      </c>
      <c r="N5" s="9" t="s">
        <v>77</v>
      </c>
      <c r="O5" s="9" t="s">
        <v>78</v>
      </c>
      <c r="P5" s="45" t="s">
        <v>79</v>
      </c>
    </row>
    <row r="6" spans="1:24" x14ac:dyDescent="0.25">
      <c r="A6" s="19" t="s">
        <v>1</v>
      </c>
      <c r="B6" s="11">
        <v>5</v>
      </c>
      <c r="C6" s="11">
        <v>6</v>
      </c>
      <c r="D6" s="10">
        <f>B6/C6</f>
        <v>0.83333333333333337</v>
      </c>
      <c r="E6" s="11">
        <v>6</v>
      </c>
      <c r="F6" s="11">
        <v>6</v>
      </c>
      <c r="G6" s="10">
        <f>E6/F6</f>
        <v>1</v>
      </c>
      <c r="H6" s="11">
        <v>6</v>
      </c>
      <c r="I6" s="11">
        <v>6</v>
      </c>
      <c r="J6" s="10">
        <f>H6/I6</f>
        <v>1</v>
      </c>
      <c r="K6" s="11">
        <v>5</v>
      </c>
      <c r="L6" s="11">
        <v>6</v>
      </c>
      <c r="M6" s="10">
        <f t="shared" ref="M6:P17" si="0">K6/L6</f>
        <v>0.83333333333333337</v>
      </c>
      <c r="N6" s="11">
        <v>6</v>
      </c>
      <c r="O6" s="11">
        <v>6</v>
      </c>
      <c r="P6" s="14">
        <f t="shared" si="0"/>
        <v>1</v>
      </c>
    </row>
    <row r="7" spans="1:24" x14ac:dyDescent="0.25">
      <c r="A7" s="19" t="s">
        <v>4</v>
      </c>
      <c r="B7" s="11">
        <v>3</v>
      </c>
      <c r="C7" s="11">
        <v>4</v>
      </c>
      <c r="D7" s="10">
        <f t="shared" ref="D7:D17" si="1">B7/C7</f>
        <v>0.75</v>
      </c>
      <c r="E7" s="11">
        <v>4</v>
      </c>
      <c r="F7" s="11">
        <v>4</v>
      </c>
      <c r="G7" s="10">
        <f t="shared" ref="G7:G17" si="2">E7/F7</f>
        <v>1</v>
      </c>
      <c r="H7" s="11">
        <v>4</v>
      </c>
      <c r="I7" s="11">
        <v>4</v>
      </c>
      <c r="J7" s="10">
        <f t="shared" ref="J7:J17" si="3">H7/I7</f>
        <v>1</v>
      </c>
      <c r="K7" s="11">
        <v>4</v>
      </c>
      <c r="L7" s="11">
        <v>4</v>
      </c>
      <c r="M7" s="10">
        <f t="shared" si="0"/>
        <v>1</v>
      </c>
      <c r="N7" s="11">
        <v>3</v>
      </c>
      <c r="O7" s="11">
        <v>4</v>
      </c>
      <c r="P7" s="14">
        <f t="shared" si="0"/>
        <v>0.75</v>
      </c>
    </row>
    <row r="8" spans="1:24" x14ac:dyDescent="0.25">
      <c r="A8" s="19" t="s">
        <v>5</v>
      </c>
      <c r="B8" s="11">
        <v>3</v>
      </c>
      <c r="C8" s="11">
        <v>3</v>
      </c>
      <c r="D8" s="10">
        <f t="shared" si="1"/>
        <v>1</v>
      </c>
      <c r="E8" s="11">
        <v>3</v>
      </c>
      <c r="F8" s="11">
        <v>3</v>
      </c>
      <c r="G8" s="10">
        <f t="shared" si="2"/>
        <v>1</v>
      </c>
      <c r="H8" s="11">
        <v>3</v>
      </c>
      <c r="I8" s="11">
        <v>3</v>
      </c>
      <c r="J8" s="10">
        <f t="shared" si="3"/>
        <v>1</v>
      </c>
      <c r="K8" s="11">
        <v>3</v>
      </c>
      <c r="L8" s="11">
        <v>3</v>
      </c>
      <c r="M8" s="10">
        <f t="shared" si="0"/>
        <v>1</v>
      </c>
      <c r="N8" s="11">
        <v>3</v>
      </c>
      <c r="O8" s="11">
        <v>3</v>
      </c>
      <c r="P8" s="14">
        <f t="shared" si="0"/>
        <v>1</v>
      </c>
    </row>
    <row r="9" spans="1:24" x14ac:dyDescent="0.25">
      <c r="A9" s="19" t="s">
        <v>6</v>
      </c>
      <c r="B9" s="11">
        <v>3</v>
      </c>
      <c r="C9" s="11">
        <v>4</v>
      </c>
      <c r="D9" s="10">
        <f t="shared" si="1"/>
        <v>0.75</v>
      </c>
      <c r="E9" s="11">
        <v>4</v>
      </c>
      <c r="F9" s="11">
        <v>4</v>
      </c>
      <c r="G9" s="10">
        <f t="shared" si="2"/>
        <v>1</v>
      </c>
      <c r="H9" s="11">
        <v>4</v>
      </c>
      <c r="I9" s="11">
        <v>4</v>
      </c>
      <c r="J9" s="10">
        <f t="shared" si="3"/>
        <v>1</v>
      </c>
      <c r="K9" s="11">
        <v>3</v>
      </c>
      <c r="L9" s="11">
        <v>4</v>
      </c>
      <c r="M9" s="10">
        <f t="shared" si="0"/>
        <v>0.75</v>
      </c>
      <c r="N9" s="11">
        <v>4</v>
      </c>
      <c r="O9" s="11">
        <v>4</v>
      </c>
      <c r="P9" s="14">
        <f t="shared" si="0"/>
        <v>1</v>
      </c>
    </row>
    <row r="10" spans="1:24" x14ac:dyDescent="0.25">
      <c r="A10" s="19" t="s">
        <v>7</v>
      </c>
      <c r="B10" s="11">
        <v>2</v>
      </c>
      <c r="C10" s="11">
        <v>3</v>
      </c>
      <c r="D10" s="10">
        <f t="shared" si="1"/>
        <v>0.66666666666666663</v>
      </c>
      <c r="E10" s="11">
        <v>3</v>
      </c>
      <c r="F10" s="11">
        <v>3</v>
      </c>
      <c r="G10" s="10">
        <f t="shared" si="2"/>
        <v>1</v>
      </c>
      <c r="H10" s="11">
        <v>3</v>
      </c>
      <c r="I10" s="11">
        <v>3</v>
      </c>
      <c r="J10" s="10">
        <f t="shared" si="3"/>
        <v>1</v>
      </c>
      <c r="K10" s="11">
        <v>2</v>
      </c>
      <c r="L10" s="11">
        <v>3</v>
      </c>
      <c r="M10" s="10">
        <f t="shared" si="0"/>
        <v>0.66666666666666663</v>
      </c>
      <c r="N10" s="11">
        <v>3</v>
      </c>
      <c r="O10" s="11">
        <v>3</v>
      </c>
      <c r="P10" s="14">
        <f t="shared" si="0"/>
        <v>1</v>
      </c>
    </row>
    <row r="11" spans="1:24" x14ac:dyDescent="0.25">
      <c r="A11" s="19"/>
      <c r="B11" s="11"/>
      <c r="C11" s="11"/>
      <c r="D11" s="10"/>
      <c r="E11" s="11"/>
      <c r="F11" s="11"/>
      <c r="G11" s="10"/>
      <c r="H11" s="11"/>
      <c r="I11" s="11"/>
      <c r="J11" s="10"/>
      <c r="K11" s="11"/>
      <c r="L11" s="11"/>
      <c r="M11" s="10"/>
      <c r="N11" s="11"/>
      <c r="O11" s="11"/>
      <c r="P11" s="14"/>
    </row>
    <row r="12" spans="1:24" x14ac:dyDescent="0.25">
      <c r="A12" s="19" t="s">
        <v>9</v>
      </c>
      <c r="B12" s="11"/>
      <c r="C12" s="11"/>
      <c r="D12" s="10"/>
      <c r="E12" s="11"/>
      <c r="F12" s="11"/>
      <c r="G12" s="10"/>
      <c r="H12" s="11"/>
      <c r="I12" s="11"/>
      <c r="J12" s="10"/>
      <c r="K12" s="11"/>
      <c r="L12" s="11"/>
      <c r="M12" s="10"/>
      <c r="N12" s="11"/>
      <c r="O12" s="11"/>
      <c r="P12" s="14"/>
    </row>
    <row r="13" spans="1:24" x14ac:dyDescent="0.25">
      <c r="A13" s="19" t="s">
        <v>10</v>
      </c>
      <c r="B13" s="11">
        <v>4</v>
      </c>
      <c r="C13" s="11">
        <v>4</v>
      </c>
      <c r="D13" s="10">
        <f t="shared" si="1"/>
        <v>1</v>
      </c>
      <c r="E13" s="11">
        <v>4</v>
      </c>
      <c r="F13" s="11">
        <v>4</v>
      </c>
      <c r="G13" s="10">
        <f t="shared" si="2"/>
        <v>1</v>
      </c>
      <c r="H13" s="11">
        <v>3</v>
      </c>
      <c r="I13" s="11">
        <v>4</v>
      </c>
      <c r="J13" s="10">
        <f t="shared" si="3"/>
        <v>0.75</v>
      </c>
      <c r="K13" s="11">
        <v>3</v>
      </c>
      <c r="L13" s="11">
        <v>4</v>
      </c>
      <c r="M13" s="10">
        <f t="shared" si="0"/>
        <v>0.75</v>
      </c>
      <c r="N13" s="11">
        <v>2</v>
      </c>
      <c r="O13" s="11">
        <v>4</v>
      </c>
      <c r="P13" s="14">
        <f t="shared" si="0"/>
        <v>0.5</v>
      </c>
    </row>
    <row r="14" spans="1:24" x14ac:dyDescent="0.25">
      <c r="A14" s="19" t="s">
        <v>11</v>
      </c>
      <c r="B14" s="11">
        <v>0</v>
      </c>
      <c r="C14" s="11">
        <v>2</v>
      </c>
      <c r="D14" s="10">
        <f t="shared" si="1"/>
        <v>0</v>
      </c>
      <c r="E14" s="11">
        <v>2</v>
      </c>
      <c r="F14" s="11">
        <v>2</v>
      </c>
      <c r="G14" s="10">
        <f t="shared" si="2"/>
        <v>1</v>
      </c>
      <c r="H14" s="11">
        <v>2</v>
      </c>
      <c r="I14" s="11">
        <v>2</v>
      </c>
      <c r="J14" s="10">
        <f t="shared" si="3"/>
        <v>1</v>
      </c>
      <c r="K14" s="11">
        <v>0</v>
      </c>
      <c r="L14" s="11">
        <v>2</v>
      </c>
      <c r="M14" s="10">
        <f t="shared" si="0"/>
        <v>0</v>
      </c>
      <c r="N14" s="11">
        <v>2</v>
      </c>
      <c r="O14" s="11">
        <v>2</v>
      </c>
      <c r="P14" s="14">
        <f t="shared" si="0"/>
        <v>1</v>
      </c>
    </row>
    <row r="15" spans="1:24" x14ac:dyDescent="0.25">
      <c r="A15" s="19" t="s">
        <v>12</v>
      </c>
      <c r="B15" s="11">
        <v>1</v>
      </c>
      <c r="C15" s="11">
        <v>3</v>
      </c>
      <c r="D15" s="10">
        <f t="shared" si="1"/>
        <v>0.33333333333333331</v>
      </c>
      <c r="E15" s="11">
        <v>2</v>
      </c>
      <c r="F15" s="11">
        <v>3</v>
      </c>
      <c r="G15" s="10">
        <f t="shared" si="2"/>
        <v>0.66666666666666663</v>
      </c>
      <c r="H15" s="11">
        <v>3</v>
      </c>
      <c r="I15" s="11">
        <v>3</v>
      </c>
      <c r="J15" s="10">
        <f t="shared" si="3"/>
        <v>1</v>
      </c>
      <c r="K15" s="11">
        <v>2</v>
      </c>
      <c r="L15" s="11">
        <v>3</v>
      </c>
      <c r="M15" s="10">
        <f t="shared" si="0"/>
        <v>0.66666666666666663</v>
      </c>
      <c r="N15" s="11">
        <v>3</v>
      </c>
      <c r="O15" s="11">
        <v>3</v>
      </c>
      <c r="P15" s="14">
        <f t="shared" si="0"/>
        <v>1</v>
      </c>
    </row>
    <row r="16" spans="1:24" x14ac:dyDescent="0.25">
      <c r="A16" s="19" t="s">
        <v>15</v>
      </c>
      <c r="B16" s="11">
        <v>1</v>
      </c>
      <c r="C16" s="11">
        <v>6</v>
      </c>
      <c r="D16" s="10">
        <f t="shared" si="1"/>
        <v>0.16666666666666666</v>
      </c>
      <c r="E16" s="11">
        <v>0</v>
      </c>
      <c r="F16" s="11">
        <v>6</v>
      </c>
      <c r="G16" s="10">
        <f t="shared" si="2"/>
        <v>0</v>
      </c>
      <c r="H16" s="11">
        <v>0</v>
      </c>
      <c r="I16" s="11">
        <v>6</v>
      </c>
      <c r="J16" s="10">
        <f t="shared" si="3"/>
        <v>0</v>
      </c>
      <c r="K16" s="11">
        <v>2</v>
      </c>
      <c r="L16" s="11">
        <v>6</v>
      </c>
      <c r="M16" s="10">
        <f t="shared" si="0"/>
        <v>0.33333333333333331</v>
      </c>
      <c r="N16" s="11">
        <v>0</v>
      </c>
      <c r="O16" s="11">
        <v>6</v>
      </c>
      <c r="P16" s="14">
        <f t="shared" si="0"/>
        <v>0</v>
      </c>
    </row>
    <row r="17" spans="1:16" ht="15.75" thickBot="1" x14ac:dyDescent="0.3">
      <c r="A17" s="20" t="s">
        <v>16</v>
      </c>
      <c r="B17" s="37">
        <v>1</v>
      </c>
      <c r="C17" s="37">
        <v>5</v>
      </c>
      <c r="D17" s="16">
        <f t="shared" si="1"/>
        <v>0.2</v>
      </c>
      <c r="E17" s="37">
        <v>1</v>
      </c>
      <c r="F17" s="37">
        <v>5</v>
      </c>
      <c r="G17" s="16">
        <f t="shared" si="2"/>
        <v>0.2</v>
      </c>
      <c r="H17" s="37">
        <v>1</v>
      </c>
      <c r="I17" s="37">
        <v>5</v>
      </c>
      <c r="J17" s="16">
        <f t="shared" si="3"/>
        <v>0.2</v>
      </c>
      <c r="K17" s="37">
        <v>2</v>
      </c>
      <c r="L17" s="37">
        <v>6</v>
      </c>
      <c r="M17" s="16">
        <f t="shared" si="0"/>
        <v>0.33333333333333331</v>
      </c>
      <c r="N17" s="37">
        <v>5</v>
      </c>
      <c r="O17" s="37">
        <v>6</v>
      </c>
      <c r="P17" s="17">
        <f t="shared" si="0"/>
        <v>0.83333333333333337</v>
      </c>
    </row>
    <row r="18" spans="1:16" x14ac:dyDescent="0.25">
      <c r="B18" s="2"/>
      <c r="C18" s="2"/>
      <c r="D18" s="2"/>
      <c r="E18" s="2"/>
      <c r="F18" s="2"/>
      <c r="G18" s="2"/>
      <c r="H18" s="2"/>
      <c r="I18" s="2"/>
      <c r="J18" s="2"/>
      <c r="K18" s="2"/>
      <c r="L18" s="2"/>
      <c r="M18" s="2"/>
      <c r="N18" s="2"/>
    </row>
    <row r="19" spans="1:16" x14ac:dyDescent="0.25">
      <c r="A19" t="s">
        <v>194</v>
      </c>
      <c r="B19" s="3"/>
      <c r="D19" s="3">
        <f>SUM(B6:B10)</f>
        <v>16</v>
      </c>
      <c r="E19" s="3"/>
      <c r="F19" s="3"/>
      <c r="G19" s="3">
        <f t="shared" ref="G19:P19" si="4">SUM(E6:E10)</f>
        <v>20</v>
      </c>
      <c r="H19" s="3"/>
      <c r="I19" s="3"/>
      <c r="J19" s="3">
        <f t="shared" si="4"/>
        <v>20</v>
      </c>
      <c r="K19" s="3"/>
      <c r="L19" s="3"/>
      <c r="M19" s="3">
        <f t="shared" si="4"/>
        <v>17</v>
      </c>
      <c r="N19" s="3"/>
      <c r="O19" s="3"/>
      <c r="P19" s="3">
        <f t="shared" si="4"/>
        <v>19</v>
      </c>
    </row>
    <row r="20" spans="1:16" x14ac:dyDescent="0.25">
      <c r="A20" t="s">
        <v>195</v>
      </c>
      <c r="D20" s="3">
        <f>SUM(C6:C10)-D19</f>
        <v>4</v>
      </c>
      <c r="E20" s="3"/>
      <c r="F20" s="3"/>
      <c r="G20" s="3">
        <f t="shared" ref="G20:P20" si="5">SUM(F6:F10)-G19</f>
        <v>0</v>
      </c>
      <c r="H20" s="3"/>
      <c r="I20" s="3"/>
      <c r="J20" s="3">
        <f t="shared" si="5"/>
        <v>0</v>
      </c>
      <c r="K20" s="3"/>
      <c r="L20" s="3"/>
      <c r="M20" s="3">
        <f t="shared" si="5"/>
        <v>3</v>
      </c>
      <c r="N20" s="3"/>
      <c r="O20" s="3"/>
      <c r="P20" s="3">
        <f t="shared" si="5"/>
        <v>1</v>
      </c>
    </row>
    <row r="21" spans="1:16" x14ac:dyDescent="0.25">
      <c r="A21" t="s">
        <v>196</v>
      </c>
      <c r="D21" s="3">
        <f>SUM(C13:C17)-D22</f>
        <v>13</v>
      </c>
      <c r="E21" s="3"/>
      <c r="F21" s="3"/>
      <c r="G21" s="3">
        <f t="shared" ref="G21:P21" si="6">SUM(F13:F17)-G22</f>
        <v>11</v>
      </c>
      <c r="H21" s="3"/>
      <c r="I21" s="3"/>
      <c r="J21" s="3">
        <f t="shared" si="6"/>
        <v>11</v>
      </c>
      <c r="K21" s="3"/>
      <c r="L21" s="3"/>
      <c r="M21" s="3">
        <f t="shared" si="6"/>
        <v>12</v>
      </c>
      <c r="N21" s="3"/>
      <c r="O21" s="3"/>
      <c r="P21" s="3">
        <f t="shared" si="6"/>
        <v>9</v>
      </c>
    </row>
    <row r="22" spans="1:16" x14ac:dyDescent="0.25">
      <c r="A22" t="s">
        <v>197</v>
      </c>
      <c r="D22" s="3">
        <f>SUM(B13:B17)</f>
        <v>7</v>
      </c>
      <c r="E22" s="3"/>
      <c r="F22" s="3"/>
      <c r="G22" s="3">
        <f t="shared" ref="G22:P22" si="7">SUM(E13:E17)</f>
        <v>9</v>
      </c>
      <c r="H22" s="3"/>
      <c r="I22" s="3"/>
      <c r="J22" s="3">
        <f t="shared" si="7"/>
        <v>9</v>
      </c>
      <c r="K22" s="3"/>
      <c r="L22" s="3"/>
      <c r="M22" s="3">
        <f t="shared" si="7"/>
        <v>9</v>
      </c>
      <c r="N22" s="3"/>
      <c r="O22" s="3"/>
      <c r="P22" s="3">
        <f t="shared" si="7"/>
        <v>12</v>
      </c>
    </row>
    <row r="24" spans="1:16" x14ac:dyDescent="0.25">
      <c r="A24" t="s">
        <v>79</v>
      </c>
      <c r="D24" s="5">
        <f>SUM(D22,D19)/SUM(D19:D22)</f>
        <v>0.57499999999999996</v>
      </c>
      <c r="E24" s="5"/>
      <c r="F24" s="5"/>
      <c r="G24" s="5">
        <f t="shared" ref="G24:P24" si="8">SUM(G22,G19)/SUM(G19:G22)</f>
        <v>0.72499999999999998</v>
      </c>
      <c r="H24" s="5"/>
      <c r="I24" s="5"/>
      <c r="J24" s="5">
        <f t="shared" si="8"/>
        <v>0.72499999999999998</v>
      </c>
      <c r="K24" s="5"/>
      <c r="L24" s="5"/>
      <c r="M24" s="5">
        <f t="shared" si="8"/>
        <v>0.63414634146341464</v>
      </c>
      <c r="N24" s="5"/>
      <c r="O24" s="5"/>
      <c r="P24" s="5">
        <f t="shared" si="8"/>
        <v>0.75609756097560976</v>
      </c>
    </row>
    <row r="25" spans="1:16" x14ac:dyDescent="0.25">
      <c r="A25" t="s">
        <v>198</v>
      </c>
      <c r="D25" s="5">
        <f>D22/SUM(D22,D20)</f>
        <v>0.63636363636363635</v>
      </c>
      <c r="E25" s="5"/>
      <c r="F25" s="5"/>
      <c r="G25" s="5">
        <f t="shared" ref="G25:P25" si="9">G22/SUM(G22,G20)</f>
        <v>1</v>
      </c>
      <c r="H25" s="5"/>
      <c r="I25" s="5"/>
      <c r="J25" s="5">
        <f t="shared" si="9"/>
        <v>1</v>
      </c>
      <c r="K25" s="5"/>
      <c r="L25" s="5"/>
      <c r="M25" s="5">
        <f t="shared" si="9"/>
        <v>0.75</v>
      </c>
      <c r="N25" s="5"/>
      <c r="O25" s="5"/>
      <c r="P25" s="5">
        <f t="shared" si="9"/>
        <v>0.92307692307692313</v>
      </c>
    </row>
    <row r="26" spans="1:16" x14ac:dyDescent="0.25">
      <c r="A26" t="s">
        <v>206</v>
      </c>
      <c r="D26" s="1">
        <f>D22/SUM(D22,D21)</f>
        <v>0.35</v>
      </c>
      <c r="E26" s="1"/>
      <c r="F26" s="1"/>
      <c r="G26" s="1">
        <f t="shared" ref="G26:P26" si="10">G22/SUM(G22,G21)</f>
        <v>0.45</v>
      </c>
      <c r="H26" s="1"/>
      <c r="I26" s="1"/>
      <c r="J26" s="1">
        <f t="shared" si="10"/>
        <v>0.45</v>
      </c>
      <c r="K26" s="1"/>
      <c r="L26" s="1"/>
      <c r="M26" s="1">
        <f t="shared" si="10"/>
        <v>0.42857142857142855</v>
      </c>
      <c r="N26" s="1"/>
      <c r="O26" s="1"/>
      <c r="P26" s="1">
        <f t="shared" si="10"/>
        <v>0.5714285714285714</v>
      </c>
    </row>
    <row r="27" spans="1:16" x14ac:dyDescent="0.25">
      <c r="A27" t="s">
        <v>200</v>
      </c>
      <c r="D27" s="1">
        <f>D19/SUM(D19,D20)</f>
        <v>0.8</v>
      </c>
      <c r="E27" s="1"/>
      <c r="F27" s="1"/>
      <c r="G27" s="1">
        <f t="shared" ref="G27:P27" si="11">G19/SUM(G19,G20)</f>
        <v>1</v>
      </c>
      <c r="H27" s="1"/>
      <c r="I27" s="1"/>
      <c r="J27" s="1">
        <f t="shared" si="11"/>
        <v>1</v>
      </c>
      <c r="K27" s="1"/>
      <c r="L27" s="1"/>
      <c r="M27" s="1">
        <f t="shared" si="11"/>
        <v>0.85</v>
      </c>
      <c r="N27" s="1"/>
      <c r="O27" s="1"/>
      <c r="P27" s="1">
        <f t="shared" si="11"/>
        <v>0.95</v>
      </c>
    </row>
    <row r="28" spans="1:16" x14ac:dyDescent="0.25">
      <c r="A28" t="s">
        <v>199</v>
      </c>
      <c r="D28" s="1">
        <f>2*(D25*D26)/SUM(D25,D26)</f>
        <v>0.45161290322580644</v>
      </c>
      <c r="E28" s="1"/>
      <c r="F28" s="1"/>
      <c r="G28" s="1">
        <f t="shared" ref="G28:P28" si="12">2*(G25*G26)/SUM(G25,G26)</f>
        <v>0.62068965517241381</v>
      </c>
      <c r="H28" s="1"/>
      <c r="I28" s="1"/>
      <c r="J28" s="1">
        <f t="shared" si="12"/>
        <v>0.62068965517241381</v>
      </c>
      <c r="K28" s="1"/>
      <c r="L28" s="1"/>
      <c r="M28" s="1">
        <f t="shared" si="12"/>
        <v>0.54545454545454541</v>
      </c>
      <c r="N28" s="1"/>
      <c r="O28" s="1"/>
      <c r="P28" s="1">
        <f t="shared" si="12"/>
        <v>0.70588235294117652</v>
      </c>
    </row>
    <row r="29" spans="1:16" x14ac:dyDescent="0.25">
      <c r="A29" t="s">
        <v>201</v>
      </c>
      <c r="D29" s="1">
        <f>D20/SUM(D20,D19)</f>
        <v>0.2</v>
      </c>
      <c r="E29" s="1"/>
      <c r="F29" s="1"/>
      <c r="G29" s="1">
        <f t="shared" ref="G29:P29" si="13">G20/SUM(G20,G19)</f>
        <v>0</v>
      </c>
      <c r="H29" s="1"/>
      <c r="I29" s="1"/>
      <c r="J29" s="1">
        <f t="shared" si="13"/>
        <v>0</v>
      </c>
      <c r="K29" s="1"/>
      <c r="L29" s="1"/>
      <c r="M29" s="1">
        <f t="shared" si="13"/>
        <v>0.15</v>
      </c>
      <c r="N29" s="1"/>
      <c r="O29" s="1"/>
      <c r="P29" s="1">
        <f t="shared" si="13"/>
        <v>0.05</v>
      </c>
    </row>
    <row r="30" spans="1:16" x14ac:dyDescent="0.25">
      <c r="A30" t="s">
        <v>202</v>
      </c>
      <c r="D30" s="1">
        <f>D21/SUM(D21,D22)</f>
        <v>0.65</v>
      </c>
      <c r="E30" s="1"/>
      <c r="F30" s="1"/>
      <c r="G30" s="1">
        <f t="shared" ref="G30:P30" si="14">G21/SUM(G21,G22)</f>
        <v>0.55000000000000004</v>
      </c>
      <c r="H30" s="1"/>
      <c r="I30" s="1"/>
      <c r="J30" s="1">
        <f t="shared" si="14"/>
        <v>0.55000000000000004</v>
      </c>
      <c r="K30" s="1"/>
      <c r="L30" s="1"/>
      <c r="M30" s="1">
        <f t="shared" si="14"/>
        <v>0.5714285714285714</v>
      </c>
      <c r="N30" s="1"/>
      <c r="O30" s="1"/>
      <c r="P30" s="1">
        <f t="shared" si="14"/>
        <v>0.42857142857142855</v>
      </c>
    </row>
    <row r="31" spans="1:16" x14ac:dyDescent="0.25">
      <c r="A31" t="s">
        <v>203</v>
      </c>
      <c r="D31" s="1">
        <f>SUM(D26,D27)/2</f>
        <v>0.57499999999999996</v>
      </c>
      <c r="E31" s="1"/>
      <c r="F31" s="1"/>
      <c r="G31" s="1">
        <f t="shared" ref="G31:P31" si="15">SUM(G26,G27)/2</f>
        <v>0.72499999999999998</v>
      </c>
      <c r="H31" s="1"/>
      <c r="I31" s="1"/>
      <c r="J31" s="1">
        <f t="shared" si="15"/>
        <v>0.72499999999999998</v>
      </c>
      <c r="K31" s="1"/>
      <c r="L31" s="1"/>
      <c r="M31" s="1">
        <f t="shared" si="15"/>
        <v>0.63928571428571423</v>
      </c>
      <c r="N31" s="1"/>
      <c r="O31" s="1"/>
      <c r="P31" s="1">
        <f t="shared" si="15"/>
        <v>0.76071428571428568</v>
      </c>
    </row>
    <row r="32" spans="1:16" x14ac:dyDescent="0.25">
      <c r="A32" t="s">
        <v>204</v>
      </c>
      <c r="D32" s="1">
        <f>D26+D27-1</f>
        <v>0.14999999999999991</v>
      </c>
      <c r="E32" s="1"/>
      <c r="F32" s="1"/>
      <c r="G32" s="1">
        <f t="shared" ref="G32:P32" si="16">G26+G27-1</f>
        <v>0.44999999999999996</v>
      </c>
      <c r="H32" s="1"/>
      <c r="I32" s="1"/>
      <c r="J32" s="1">
        <f t="shared" si="16"/>
        <v>0.44999999999999996</v>
      </c>
      <c r="K32" s="1"/>
      <c r="L32" s="1"/>
      <c r="M32" s="1">
        <f t="shared" si="16"/>
        <v>0.27857142857142847</v>
      </c>
      <c r="N32" s="1"/>
      <c r="O32" s="1"/>
      <c r="P32" s="1">
        <f t="shared" si="16"/>
        <v>0.52142857142857135</v>
      </c>
    </row>
    <row r="33" spans="1:16" x14ac:dyDescent="0.25">
      <c r="A33" t="s">
        <v>205</v>
      </c>
      <c r="D33" s="7">
        <f>D19/SUM(D19,D21)</f>
        <v>0.55172413793103448</v>
      </c>
      <c r="E33" s="7"/>
      <c r="F33" s="7"/>
      <c r="G33" s="7">
        <f t="shared" ref="G33:P33" si="17">G19/SUM(G19,G21)</f>
        <v>0.64516129032258063</v>
      </c>
      <c r="H33" s="7"/>
      <c r="I33" s="7"/>
      <c r="J33" s="7">
        <f t="shared" si="17"/>
        <v>0.64516129032258063</v>
      </c>
      <c r="K33" s="7"/>
      <c r="L33" s="7"/>
      <c r="M33" s="7">
        <f t="shared" si="17"/>
        <v>0.58620689655172409</v>
      </c>
      <c r="N33" s="7"/>
      <c r="O33" s="7"/>
      <c r="P33" s="7">
        <f t="shared" si="17"/>
        <v>0.6785714285714286</v>
      </c>
    </row>
    <row r="34" spans="1:16" x14ac:dyDescent="0.25">
      <c r="A34" t="s">
        <v>208</v>
      </c>
      <c r="D34" s="5">
        <v>0.81000006198883001</v>
      </c>
      <c r="E34" s="5"/>
      <c r="F34" s="5"/>
      <c r="G34" s="5">
        <v>0.68500000238418501</v>
      </c>
      <c r="H34" s="5"/>
      <c r="I34" s="5"/>
      <c r="J34" s="5">
        <v>0.792500019073486</v>
      </c>
      <c r="K34" s="5"/>
      <c r="L34" s="5"/>
      <c r="M34" s="5">
        <v>0.76749998331069902</v>
      </c>
      <c r="N34" s="5"/>
      <c r="O34" s="5"/>
      <c r="P34" s="5">
        <v>0.75750005245208696</v>
      </c>
    </row>
    <row r="35" spans="1:16" x14ac:dyDescent="0.25">
      <c r="A35" t="s">
        <v>207</v>
      </c>
      <c r="D35" s="5">
        <v>0.82686930894851596</v>
      </c>
      <c r="E35" s="5"/>
      <c r="F35" s="5"/>
      <c r="G35" s="5">
        <v>0.72278165817260698</v>
      </c>
      <c r="H35" s="5"/>
      <c r="I35" s="5"/>
      <c r="J35" s="5">
        <v>0.83093768358230502</v>
      </c>
      <c r="K35" s="5"/>
      <c r="L35" s="5"/>
      <c r="M35" s="5">
        <v>0.76448243856429998</v>
      </c>
      <c r="N35" s="5"/>
      <c r="O35" s="5"/>
      <c r="P35" s="5">
        <v>0.81791085004806496</v>
      </c>
    </row>
    <row r="36" spans="1:16" ht="15.75" thickBot="1" x14ac:dyDescent="0.3"/>
    <row r="37" spans="1:16" x14ac:dyDescent="0.25">
      <c r="B37" s="27" t="s">
        <v>2</v>
      </c>
      <c r="C37" s="27"/>
      <c r="D37" s="27"/>
      <c r="E37" s="27" t="s">
        <v>20</v>
      </c>
      <c r="F37" s="27"/>
      <c r="G37" s="27"/>
      <c r="H37" s="27" t="s">
        <v>21</v>
      </c>
      <c r="I37" s="27"/>
      <c r="J37" s="27"/>
      <c r="K37" s="27" t="s">
        <v>22</v>
      </c>
      <c r="L37" s="27"/>
      <c r="M37" s="27"/>
      <c r="N37" s="27" t="s">
        <v>23</v>
      </c>
    </row>
    <row r="38" spans="1:16" x14ac:dyDescent="0.25">
      <c r="A38" t="s">
        <v>24</v>
      </c>
      <c r="B38" t="s">
        <v>135</v>
      </c>
      <c r="E38" t="s">
        <v>137</v>
      </c>
      <c r="H38" t="s">
        <v>137</v>
      </c>
      <c r="K38" t="s">
        <v>140</v>
      </c>
      <c r="N38" t="s">
        <v>144</v>
      </c>
    </row>
    <row r="39" spans="1:16" x14ac:dyDescent="0.25">
      <c r="B39" t="s">
        <v>136</v>
      </c>
      <c r="E39" t="s">
        <v>139</v>
      </c>
      <c r="H39" t="s">
        <v>138</v>
      </c>
      <c r="K39" t="s">
        <v>141</v>
      </c>
      <c r="N39" t="s">
        <v>145</v>
      </c>
    </row>
    <row r="40" spans="1:16" x14ac:dyDescent="0.25">
      <c r="K40" t="s">
        <v>143</v>
      </c>
    </row>
  </sheetData>
  <conditionalFormatting sqref="D6:D17 G6:G17 J6:J17 P6:P17 M6:M17">
    <cfRule type="colorScale" priority="16">
      <colorScale>
        <cfvo type="min"/>
        <cfvo type="percentile" val="50"/>
        <cfvo type="max"/>
        <color rgb="FFF8696B"/>
        <color rgb="FFFFEB84"/>
        <color rgb="FF63BE7B"/>
      </colorScale>
    </cfRule>
  </conditionalFormatting>
  <conditionalFormatting sqref="D24:D33 G24:G33 J24:J33 M24:M33 P24:P33">
    <cfRule type="colorScale" priority="15">
      <colorScale>
        <cfvo type="min"/>
        <cfvo type="percentile" val="50"/>
        <cfvo type="max"/>
        <color rgb="FFF8696B"/>
        <color rgb="FFFFEB84"/>
        <color rgb="FF63BE7B"/>
      </colorScale>
    </cfRule>
  </conditionalFormatting>
  <conditionalFormatting sqref="D24:D28 G24:G28 J24:J28 M24:M28 P24:P28 D31:D33 G31:G33 J31:J33 M31:M33 P31:P33">
    <cfRule type="colorScale" priority="14">
      <colorScale>
        <cfvo type="min"/>
        <cfvo type="percentile" val="50"/>
        <cfvo type="max"/>
        <color rgb="FFF8696B"/>
        <color rgb="FFFFEB84"/>
        <color rgb="FF63BE7B"/>
      </colorScale>
    </cfRule>
  </conditionalFormatting>
  <conditionalFormatting sqref="D29:D30 G29:G30 J29:J30 M29:M30 P29:P30">
    <cfRule type="colorScale" priority="2">
      <colorScale>
        <cfvo type="min"/>
        <cfvo type="percentile" val="50"/>
        <cfvo type="max"/>
        <color rgb="FF63BE7B"/>
        <color rgb="FFFFEB84"/>
        <color rgb="FFF8696B"/>
      </colorScale>
    </cfRule>
  </conditionalFormatting>
  <conditionalFormatting sqref="G24 D24 J24 M24 P24">
    <cfRule type="colorScale" priority="13">
      <colorScale>
        <cfvo type="min"/>
        <cfvo type="percentile" val="50"/>
        <cfvo type="max"/>
        <color rgb="FFF8696B"/>
        <color rgb="FFFFEB84"/>
        <color rgb="FF63BE7B"/>
      </colorScale>
    </cfRule>
  </conditionalFormatting>
  <conditionalFormatting sqref="G25 D25 J25 M25 P25">
    <cfRule type="colorScale" priority="12">
      <colorScale>
        <cfvo type="min"/>
        <cfvo type="percentile" val="50"/>
        <cfvo type="max"/>
        <color rgb="FFF8696B"/>
        <color rgb="FFFFEB84"/>
        <color rgb="FF63BE7B"/>
      </colorScale>
    </cfRule>
  </conditionalFormatting>
  <conditionalFormatting sqref="G26 D26 J26 M26 P26">
    <cfRule type="colorScale" priority="11">
      <colorScale>
        <cfvo type="min"/>
        <cfvo type="percentile" val="50"/>
        <cfvo type="max"/>
        <color rgb="FFF8696B"/>
        <color rgb="FFFFEB84"/>
        <color rgb="FF63BE7B"/>
      </colorScale>
    </cfRule>
  </conditionalFormatting>
  <conditionalFormatting sqref="G27 D27 J27 M27 P27">
    <cfRule type="colorScale" priority="10">
      <colorScale>
        <cfvo type="min"/>
        <cfvo type="percentile" val="50"/>
        <cfvo type="max"/>
        <color rgb="FFF8696B"/>
        <color rgb="FFFFEB84"/>
        <color rgb="FF63BE7B"/>
      </colorScale>
    </cfRule>
  </conditionalFormatting>
  <conditionalFormatting sqref="D28 G28 J28 M28 P28">
    <cfRule type="colorScale" priority="9">
      <colorScale>
        <cfvo type="min"/>
        <cfvo type="percentile" val="50"/>
        <cfvo type="max"/>
        <color rgb="FFF8696B"/>
        <color rgb="FFFFEB84"/>
        <color rgb="FF63BE7B"/>
      </colorScale>
    </cfRule>
  </conditionalFormatting>
  <conditionalFormatting sqref="D29 G29 J29 M29 P29">
    <cfRule type="colorScale" priority="8">
      <colorScale>
        <cfvo type="min"/>
        <cfvo type="percentile" val="50"/>
        <cfvo type="max"/>
        <color rgb="FF63BE7B"/>
        <color rgb="FFFFEB84"/>
        <color rgb="FFF8696B"/>
      </colorScale>
    </cfRule>
  </conditionalFormatting>
  <conditionalFormatting sqref="D30 G30 J30 M30 P30">
    <cfRule type="colorScale" priority="7">
      <colorScale>
        <cfvo type="min"/>
        <cfvo type="percentile" val="50"/>
        <cfvo type="max"/>
        <color rgb="FF63BE7B"/>
        <color rgb="FFFFEB84"/>
        <color rgb="FFF8696B"/>
      </colorScale>
    </cfRule>
  </conditionalFormatting>
  <conditionalFormatting sqref="D31 G31 J31 M31 P31">
    <cfRule type="colorScale" priority="6">
      <colorScale>
        <cfvo type="min"/>
        <cfvo type="percentile" val="50"/>
        <cfvo type="max"/>
        <color rgb="FFF8696B"/>
        <color rgb="FFFFEB84"/>
        <color rgb="FF63BE7B"/>
      </colorScale>
    </cfRule>
  </conditionalFormatting>
  <conditionalFormatting sqref="D32 G32 J32 M32 P32">
    <cfRule type="colorScale" priority="5">
      <colorScale>
        <cfvo type="min"/>
        <cfvo type="percentile" val="50"/>
        <cfvo type="max"/>
        <color rgb="FFF8696B"/>
        <color rgb="FFFFEB84"/>
        <color rgb="FF63BE7B"/>
      </colorScale>
    </cfRule>
  </conditionalFormatting>
  <conditionalFormatting sqref="D33 G33 J33 M33 P33">
    <cfRule type="colorScale" priority="4">
      <colorScale>
        <cfvo type="min"/>
        <cfvo type="percentile" val="50"/>
        <cfvo type="max"/>
        <color rgb="FFF8696B"/>
        <color rgb="FFFFEB84"/>
        <color rgb="FF63BE7B"/>
      </colorScale>
    </cfRule>
  </conditionalFormatting>
  <conditionalFormatting sqref="D24:D28 G24:G28 J24:J28 M24:M28 P24:P28 P31:P33 M31:M33 J31:J33 G31:G33 D31:D33">
    <cfRule type="colorScale" priority="3">
      <colorScale>
        <cfvo type="min"/>
        <cfvo type="percentile" val="50"/>
        <cfvo type="max"/>
        <color rgb="FFF8696B"/>
        <color rgb="FFFFEB84"/>
        <color rgb="FF63BE7B"/>
      </colorScale>
    </cfRule>
  </conditionalFormatting>
  <conditionalFormatting sqref="D24:D28 G24:G28 J24:J28 M24:M28 P24:P28 D31:D35 G31:G35 J31:J35 M31:M35 P31:P35">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B7605-B547-4803-B7B9-781B5720948E}">
  <dimension ref="A1:X40"/>
  <sheetViews>
    <sheetView topLeftCell="A19" workbookViewId="0">
      <selection activeCell="B37" sqref="B37:N37"/>
    </sheetView>
  </sheetViews>
  <sheetFormatPr defaultRowHeight="15" x14ac:dyDescent="0.25"/>
  <cols>
    <col min="1" max="1" width="17.28515625" customWidth="1"/>
  </cols>
  <sheetData>
    <row r="1" spans="1:24" x14ac:dyDescent="0.25">
      <c r="A1" t="s">
        <v>38</v>
      </c>
      <c r="B1" t="s">
        <v>39</v>
      </c>
      <c r="C1" t="s">
        <v>40</v>
      </c>
      <c r="D1" t="s">
        <v>74</v>
      </c>
      <c r="E1" t="s">
        <v>47</v>
      </c>
      <c r="F1" t="s">
        <v>58</v>
      </c>
      <c r="G1" t="s">
        <v>41</v>
      </c>
      <c r="O1" t="s">
        <v>41</v>
      </c>
      <c r="X1" t="s">
        <v>41</v>
      </c>
    </row>
    <row r="2" spans="1:24" x14ac:dyDescent="0.25">
      <c r="A2" t="s">
        <v>191</v>
      </c>
    </row>
    <row r="4" spans="1:24" x14ac:dyDescent="0.25">
      <c r="A4" t="s">
        <v>0</v>
      </c>
      <c r="B4" t="s">
        <v>2</v>
      </c>
      <c r="E4" t="s">
        <v>20</v>
      </c>
      <c r="H4" t="s">
        <v>21</v>
      </c>
      <c r="K4" t="s">
        <v>22</v>
      </c>
      <c r="N4" t="s">
        <v>23</v>
      </c>
    </row>
    <row r="5" spans="1:24" x14ac:dyDescent="0.25">
      <c r="B5" t="s">
        <v>77</v>
      </c>
      <c r="C5" t="s">
        <v>78</v>
      </c>
      <c r="D5" t="s">
        <v>79</v>
      </c>
      <c r="E5" t="s">
        <v>77</v>
      </c>
      <c r="F5" t="s">
        <v>78</v>
      </c>
      <c r="G5" t="s">
        <v>79</v>
      </c>
      <c r="H5" t="s">
        <v>77</v>
      </c>
      <c r="I5" t="s">
        <v>78</v>
      </c>
      <c r="J5" t="s">
        <v>79</v>
      </c>
      <c r="K5" t="s">
        <v>77</v>
      </c>
      <c r="L5" t="s">
        <v>78</v>
      </c>
      <c r="M5" t="s">
        <v>79</v>
      </c>
      <c r="N5" t="s">
        <v>77</v>
      </c>
      <c r="O5" t="s">
        <v>78</v>
      </c>
      <c r="P5" t="s">
        <v>79</v>
      </c>
    </row>
    <row r="6" spans="1:24" x14ac:dyDescent="0.25">
      <c r="A6" t="s">
        <v>1</v>
      </c>
      <c r="B6" s="3">
        <v>12</v>
      </c>
      <c r="C6" s="3">
        <v>12</v>
      </c>
      <c r="D6" s="1">
        <f>B6/C6</f>
        <v>1</v>
      </c>
      <c r="E6" s="3">
        <v>11</v>
      </c>
      <c r="F6" s="3">
        <v>12</v>
      </c>
      <c r="G6" s="1">
        <f>E6/F6</f>
        <v>0.91666666666666663</v>
      </c>
      <c r="H6" s="3">
        <v>12</v>
      </c>
      <c r="I6" s="3">
        <v>12</v>
      </c>
      <c r="J6" s="1">
        <f>H6/I6</f>
        <v>1</v>
      </c>
      <c r="K6" s="3">
        <v>9</v>
      </c>
      <c r="L6" s="3">
        <v>9</v>
      </c>
      <c r="M6" s="1">
        <f t="shared" ref="M6:P17" si="0">K6/L6</f>
        <v>1</v>
      </c>
      <c r="N6" s="3">
        <v>9</v>
      </c>
      <c r="O6" s="3">
        <v>9</v>
      </c>
      <c r="P6" s="1">
        <f t="shared" si="0"/>
        <v>1</v>
      </c>
    </row>
    <row r="7" spans="1:24" x14ac:dyDescent="0.25">
      <c r="A7" t="s">
        <v>4</v>
      </c>
      <c r="B7" s="3">
        <v>11</v>
      </c>
      <c r="C7" s="3">
        <v>14</v>
      </c>
      <c r="D7" s="1">
        <f t="shared" ref="D7:D17" si="1">B7/C7</f>
        <v>0.7857142857142857</v>
      </c>
      <c r="E7" s="3">
        <v>14</v>
      </c>
      <c r="F7" s="3">
        <v>14</v>
      </c>
      <c r="G7" s="1">
        <f t="shared" ref="G7:G17" si="2">E7/F7</f>
        <v>1</v>
      </c>
      <c r="H7" s="3">
        <v>14</v>
      </c>
      <c r="I7" s="3">
        <v>14</v>
      </c>
      <c r="J7" s="1">
        <f t="shared" ref="J7:J17" si="3">H7/I7</f>
        <v>1</v>
      </c>
      <c r="K7" s="3">
        <v>9</v>
      </c>
      <c r="L7" s="3">
        <v>9</v>
      </c>
      <c r="M7" s="1">
        <f t="shared" si="0"/>
        <v>1</v>
      </c>
      <c r="N7" s="3">
        <v>9</v>
      </c>
      <c r="O7" s="3">
        <v>9</v>
      </c>
      <c r="P7" s="1">
        <f t="shared" si="0"/>
        <v>1</v>
      </c>
    </row>
    <row r="8" spans="1:24" x14ac:dyDescent="0.25">
      <c r="A8" t="s">
        <v>5</v>
      </c>
      <c r="B8" s="3">
        <v>11</v>
      </c>
      <c r="C8" s="3">
        <v>11</v>
      </c>
      <c r="D8" s="1">
        <f t="shared" si="1"/>
        <v>1</v>
      </c>
      <c r="E8" s="3">
        <v>11</v>
      </c>
      <c r="F8" s="3">
        <v>11</v>
      </c>
      <c r="G8" s="1">
        <f t="shared" si="2"/>
        <v>1</v>
      </c>
      <c r="H8" s="3">
        <v>11</v>
      </c>
      <c r="I8" s="3">
        <v>11</v>
      </c>
      <c r="J8" s="1">
        <f t="shared" si="3"/>
        <v>1</v>
      </c>
      <c r="K8" s="3">
        <v>11</v>
      </c>
      <c r="L8" s="3">
        <v>11</v>
      </c>
      <c r="M8" s="1">
        <f t="shared" si="0"/>
        <v>1</v>
      </c>
      <c r="N8" s="3">
        <v>11</v>
      </c>
      <c r="O8" s="3">
        <v>11</v>
      </c>
      <c r="P8" s="1">
        <f t="shared" si="0"/>
        <v>1</v>
      </c>
    </row>
    <row r="9" spans="1:24" x14ac:dyDescent="0.25">
      <c r="A9" t="s">
        <v>6</v>
      </c>
      <c r="B9" s="3">
        <v>9</v>
      </c>
      <c r="C9" s="3">
        <v>11</v>
      </c>
      <c r="D9" s="1">
        <f t="shared" si="1"/>
        <v>0.81818181818181823</v>
      </c>
      <c r="E9" s="3">
        <v>10</v>
      </c>
      <c r="F9" s="3">
        <v>11</v>
      </c>
      <c r="G9" s="1">
        <f t="shared" si="2"/>
        <v>0.90909090909090906</v>
      </c>
      <c r="H9" s="3">
        <v>11</v>
      </c>
      <c r="I9" s="3">
        <v>11</v>
      </c>
      <c r="J9" s="1">
        <f t="shared" si="3"/>
        <v>1</v>
      </c>
      <c r="K9" s="3">
        <v>11</v>
      </c>
      <c r="L9" s="3">
        <v>11</v>
      </c>
      <c r="M9" s="1">
        <f t="shared" si="0"/>
        <v>1</v>
      </c>
      <c r="N9" s="3">
        <v>11</v>
      </c>
      <c r="O9" s="3">
        <v>11</v>
      </c>
      <c r="P9" s="1">
        <f t="shared" si="0"/>
        <v>1</v>
      </c>
    </row>
    <row r="10" spans="1:24" x14ac:dyDescent="0.25">
      <c r="A10" t="s">
        <v>7</v>
      </c>
      <c r="B10" s="3">
        <v>5</v>
      </c>
      <c r="C10" s="3">
        <v>5</v>
      </c>
      <c r="D10" s="1">
        <f t="shared" si="1"/>
        <v>1</v>
      </c>
      <c r="E10" s="3">
        <v>4</v>
      </c>
      <c r="F10" s="3">
        <v>5</v>
      </c>
      <c r="G10" s="1">
        <f t="shared" si="2"/>
        <v>0.8</v>
      </c>
      <c r="H10" s="3">
        <v>5</v>
      </c>
      <c r="I10" s="3">
        <v>5</v>
      </c>
      <c r="J10" s="1">
        <f t="shared" si="3"/>
        <v>1</v>
      </c>
      <c r="K10" s="3">
        <v>12</v>
      </c>
      <c r="L10" s="3">
        <v>13</v>
      </c>
      <c r="M10" s="1">
        <f t="shared" si="0"/>
        <v>0.92307692307692313</v>
      </c>
      <c r="N10" s="3">
        <v>14</v>
      </c>
      <c r="O10" s="3">
        <v>14</v>
      </c>
      <c r="P10" s="1">
        <f t="shared" si="0"/>
        <v>1</v>
      </c>
    </row>
    <row r="11" spans="1:24" x14ac:dyDescent="0.25">
      <c r="B11" s="3"/>
      <c r="C11" s="3"/>
      <c r="D11" s="1"/>
      <c r="E11" s="3"/>
      <c r="F11" s="3"/>
      <c r="G11" s="1"/>
      <c r="H11" s="3"/>
      <c r="I11" s="3"/>
      <c r="J11" s="1"/>
      <c r="K11" s="3"/>
      <c r="L11" s="3"/>
      <c r="M11" s="1"/>
      <c r="N11" s="3"/>
      <c r="O11" s="3"/>
      <c r="P11" s="1"/>
    </row>
    <row r="12" spans="1:24" x14ac:dyDescent="0.25">
      <c r="A12" t="s">
        <v>9</v>
      </c>
      <c r="B12" s="3"/>
      <c r="C12" s="3"/>
      <c r="D12" s="1"/>
      <c r="E12" s="3"/>
      <c r="F12" s="3"/>
      <c r="G12" s="1"/>
      <c r="H12" s="3"/>
      <c r="I12" s="3"/>
      <c r="J12" s="1"/>
      <c r="K12" s="3"/>
      <c r="L12" s="3"/>
      <c r="M12" s="1"/>
      <c r="N12" s="3"/>
      <c r="O12" s="3"/>
      <c r="P12" s="1"/>
    </row>
    <row r="13" spans="1:24" x14ac:dyDescent="0.25">
      <c r="A13" t="s">
        <v>10</v>
      </c>
      <c r="B13" s="3">
        <v>3</v>
      </c>
      <c r="C13" s="3">
        <v>11</v>
      </c>
      <c r="D13" s="1">
        <f t="shared" si="1"/>
        <v>0.27272727272727271</v>
      </c>
      <c r="E13" s="3">
        <v>8</v>
      </c>
      <c r="F13" s="3">
        <v>11</v>
      </c>
      <c r="G13" s="1">
        <f t="shared" si="2"/>
        <v>0.72727272727272729</v>
      </c>
      <c r="H13" s="3">
        <v>9</v>
      </c>
      <c r="I13" s="3">
        <v>11</v>
      </c>
      <c r="J13" s="1">
        <f t="shared" si="3"/>
        <v>0.81818181818181823</v>
      </c>
      <c r="K13" s="3">
        <v>7</v>
      </c>
      <c r="L13" s="3">
        <v>8</v>
      </c>
      <c r="M13" s="1">
        <f t="shared" si="0"/>
        <v>0.875</v>
      </c>
      <c r="N13" s="3">
        <v>6</v>
      </c>
      <c r="O13" s="3">
        <v>8</v>
      </c>
      <c r="P13" s="1">
        <f t="shared" si="0"/>
        <v>0.75</v>
      </c>
    </row>
    <row r="14" spans="1:24" x14ac:dyDescent="0.25">
      <c r="A14" t="s">
        <v>11</v>
      </c>
      <c r="B14" s="3">
        <v>3</v>
      </c>
      <c r="C14" s="3">
        <v>10</v>
      </c>
      <c r="D14" s="1">
        <f t="shared" si="1"/>
        <v>0.3</v>
      </c>
      <c r="E14" s="3">
        <v>10</v>
      </c>
      <c r="F14" s="3">
        <v>10</v>
      </c>
      <c r="G14" s="1">
        <f t="shared" si="2"/>
        <v>1</v>
      </c>
      <c r="H14" s="3">
        <v>10</v>
      </c>
      <c r="I14" s="3">
        <v>10</v>
      </c>
      <c r="J14" s="1">
        <f t="shared" si="3"/>
        <v>1</v>
      </c>
      <c r="K14" s="3">
        <v>11</v>
      </c>
      <c r="L14" s="3">
        <v>12</v>
      </c>
      <c r="M14" s="1">
        <f t="shared" si="0"/>
        <v>0.91666666666666663</v>
      </c>
      <c r="N14" s="3">
        <v>11</v>
      </c>
      <c r="O14" s="3">
        <v>12</v>
      </c>
      <c r="P14" s="1">
        <f t="shared" si="0"/>
        <v>0.91666666666666663</v>
      </c>
    </row>
    <row r="15" spans="1:24" x14ac:dyDescent="0.25">
      <c r="A15" t="s">
        <v>12</v>
      </c>
      <c r="B15" s="3">
        <v>1</v>
      </c>
      <c r="C15" s="3">
        <v>9</v>
      </c>
      <c r="D15" s="1">
        <f t="shared" si="1"/>
        <v>0.1111111111111111</v>
      </c>
      <c r="E15" s="3">
        <v>8</v>
      </c>
      <c r="F15" s="3">
        <v>9</v>
      </c>
      <c r="G15" s="1">
        <f t="shared" si="2"/>
        <v>0.88888888888888884</v>
      </c>
      <c r="H15" s="3">
        <v>9</v>
      </c>
      <c r="I15" s="3">
        <v>9</v>
      </c>
      <c r="J15" s="1">
        <f t="shared" si="3"/>
        <v>1</v>
      </c>
      <c r="K15" s="3">
        <v>9</v>
      </c>
      <c r="L15" s="3">
        <v>9</v>
      </c>
      <c r="M15" s="1">
        <f t="shared" si="0"/>
        <v>1</v>
      </c>
      <c r="N15" s="3">
        <v>9</v>
      </c>
      <c r="O15" s="3">
        <v>9</v>
      </c>
      <c r="P15" s="1">
        <f t="shared" si="0"/>
        <v>1</v>
      </c>
    </row>
    <row r="16" spans="1:24" x14ac:dyDescent="0.25">
      <c r="A16" t="s">
        <v>15</v>
      </c>
      <c r="B16" s="3">
        <v>4</v>
      </c>
      <c r="C16" s="3">
        <v>13</v>
      </c>
      <c r="D16" s="1">
        <f t="shared" si="1"/>
        <v>0.30769230769230771</v>
      </c>
      <c r="E16" s="3">
        <v>5</v>
      </c>
      <c r="F16" s="3">
        <v>13</v>
      </c>
      <c r="G16" s="1">
        <f t="shared" si="2"/>
        <v>0.38461538461538464</v>
      </c>
      <c r="H16" s="3">
        <v>2</v>
      </c>
      <c r="I16" s="3">
        <v>13</v>
      </c>
      <c r="J16" s="1">
        <f t="shared" si="3"/>
        <v>0.15384615384615385</v>
      </c>
      <c r="K16" s="3">
        <v>2</v>
      </c>
      <c r="L16" s="3">
        <v>11</v>
      </c>
      <c r="M16" s="1">
        <f t="shared" si="0"/>
        <v>0.18181818181818182</v>
      </c>
      <c r="N16" s="3">
        <v>5</v>
      </c>
      <c r="O16" s="3">
        <v>11</v>
      </c>
      <c r="P16" s="1">
        <f t="shared" si="0"/>
        <v>0.45454545454545453</v>
      </c>
    </row>
    <row r="17" spans="1:16" x14ac:dyDescent="0.25">
      <c r="A17" t="s">
        <v>16</v>
      </c>
      <c r="B17" s="3">
        <v>2</v>
      </c>
      <c r="C17" s="3">
        <v>10</v>
      </c>
      <c r="D17" s="1">
        <f t="shared" si="1"/>
        <v>0.2</v>
      </c>
      <c r="E17" s="3">
        <v>0</v>
      </c>
      <c r="F17" s="3">
        <v>10</v>
      </c>
      <c r="G17" s="1">
        <f t="shared" si="2"/>
        <v>0</v>
      </c>
      <c r="H17" s="3">
        <v>3</v>
      </c>
      <c r="I17" s="3">
        <v>10</v>
      </c>
      <c r="J17" s="1">
        <f t="shared" si="3"/>
        <v>0.3</v>
      </c>
      <c r="K17" s="3">
        <v>5</v>
      </c>
      <c r="L17" s="3">
        <v>13</v>
      </c>
      <c r="M17" s="1">
        <f t="shared" si="0"/>
        <v>0.38461538461538464</v>
      </c>
      <c r="N17" s="3">
        <v>9</v>
      </c>
      <c r="O17" s="3">
        <v>13</v>
      </c>
      <c r="P17" s="1">
        <f t="shared" si="0"/>
        <v>0.69230769230769229</v>
      </c>
    </row>
    <row r="18" spans="1:16" x14ac:dyDescent="0.25">
      <c r="B18" s="2"/>
      <c r="C18" s="2"/>
      <c r="D18" s="2"/>
      <c r="E18" s="2"/>
      <c r="F18" s="2"/>
      <c r="G18" s="2"/>
      <c r="H18" s="2"/>
      <c r="I18" s="2"/>
      <c r="J18" s="2"/>
      <c r="K18" s="2"/>
      <c r="L18" s="2"/>
      <c r="M18" s="2"/>
      <c r="N18" s="2"/>
    </row>
    <row r="19" spans="1:16" x14ac:dyDescent="0.25">
      <c r="A19" t="s">
        <v>194</v>
      </c>
      <c r="B19" s="3"/>
      <c r="D19" s="3">
        <f>SUM(B6:B10)</f>
        <v>48</v>
      </c>
      <c r="E19" s="3"/>
      <c r="F19" s="3"/>
      <c r="G19" s="3">
        <f t="shared" ref="G19:P19" si="4">SUM(E6:E10)</f>
        <v>50</v>
      </c>
      <c r="H19" s="3"/>
      <c r="I19" s="3"/>
      <c r="J19" s="3">
        <f t="shared" si="4"/>
        <v>53</v>
      </c>
      <c r="K19" s="3"/>
      <c r="L19" s="3"/>
      <c r="M19" s="3">
        <f t="shared" si="4"/>
        <v>52</v>
      </c>
      <c r="N19" s="3"/>
      <c r="O19" s="3"/>
      <c r="P19" s="3">
        <f t="shared" si="4"/>
        <v>54</v>
      </c>
    </row>
    <row r="20" spans="1:16" x14ac:dyDescent="0.25">
      <c r="A20" t="s">
        <v>195</v>
      </c>
      <c r="D20" s="3">
        <f>SUM(C6:C10)-D19</f>
        <v>5</v>
      </c>
      <c r="E20" s="3"/>
      <c r="F20" s="3"/>
      <c r="G20" s="3">
        <f t="shared" ref="G20:P20" si="5">SUM(F6:F10)-G19</f>
        <v>3</v>
      </c>
      <c r="H20" s="3"/>
      <c r="I20" s="3"/>
      <c r="J20" s="3">
        <f t="shared" si="5"/>
        <v>0</v>
      </c>
      <c r="K20" s="3"/>
      <c r="L20" s="3"/>
      <c r="M20" s="3">
        <f t="shared" si="5"/>
        <v>1</v>
      </c>
      <c r="N20" s="3"/>
      <c r="O20" s="3"/>
      <c r="P20" s="3">
        <f t="shared" si="5"/>
        <v>0</v>
      </c>
    </row>
    <row r="21" spans="1:16" x14ac:dyDescent="0.25">
      <c r="A21" t="s">
        <v>196</v>
      </c>
      <c r="D21" s="3">
        <f>SUM(C13:C17)-D22</f>
        <v>40</v>
      </c>
      <c r="E21" s="3"/>
      <c r="F21" s="3"/>
      <c r="G21" s="3">
        <f t="shared" ref="G21:P21" si="6">SUM(F13:F17)-G22</f>
        <v>22</v>
      </c>
      <c r="H21" s="3"/>
      <c r="I21" s="3"/>
      <c r="J21" s="3">
        <f t="shared" si="6"/>
        <v>20</v>
      </c>
      <c r="K21" s="3"/>
      <c r="L21" s="3"/>
      <c r="M21" s="3">
        <f t="shared" si="6"/>
        <v>19</v>
      </c>
      <c r="N21" s="3"/>
      <c r="O21" s="3"/>
      <c r="P21" s="3">
        <f t="shared" si="6"/>
        <v>13</v>
      </c>
    </row>
    <row r="22" spans="1:16" x14ac:dyDescent="0.25">
      <c r="A22" t="s">
        <v>197</v>
      </c>
      <c r="D22" s="3">
        <f>SUM(B13:B17)</f>
        <v>13</v>
      </c>
      <c r="E22" s="3"/>
      <c r="F22" s="3"/>
      <c r="G22" s="3">
        <f t="shared" ref="G22:P22" si="7">SUM(E13:E17)</f>
        <v>31</v>
      </c>
      <c r="H22" s="3"/>
      <c r="I22" s="3"/>
      <c r="J22" s="3">
        <f t="shared" si="7"/>
        <v>33</v>
      </c>
      <c r="K22" s="3"/>
      <c r="L22" s="3"/>
      <c r="M22" s="3">
        <f t="shared" si="7"/>
        <v>34</v>
      </c>
      <c r="N22" s="3"/>
      <c r="O22" s="3"/>
      <c r="P22" s="3">
        <f t="shared" si="7"/>
        <v>40</v>
      </c>
    </row>
    <row r="24" spans="1:16" x14ac:dyDescent="0.25">
      <c r="A24" t="s">
        <v>79</v>
      </c>
      <c r="D24" s="5">
        <f>SUM(D22,D19)/SUM(D19:D22)</f>
        <v>0.57547169811320753</v>
      </c>
      <c r="E24" s="5"/>
      <c r="F24" s="5"/>
      <c r="G24" s="5">
        <f t="shared" ref="G24:P24" si="8">SUM(G22,G19)/SUM(G19:G22)</f>
        <v>0.76415094339622647</v>
      </c>
      <c r="H24" s="5"/>
      <c r="I24" s="5"/>
      <c r="J24" s="5">
        <f t="shared" si="8"/>
        <v>0.81132075471698117</v>
      </c>
      <c r="K24" s="5"/>
      <c r="L24" s="5"/>
      <c r="M24" s="5">
        <f t="shared" si="8"/>
        <v>0.81132075471698117</v>
      </c>
      <c r="N24" s="5"/>
      <c r="O24" s="5"/>
      <c r="P24" s="5">
        <f t="shared" si="8"/>
        <v>0.87850467289719625</v>
      </c>
    </row>
    <row r="25" spans="1:16" x14ac:dyDescent="0.25">
      <c r="A25" t="s">
        <v>198</v>
      </c>
      <c r="D25" s="5">
        <f>D22/SUM(D22,D20)</f>
        <v>0.72222222222222221</v>
      </c>
      <c r="E25" s="5"/>
      <c r="F25" s="5"/>
      <c r="G25" s="5">
        <f t="shared" ref="G25:P25" si="9">G22/SUM(G22,G20)</f>
        <v>0.91176470588235292</v>
      </c>
      <c r="H25" s="5"/>
      <c r="I25" s="5"/>
      <c r="J25" s="5">
        <f t="shared" si="9"/>
        <v>1</v>
      </c>
      <c r="K25" s="5"/>
      <c r="L25" s="5"/>
      <c r="M25" s="5">
        <f t="shared" si="9"/>
        <v>0.97142857142857142</v>
      </c>
      <c r="N25" s="5"/>
      <c r="O25" s="5"/>
      <c r="P25" s="5">
        <f t="shared" si="9"/>
        <v>1</v>
      </c>
    </row>
    <row r="26" spans="1:16" x14ac:dyDescent="0.25">
      <c r="A26" t="s">
        <v>206</v>
      </c>
      <c r="D26" s="1">
        <f>D22/SUM(D22,D21)</f>
        <v>0.24528301886792453</v>
      </c>
      <c r="E26" s="1"/>
      <c r="F26" s="1"/>
      <c r="G26" s="1">
        <f t="shared" ref="G26:P26" si="10">G22/SUM(G22,G21)</f>
        <v>0.58490566037735847</v>
      </c>
      <c r="H26" s="1"/>
      <c r="I26" s="1"/>
      <c r="J26" s="1">
        <f t="shared" si="10"/>
        <v>0.62264150943396224</v>
      </c>
      <c r="K26" s="1"/>
      <c r="L26" s="1"/>
      <c r="M26" s="1">
        <f t="shared" si="10"/>
        <v>0.64150943396226412</v>
      </c>
      <c r="N26" s="1"/>
      <c r="O26" s="1"/>
      <c r="P26" s="1">
        <f t="shared" si="10"/>
        <v>0.75471698113207553</v>
      </c>
    </row>
    <row r="27" spans="1:16" x14ac:dyDescent="0.25">
      <c r="A27" t="s">
        <v>200</v>
      </c>
      <c r="D27" s="1">
        <f>D19/SUM(D19,D20)</f>
        <v>0.90566037735849059</v>
      </c>
      <c r="E27" s="1"/>
      <c r="F27" s="1"/>
      <c r="G27" s="1">
        <f t="shared" ref="G27:P27" si="11">G19/SUM(G19,G20)</f>
        <v>0.94339622641509435</v>
      </c>
      <c r="H27" s="1"/>
      <c r="I27" s="1"/>
      <c r="J27" s="1">
        <f t="shared" si="11"/>
        <v>1</v>
      </c>
      <c r="K27" s="1"/>
      <c r="L27" s="1"/>
      <c r="M27" s="1">
        <f t="shared" si="11"/>
        <v>0.98113207547169812</v>
      </c>
      <c r="N27" s="1"/>
      <c r="O27" s="1"/>
      <c r="P27" s="1">
        <f t="shared" si="11"/>
        <v>1</v>
      </c>
    </row>
    <row r="28" spans="1:16" x14ac:dyDescent="0.25">
      <c r="A28" t="s">
        <v>199</v>
      </c>
      <c r="D28" s="1">
        <f>2*(D25*D26)/SUM(D25,D26)</f>
        <v>0.36619718309859156</v>
      </c>
      <c r="E28" s="1"/>
      <c r="F28" s="1"/>
      <c r="G28" s="1">
        <f t="shared" ref="G28:P28" si="12">2*(G25*G26)/SUM(G25,G26)</f>
        <v>0.71264367816091945</v>
      </c>
      <c r="H28" s="1"/>
      <c r="I28" s="1"/>
      <c r="J28" s="1">
        <f t="shared" si="12"/>
        <v>0.7674418604651162</v>
      </c>
      <c r="K28" s="1"/>
      <c r="L28" s="1"/>
      <c r="M28" s="1">
        <f t="shared" si="12"/>
        <v>0.77272727272727271</v>
      </c>
      <c r="N28" s="1"/>
      <c r="O28" s="1"/>
      <c r="P28" s="1">
        <f t="shared" si="12"/>
        <v>0.86021505376344087</v>
      </c>
    </row>
    <row r="29" spans="1:16" x14ac:dyDescent="0.25">
      <c r="A29" t="s">
        <v>201</v>
      </c>
      <c r="D29" s="1">
        <f>D20/SUM(D20,D19)</f>
        <v>9.4339622641509441E-2</v>
      </c>
      <c r="E29" s="1"/>
      <c r="F29" s="1"/>
      <c r="G29" s="1">
        <f t="shared" ref="G29:P29" si="13">G20/SUM(G20,G19)</f>
        <v>5.6603773584905662E-2</v>
      </c>
      <c r="H29" s="1"/>
      <c r="I29" s="1"/>
      <c r="J29" s="1">
        <f t="shared" si="13"/>
        <v>0</v>
      </c>
      <c r="K29" s="1"/>
      <c r="L29" s="1"/>
      <c r="M29" s="1">
        <f t="shared" si="13"/>
        <v>1.8867924528301886E-2</v>
      </c>
      <c r="N29" s="1"/>
      <c r="O29" s="1"/>
      <c r="P29" s="1">
        <f t="shared" si="13"/>
        <v>0</v>
      </c>
    </row>
    <row r="30" spans="1:16" x14ac:dyDescent="0.25">
      <c r="A30" t="s">
        <v>202</v>
      </c>
      <c r="D30" s="1">
        <f>D21/SUM(D21,D22)</f>
        <v>0.75471698113207553</v>
      </c>
      <c r="E30" s="1"/>
      <c r="F30" s="1"/>
      <c r="G30" s="1">
        <f t="shared" ref="G30:P30" si="14">G21/SUM(G21,G22)</f>
        <v>0.41509433962264153</v>
      </c>
      <c r="H30" s="1"/>
      <c r="I30" s="1"/>
      <c r="J30" s="1">
        <f t="shared" si="14"/>
        <v>0.37735849056603776</v>
      </c>
      <c r="K30" s="1"/>
      <c r="L30" s="1"/>
      <c r="M30" s="1">
        <f t="shared" si="14"/>
        <v>0.35849056603773582</v>
      </c>
      <c r="N30" s="1"/>
      <c r="O30" s="1"/>
      <c r="P30" s="1">
        <f t="shared" si="14"/>
        <v>0.24528301886792453</v>
      </c>
    </row>
    <row r="31" spans="1:16" x14ac:dyDescent="0.25">
      <c r="A31" t="s">
        <v>203</v>
      </c>
      <c r="D31" s="1">
        <f>SUM(D26,D27)/2</f>
        <v>0.57547169811320753</v>
      </c>
      <c r="E31" s="1"/>
      <c r="F31" s="1"/>
      <c r="G31" s="1">
        <f t="shared" ref="G31:P31" si="15">SUM(G26,G27)/2</f>
        <v>0.76415094339622636</v>
      </c>
      <c r="H31" s="1"/>
      <c r="I31" s="1"/>
      <c r="J31" s="1">
        <f t="shared" si="15"/>
        <v>0.81132075471698117</v>
      </c>
      <c r="K31" s="1"/>
      <c r="L31" s="1"/>
      <c r="M31" s="1">
        <f t="shared" si="15"/>
        <v>0.81132075471698117</v>
      </c>
      <c r="N31" s="1"/>
      <c r="O31" s="1"/>
      <c r="P31" s="1">
        <f t="shared" si="15"/>
        <v>0.87735849056603776</v>
      </c>
    </row>
    <row r="32" spans="1:16" x14ac:dyDescent="0.25">
      <c r="A32" t="s">
        <v>204</v>
      </c>
      <c r="D32" s="1">
        <f>D26+D27-1</f>
        <v>0.15094339622641506</v>
      </c>
      <c r="E32" s="1"/>
      <c r="F32" s="1"/>
      <c r="G32" s="1">
        <f t="shared" ref="G32:P32" si="16">G26+G27-1</f>
        <v>0.52830188679245271</v>
      </c>
      <c r="H32" s="1"/>
      <c r="I32" s="1"/>
      <c r="J32" s="1">
        <f t="shared" si="16"/>
        <v>0.62264150943396235</v>
      </c>
      <c r="K32" s="1"/>
      <c r="L32" s="1"/>
      <c r="M32" s="1">
        <f t="shared" si="16"/>
        <v>0.62264150943396235</v>
      </c>
      <c r="N32" s="1"/>
      <c r="O32" s="1"/>
      <c r="P32" s="1">
        <f t="shared" si="16"/>
        <v>0.75471698113207553</v>
      </c>
    </row>
    <row r="33" spans="1:16" x14ac:dyDescent="0.25">
      <c r="A33" t="s">
        <v>205</v>
      </c>
      <c r="D33" s="7">
        <f>D19/SUM(D19,D21)</f>
        <v>0.54545454545454541</v>
      </c>
      <c r="E33" s="7"/>
      <c r="F33" s="7"/>
      <c r="G33" s="7">
        <f t="shared" ref="G33:P33" si="17">G19/SUM(G19,G21)</f>
        <v>0.69444444444444442</v>
      </c>
      <c r="H33" s="7"/>
      <c r="I33" s="7"/>
      <c r="J33" s="7">
        <f t="shared" si="17"/>
        <v>0.72602739726027399</v>
      </c>
      <c r="K33" s="7"/>
      <c r="L33" s="7"/>
      <c r="M33" s="7">
        <f t="shared" si="17"/>
        <v>0.73239436619718312</v>
      </c>
      <c r="N33" s="7"/>
      <c r="O33" s="7"/>
      <c r="P33" s="7">
        <f t="shared" si="17"/>
        <v>0.80597014925373134</v>
      </c>
    </row>
    <row r="34" spans="1:16" x14ac:dyDescent="0.25">
      <c r="A34" t="s">
        <v>208</v>
      </c>
      <c r="D34" s="5">
        <v>0.75987899303436202</v>
      </c>
      <c r="E34" s="5"/>
      <c r="F34" s="5"/>
      <c r="G34" s="5">
        <v>0.76682096719741799</v>
      </c>
      <c r="H34" s="5"/>
      <c r="I34" s="5"/>
      <c r="J34" s="5">
        <v>0.84122467041015603</v>
      </c>
      <c r="K34" s="5"/>
      <c r="L34" s="5"/>
      <c r="M34" s="5">
        <v>0.85617661476135198</v>
      </c>
      <c r="N34" s="5"/>
      <c r="O34" s="5"/>
      <c r="P34" s="5">
        <v>0.806870818138122</v>
      </c>
    </row>
    <row r="35" spans="1:16" x14ac:dyDescent="0.25">
      <c r="A35" t="s">
        <v>207</v>
      </c>
      <c r="D35" s="5">
        <v>0.84753638505935602</v>
      </c>
      <c r="E35" s="5"/>
      <c r="F35" s="5"/>
      <c r="G35" s="5">
        <v>0.759912729263305</v>
      </c>
      <c r="H35" s="5"/>
      <c r="I35" s="5"/>
      <c r="J35" s="5">
        <v>0.89035487174987704</v>
      </c>
      <c r="K35" s="5"/>
      <c r="L35" s="5"/>
      <c r="M35" s="5">
        <v>0.88827097415923995</v>
      </c>
      <c r="N35" s="5"/>
      <c r="O35" s="5"/>
      <c r="P35" s="5">
        <v>0.77168798446655196</v>
      </c>
    </row>
    <row r="37" spans="1:16" x14ac:dyDescent="0.25">
      <c r="B37" t="s">
        <v>2</v>
      </c>
      <c r="E37" t="s">
        <v>20</v>
      </c>
      <c r="H37" t="s">
        <v>21</v>
      </c>
      <c r="K37" t="s">
        <v>22</v>
      </c>
      <c r="N37" t="s">
        <v>23</v>
      </c>
    </row>
    <row r="38" spans="1:16" x14ac:dyDescent="0.25">
      <c r="A38" t="s">
        <v>24</v>
      </c>
      <c r="B38" t="s">
        <v>147</v>
      </c>
      <c r="E38" t="s">
        <v>149</v>
      </c>
      <c r="H38" t="s">
        <v>151</v>
      </c>
      <c r="K38" t="s">
        <v>154</v>
      </c>
      <c r="N38" t="s">
        <v>156</v>
      </c>
    </row>
    <row r="39" spans="1:16" x14ac:dyDescent="0.25">
      <c r="B39" t="s">
        <v>148</v>
      </c>
      <c r="E39" t="s">
        <v>150</v>
      </c>
      <c r="H39" t="s">
        <v>152</v>
      </c>
      <c r="K39" t="s">
        <v>155</v>
      </c>
      <c r="N39" t="s">
        <v>157</v>
      </c>
    </row>
    <row r="40" spans="1:16" x14ac:dyDescent="0.25">
      <c r="H40" t="s">
        <v>153</v>
      </c>
    </row>
  </sheetData>
  <conditionalFormatting sqref="D6:D17 G6:G17 J6:J17 P6:P17 M6:M17">
    <cfRule type="colorScale" priority="16">
      <colorScale>
        <cfvo type="min"/>
        <cfvo type="percentile" val="50"/>
        <cfvo type="max"/>
        <color rgb="FFF8696B"/>
        <color rgb="FFFFEB84"/>
        <color rgb="FF63BE7B"/>
      </colorScale>
    </cfRule>
  </conditionalFormatting>
  <conditionalFormatting sqref="D24:D33 G24:G33 J24:J33 M24:M33 P24:P33">
    <cfRule type="colorScale" priority="15">
      <colorScale>
        <cfvo type="min"/>
        <cfvo type="percentile" val="50"/>
        <cfvo type="max"/>
        <color rgb="FFF8696B"/>
        <color rgb="FFFFEB84"/>
        <color rgb="FF63BE7B"/>
      </colorScale>
    </cfRule>
  </conditionalFormatting>
  <conditionalFormatting sqref="D24:D28 G24:G28 J24:J28 M24:M28 P24:P28 D31:D33 G31:G33 J31:J33 M31:M33 P31:P33">
    <cfRule type="colorScale" priority="14">
      <colorScale>
        <cfvo type="min"/>
        <cfvo type="percentile" val="50"/>
        <cfvo type="max"/>
        <color rgb="FFF8696B"/>
        <color rgb="FFFFEB84"/>
        <color rgb="FF63BE7B"/>
      </colorScale>
    </cfRule>
  </conditionalFormatting>
  <conditionalFormatting sqref="D29:D30 G29:G30 J29:J30 M29:M30 P29:P30">
    <cfRule type="colorScale" priority="2">
      <colorScale>
        <cfvo type="min"/>
        <cfvo type="percentile" val="50"/>
        <cfvo type="max"/>
        <color rgb="FF63BE7B"/>
        <color rgb="FFFFEB84"/>
        <color rgb="FFF8696B"/>
      </colorScale>
    </cfRule>
  </conditionalFormatting>
  <conditionalFormatting sqref="G24 D24 J24 M24 P24">
    <cfRule type="colorScale" priority="13">
      <colorScale>
        <cfvo type="min"/>
        <cfvo type="percentile" val="50"/>
        <cfvo type="max"/>
        <color rgb="FFF8696B"/>
        <color rgb="FFFFEB84"/>
        <color rgb="FF63BE7B"/>
      </colorScale>
    </cfRule>
  </conditionalFormatting>
  <conditionalFormatting sqref="G25 D25 J25 M25 P25">
    <cfRule type="colorScale" priority="12">
      <colorScale>
        <cfvo type="min"/>
        <cfvo type="percentile" val="50"/>
        <cfvo type="max"/>
        <color rgb="FFF8696B"/>
        <color rgb="FFFFEB84"/>
        <color rgb="FF63BE7B"/>
      </colorScale>
    </cfRule>
  </conditionalFormatting>
  <conditionalFormatting sqref="G26 D26 J26 M26 P26">
    <cfRule type="colorScale" priority="11">
      <colorScale>
        <cfvo type="min"/>
        <cfvo type="percentile" val="50"/>
        <cfvo type="max"/>
        <color rgb="FFF8696B"/>
        <color rgb="FFFFEB84"/>
        <color rgb="FF63BE7B"/>
      </colorScale>
    </cfRule>
  </conditionalFormatting>
  <conditionalFormatting sqref="G27 D27 J27 M27 P27">
    <cfRule type="colorScale" priority="10">
      <colorScale>
        <cfvo type="min"/>
        <cfvo type="percentile" val="50"/>
        <cfvo type="max"/>
        <color rgb="FFF8696B"/>
        <color rgb="FFFFEB84"/>
        <color rgb="FF63BE7B"/>
      </colorScale>
    </cfRule>
  </conditionalFormatting>
  <conditionalFormatting sqref="D28 G28 J28 M28 P28">
    <cfRule type="colorScale" priority="9">
      <colorScale>
        <cfvo type="min"/>
        <cfvo type="percentile" val="50"/>
        <cfvo type="max"/>
        <color rgb="FFF8696B"/>
        <color rgb="FFFFEB84"/>
        <color rgb="FF63BE7B"/>
      </colorScale>
    </cfRule>
  </conditionalFormatting>
  <conditionalFormatting sqref="D29 G29 J29 M29 P29">
    <cfRule type="colorScale" priority="8">
      <colorScale>
        <cfvo type="min"/>
        <cfvo type="percentile" val="50"/>
        <cfvo type="max"/>
        <color rgb="FF63BE7B"/>
        <color rgb="FFFFEB84"/>
        <color rgb="FFF8696B"/>
      </colorScale>
    </cfRule>
  </conditionalFormatting>
  <conditionalFormatting sqref="D30 G30 J30 M30 P30">
    <cfRule type="colorScale" priority="7">
      <colorScale>
        <cfvo type="min"/>
        <cfvo type="percentile" val="50"/>
        <cfvo type="max"/>
        <color rgb="FF63BE7B"/>
        <color rgb="FFFFEB84"/>
        <color rgb="FFF8696B"/>
      </colorScale>
    </cfRule>
  </conditionalFormatting>
  <conditionalFormatting sqref="D31 G31 J31 M31 P31">
    <cfRule type="colorScale" priority="6">
      <colorScale>
        <cfvo type="min"/>
        <cfvo type="percentile" val="50"/>
        <cfvo type="max"/>
        <color rgb="FFF8696B"/>
        <color rgb="FFFFEB84"/>
        <color rgb="FF63BE7B"/>
      </colorScale>
    </cfRule>
  </conditionalFormatting>
  <conditionalFormatting sqref="D32 G32 J32 M32 P32">
    <cfRule type="colorScale" priority="5">
      <colorScale>
        <cfvo type="min"/>
        <cfvo type="percentile" val="50"/>
        <cfvo type="max"/>
        <color rgb="FFF8696B"/>
        <color rgb="FFFFEB84"/>
        <color rgb="FF63BE7B"/>
      </colorScale>
    </cfRule>
  </conditionalFormatting>
  <conditionalFormatting sqref="D33 G33 J33 M33 P33">
    <cfRule type="colorScale" priority="4">
      <colorScale>
        <cfvo type="min"/>
        <cfvo type="percentile" val="50"/>
        <cfvo type="max"/>
        <color rgb="FFF8696B"/>
        <color rgb="FFFFEB84"/>
        <color rgb="FF63BE7B"/>
      </colorScale>
    </cfRule>
  </conditionalFormatting>
  <conditionalFormatting sqref="D24:D28 G24:G28 J24:J28 M24:M28 P24:P28 P31:P33 M31:M33 J31:J33 G31:G33 D31:D33">
    <cfRule type="colorScale" priority="3">
      <colorScale>
        <cfvo type="min"/>
        <cfvo type="percentile" val="50"/>
        <cfvo type="max"/>
        <color rgb="FFF8696B"/>
        <color rgb="FFFFEB84"/>
        <color rgb="FF63BE7B"/>
      </colorScale>
    </cfRule>
  </conditionalFormatting>
  <conditionalFormatting sqref="D24:D28 G24:G28 J24:J28 M24:M28 P24:P28 D31:D35 G31:G35 J31:J35 M31:M35 P31:P35">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B7B59-0ABD-4F6D-AFD5-FCD97AD99D9B}">
  <dimension ref="A1:X40"/>
  <sheetViews>
    <sheetView topLeftCell="A22" workbookViewId="0">
      <selection activeCell="A37" sqref="A37:Q42"/>
    </sheetView>
  </sheetViews>
  <sheetFormatPr defaultRowHeight="15" x14ac:dyDescent="0.25"/>
  <cols>
    <col min="1" max="1" width="16.5703125" customWidth="1"/>
  </cols>
  <sheetData>
    <row r="1" spans="1:24" x14ac:dyDescent="0.25">
      <c r="A1" t="s">
        <v>38</v>
      </c>
      <c r="B1" t="s">
        <v>39</v>
      </c>
      <c r="C1" t="s">
        <v>40</v>
      </c>
      <c r="D1" t="s">
        <v>74</v>
      </c>
      <c r="E1" t="s">
        <v>47</v>
      </c>
      <c r="F1" t="s">
        <v>58</v>
      </c>
      <c r="G1" t="s">
        <v>41</v>
      </c>
      <c r="O1" t="s">
        <v>41</v>
      </c>
      <c r="X1" t="s">
        <v>41</v>
      </c>
    </row>
    <row r="2" spans="1:24" x14ac:dyDescent="0.25">
      <c r="A2" t="s">
        <v>192</v>
      </c>
    </row>
    <row r="4" spans="1:24" x14ac:dyDescent="0.25">
      <c r="A4" t="s">
        <v>0</v>
      </c>
      <c r="B4" t="s">
        <v>2</v>
      </c>
      <c r="E4" t="s">
        <v>20</v>
      </c>
      <c r="H4" t="s">
        <v>21</v>
      </c>
      <c r="K4" t="s">
        <v>22</v>
      </c>
      <c r="N4" t="s">
        <v>23</v>
      </c>
    </row>
    <row r="5" spans="1:24" x14ac:dyDescent="0.25">
      <c r="B5" t="s">
        <v>77</v>
      </c>
      <c r="C5" t="s">
        <v>78</v>
      </c>
      <c r="D5" t="s">
        <v>79</v>
      </c>
      <c r="E5" t="s">
        <v>77</v>
      </c>
      <c r="F5" t="s">
        <v>78</v>
      </c>
      <c r="G5" t="s">
        <v>79</v>
      </c>
      <c r="H5" t="s">
        <v>77</v>
      </c>
      <c r="I5" t="s">
        <v>78</v>
      </c>
      <c r="J5" t="s">
        <v>79</v>
      </c>
      <c r="K5" t="s">
        <v>77</v>
      </c>
      <c r="L5" t="s">
        <v>78</v>
      </c>
      <c r="M5" t="s">
        <v>79</v>
      </c>
      <c r="N5" t="s">
        <v>77</v>
      </c>
      <c r="O5" t="s">
        <v>78</v>
      </c>
      <c r="P5" t="s">
        <v>79</v>
      </c>
    </row>
    <row r="6" spans="1:24" x14ac:dyDescent="0.25">
      <c r="A6" t="s">
        <v>1</v>
      </c>
      <c r="B6" s="3">
        <v>3</v>
      </c>
      <c r="C6" s="3">
        <v>5</v>
      </c>
      <c r="D6" s="1">
        <f>B6/C6</f>
        <v>0.6</v>
      </c>
      <c r="E6" s="3">
        <v>3</v>
      </c>
      <c r="F6" s="3">
        <v>5</v>
      </c>
      <c r="G6" s="1">
        <f>E6/F6</f>
        <v>0.6</v>
      </c>
      <c r="H6" s="3">
        <v>5</v>
      </c>
      <c r="I6" s="3">
        <v>5</v>
      </c>
      <c r="J6" s="1">
        <f>H6/I6</f>
        <v>1</v>
      </c>
      <c r="K6" s="3">
        <v>8</v>
      </c>
      <c r="L6" s="3">
        <v>9</v>
      </c>
      <c r="M6" s="1">
        <f t="shared" ref="M6:P17" si="0">K6/L6</f>
        <v>0.88888888888888884</v>
      </c>
      <c r="N6" s="3">
        <v>9</v>
      </c>
      <c r="O6" s="3">
        <v>9</v>
      </c>
      <c r="P6" s="1">
        <f t="shared" si="0"/>
        <v>1</v>
      </c>
    </row>
    <row r="7" spans="1:24" x14ac:dyDescent="0.25">
      <c r="A7" t="s">
        <v>4</v>
      </c>
      <c r="B7" s="3">
        <v>5</v>
      </c>
      <c r="C7" s="3">
        <v>7</v>
      </c>
      <c r="D7" s="1">
        <f t="shared" ref="D7:D17" si="1">B7/C7</f>
        <v>0.7142857142857143</v>
      </c>
      <c r="E7" s="3">
        <v>6</v>
      </c>
      <c r="F7" s="3">
        <v>7</v>
      </c>
      <c r="G7" s="1">
        <f t="shared" ref="G7:G17" si="2">E7/F7</f>
        <v>0.8571428571428571</v>
      </c>
      <c r="H7" s="3">
        <v>7</v>
      </c>
      <c r="I7" s="3">
        <v>7</v>
      </c>
      <c r="J7" s="1">
        <f t="shared" ref="J7:J17" si="3">H7/I7</f>
        <v>1</v>
      </c>
      <c r="K7" s="3">
        <v>3</v>
      </c>
      <c r="L7" s="3">
        <v>4</v>
      </c>
      <c r="M7" s="1">
        <f t="shared" si="0"/>
        <v>0.75</v>
      </c>
      <c r="N7" s="3">
        <v>4</v>
      </c>
      <c r="O7" s="3">
        <v>4</v>
      </c>
      <c r="P7" s="1">
        <f t="shared" si="0"/>
        <v>1</v>
      </c>
    </row>
    <row r="8" spans="1:24" x14ac:dyDescent="0.25">
      <c r="A8" t="s">
        <v>5</v>
      </c>
      <c r="B8" s="3">
        <v>4</v>
      </c>
      <c r="C8" s="3">
        <v>5</v>
      </c>
      <c r="D8" s="1">
        <f t="shared" si="1"/>
        <v>0.8</v>
      </c>
      <c r="E8" s="3">
        <v>4</v>
      </c>
      <c r="F8" s="3">
        <v>5</v>
      </c>
      <c r="G8" s="1">
        <f t="shared" si="2"/>
        <v>0.8</v>
      </c>
      <c r="H8" s="3">
        <v>5</v>
      </c>
      <c r="I8" s="3">
        <v>5</v>
      </c>
      <c r="J8" s="1">
        <f t="shared" si="3"/>
        <v>1</v>
      </c>
      <c r="K8" s="3">
        <v>5</v>
      </c>
      <c r="L8" s="3">
        <v>5</v>
      </c>
      <c r="M8" s="1">
        <f t="shared" si="0"/>
        <v>1</v>
      </c>
      <c r="N8" s="3">
        <v>5</v>
      </c>
      <c r="O8" s="3">
        <v>5</v>
      </c>
      <c r="P8" s="1">
        <f t="shared" si="0"/>
        <v>1</v>
      </c>
    </row>
    <row r="9" spans="1:24" x14ac:dyDescent="0.25">
      <c r="A9" t="s">
        <v>6</v>
      </c>
      <c r="B9" s="3">
        <v>5</v>
      </c>
      <c r="C9" s="3">
        <v>6</v>
      </c>
      <c r="D9" s="1">
        <f t="shared" si="1"/>
        <v>0.83333333333333337</v>
      </c>
      <c r="E9" s="3">
        <v>5</v>
      </c>
      <c r="F9" s="3">
        <v>6</v>
      </c>
      <c r="G9" s="1">
        <f t="shared" si="2"/>
        <v>0.83333333333333337</v>
      </c>
      <c r="H9" s="3">
        <v>6</v>
      </c>
      <c r="I9" s="3">
        <v>6</v>
      </c>
      <c r="J9" s="1">
        <f t="shared" si="3"/>
        <v>1</v>
      </c>
      <c r="K9" s="3">
        <v>4</v>
      </c>
      <c r="L9" s="3">
        <v>6</v>
      </c>
      <c r="M9" s="1">
        <f t="shared" si="0"/>
        <v>0.66666666666666663</v>
      </c>
      <c r="N9" s="3">
        <v>6</v>
      </c>
      <c r="O9" s="3">
        <v>6</v>
      </c>
      <c r="P9" s="1">
        <f t="shared" si="0"/>
        <v>1</v>
      </c>
    </row>
    <row r="10" spans="1:24" x14ac:dyDescent="0.25">
      <c r="A10" t="s">
        <v>7</v>
      </c>
      <c r="B10" s="3">
        <v>4</v>
      </c>
      <c r="C10" s="3">
        <v>5</v>
      </c>
      <c r="D10" s="1">
        <f t="shared" si="1"/>
        <v>0.8</v>
      </c>
      <c r="E10" s="3">
        <v>4</v>
      </c>
      <c r="F10" s="3">
        <v>5</v>
      </c>
      <c r="G10" s="1">
        <f t="shared" si="2"/>
        <v>0.8</v>
      </c>
      <c r="H10" s="3">
        <v>5</v>
      </c>
      <c r="I10" s="3">
        <v>5</v>
      </c>
      <c r="J10" s="1">
        <f t="shared" si="3"/>
        <v>1</v>
      </c>
      <c r="K10" s="3">
        <v>4</v>
      </c>
      <c r="L10" s="3">
        <v>4</v>
      </c>
      <c r="M10" s="1">
        <f t="shared" si="0"/>
        <v>1</v>
      </c>
      <c r="N10" s="3">
        <v>4</v>
      </c>
      <c r="O10" s="3">
        <v>4</v>
      </c>
      <c r="P10" s="1">
        <f t="shared" si="0"/>
        <v>1</v>
      </c>
    </row>
    <row r="11" spans="1:24" x14ac:dyDescent="0.25">
      <c r="B11" s="3"/>
      <c r="C11" s="3"/>
      <c r="D11" s="1"/>
      <c r="E11" s="3"/>
      <c r="F11" s="3"/>
      <c r="G11" s="1"/>
      <c r="H11" s="3"/>
      <c r="I11" s="3"/>
      <c r="J11" s="1"/>
      <c r="K11" s="3"/>
      <c r="L11" s="3"/>
      <c r="M11" s="1"/>
      <c r="N11" s="3"/>
      <c r="O11" s="3"/>
      <c r="P11" s="1"/>
    </row>
    <row r="12" spans="1:24" x14ac:dyDescent="0.25">
      <c r="A12" t="s">
        <v>9</v>
      </c>
      <c r="B12" s="3"/>
      <c r="C12" s="3"/>
      <c r="D12" s="1"/>
      <c r="E12" s="3"/>
      <c r="F12" s="3"/>
      <c r="G12" s="1"/>
      <c r="H12" s="3"/>
      <c r="I12" s="3"/>
      <c r="J12" s="1"/>
      <c r="K12" s="3"/>
      <c r="L12" s="3"/>
      <c r="M12" s="1"/>
      <c r="N12" s="3"/>
      <c r="O12" s="3"/>
      <c r="P12" s="1"/>
    </row>
    <row r="13" spans="1:24" x14ac:dyDescent="0.25">
      <c r="A13" t="s">
        <v>10</v>
      </c>
      <c r="B13" s="3">
        <v>1</v>
      </c>
      <c r="C13" s="3">
        <v>5</v>
      </c>
      <c r="D13" s="1">
        <f t="shared" si="1"/>
        <v>0.2</v>
      </c>
      <c r="E13" s="3">
        <v>3</v>
      </c>
      <c r="F13" s="3">
        <v>5</v>
      </c>
      <c r="G13" s="1">
        <f t="shared" si="2"/>
        <v>0.6</v>
      </c>
      <c r="H13" s="3">
        <v>4</v>
      </c>
      <c r="I13" s="3">
        <v>5</v>
      </c>
      <c r="J13" s="1">
        <f t="shared" si="3"/>
        <v>0.8</v>
      </c>
      <c r="K13" s="3">
        <v>5</v>
      </c>
      <c r="L13" s="3">
        <v>7</v>
      </c>
      <c r="M13" s="1">
        <f t="shared" si="0"/>
        <v>0.7142857142857143</v>
      </c>
      <c r="N13" s="3">
        <v>6</v>
      </c>
      <c r="O13" s="3">
        <v>7</v>
      </c>
      <c r="P13" s="1">
        <f t="shared" si="0"/>
        <v>0.8571428571428571</v>
      </c>
    </row>
    <row r="14" spans="1:24" x14ac:dyDescent="0.25">
      <c r="A14" t="s">
        <v>11</v>
      </c>
      <c r="B14" s="3">
        <v>1</v>
      </c>
      <c r="C14" s="3">
        <v>7</v>
      </c>
      <c r="D14" s="1">
        <f t="shared" si="1"/>
        <v>0.14285714285714285</v>
      </c>
      <c r="E14" s="3">
        <v>4</v>
      </c>
      <c r="F14" s="3">
        <v>7</v>
      </c>
      <c r="G14" s="1">
        <f t="shared" si="2"/>
        <v>0.5714285714285714</v>
      </c>
      <c r="H14" s="3">
        <v>7</v>
      </c>
      <c r="I14" s="3">
        <v>7</v>
      </c>
      <c r="J14" s="1">
        <f t="shared" si="3"/>
        <v>1</v>
      </c>
      <c r="K14" s="3">
        <v>5</v>
      </c>
      <c r="L14" s="3">
        <v>5</v>
      </c>
      <c r="M14" s="1">
        <f t="shared" si="0"/>
        <v>1</v>
      </c>
      <c r="N14" s="3">
        <v>5</v>
      </c>
      <c r="O14" s="3">
        <v>5</v>
      </c>
      <c r="P14" s="1">
        <f t="shared" si="0"/>
        <v>1</v>
      </c>
    </row>
    <row r="15" spans="1:24" x14ac:dyDescent="0.25">
      <c r="A15" t="s">
        <v>12</v>
      </c>
      <c r="B15" s="3">
        <v>1</v>
      </c>
      <c r="C15" s="3">
        <v>3</v>
      </c>
      <c r="D15" s="1">
        <f t="shared" si="1"/>
        <v>0.33333333333333331</v>
      </c>
      <c r="E15" s="3">
        <v>3</v>
      </c>
      <c r="F15" s="3">
        <v>3</v>
      </c>
      <c r="G15" s="1">
        <f t="shared" si="2"/>
        <v>1</v>
      </c>
      <c r="H15" s="3">
        <v>3</v>
      </c>
      <c r="I15" s="3">
        <v>3</v>
      </c>
      <c r="J15" s="1">
        <f t="shared" si="3"/>
        <v>1</v>
      </c>
      <c r="K15" s="3">
        <v>7</v>
      </c>
      <c r="L15" s="3">
        <v>7</v>
      </c>
      <c r="M15" s="1">
        <f t="shared" si="0"/>
        <v>1</v>
      </c>
      <c r="N15" s="3">
        <v>7</v>
      </c>
      <c r="O15" s="3">
        <v>7</v>
      </c>
      <c r="P15" s="1">
        <f t="shared" si="0"/>
        <v>1</v>
      </c>
    </row>
    <row r="16" spans="1:24" x14ac:dyDescent="0.25">
      <c r="A16" t="s">
        <v>15</v>
      </c>
      <c r="B16" s="3">
        <v>1</v>
      </c>
      <c r="C16" s="3">
        <v>5</v>
      </c>
      <c r="D16" s="1">
        <f t="shared" si="1"/>
        <v>0.2</v>
      </c>
      <c r="E16" s="3">
        <v>2</v>
      </c>
      <c r="F16" s="3">
        <v>5</v>
      </c>
      <c r="G16" s="1">
        <f t="shared" si="2"/>
        <v>0.4</v>
      </c>
      <c r="H16" s="3">
        <v>2</v>
      </c>
      <c r="I16" s="3">
        <v>5</v>
      </c>
      <c r="J16" s="1">
        <f t="shared" si="3"/>
        <v>0.4</v>
      </c>
      <c r="K16" s="3">
        <v>2</v>
      </c>
      <c r="L16" s="3">
        <v>5</v>
      </c>
      <c r="M16" s="1">
        <f t="shared" si="0"/>
        <v>0.4</v>
      </c>
      <c r="N16" s="3">
        <v>2</v>
      </c>
      <c r="O16" s="3">
        <v>5</v>
      </c>
      <c r="P16" s="1">
        <f t="shared" si="0"/>
        <v>0.4</v>
      </c>
    </row>
    <row r="17" spans="1:16" x14ac:dyDescent="0.25">
      <c r="A17" t="s">
        <v>16</v>
      </c>
      <c r="B17" s="3">
        <v>2</v>
      </c>
      <c r="C17" s="3">
        <v>8</v>
      </c>
      <c r="D17" s="1">
        <f t="shared" si="1"/>
        <v>0.25</v>
      </c>
      <c r="E17" s="3">
        <v>3</v>
      </c>
      <c r="F17" s="3">
        <v>8</v>
      </c>
      <c r="G17" s="1">
        <f t="shared" si="2"/>
        <v>0.375</v>
      </c>
      <c r="H17" s="3">
        <v>2</v>
      </c>
      <c r="I17" s="3">
        <v>8</v>
      </c>
      <c r="J17" s="1">
        <f t="shared" si="3"/>
        <v>0.25</v>
      </c>
      <c r="K17" s="3">
        <v>3</v>
      </c>
      <c r="L17" s="3">
        <v>4</v>
      </c>
      <c r="M17" s="1">
        <f t="shared" si="0"/>
        <v>0.75</v>
      </c>
      <c r="N17" s="3">
        <v>3</v>
      </c>
      <c r="O17" s="3">
        <v>4</v>
      </c>
      <c r="P17" s="1">
        <f t="shared" si="0"/>
        <v>0.75</v>
      </c>
    </row>
    <row r="18" spans="1:16" x14ac:dyDescent="0.25">
      <c r="B18" s="2"/>
      <c r="C18" s="2"/>
      <c r="D18" s="2"/>
      <c r="E18" s="2"/>
      <c r="F18" s="2"/>
      <c r="G18" s="2"/>
      <c r="H18" s="2"/>
      <c r="I18" s="2"/>
      <c r="J18" s="2"/>
      <c r="K18" s="2"/>
      <c r="L18" s="2"/>
      <c r="M18" s="2"/>
      <c r="N18" s="2"/>
    </row>
    <row r="19" spans="1:16" x14ac:dyDescent="0.25">
      <c r="A19" t="s">
        <v>194</v>
      </c>
      <c r="B19" s="3"/>
      <c r="D19" s="3">
        <f>SUM(B6:B10)</f>
        <v>21</v>
      </c>
      <c r="E19" s="3"/>
      <c r="F19" s="3"/>
      <c r="G19" s="3">
        <f t="shared" ref="G19:P19" si="4">SUM(E6:E10)</f>
        <v>22</v>
      </c>
      <c r="H19" s="3"/>
      <c r="I19" s="3"/>
      <c r="J19" s="3">
        <f t="shared" si="4"/>
        <v>28</v>
      </c>
      <c r="K19" s="3"/>
      <c r="L19" s="3"/>
      <c r="M19" s="3">
        <f t="shared" si="4"/>
        <v>24</v>
      </c>
      <c r="N19" s="3"/>
      <c r="O19" s="3"/>
      <c r="P19" s="3">
        <f t="shared" si="4"/>
        <v>28</v>
      </c>
    </row>
    <row r="20" spans="1:16" x14ac:dyDescent="0.25">
      <c r="A20" t="s">
        <v>195</v>
      </c>
      <c r="D20" s="3">
        <f>SUM(C6:C10)-D19</f>
        <v>7</v>
      </c>
      <c r="E20" s="3"/>
      <c r="F20" s="3"/>
      <c r="G20" s="3">
        <f t="shared" ref="G20:P20" si="5">SUM(F6:F10)-G19</f>
        <v>6</v>
      </c>
      <c r="H20" s="3"/>
      <c r="I20" s="3"/>
      <c r="J20" s="3">
        <f t="shared" si="5"/>
        <v>0</v>
      </c>
      <c r="K20" s="3"/>
      <c r="L20" s="3"/>
      <c r="M20" s="3">
        <f t="shared" si="5"/>
        <v>4</v>
      </c>
      <c r="N20" s="3"/>
      <c r="O20" s="3"/>
      <c r="P20" s="3">
        <f t="shared" si="5"/>
        <v>0</v>
      </c>
    </row>
    <row r="21" spans="1:16" x14ac:dyDescent="0.25">
      <c r="A21" t="s">
        <v>196</v>
      </c>
      <c r="D21" s="3">
        <f>SUM(C13:C17)-D22</f>
        <v>22</v>
      </c>
      <c r="E21" s="3"/>
      <c r="F21" s="3"/>
      <c r="G21" s="3">
        <f t="shared" ref="G21:P21" si="6">SUM(F13:F17)-G22</f>
        <v>13</v>
      </c>
      <c r="H21" s="3"/>
      <c r="I21" s="3"/>
      <c r="J21" s="3">
        <f t="shared" si="6"/>
        <v>10</v>
      </c>
      <c r="K21" s="3"/>
      <c r="L21" s="3"/>
      <c r="M21" s="3">
        <f t="shared" si="6"/>
        <v>6</v>
      </c>
      <c r="N21" s="3"/>
      <c r="O21" s="3"/>
      <c r="P21" s="3">
        <f t="shared" si="6"/>
        <v>5</v>
      </c>
    </row>
    <row r="22" spans="1:16" x14ac:dyDescent="0.25">
      <c r="A22" t="s">
        <v>197</v>
      </c>
      <c r="D22" s="3">
        <f>SUM(B13:B17)</f>
        <v>6</v>
      </c>
      <c r="E22" s="3"/>
      <c r="F22" s="3"/>
      <c r="G22" s="3">
        <f t="shared" ref="G22:P22" si="7">SUM(E13:E17)</f>
        <v>15</v>
      </c>
      <c r="H22" s="3"/>
      <c r="I22" s="3"/>
      <c r="J22" s="3">
        <f t="shared" si="7"/>
        <v>18</v>
      </c>
      <c r="K22" s="3"/>
      <c r="L22" s="3"/>
      <c r="M22" s="3">
        <f t="shared" si="7"/>
        <v>22</v>
      </c>
      <c r="N22" s="3"/>
      <c r="O22" s="3"/>
      <c r="P22" s="3">
        <f t="shared" si="7"/>
        <v>23</v>
      </c>
    </row>
    <row r="24" spans="1:16" x14ac:dyDescent="0.25">
      <c r="A24" t="s">
        <v>79</v>
      </c>
      <c r="D24" s="6">
        <f>SUM(D22,D19)/SUM(D19:D22)</f>
        <v>0.48214285714285715</v>
      </c>
      <c r="E24" s="6"/>
      <c r="F24" s="6"/>
      <c r="G24" s="6">
        <f t="shared" ref="G24:P24" si="8">SUM(G22,G19)/SUM(G19:G22)</f>
        <v>0.6607142857142857</v>
      </c>
      <c r="H24" s="6"/>
      <c r="I24" s="6"/>
      <c r="J24" s="6">
        <f t="shared" si="8"/>
        <v>0.8214285714285714</v>
      </c>
      <c r="K24" s="6"/>
      <c r="L24" s="6"/>
      <c r="M24" s="6">
        <f t="shared" si="8"/>
        <v>0.8214285714285714</v>
      </c>
      <c r="N24" s="6"/>
      <c r="O24" s="6"/>
      <c r="P24" s="6">
        <f t="shared" si="8"/>
        <v>0.9107142857142857</v>
      </c>
    </row>
    <row r="25" spans="1:16" x14ac:dyDescent="0.25">
      <c r="A25" t="s">
        <v>198</v>
      </c>
      <c r="D25" s="6">
        <f>D22/SUM(D22,D20)</f>
        <v>0.46153846153846156</v>
      </c>
      <c r="E25" s="6"/>
      <c r="F25" s="6"/>
      <c r="G25" s="6">
        <f t="shared" ref="G25:P25" si="9">G22/SUM(G22,G20)</f>
        <v>0.7142857142857143</v>
      </c>
      <c r="H25" s="6"/>
      <c r="I25" s="6"/>
      <c r="J25" s="6">
        <f t="shared" si="9"/>
        <v>1</v>
      </c>
      <c r="K25" s="6"/>
      <c r="L25" s="6"/>
      <c r="M25" s="6">
        <f t="shared" si="9"/>
        <v>0.84615384615384615</v>
      </c>
      <c r="N25" s="6"/>
      <c r="O25" s="6"/>
      <c r="P25" s="6">
        <f t="shared" si="9"/>
        <v>1</v>
      </c>
    </row>
    <row r="26" spans="1:16" x14ac:dyDescent="0.25">
      <c r="A26" t="s">
        <v>206</v>
      </c>
      <c r="D26" s="8">
        <f>D22/SUM(D22,D21)</f>
        <v>0.21428571428571427</v>
      </c>
      <c r="E26" s="8"/>
      <c r="F26" s="8"/>
      <c r="G26" s="8">
        <f t="shared" ref="G26:P26" si="10">G22/SUM(G22,G21)</f>
        <v>0.5357142857142857</v>
      </c>
      <c r="H26" s="8"/>
      <c r="I26" s="8"/>
      <c r="J26" s="8">
        <f t="shared" si="10"/>
        <v>0.6428571428571429</v>
      </c>
      <c r="K26" s="8"/>
      <c r="L26" s="8"/>
      <c r="M26" s="8">
        <f t="shared" si="10"/>
        <v>0.7857142857142857</v>
      </c>
      <c r="N26" s="8"/>
      <c r="O26" s="8"/>
      <c r="P26" s="8">
        <f t="shared" si="10"/>
        <v>0.8214285714285714</v>
      </c>
    </row>
    <row r="27" spans="1:16" x14ac:dyDescent="0.25">
      <c r="A27" t="s">
        <v>200</v>
      </c>
      <c r="D27" s="8">
        <f>D19/SUM(D19,D20)</f>
        <v>0.75</v>
      </c>
      <c r="E27" s="8"/>
      <c r="F27" s="8"/>
      <c r="G27" s="8">
        <f t="shared" ref="G27:P27" si="11">G19/SUM(G19,G20)</f>
        <v>0.7857142857142857</v>
      </c>
      <c r="H27" s="8"/>
      <c r="I27" s="8"/>
      <c r="J27" s="8">
        <f t="shared" si="11"/>
        <v>1</v>
      </c>
      <c r="K27" s="8"/>
      <c r="L27" s="8"/>
      <c r="M27" s="8">
        <f t="shared" si="11"/>
        <v>0.8571428571428571</v>
      </c>
      <c r="N27" s="8"/>
      <c r="O27" s="8"/>
      <c r="P27" s="8">
        <f t="shared" si="11"/>
        <v>1</v>
      </c>
    </row>
    <row r="28" spans="1:16" x14ac:dyDescent="0.25">
      <c r="A28" t="s">
        <v>199</v>
      </c>
      <c r="D28" s="8">
        <f>2*(D25*D26)/SUM(D25,D26)</f>
        <v>0.29268292682926828</v>
      </c>
      <c r="E28" s="8"/>
      <c r="F28" s="8"/>
      <c r="G28" s="8">
        <f t="shared" ref="G28:P28" si="12">2*(G25*G26)/SUM(G25,G26)</f>
        <v>0.61224489795918369</v>
      </c>
      <c r="H28" s="8"/>
      <c r="I28" s="8"/>
      <c r="J28" s="8">
        <f t="shared" si="12"/>
        <v>0.78260869565217395</v>
      </c>
      <c r="K28" s="8"/>
      <c r="L28" s="8"/>
      <c r="M28" s="8">
        <f t="shared" si="12"/>
        <v>0.81481481481481477</v>
      </c>
      <c r="N28" s="8"/>
      <c r="O28" s="8"/>
      <c r="P28" s="8">
        <f t="shared" si="12"/>
        <v>0.90196078431372551</v>
      </c>
    </row>
    <row r="29" spans="1:16" x14ac:dyDescent="0.25">
      <c r="A29" t="s">
        <v>201</v>
      </c>
      <c r="D29" s="8">
        <f>D20/SUM(D20,D19)</f>
        <v>0.25</v>
      </c>
      <c r="E29" s="8"/>
      <c r="F29" s="8"/>
      <c r="G29" s="8">
        <f t="shared" ref="G29:P29" si="13">G20/SUM(G20,G19)</f>
        <v>0.21428571428571427</v>
      </c>
      <c r="H29" s="8"/>
      <c r="I29" s="8"/>
      <c r="J29" s="8">
        <f t="shared" si="13"/>
        <v>0</v>
      </c>
      <c r="K29" s="8"/>
      <c r="L29" s="8"/>
      <c r="M29" s="8">
        <f t="shared" si="13"/>
        <v>0.14285714285714285</v>
      </c>
      <c r="N29" s="8"/>
      <c r="O29" s="8"/>
      <c r="P29" s="8">
        <f t="shared" si="13"/>
        <v>0</v>
      </c>
    </row>
    <row r="30" spans="1:16" x14ac:dyDescent="0.25">
      <c r="A30" t="s">
        <v>202</v>
      </c>
      <c r="D30" s="8">
        <f>D21/SUM(D21,D22)</f>
        <v>0.7857142857142857</v>
      </c>
      <c r="E30" s="8"/>
      <c r="F30" s="8"/>
      <c r="G30" s="8">
        <f t="shared" ref="G30:P30" si="14">G21/SUM(G21,G22)</f>
        <v>0.4642857142857143</v>
      </c>
      <c r="H30" s="8"/>
      <c r="I30" s="8"/>
      <c r="J30" s="8">
        <f t="shared" si="14"/>
        <v>0.35714285714285715</v>
      </c>
      <c r="K30" s="8"/>
      <c r="L30" s="8"/>
      <c r="M30" s="8">
        <f t="shared" si="14"/>
        <v>0.21428571428571427</v>
      </c>
      <c r="N30" s="8"/>
      <c r="O30" s="8"/>
      <c r="P30" s="8">
        <f t="shared" si="14"/>
        <v>0.17857142857142858</v>
      </c>
    </row>
    <row r="31" spans="1:16" x14ac:dyDescent="0.25">
      <c r="A31" t="s">
        <v>203</v>
      </c>
      <c r="D31" s="8">
        <f>SUM(D26,D27)/2</f>
        <v>0.48214285714285715</v>
      </c>
      <c r="E31" s="8"/>
      <c r="F31" s="8"/>
      <c r="G31" s="8">
        <f t="shared" ref="G31:P31" si="15">SUM(G26,G27)/2</f>
        <v>0.6607142857142857</v>
      </c>
      <c r="H31" s="8"/>
      <c r="I31" s="8"/>
      <c r="J31" s="8">
        <f t="shared" si="15"/>
        <v>0.8214285714285714</v>
      </c>
      <c r="K31" s="8"/>
      <c r="L31" s="8"/>
      <c r="M31" s="8">
        <f t="shared" si="15"/>
        <v>0.8214285714285714</v>
      </c>
      <c r="N31" s="8"/>
      <c r="O31" s="8"/>
      <c r="P31" s="8">
        <f t="shared" si="15"/>
        <v>0.9107142857142857</v>
      </c>
    </row>
    <row r="32" spans="1:16" x14ac:dyDescent="0.25">
      <c r="A32" t="s">
        <v>204</v>
      </c>
      <c r="D32" s="8">
        <f>D26+D27-1</f>
        <v>-3.5714285714285698E-2</v>
      </c>
      <c r="E32" s="8"/>
      <c r="F32" s="8"/>
      <c r="G32" s="8">
        <f t="shared" ref="G32:P32" si="16">G26+G27-1</f>
        <v>0.3214285714285714</v>
      </c>
      <c r="H32" s="8"/>
      <c r="I32" s="8"/>
      <c r="J32" s="8">
        <f t="shared" si="16"/>
        <v>0.64285714285714279</v>
      </c>
      <c r="K32" s="8"/>
      <c r="L32" s="8"/>
      <c r="M32" s="8">
        <f t="shared" si="16"/>
        <v>0.64285714285714279</v>
      </c>
      <c r="N32" s="8"/>
      <c r="O32" s="8"/>
      <c r="P32" s="8">
        <f t="shared" si="16"/>
        <v>0.8214285714285714</v>
      </c>
    </row>
    <row r="33" spans="1:16" x14ac:dyDescent="0.25">
      <c r="A33" t="s">
        <v>205</v>
      </c>
      <c r="D33" s="8">
        <f>D19/SUM(D19,D21)</f>
        <v>0.48837209302325579</v>
      </c>
      <c r="E33" s="8"/>
      <c r="F33" s="8"/>
      <c r="G33" s="8">
        <f t="shared" ref="G33:P33" si="17">G19/SUM(G19,G21)</f>
        <v>0.62857142857142856</v>
      </c>
      <c r="H33" s="8"/>
      <c r="I33" s="8"/>
      <c r="J33" s="8">
        <f t="shared" si="17"/>
        <v>0.73684210526315785</v>
      </c>
      <c r="K33" s="8"/>
      <c r="L33" s="8"/>
      <c r="M33" s="8">
        <f t="shared" si="17"/>
        <v>0.8</v>
      </c>
      <c r="N33" s="8"/>
      <c r="O33" s="8"/>
      <c r="P33" s="8">
        <f t="shared" si="17"/>
        <v>0.84848484848484851</v>
      </c>
    </row>
    <row r="34" spans="1:16" x14ac:dyDescent="0.25">
      <c r="A34" t="s">
        <v>208</v>
      </c>
      <c r="D34" s="6">
        <v>7.1428567171096802E-2</v>
      </c>
      <c r="E34" s="6"/>
      <c r="F34" s="6"/>
      <c r="G34" s="6">
        <v>0.78826534748077304</v>
      </c>
      <c r="H34" s="6"/>
      <c r="I34" s="6"/>
      <c r="J34" s="6">
        <v>0.75765311717987005</v>
      </c>
      <c r="K34" s="6"/>
      <c r="L34" s="6"/>
      <c r="M34" s="6">
        <v>0.73086738586425704</v>
      </c>
      <c r="N34" s="6"/>
      <c r="O34" s="6"/>
      <c r="P34" s="6">
        <v>0.76594388484954801</v>
      </c>
    </row>
    <row r="35" spans="1:16" x14ac:dyDescent="0.25">
      <c r="A35" t="s">
        <v>207</v>
      </c>
      <c r="D35" s="6">
        <v>0.75</v>
      </c>
      <c r="E35" s="6"/>
      <c r="F35" s="6"/>
      <c r="G35" s="6">
        <v>0.78491550683975198</v>
      </c>
      <c r="H35" s="6"/>
      <c r="I35" s="6"/>
      <c r="J35" s="6">
        <v>0.70907676219940097</v>
      </c>
      <c r="K35" s="6"/>
      <c r="L35" s="6"/>
      <c r="M35" s="6">
        <v>0.71601206064224199</v>
      </c>
      <c r="N35" s="6"/>
      <c r="O35" s="6"/>
      <c r="P35" s="6">
        <v>0.66633170843124301</v>
      </c>
    </row>
    <row r="37" spans="1:16" x14ac:dyDescent="0.25">
      <c r="B37" t="s">
        <v>2</v>
      </c>
      <c r="E37" t="s">
        <v>20</v>
      </c>
      <c r="H37" t="s">
        <v>21</v>
      </c>
      <c r="K37" t="s">
        <v>22</v>
      </c>
      <c r="N37" t="s">
        <v>23</v>
      </c>
    </row>
    <row r="38" spans="1:16" x14ac:dyDescent="0.25">
      <c r="A38" t="s">
        <v>24</v>
      </c>
      <c r="B38" t="s">
        <v>158</v>
      </c>
      <c r="E38" t="s">
        <v>159</v>
      </c>
      <c r="H38" t="s">
        <v>160</v>
      </c>
      <c r="K38" t="s">
        <v>161</v>
      </c>
      <c r="N38" t="s">
        <v>162</v>
      </c>
    </row>
    <row r="39" spans="1:16" x14ac:dyDescent="0.25">
      <c r="B39" t="s">
        <v>165</v>
      </c>
      <c r="E39" t="s">
        <v>166</v>
      </c>
      <c r="H39" t="s">
        <v>167</v>
      </c>
      <c r="K39" t="s">
        <v>169</v>
      </c>
      <c r="N39" t="s">
        <v>163</v>
      </c>
    </row>
    <row r="40" spans="1:16" x14ac:dyDescent="0.25">
      <c r="H40" t="s">
        <v>168</v>
      </c>
      <c r="K40" t="s">
        <v>170</v>
      </c>
      <c r="N40" t="s">
        <v>164</v>
      </c>
    </row>
  </sheetData>
  <conditionalFormatting sqref="D6:D17 G6:G17 J6:J17 P6:P17 M6:M17">
    <cfRule type="colorScale" priority="16">
      <colorScale>
        <cfvo type="min"/>
        <cfvo type="percentile" val="50"/>
        <cfvo type="max"/>
        <color rgb="FFF8696B"/>
        <color rgb="FFFFEB84"/>
        <color rgb="FF63BE7B"/>
      </colorScale>
    </cfRule>
  </conditionalFormatting>
  <conditionalFormatting sqref="D24:D33 G24:G33 J24:J33 M24:M33 P24:P33">
    <cfRule type="colorScale" priority="15">
      <colorScale>
        <cfvo type="min"/>
        <cfvo type="percentile" val="50"/>
        <cfvo type="max"/>
        <color rgb="FFF8696B"/>
        <color rgb="FFFFEB84"/>
        <color rgb="FF63BE7B"/>
      </colorScale>
    </cfRule>
  </conditionalFormatting>
  <conditionalFormatting sqref="D24:D28 G24:G28 J24:J28 M24:M28 P24:P28 D31:D33 G31:G33 J31:J33 M31:M33 P31:P33">
    <cfRule type="colorScale" priority="14">
      <colorScale>
        <cfvo type="min"/>
        <cfvo type="percentile" val="50"/>
        <cfvo type="max"/>
        <color rgb="FFF8696B"/>
        <color rgb="FFFFEB84"/>
        <color rgb="FF63BE7B"/>
      </colorScale>
    </cfRule>
  </conditionalFormatting>
  <conditionalFormatting sqref="D29:D30 G29:G30 J29:J30 M29:M30 P29:P30">
    <cfRule type="colorScale" priority="2">
      <colorScale>
        <cfvo type="min"/>
        <cfvo type="percentile" val="50"/>
        <cfvo type="max"/>
        <color rgb="FF63BE7B"/>
        <color rgb="FFFFEB84"/>
        <color rgb="FFF8696B"/>
      </colorScale>
    </cfRule>
  </conditionalFormatting>
  <conditionalFormatting sqref="G24 D24 J24 M24 P24">
    <cfRule type="colorScale" priority="13">
      <colorScale>
        <cfvo type="min"/>
        <cfvo type="percentile" val="50"/>
        <cfvo type="max"/>
        <color rgb="FFF8696B"/>
        <color rgb="FFFFEB84"/>
        <color rgb="FF63BE7B"/>
      </colorScale>
    </cfRule>
  </conditionalFormatting>
  <conditionalFormatting sqref="G25 D25 J25 M25 P25">
    <cfRule type="colorScale" priority="12">
      <colorScale>
        <cfvo type="min"/>
        <cfvo type="percentile" val="50"/>
        <cfvo type="max"/>
        <color rgb="FFF8696B"/>
        <color rgb="FFFFEB84"/>
        <color rgb="FF63BE7B"/>
      </colorScale>
    </cfRule>
  </conditionalFormatting>
  <conditionalFormatting sqref="G26 D26 J26 M26 P26">
    <cfRule type="colorScale" priority="11">
      <colorScale>
        <cfvo type="min"/>
        <cfvo type="percentile" val="50"/>
        <cfvo type="max"/>
        <color rgb="FFF8696B"/>
        <color rgb="FFFFEB84"/>
        <color rgb="FF63BE7B"/>
      </colorScale>
    </cfRule>
  </conditionalFormatting>
  <conditionalFormatting sqref="G27 D27 J27 M27 P27">
    <cfRule type="colorScale" priority="10">
      <colorScale>
        <cfvo type="min"/>
        <cfvo type="percentile" val="50"/>
        <cfvo type="max"/>
        <color rgb="FFF8696B"/>
        <color rgb="FFFFEB84"/>
        <color rgb="FF63BE7B"/>
      </colorScale>
    </cfRule>
  </conditionalFormatting>
  <conditionalFormatting sqref="D28 G28 J28 M28 P28">
    <cfRule type="colorScale" priority="9">
      <colorScale>
        <cfvo type="min"/>
        <cfvo type="percentile" val="50"/>
        <cfvo type="max"/>
        <color rgb="FFF8696B"/>
        <color rgb="FFFFEB84"/>
        <color rgb="FF63BE7B"/>
      </colorScale>
    </cfRule>
  </conditionalFormatting>
  <conditionalFormatting sqref="D29 G29 J29 M29 P29">
    <cfRule type="colorScale" priority="8">
      <colorScale>
        <cfvo type="min"/>
        <cfvo type="percentile" val="50"/>
        <cfvo type="max"/>
        <color rgb="FF63BE7B"/>
        <color rgb="FFFFEB84"/>
        <color rgb="FFF8696B"/>
      </colorScale>
    </cfRule>
  </conditionalFormatting>
  <conditionalFormatting sqref="D30 G30 J30 M30 P30">
    <cfRule type="colorScale" priority="7">
      <colorScale>
        <cfvo type="min"/>
        <cfvo type="percentile" val="50"/>
        <cfvo type="max"/>
        <color rgb="FF63BE7B"/>
        <color rgb="FFFFEB84"/>
        <color rgb="FFF8696B"/>
      </colorScale>
    </cfRule>
  </conditionalFormatting>
  <conditionalFormatting sqref="D31 G31 J31 M31 P31">
    <cfRule type="colorScale" priority="6">
      <colorScale>
        <cfvo type="min"/>
        <cfvo type="percentile" val="50"/>
        <cfvo type="max"/>
        <color rgb="FFF8696B"/>
        <color rgb="FFFFEB84"/>
        <color rgb="FF63BE7B"/>
      </colorScale>
    </cfRule>
  </conditionalFormatting>
  <conditionalFormatting sqref="D32 G32 J32 M32 P32">
    <cfRule type="colorScale" priority="5">
      <colorScale>
        <cfvo type="min"/>
        <cfvo type="percentile" val="50"/>
        <cfvo type="max"/>
        <color rgb="FFF8696B"/>
        <color rgb="FFFFEB84"/>
        <color rgb="FF63BE7B"/>
      </colorScale>
    </cfRule>
  </conditionalFormatting>
  <conditionalFormatting sqref="D33 G33 J33 M33 P33">
    <cfRule type="colorScale" priority="4">
      <colorScale>
        <cfvo type="min"/>
        <cfvo type="percentile" val="50"/>
        <cfvo type="max"/>
        <color rgb="FFF8696B"/>
        <color rgb="FFFFEB84"/>
        <color rgb="FF63BE7B"/>
      </colorScale>
    </cfRule>
  </conditionalFormatting>
  <conditionalFormatting sqref="D24:D28 G24:G28 J24:J28 M24:M28 P24:P28 P31:P33 M31:M33 J31:J33 G31:G33 D31:D33">
    <cfRule type="colorScale" priority="3">
      <colorScale>
        <cfvo type="min"/>
        <cfvo type="percentile" val="50"/>
        <cfvo type="max"/>
        <color rgb="FFF8696B"/>
        <color rgb="FFFFEB84"/>
        <color rgb="FF63BE7B"/>
      </colorScale>
    </cfRule>
  </conditionalFormatting>
  <conditionalFormatting sqref="D24:D28 G24:G28 J24:J28 M24:M28 P24:P28 D31:D35 G31:G35 J31:J35 M31:M35 P31:P35">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C57A0-9D11-400D-BD12-930FDE677D82}">
  <dimension ref="A1:X42"/>
  <sheetViews>
    <sheetView topLeftCell="A25" workbookViewId="0">
      <selection activeCell="A37" sqref="A37:R46"/>
    </sheetView>
  </sheetViews>
  <sheetFormatPr defaultRowHeight="15" x14ac:dyDescent="0.25"/>
  <cols>
    <col min="1" max="1" width="16.42578125" customWidth="1"/>
    <col min="4" max="4" width="9.7109375" customWidth="1"/>
    <col min="5" max="5" width="11" bestFit="1" customWidth="1"/>
  </cols>
  <sheetData>
    <row r="1" spans="1:24" x14ac:dyDescent="0.25">
      <c r="A1" t="s">
        <v>38</v>
      </c>
      <c r="B1" t="s">
        <v>39</v>
      </c>
      <c r="C1" t="s">
        <v>40</v>
      </c>
      <c r="D1" t="s">
        <v>74</v>
      </c>
      <c r="E1" t="s">
        <v>47</v>
      </c>
      <c r="F1" t="s">
        <v>58</v>
      </c>
      <c r="G1" t="s">
        <v>41</v>
      </c>
      <c r="O1" t="s">
        <v>41</v>
      </c>
      <c r="X1" t="s">
        <v>41</v>
      </c>
    </row>
    <row r="2" spans="1:24" x14ac:dyDescent="0.25">
      <c r="A2" t="s">
        <v>193</v>
      </c>
    </row>
    <row r="4" spans="1:24" x14ac:dyDescent="0.25">
      <c r="A4" t="s">
        <v>0</v>
      </c>
      <c r="B4" t="s">
        <v>2</v>
      </c>
      <c r="E4" t="s">
        <v>20</v>
      </c>
      <c r="H4" t="s">
        <v>21</v>
      </c>
      <c r="K4" t="s">
        <v>22</v>
      </c>
      <c r="N4" t="s">
        <v>23</v>
      </c>
    </row>
    <row r="5" spans="1:24" x14ac:dyDescent="0.25">
      <c r="B5" t="s">
        <v>77</v>
      </c>
      <c r="C5" t="s">
        <v>78</v>
      </c>
      <c r="D5" t="s">
        <v>79</v>
      </c>
      <c r="E5" t="s">
        <v>77</v>
      </c>
      <c r="F5" t="s">
        <v>78</v>
      </c>
      <c r="G5" t="s">
        <v>79</v>
      </c>
      <c r="H5" t="s">
        <v>77</v>
      </c>
      <c r="I5" t="s">
        <v>78</v>
      </c>
      <c r="J5" t="s">
        <v>79</v>
      </c>
      <c r="K5" t="s">
        <v>77</v>
      </c>
      <c r="L5" t="s">
        <v>78</v>
      </c>
      <c r="M5" t="s">
        <v>79</v>
      </c>
      <c r="N5" t="s">
        <v>77</v>
      </c>
      <c r="O5" t="s">
        <v>78</v>
      </c>
      <c r="P5" t="s">
        <v>79</v>
      </c>
    </row>
    <row r="6" spans="1:24" x14ac:dyDescent="0.25">
      <c r="A6" t="s">
        <v>1</v>
      </c>
      <c r="B6" s="3">
        <v>9</v>
      </c>
      <c r="C6" s="3">
        <v>16</v>
      </c>
      <c r="D6" s="1">
        <f>B6/C6</f>
        <v>0.5625</v>
      </c>
      <c r="E6" s="3">
        <v>16</v>
      </c>
      <c r="F6" s="3">
        <v>16</v>
      </c>
      <c r="G6" s="1">
        <f>E6/F6</f>
        <v>1</v>
      </c>
      <c r="H6" s="3">
        <v>16</v>
      </c>
      <c r="I6" s="3">
        <v>16</v>
      </c>
      <c r="J6" s="1">
        <f>H6/I6</f>
        <v>1</v>
      </c>
      <c r="K6" s="3">
        <v>16</v>
      </c>
      <c r="L6" s="3">
        <v>16</v>
      </c>
      <c r="M6" s="1">
        <f t="shared" ref="M6:P17" si="0">K6/L6</f>
        <v>1</v>
      </c>
      <c r="N6" s="3">
        <v>16</v>
      </c>
      <c r="O6" s="3">
        <v>16</v>
      </c>
      <c r="P6" s="1">
        <f t="shared" si="0"/>
        <v>1</v>
      </c>
    </row>
    <row r="7" spans="1:24" x14ac:dyDescent="0.25">
      <c r="A7" t="s">
        <v>4</v>
      </c>
      <c r="B7" s="3">
        <v>7</v>
      </c>
      <c r="C7" s="3">
        <v>18</v>
      </c>
      <c r="D7" s="1">
        <f t="shared" ref="D7:D17" si="1">B7/C7</f>
        <v>0.3888888888888889</v>
      </c>
      <c r="E7" s="3">
        <v>16</v>
      </c>
      <c r="F7" s="3">
        <v>18</v>
      </c>
      <c r="G7" s="1">
        <f t="shared" ref="G7:G17" si="2">E7/F7</f>
        <v>0.88888888888888884</v>
      </c>
      <c r="H7" s="3">
        <v>18</v>
      </c>
      <c r="I7" s="3">
        <v>18</v>
      </c>
      <c r="J7" s="1">
        <f t="shared" ref="J7:J17" si="3">H7/I7</f>
        <v>1</v>
      </c>
      <c r="K7" s="3">
        <v>17</v>
      </c>
      <c r="L7" s="3">
        <v>18</v>
      </c>
      <c r="M7" s="1">
        <f t="shared" si="0"/>
        <v>0.94444444444444442</v>
      </c>
      <c r="N7" s="3">
        <v>18</v>
      </c>
      <c r="O7" s="3">
        <v>18</v>
      </c>
      <c r="P7" s="1">
        <f t="shared" si="0"/>
        <v>1</v>
      </c>
    </row>
    <row r="8" spans="1:24" x14ac:dyDescent="0.25">
      <c r="A8" t="s">
        <v>5</v>
      </c>
      <c r="B8" s="3">
        <v>5</v>
      </c>
      <c r="C8" s="3">
        <v>15</v>
      </c>
      <c r="D8" s="1">
        <f t="shared" si="1"/>
        <v>0.33333333333333331</v>
      </c>
      <c r="E8" s="3">
        <v>13</v>
      </c>
      <c r="F8" s="3">
        <v>15</v>
      </c>
      <c r="G8" s="1">
        <f t="shared" si="2"/>
        <v>0.8666666666666667</v>
      </c>
      <c r="H8" s="3">
        <v>15</v>
      </c>
      <c r="I8" s="3">
        <v>15</v>
      </c>
      <c r="J8" s="1">
        <f t="shared" si="3"/>
        <v>1</v>
      </c>
      <c r="K8" s="3">
        <v>13</v>
      </c>
      <c r="L8" s="3">
        <v>15</v>
      </c>
      <c r="M8" s="1">
        <f t="shared" si="0"/>
        <v>0.8666666666666667</v>
      </c>
      <c r="N8" s="3">
        <v>15</v>
      </c>
      <c r="O8" s="3">
        <v>15</v>
      </c>
      <c r="P8" s="1">
        <f t="shared" si="0"/>
        <v>1</v>
      </c>
    </row>
    <row r="9" spans="1:24" x14ac:dyDescent="0.25">
      <c r="A9" t="s">
        <v>6</v>
      </c>
      <c r="B9" s="3">
        <v>9</v>
      </c>
      <c r="C9" s="3">
        <v>19</v>
      </c>
      <c r="D9" s="1">
        <f t="shared" si="1"/>
        <v>0.47368421052631576</v>
      </c>
      <c r="E9" s="3">
        <v>17</v>
      </c>
      <c r="F9" s="3">
        <v>19</v>
      </c>
      <c r="G9" s="1">
        <f t="shared" si="2"/>
        <v>0.89473684210526316</v>
      </c>
      <c r="H9" s="3">
        <v>19</v>
      </c>
      <c r="I9" s="3">
        <v>19</v>
      </c>
      <c r="J9" s="1">
        <f t="shared" si="3"/>
        <v>1</v>
      </c>
      <c r="K9" s="3">
        <v>19</v>
      </c>
      <c r="L9" s="3">
        <v>19</v>
      </c>
      <c r="M9" s="1">
        <f t="shared" si="0"/>
        <v>1</v>
      </c>
      <c r="N9" s="3">
        <v>19</v>
      </c>
      <c r="O9" s="3">
        <v>19</v>
      </c>
      <c r="P9" s="1">
        <f t="shared" si="0"/>
        <v>1</v>
      </c>
    </row>
    <row r="10" spans="1:24" x14ac:dyDescent="0.25">
      <c r="A10" t="s">
        <v>7</v>
      </c>
      <c r="B10" s="3">
        <v>8</v>
      </c>
      <c r="C10" s="3">
        <v>20</v>
      </c>
      <c r="D10" s="1">
        <f t="shared" si="1"/>
        <v>0.4</v>
      </c>
      <c r="E10" s="3">
        <v>17</v>
      </c>
      <c r="F10" s="3">
        <v>20</v>
      </c>
      <c r="G10" s="1">
        <f t="shared" si="2"/>
        <v>0.85</v>
      </c>
      <c r="H10" s="3">
        <v>20</v>
      </c>
      <c r="I10" s="3">
        <v>20</v>
      </c>
      <c r="J10" s="1">
        <f t="shared" si="3"/>
        <v>1</v>
      </c>
      <c r="K10" s="3">
        <v>18</v>
      </c>
      <c r="L10" s="3">
        <v>20</v>
      </c>
      <c r="M10" s="1">
        <f t="shared" si="0"/>
        <v>0.9</v>
      </c>
      <c r="N10" s="3">
        <v>20</v>
      </c>
      <c r="O10" s="3">
        <v>20</v>
      </c>
      <c r="P10" s="1">
        <f t="shared" si="0"/>
        <v>1</v>
      </c>
    </row>
    <row r="11" spans="1:24" x14ac:dyDescent="0.25">
      <c r="B11" s="3"/>
      <c r="C11" s="3"/>
      <c r="D11" s="1"/>
      <c r="E11" s="3"/>
      <c r="F11" s="3"/>
      <c r="G11" s="1"/>
      <c r="H11" s="3"/>
      <c r="I11" s="3"/>
      <c r="J11" s="1"/>
      <c r="K11" s="3"/>
      <c r="L11" s="3"/>
      <c r="M11" s="1"/>
      <c r="N11" s="3"/>
      <c r="O11" s="3"/>
      <c r="P11" s="1"/>
    </row>
    <row r="12" spans="1:24" x14ac:dyDescent="0.25">
      <c r="A12" t="s">
        <v>9</v>
      </c>
      <c r="B12" s="3"/>
      <c r="C12" s="3"/>
      <c r="D12" s="1"/>
      <c r="E12" s="3"/>
      <c r="F12" s="3"/>
      <c r="G12" s="1"/>
      <c r="H12" s="3"/>
      <c r="I12" s="3"/>
      <c r="J12" s="1"/>
      <c r="K12" s="3"/>
      <c r="L12" s="3"/>
      <c r="M12" s="1"/>
      <c r="N12" s="3"/>
      <c r="O12" s="3"/>
      <c r="P12" s="1"/>
    </row>
    <row r="13" spans="1:24" x14ac:dyDescent="0.25">
      <c r="A13" t="s">
        <v>10</v>
      </c>
      <c r="B13" s="3">
        <v>9</v>
      </c>
      <c r="C13" s="3">
        <v>21</v>
      </c>
      <c r="D13" s="1">
        <f t="shared" si="1"/>
        <v>0.42857142857142855</v>
      </c>
      <c r="E13" s="3">
        <v>10</v>
      </c>
      <c r="F13" s="3">
        <v>21</v>
      </c>
      <c r="G13" s="1">
        <f t="shared" si="2"/>
        <v>0.47619047619047616</v>
      </c>
      <c r="H13" s="3">
        <v>20</v>
      </c>
      <c r="I13" s="3">
        <v>21</v>
      </c>
      <c r="J13" s="1">
        <f t="shared" si="3"/>
        <v>0.95238095238095233</v>
      </c>
      <c r="K13" s="3">
        <v>17</v>
      </c>
      <c r="L13" s="3">
        <v>21</v>
      </c>
      <c r="M13" s="1">
        <f t="shared" si="0"/>
        <v>0.80952380952380953</v>
      </c>
      <c r="N13" s="3">
        <v>18</v>
      </c>
      <c r="O13" s="3">
        <v>21</v>
      </c>
      <c r="P13" s="1">
        <f t="shared" si="0"/>
        <v>0.8571428571428571</v>
      </c>
    </row>
    <row r="14" spans="1:24" x14ac:dyDescent="0.25">
      <c r="A14" t="s">
        <v>11</v>
      </c>
      <c r="B14" s="3">
        <v>5</v>
      </c>
      <c r="C14" s="3">
        <v>11</v>
      </c>
      <c r="D14" s="1">
        <f t="shared" si="1"/>
        <v>0.45454545454545453</v>
      </c>
      <c r="E14" s="3">
        <v>9</v>
      </c>
      <c r="F14" s="3">
        <v>11</v>
      </c>
      <c r="G14" s="1">
        <f t="shared" si="2"/>
        <v>0.81818181818181823</v>
      </c>
      <c r="H14" s="3">
        <v>11</v>
      </c>
      <c r="I14" s="3">
        <v>11</v>
      </c>
      <c r="J14" s="1">
        <f t="shared" si="3"/>
        <v>1</v>
      </c>
      <c r="K14" s="3">
        <v>11</v>
      </c>
      <c r="L14" s="3">
        <v>11</v>
      </c>
      <c r="M14" s="1">
        <f t="shared" si="0"/>
        <v>1</v>
      </c>
      <c r="N14" s="3">
        <v>10</v>
      </c>
      <c r="O14" s="3">
        <v>11</v>
      </c>
      <c r="P14" s="1">
        <f t="shared" si="0"/>
        <v>0.90909090909090906</v>
      </c>
    </row>
    <row r="15" spans="1:24" x14ac:dyDescent="0.25">
      <c r="A15" t="s">
        <v>12</v>
      </c>
      <c r="B15" s="3">
        <v>11</v>
      </c>
      <c r="C15" s="3">
        <v>20</v>
      </c>
      <c r="D15" s="1">
        <f t="shared" si="1"/>
        <v>0.55000000000000004</v>
      </c>
      <c r="E15" s="3">
        <v>19</v>
      </c>
      <c r="F15" s="3">
        <v>20</v>
      </c>
      <c r="G15" s="1">
        <f t="shared" si="2"/>
        <v>0.95</v>
      </c>
      <c r="H15" s="3">
        <v>20</v>
      </c>
      <c r="I15" s="3">
        <v>20</v>
      </c>
      <c r="J15" s="1">
        <f t="shared" si="3"/>
        <v>1</v>
      </c>
      <c r="K15" s="3">
        <v>20</v>
      </c>
      <c r="L15" s="3">
        <v>20</v>
      </c>
      <c r="M15" s="1">
        <f t="shared" si="0"/>
        <v>1</v>
      </c>
      <c r="N15" s="3">
        <v>20</v>
      </c>
      <c r="O15" s="3">
        <v>20</v>
      </c>
      <c r="P15" s="1">
        <f t="shared" si="0"/>
        <v>1</v>
      </c>
    </row>
    <row r="16" spans="1:24" x14ac:dyDescent="0.25">
      <c r="A16" t="s">
        <v>15</v>
      </c>
      <c r="B16" s="3">
        <v>2</v>
      </c>
      <c r="C16" s="3">
        <v>16</v>
      </c>
      <c r="D16" s="1">
        <f t="shared" si="1"/>
        <v>0.125</v>
      </c>
      <c r="E16" s="3">
        <v>3</v>
      </c>
      <c r="F16" s="3">
        <v>16</v>
      </c>
      <c r="G16" s="1">
        <f t="shared" si="2"/>
        <v>0.1875</v>
      </c>
      <c r="H16" s="3">
        <v>3</v>
      </c>
      <c r="I16" s="3">
        <v>16</v>
      </c>
      <c r="J16" s="1">
        <f t="shared" si="3"/>
        <v>0.1875</v>
      </c>
      <c r="K16" s="3">
        <v>4</v>
      </c>
      <c r="L16" s="3">
        <v>16</v>
      </c>
      <c r="M16" s="1">
        <f t="shared" si="0"/>
        <v>0.25</v>
      </c>
      <c r="N16" s="3">
        <v>5</v>
      </c>
      <c r="O16" s="3">
        <v>16</v>
      </c>
      <c r="P16" s="1">
        <f t="shared" si="0"/>
        <v>0.3125</v>
      </c>
    </row>
    <row r="17" spans="1:17" x14ac:dyDescent="0.25">
      <c r="A17" t="s">
        <v>16</v>
      </c>
      <c r="B17" s="3">
        <v>7</v>
      </c>
      <c r="C17" s="3">
        <v>20</v>
      </c>
      <c r="D17" s="1">
        <f t="shared" si="1"/>
        <v>0.35</v>
      </c>
      <c r="E17" s="3">
        <v>19</v>
      </c>
      <c r="F17" s="3">
        <v>20</v>
      </c>
      <c r="G17" s="1">
        <f t="shared" si="2"/>
        <v>0.95</v>
      </c>
      <c r="H17" s="3">
        <v>19</v>
      </c>
      <c r="I17" s="3">
        <v>20</v>
      </c>
      <c r="J17" s="1">
        <f t="shared" si="3"/>
        <v>0.95</v>
      </c>
      <c r="K17" s="3">
        <v>12</v>
      </c>
      <c r="L17" s="3">
        <v>20</v>
      </c>
      <c r="M17" s="1">
        <f t="shared" si="0"/>
        <v>0.6</v>
      </c>
      <c r="N17" s="3">
        <v>18</v>
      </c>
      <c r="O17" s="3">
        <v>20</v>
      </c>
      <c r="P17" s="1">
        <f t="shared" si="0"/>
        <v>0.9</v>
      </c>
    </row>
    <row r="18" spans="1:17" x14ac:dyDescent="0.25">
      <c r="B18" s="2"/>
      <c r="C18" s="2"/>
      <c r="D18" s="2"/>
      <c r="E18" s="2"/>
      <c r="F18" s="2"/>
      <c r="G18" s="2"/>
      <c r="H18" s="2"/>
      <c r="I18" s="2"/>
      <c r="J18" s="2"/>
      <c r="K18" s="2"/>
      <c r="L18" s="2"/>
      <c r="M18" s="2"/>
      <c r="N18" s="2"/>
    </row>
    <row r="19" spans="1:17" x14ac:dyDescent="0.25">
      <c r="A19" t="s">
        <v>194</v>
      </c>
      <c r="B19" s="3"/>
      <c r="D19" s="3">
        <f>SUM(B6:B10)</f>
        <v>38</v>
      </c>
      <c r="E19" s="3"/>
      <c r="F19" s="3"/>
      <c r="G19" s="3">
        <f t="shared" ref="E19:P19" si="4">SUM(E6:E10)</f>
        <v>79</v>
      </c>
      <c r="H19" s="3"/>
      <c r="I19" s="3"/>
      <c r="J19" s="3">
        <f t="shared" si="4"/>
        <v>88</v>
      </c>
      <c r="K19" s="3"/>
      <c r="L19" s="3"/>
      <c r="M19" s="3">
        <f t="shared" si="4"/>
        <v>83</v>
      </c>
      <c r="N19" s="3"/>
      <c r="O19" s="3"/>
      <c r="P19" s="3">
        <f t="shared" si="4"/>
        <v>88</v>
      </c>
      <c r="Q19" t="s">
        <v>41</v>
      </c>
    </row>
    <row r="20" spans="1:17" x14ac:dyDescent="0.25">
      <c r="A20" t="s">
        <v>195</v>
      </c>
      <c r="D20" s="3">
        <f>SUM(C6:C10)-D19</f>
        <v>50</v>
      </c>
      <c r="E20" s="3"/>
      <c r="F20" s="3"/>
      <c r="G20" s="3">
        <f t="shared" ref="E20:P20" si="5">SUM(F6:F10)-G19</f>
        <v>9</v>
      </c>
      <c r="H20" s="3"/>
      <c r="I20" s="3"/>
      <c r="J20" s="3">
        <f t="shared" si="5"/>
        <v>0</v>
      </c>
      <c r="K20" s="3"/>
      <c r="L20" s="3"/>
      <c r="M20" s="3">
        <f t="shared" si="5"/>
        <v>5</v>
      </c>
      <c r="N20" s="3"/>
      <c r="O20" s="3"/>
      <c r="P20" s="3">
        <f t="shared" si="5"/>
        <v>0</v>
      </c>
      <c r="Q20" t="s">
        <v>41</v>
      </c>
    </row>
    <row r="21" spans="1:17" x14ac:dyDescent="0.25">
      <c r="A21" t="s">
        <v>196</v>
      </c>
      <c r="D21" s="3">
        <f>SUM(C13:C17)-D22</f>
        <v>54</v>
      </c>
      <c r="E21" s="3"/>
      <c r="F21" s="3"/>
      <c r="G21" s="3">
        <f t="shared" ref="E21:P21" si="6">SUM(F13:F17)-G22</f>
        <v>28</v>
      </c>
      <c r="H21" s="3"/>
      <c r="I21" s="3"/>
      <c r="J21" s="3">
        <f t="shared" si="6"/>
        <v>15</v>
      </c>
      <c r="K21" s="3"/>
      <c r="L21" s="3"/>
      <c r="M21" s="3">
        <f t="shared" si="6"/>
        <v>24</v>
      </c>
      <c r="N21" s="3"/>
      <c r="O21" s="3"/>
      <c r="P21" s="3">
        <f t="shared" si="6"/>
        <v>17</v>
      </c>
      <c r="Q21" t="s">
        <v>41</v>
      </c>
    </row>
    <row r="22" spans="1:17" x14ac:dyDescent="0.25">
      <c r="A22" t="s">
        <v>197</v>
      </c>
      <c r="D22" s="3">
        <f>SUM(B13:B17)</f>
        <v>34</v>
      </c>
      <c r="E22" s="3"/>
      <c r="F22" s="3"/>
      <c r="G22" s="3">
        <f t="shared" ref="E22:P22" si="7">SUM(E13:E17)</f>
        <v>60</v>
      </c>
      <c r="H22" s="3"/>
      <c r="I22" s="3"/>
      <c r="J22" s="3">
        <f t="shared" si="7"/>
        <v>73</v>
      </c>
      <c r="K22" s="3"/>
      <c r="L22" s="3"/>
      <c r="M22" s="3">
        <f t="shared" si="7"/>
        <v>64</v>
      </c>
      <c r="N22" s="3"/>
      <c r="O22" s="3"/>
      <c r="P22" s="3">
        <f t="shared" si="7"/>
        <v>71</v>
      </c>
      <c r="Q22" t="s">
        <v>41</v>
      </c>
    </row>
    <row r="24" spans="1:17" x14ac:dyDescent="0.25">
      <c r="A24" t="s">
        <v>79</v>
      </c>
      <c r="D24" s="5">
        <f>SUM(D22,D19)/SUM(D19:D22)</f>
        <v>0.40909090909090912</v>
      </c>
      <c r="E24" s="5"/>
      <c r="F24" s="5"/>
      <c r="G24" s="5">
        <f t="shared" ref="E24:P24" si="8">SUM(G22,G19)/SUM(G19:G22)</f>
        <v>0.78977272727272729</v>
      </c>
      <c r="H24" s="5"/>
      <c r="I24" s="5"/>
      <c r="J24" s="5">
        <f t="shared" si="8"/>
        <v>0.91477272727272729</v>
      </c>
      <c r="K24" s="5"/>
      <c r="L24" s="5"/>
      <c r="M24" s="5">
        <f t="shared" si="8"/>
        <v>0.83522727272727271</v>
      </c>
      <c r="N24" s="5"/>
      <c r="O24" s="5"/>
      <c r="P24" s="5">
        <f t="shared" si="8"/>
        <v>0.90340909090909094</v>
      </c>
    </row>
    <row r="25" spans="1:17" x14ac:dyDescent="0.25">
      <c r="A25" t="s">
        <v>198</v>
      </c>
      <c r="D25" s="5">
        <f>D22/SUM(D22,D20)</f>
        <v>0.40476190476190477</v>
      </c>
      <c r="E25" s="5"/>
      <c r="F25" s="5"/>
      <c r="G25" s="5">
        <f t="shared" ref="E25:P25" si="9">G22/SUM(G22,G20)</f>
        <v>0.86956521739130432</v>
      </c>
      <c r="H25" s="5"/>
      <c r="I25" s="5"/>
      <c r="J25" s="5">
        <f t="shared" si="9"/>
        <v>1</v>
      </c>
      <c r="K25" s="5"/>
      <c r="L25" s="5"/>
      <c r="M25" s="5">
        <f t="shared" si="9"/>
        <v>0.92753623188405798</v>
      </c>
      <c r="N25" s="5"/>
      <c r="O25" s="5"/>
      <c r="P25" s="5">
        <f t="shared" si="9"/>
        <v>1</v>
      </c>
    </row>
    <row r="26" spans="1:17" x14ac:dyDescent="0.25">
      <c r="A26" t="s">
        <v>206</v>
      </c>
      <c r="D26" s="1">
        <f>D22/SUM(D22,D21)</f>
        <v>0.38636363636363635</v>
      </c>
      <c r="E26" s="1"/>
      <c r="F26" s="1"/>
      <c r="G26" s="1">
        <f t="shared" ref="E26:P26" si="10">G22/SUM(G22,G21)</f>
        <v>0.68181818181818177</v>
      </c>
      <c r="H26" s="1"/>
      <c r="I26" s="1"/>
      <c r="J26" s="1">
        <f t="shared" si="10"/>
        <v>0.82954545454545459</v>
      </c>
      <c r="K26" s="1"/>
      <c r="L26" s="1"/>
      <c r="M26" s="1">
        <f t="shared" si="10"/>
        <v>0.72727272727272729</v>
      </c>
      <c r="N26" s="1"/>
      <c r="O26" s="1"/>
      <c r="P26" s="1">
        <f t="shared" si="10"/>
        <v>0.80681818181818177</v>
      </c>
    </row>
    <row r="27" spans="1:17" x14ac:dyDescent="0.25">
      <c r="A27" t="s">
        <v>200</v>
      </c>
      <c r="D27" s="1">
        <f>D19/SUM(D19,D20)</f>
        <v>0.43181818181818182</v>
      </c>
      <c r="E27" s="1"/>
      <c r="F27" s="1"/>
      <c r="G27" s="1">
        <f t="shared" ref="E27:P27" si="11">G19/SUM(G19,G20)</f>
        <v>0.89772727272727271</v>
      </c>
      <c r="H27" s="1"/>
      <c r="I27" s="1"/>
      <c r="J27" s="1">
        <f t="shared" si="11"/>
        <v>1</v>
      </c>
      <c r="K27" s="1"/>
      <c r="L27" s="1"/>
      <c r="M27" s="1">
        <f t="shared" si="11"/>
        <v>0.94318181818181823</v>
      </c>
      <c r="N27" s="1"/>
      <c r="O27" s="1"/>
      <c r="P27" s="1">
        <f t="shared" si="11"/>
        <v>1</v>
      </c>
    </row>
    <row r="28" spans="1:17" x14ac:dyDescent="0.25">
      <c r="A28" t="s">
        <v>199</v>
      </c>
      <c r="D28" s="1">
        <f>2*(D25*D26)/SUM(D25,D26)</f>
        <v>0.39534883720930231</v>
      </c>
      <c r="E28" s="1"/>
      <c r="F28" s="1"/>
      <c r="G28" s="1">
        <f t="shared" ref="E28:P28" si="12">2*(G25*G26)/SUM(G25,G26)</f>
        <v>0.76433121019108274</v>
      </c>
      <c r="H28" s="1"/>
      <c r="I28" s="1"/>
      <c r="J28" s="1">
        <f t="shared" si="12"/>
        <v>0.90683229813664601</v>
      </c>
      <c r="K28" s="1"/>
      <c r="L28" s="1"/>
      <c r="M28" s="1">
        <f t="shared" si="12"/>
        <v>0.8152866242038217</v>
      </c>
      <c r="N28" s="1"/>
      <c r="O28" s="1"/>
      <c r="P28" s="1">
        <f t="shared" si="12"/>
        <v>0.89308176100628933</v>
      </c>
    </row>
    <row r="29" spans="1:17" x14ac:dyDescent="0.25">
      <c r="A29" t="s">
        <v>201</v>
      </c>
      <c r="D29" s="1">
        <f>D20/SUM(D20,D19)</f>
        <v>0.56818181818181823</v>
      </c>
      <c r="E29" s="1"/>
      <c r="F29" s="1"/>
      <c r="G29" s="1">
        <f t="shared" ref="E29:P29" si="13">G20/SUM(G20,G19)</f>
        <v>0.10227272727272728</v>
      </c>
      <c r="H29" s="1"/>
      <c r="I29" s="1"/>
      <c r="J29" s="1">
        <f t="shared" si="13"/>
        <v>0</v>
      </c>
      <c r="K29" s="1"/>
      <c r="L29" s="1"/>
      <c r="M29" s="1">
        <f t="shared" si="13"/>
        <v>5.6818181818181816E-2</v>
      </c>
      <c r="N29" s="1"/>
      <c r="O29" s="1"/>
      <c r="P29" s="1">
        <f t="shared" si="13"/>
        <v>0</v>
      </c>
    </row>
    <row r="30" spans="1:17" x14ac:dyDescent="0.25">
      <c r="A30" t="s">
        <v>202</v>
      </c>
      <c r="D30" s="1">
        <f>D21/SUM(D21,D22)</f>
        <v>0.61363636363636365</v>
      </c>
      <c r="E30" s="1"/>
      <c r="F30" s="1"/>
      <c r="G30" s="1">
        <f t="shared" ref="E30:P30" si="14">G21/SUM(G21,G22)</f>
        <v>0.31818181818181818</v>
      </c>
      <c r="H30" s="1"/>
      <c r="I30" s="1"/>
      <c r="J30" s="1">
        <f t="shared" si="14"/>
        <v>0.17045454545454544</v>
      </c>
      <c r="K30" s="1"/>
      <c r="L30" s="1"/>
      <c r="M30" s="1">
        <f t="shared" si="14"/>
        <v>0.27272727272727271</v>
      </c>
      <c r="N30" s="1"/>
      <c r="O30" s="1"/>
      <c r="P30" s="1">
        <f t="shared" si="14"/>
        <v>0.19318181818181818</v>
      </c>
    </row>
    <row r="31" spans="1:17" x14ac:dyDescent="0.25">
      <c r="A31" t="s">
        <v>203</v>
      </c>
      <c r="D31" s="1">
        <f>SUM(D26,D27)/2</f>
        <v>0.40909090909090906</v>
      </c>
      <c r="E31" s="1"/>
      <c r="F31" s="1"/>
      <c r="G31" s="1">
        <f t="shared" ref="E31:P31" si="15">SUM(G26,G27)/2</f>
        <v>0.78977272727272729</v>
      </c>
      <c r="H31" s="1"/>
      <c r="I31" s="1"/>
      <c r="J31" s="1">
        <f t="shared" si="15"/>
        <v>0.91477272727272729</v>
      </c>
      <c r="K31" s="1"/>
      <c r="L31" s="1"/>
      <c r="M31" s="1">
        <f t="shared" si="15"/>
        <v>0.83522727272727271</v>
      </c>
      <c r="N31" s="1"/>
      <c r="O31" s="1"/>
      <c r="P31" s="1">
        <f t="shared" si="15"/>
        <v>0.90340909090909083</v>
      </c>
    </row>
    <row r="32" spans="1:17" x14ac:dyDescent="0.25">
      <c r="A32" t="s">
        <v>204</v>
      </c>
      <c r="D32" s="1">
        <f>D26+D27-1</f>
        <v>-0.18181818181818188</v>
      </c>
      <c r="E32" s="1"/>
      <c r="F32" s="1"/>
      <c r="G32" s="1">
        <f t="shared" ref="E32:P32" si="16">G26+G27-1</f>
        <v>0.57954545454545459</v>
      </c>
      <c r="H32" s="1"/>
      <c r="I32" s="1"/>
      <c r="J32" s="1">
        <f t="shared" si="16"/>
        <v>0.82954545454545459</v>
      </c>
      <c r="K32" s="1"/>
      <c r="L32" s="1"/>
      <c r="M32" s="1">
        <f t="shared" si="16"/>
        <v>0.67045454545454541</v>
      </c>
      <c r="N32" s="1"/>
      <c r="O32" s="1"/>
      <c r="P32" s="1">
        <f t="shared" si="16"/>
        <v>0.80681818181818166</v>
      </c>
    </row>
    <row r="33" spans="1:17" x14ac:dyDescent="0.25">
      <c r="A33" t="s">
        <v>205</v>
      </c>
      <c r="D33" s="1">
        <f>D19/SUM(D19,D21)</f>
        <v>0.41304347826086957</v>
      </c>
      <c r="E33" s="1"/>
      <c r="F33" s="1"/>
      <c r="G33" s="1">
        <f t="shared" ref="E33:P33" si="17">G19/SUM(G19,G21)</f>
        <v>0.73831775700934577</v>
      </c>
      <c r="H33" s="1"/>
      <c r="I33" s="1"/>
      <c r="J33" s="1">
        <f t="shared" si="17"/>
        <v>0.85436893203883491</v>
      </c>
      <c r="K33" s="1"/>
      <c r="L33" s="1"/>
      <c r="M33" s="1">
        <f t="shared" si="17"/>
        <v>0.77570093457943923</v>
      </c>
      <c r="N33" s="1"/>
      <c r="O33" s="1"/>
      <c r="P33" s="1">
        <f t="shared" si="17"/>
        <v>0.83809523809523812</v>
      </c>
    </row>
    <row r="34" spans="1:17" x14ac:dyDescent="0.25">
      <c r="A34" t="s">
        <v>208</v>
      </c>
      <c r="D34" s="6">
        <v>0.17884813249111101</v>
      </c>
      <c r="E34" s="6"/>
      <c r="F34" s="6"/>
      <c r="G34" s="6">
        <v>0.91425621509552002</v>
      </c>
      <c r="H34" s="6"/>
      <c r="I34" s="6"/>
      <c r="J34" s="6">
        <v>0.91864669322967496</v>
      </c>
      <c r="K34" s="6"/>
      <c r="L34" s="6"/>
      <c r="M34" s="6">
        <v>0.887784123420715</v>
      </c>
      <c r="N34" s="6"/>
      <c r="O34" s="6"/>
      <c r="P34" s="6">
        <v>0.97481918334960904</v>
      </c>
    </row>
    <row r="35" spans="1:17" x14ac:dyDescent="0.25">
      <c r="A35" t="s">
        <v>207</v>
      </c>
      <c r="D35" s="6">
        <v>0.34596651792526201</v>
      </c>
      <c r="E35" s="6"/>
      <c r="F35" s="6"/>
      <c r="G35" s="6">
        <v>0.93030297756195002</v>
      </c>
      <c r="H35" s="6"/>
      <c r="I35" s="6"/>
      <c r="J35" s="6">
        <v>0.94107651710510198</v>
      </c>
      <c r="K35" s="6"/>
      <c r="L35" s="6"/>
      <c r="M35" s="6">
        <v>0.90458601713180498</v>
      </c>
      <c r="N35" s="6"/>
      <c r="O35" s="6"/>
      <c r="P35" s="6">
        <v>0.97953259944915705</v>
      </c>
    </row>
    <row r="37" spans="1:17" x14ac:dyDescent="0.25">
      <c r="B37" t="s">
        <v>2</v>
      </c>
      <c r="E37" t="s">
        <v>20</v>
      </c>
      <c r="H37" t="s">
        <v>21</v>
      </c>
      <c r="K37" t="s">
        <v>22</v>
      </c>
      <c r="N37" t="s">
        <v>23</v>
      </c>
    </row>
    <row r="38" spans="1:17" x14ac:dyDescent="0.25">
      <c r="A38" t="s">
        <v>24</v>
      </c>
      <c r="B38" t="s">
        <v>171</v>
      </c>
      <c r="E38" t="s">
        <v>172</v>
      </c>
      <c r="H38" t="s">
        <v>174</v>
      </c>
      <c r="K38" t="s">
        <v>173</v>
      </c>
      <c r="N38" t="s">
        <v>175</v>
      </c>
      <c r="Q38" t="s">
        <v>41</v>
      </c>
    </row>
    <row r="39" spans="1:17" x14ac:dyDescent="0.25">
      <c r="B39" t="s">
        <v>180</v>
      </c>
      <c r="E39" t="s">
        <v>182</v>
      </c>
      <c r="H39" t="s">
        <v>184</v>
      </c>
      <c r="K39" t="s">
        <v>187</v>
      </c>
      <c r="N39" t="s">
        <v>176</v>
      </c>
    </row>
    <row r="40" spans="1:17" x14ac:dyDescent="0.25">
      <c r="B40" t="s">
        <v>181</v>
      </c>
      <c r="E40" t="s">
        <v>183</v>
      </c>
      <c r="H40" t="s">
        <v>186</v>
      </c>
      <c r="K40" t="s">
        <v>188</v>
      </c>
      <c r="N40" t="s">
        <v>177</v>
      </c>
    </row>
    <row r="41" spans="1:17" x14ac:dyDescent="0.25">
      <c r="E41" t="s">
        <v>185</v>
      </c>
      <c r="K41" t="s">
        <v>189</v>
      </c>
      <c r="N41" t="s">
        <v>178</v>
      </c>
    </row>
    <row r="42" spans="1:17" x14ac:dyDescent="0.25">
      <c r="N42" t="s">
        <v>179</v>
      </c>
    </row>
  </sheetData>
  <conditionalFormatting sqref="D6:D17 G6:G17 J6:J17 P6:P17 M6:M17">
    <cfRule type="colorScale" priority="17">
      <colorScale>
        <cfvo type="min"/>
        <cfvo type="percentile" val="50"/>
        <cfvo type="max"/>
        <color rgb="FFF8696B"/>
        <color rgb="FFFFEB84"/>
        <color rgb="FF63BE7B"/>
      </colorScale>
    </cfRule>
  </conditionalFormatting>
  <conditionalFormatting sqref="D24:D33 G24:G33 J24:J33 M24:M33 P24:P33">
    <cfRule type="colorScale" priority="16">
      <colorScale>
        <cfvo type="min"/>
        <cfvo type="percentile" val="50"/>
        <cfvo type="max"/>
        <color rgb="FFF8696B"/>
        <color rgb="FFFFEB84"/>
        <color rgb="FF63BE7B"/>
      </colorScale>
    </cfRule>
  </conditionalFormatting>
  <conditionalFormatting sqref="D24:D28 G24:G28 J24:J28 M24:M28 P24:P28 D31:D33 G31:G33 J31:J33 M31:M33 P31:P33">
    <cfRule type="colorScale" priority="15">
      <colorScale>
        <cfvo type="min"/>
        <cfvo type="percentile" val="50"/>
        <cfvo type="max"/>
        <color rgb="FFF8696B"/>
        <color rgb="FFFFEB84"/>
        <color rgb="FF63BE7B"/>
      </colorScale>
    </cfRule>
  </conditionalFormatting>
  <conditionalFormatting sqref="D29:D30 G29:G30 J29:J30 M29:M30 P29:P30">
    <cfRule type="colorScale" priority="2">
      <colorScale>
        <cfvo type="min"/>
        <cfvo type="percentile" val="50"/>
        <cfvo type="max"/>
        <color rgb="FF63BE7B"/>
        <color rgb="FFFFEB84"/>
        <color rgb="FFF8696B"/>
      </colorScale>
    </cfRule>
  </conditionalFormatting>
  <conditionalFormatting sqref="G24 D24 J24 M24 P24">
    <cfRule type="colorScale" priority="13">
      <colorScale>
        <cfvo type="min"/>
        <cfvo type="percentile" val="50"/>
        <cfvo type="max"/>
        <color rgb="FFF8696B"/>
        <color rgb="FFFFEB84"/>
        <color rgb="FF63BE7B"/>
      </colorScale>
    </cfRule>
  </conditionalFormatting>
  <conditionalFormatting sqref="D25 G25 J25 M25 P25">
    <cfRule type="colorScale" priority="12">
      <colorScale>
        <cfvo type="min"/>
        <cfvo type="percentile" val="50"/>
        <cfvo type="max"/>
        <color rgb="FFF8696B"/>
        <color rgb="FFFFEB84"/>
        <color rgb="FF63BE7B"/>
      </colorScale>
    </cfRule>
  </conditionalFormatting>
  <conditionalFormatting sqref="D26 G26 J26 M26 P26">
    <cfRule type="colorScale" priority="11">
      <colorScale>
        <cfvo type="min"/>
        <cfvo type="percentile" val="50"/>
        <cfvo type="max"/>
        <color rgb="FFF8696B"/>
        <color rgb="FFFFEB84"/>
        <color rgb="FF63BE7B"/>
      </colorScale>
    </cfRule>
  </conditionalFormatting>
  <conditionalFormatting sqref="G27 D27 J27 M27 P27">
    <cfRule type="colorScale" priority="10">
      <colorScale>
        <cfvo type="min"/>
        <cfvo type="percentile" val="50"/>
        <cfvo type="max"/>
        <color rgb="FFF8696B"/>
        <color rgb="FFFFEB84"/>
        <color rgb="FF63BE7B"/>
      </colorScale>
    </cfRule>
  </conditionalFormatting>
  <conditionalFormatting sqref="G28 D28 J28 M28 P28">
    <cfRule type="colorScale" priority="9">
      <colorScale>
        <cfvo type="min"/>
        <cfvo type="percentile" val="50"/>
        <cfvo type="max"/>
        <color rgb="FFF8696B"/>
        <color rgb="FFFFEB84"/>
        <color rgb="FF63BE7B"/>
      </colorScale>
    </cfRule>
  </conditionalFormatting>
  <conditionalFormatting sqref="G29 D29 J29 M29 P29">
    <cfRule type="colorScale" priority="8">
      <colorScale>
        <cfvo type="min"/>
        <cfvo type="percentile" val="50"/>
        <cfvo type="max"/>
        <color rgb="FF63BE7B"/>
        <color rgb="FFFFEB84"/>
        <color rgb="FFF8696B"/>
      </colorScale>
    </cfRule>
  </conditionalFormatting>
  <conditionalFormatting sqref="D30 G30 J30 M30 P30">
    <cfRule type="colorScale" priority="7">
      <colorScale>
        <cfvo type="min"/>
        <cfvo type="percentile" val="50"/>
        <cfvo type="max"/>
        <color rgb="FF63BE7B"/>
        <color rgb="FFFFEB84"/>
        <color rgb="FFF8696B"/>
      </colorScale>
    </cfRule>
  </conditionalFormatting>
  <conditionalFormatting sqref="D31 G31 J31 M31 P31">
    <cfRule type="colorScale" priority="6">
      <colorScale>
        <cfvo type="min"/>
        <cfvo type="percentile" val="50"/>
        <cfvo type="max"/>
        <color rgb="FFF8696B"/>
        <color rgb="FFFFEB84"/>
        <color rgb="FF63BE7B"/>
      </colorScale>
    </cfRule>
  </conditionalFormatting>
  <conditionalFormatting sqref="D32 G32 J32 M32 P32">
    <cfRule type="colorScale" priority="5">
      <colorScale>
        <cfvo type="min"/>
        <cfvo type="percentile" val="50"/>
        <cfvo type="max"/>
        <color rgb="FFF8696B"/>
        <color rgb="FFFFEB84"/>
        <color rgb="FF63BE7B"/>
      </colorScale>
    </cfRule>
  </conditionalFormatting>
  <conditionalFormatting sqref="D33 G33 J33 M33 P33">
    <cfRule type="colorScale" priority="4">
      <colorScale>
        <cfvo type="min"/>
        <cfvo type="percentile" val="50"/>
        <cfvo type="max"/>
        <color rgb="FFF8696B"/>
        <color rgb="FFFFEB84"/>
        <color rgb="FF63BE7B"/>
      </colorScale>
    </cfRule>
  </conditionalFormatting>
  <conditionalFormatting sqref="D24:D28 G24:G28 J24:J28 M24:M28 P24:P28 P31:P33 M31:M33 J31:J33 G31:G33 D31:D33">
    <cfRule type="colorScale" priority="3">
      <colorScale>
        <cfvo type="min"/>
        <cfvo type="percentile" val="50"/>
        <cfvo type="max"/>
        <color rgb="FFF8696B"/>
        <color rgb="FFFFEB84"/>
        <color rgb="FF63BE7B"/>
      </colorScale>
    </cfRule>
  </conditionalFormatting>
  <conditionalFormatting sqref="D24:D28 G24:G28 J24:J28 M24:M28 P24:P28 D31:D35 G31:G35 J31:J35 M31:M35 P31:P35">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4AB220-4CBE-4D3D-BD6C-B97E253CCB2E}">
  <dimension ref="A1:G38"/>
  <sheetViews>
    <sheetView topLeftCell="A14" workbookViewId="0">
      <selection activeCell="I33" sqref="A1:XFD1048576"/>
    </sheetView>
  </sheetViews>
  <sheetFormatPr defaultRowHeight="15" x14ac:dyDescent="0.25"/>
  <cols>
    <col min="1" max="1" width="32.85546875" customWidth="1"/>
  </cols>
  <sheetData>
    <row r="1" spans="1:7" x14ac:dyDescent="0.25">
      <c r="A1" t="s">
        <v>38</v>
      </c>
      <c r="B1" t="s">
        <v>39</v>
      </c>
      <c r="C1" t="s">
        <v>40</v>
      </c>
      <c r="D1" t="s">
        <v>43</v>
      </c>
      <c r="E1" t="s">
        <v>47</v>
      </c>
      <c r="F1" t="s">
        <v>58</v>
      </c>
      <c r="G1" t="s">
        <v>41</v>
      </c>
    </row>
    <row r="3" spans="1:7" x14ac:dyDescent="0.25">
      <c r="A3" t="s">
        <v>0</v>
      </c>
      <c r="B3" t="s">
        <v>2</v>
      </c>
      <c r="C3" t="s">
        <v>20</v>
      </c>
      <c r="D3" t="s">
        <v>21</v>
      </c>
      <c r="E3" t="s">
        <v>22</v>
      </c>
      <c r="F3" t="s">
        <v>23</v>
      </c>
    </row>
    <row r="4" spans="1:7" x14ac:dyDescent="0.25">
      <c r="A4" t="s">
        <v>1</v>
      </c>
      <c r="B4" s="1">
        <f>9/11</f>
        <v>0.81818181818181823</v>
      </c>
      <c r="C4" s="1">
        <f>5/11</f>
        <v>0.45454545454545453</v>
      </c>
      <c r="D4" s="1">
        <f>5/11</f>
        <v>0.45454545454545453</v>
      </c>
      <c r="E4" s="1">
        <f>0/11</f>
        <v>0</v>
      </c>
      <c r="F4" s="1">
        <f>2/11</f>
        <v>0.18181818181818182</v>
      </c>
    </row>
    <row r="5" spans="1:7" x14ac:dyDescent="0.25">
      <c r="A5" t="s">
        <v>3</v>
      </c>
      <c r="B5" s="1">
        <f>6/7</f>
        <v>0.8571428571428571</v>
      </c>
      <c r="C5" s="1">
        <f>1/7</f>
        <v>0.14285714285714285</v>
      </c>
      <c r="D5" s="1">
        <f>2/7</f>
        <v>0.2857142857142857</v>
      </c>
      <c r="E5" s="1">
        <f>0/7</f>
        <v>0</v>
      </c>
      <c r="F5" s="1">
        <f>0/7</f>
        <v>0</v>
      </c>
    </row>
    <row r="6" spans="1:7" x14ac:dyDescent="0.25">
      <c r="A6" t="s">
        <v>4</v>
      </c>
      <c r="B6" s="1">
        <f>9/12</f>
        <v>0.75</v>
      </c>
      <c r="C6" s="1">
        <f>1/12</f>
        <v>8.3333333333333329E-2</v>
      </c>
      <c r="D6" s="1">
        <f>6/12</f>
        <v>0.5</v>
      </c>
      <c r="E6" s="1">
        <f>1/12</f>
        <v>8.3333333333333329E-2</v>
      </c>
      <c r="F6" s="1">
        <f>4/12</f>
        <v>0.33333333333333331</v>
      </c>
    </row>
    <row r="7" spans="1:7" x14ac:dyDescent="0.25">
      <c r="A7" t="s">
        <v>5</v>
      </c>
      <c r="B7" s="1">
        <f>8/11</f>
        <v>0.72727272727272729</v>
      </c>
      <c r="C7" s="1">
        <f>2/11</f>
        <v>0.18181818181818182</v>
      </c>
      <c r="D7" s="1">
        <f>6/11</f>
        <v>0.54545454545454541</v>
      </c>
      <c r="E7" s="1">
        <f>1/11</f>
        <v>9.0909090909090912E-2</v>
      </c>
      <c r="F7" s="1">
        <f>4/11</f>
        <v>0.36363636363636365</v>
      </c>
    </row>
    <row r="8" spans="1:7" x14ac:dyDescent="0.25">
      <c r="A8" t="s">
        <v>6</v>
      </c>
      <c r="B8" s="1">
        <f>11/16</f>
        <v>0.6875</v>
      </c>
      <c r="C8" s="1">
        <f>5/16</f>
        <v>0.3125</v>
      </c>
      <c r="D8" s="1">
        <f>10/16</f>
        <v>0.625</v>
      </c>
      <c r="E8" s="1">
        <f>0/16</f>
        <v>0</v>
      </c>
      <c r="F8" s="1">
        <f>4/16</f>
        <v>0.25</v>
      </c>
    </row>
    <row r="9" spans="1:7" x14ac:dyDescent="0.25">
      <c r="A9" t="s">
        <v>7</v>
      </c>
      <c r="B9" s="1">
        <f>10/12</f>
        <v>0.83333333333333337</v>
      </c>
      <c r="C9" s="1">
        <f>4/12</f>
        <v>0.33333333333333331</v>
      </c>
      <c r="D9" s="1">
        <f>7/12</f>
        <v>0.58333333333333337</v>
      </c>
      <c r="E9" s="1">
        <f>1/12</f>
        <v>8.3333333333333329E-2</v>
      </c>
      <c r="F9" s="1">
        <f>5/12</f>
        <v>0.41666666666666669</v>
      </c>
    </row>
    <row r="10" spans="1:7" x14ac:dyDescent="0.25">
      <c r="A10" t="s">
        <v>8</v>
      </c>
      <c r="B10" s="1">
        <f>6/8</f>
        <v>0.75</v>
      </c>
      <c r="C10" s="1">
        <f>3/8</f>
        <v>0.375</v>
      </c>
      <c r="D10" s="1">
        <f>4/8</f>
        <v>0.5</v>
      </c>
      <c r="E10" s="1">
        <f>0/8</f>
        <v>0</v>
      </c>
      <c r="F10" s="1">
        <f>0/8</f>
        <v>0</v>
      </c>
    </row>
    <row r="11" spans="1:7" x14ac:dyDescent="0.25">
      <c r="B11" s="1"/>
      <c r="C11" s="1"/>
      <c r="D11" s="1"/>
      <c r="E11" s="1"/>
      <c r="F11" s="1"/>
    </row>
    <row r="12" spans="1:7" x14ac:dyDescent="0.25">
      <c r="A12" t="s">
        <v>9</v>
      </c>
      <c r="B12" s="1"/>
      <c r="C12" s="1"/>
      <c r="D12" s="1"/>
      <c r="E12" s="1"/>
      <c r="F12" s="1"/>
    </row>
    <row r="13" spans="1:7" x14ac:dyDescent="0.25">
      <c r="A13" t="s">
        <v>10</v>
      </c>
      <c r="B13" s="1">
        <f>11/11</f>
        <v>1</v>
      </c>
      <c r="C13" s="1">
        <f>10/11</f>
        <v>0.90909090909090906</v>
      </c>
      <c r="D13" s="1">
        <f t="shared" ref="D13:F14" si="0">11/11</f>
        <v>1</v>
      </c>
      <c r="E13" s="1">
        <f t="shared" si="0"/>
        <v>1</v>
      </c>
      <c r="F13" s="1">
        <f t="shared" si="0"/>
        <v>1</v>
      </c>
    </row>
    <row r="14" spans="1:7" x14ac:dyDescent="0.25">
      <c r="A14" t="s">
        <v>11</v>
      </c>
      <c r="B14" s="1">
        <f>11/11</f>
        <v>1</v>
      </c>
      <c r="C14" s="1">
        <f>11/11</f>
        <v>1</v>
      </c>
      <c r="D14" s="1">
        <f t="shared" si="0"/>
        <v>1</v>
      </c>
      <c r="E14" s="1">
        <f t="shared" si="0"/>
        <v>1</v>
      </c>
      <c r="F14" s="1">
        <f t="shared" si="0"/>
        <v>1</v>
      </c>
    </row>
    <row r="15" spans="1:7" x14ac:dyDescent="0.25">
      <c r="A15" t="s">
        <v>12</v>
      </c>
      <c r="B15" s="1">
        <f>9/9</f>
        <v>1</v>
      </c>
      <c r="C15" s="1">
        <f>9/9</f>
        <v>1</v>
      </c>
      <c r="D15" s="1">
        <f>9/9</f>
        <v>1</v>
      </c>
      <c r="E15" s="1">
        <f>9/9</f>
        <v>1</v>
      </c>
      <c r="F15" s="1">
        <f>9/9</f>
        <v>1</v>
      </c>
    </row>
    <row r="16" spans="1:7" x14ac:dyDescent="0.25">
      <c r="A16" t="s">
        <v>13</v>
      </c>
      <c r="B16" s="1">
        <f>0/12%</f>
        <v>0</v>
      </c>
      <c r="C16" s="1">
        <f>4/12</f>
        <v>0.33333333333333331</v>
      </c>
      <c r="D16" s="1">
        <f>7/12</f>
        <v>0.58333333333333337</v>
      </c>
      <c r="E16" s="1">
        <f>7/12</f>
        <v>0.58333333333333337</v>
      </c>
      <c r="F16" s="1">
        <f>0/12</f>
        <v>0</v>
      </c>
    </row>
    <row r="17" spans="1:7" x14ac:dyDescent="0.25">
      <c r="A17" t="s">
        <v>14</v>
      </c>
      <c r="B17" s="1">
        <f>1/12</f>
        <v>8.3333333333333329E-2</v>
      </c>
      <c r="C17" s="1">
        <f>0/12</f>
        <v>0</v>
      </c>
      <c r="D17" s="1">
        <f>0/12</f>
        <v>0</v>
      </c>
      <c r="E17" s="1">
        <f>1/12</f>
        <v>8.3333333333333329E-2</v>
      </c>
      <c r="F17" s="1">
        <f>2/12</f>
        <v>0.16666666666666666</v>
      </c>
    </row>
    <row r="18" spans="1:7" x14ac:dyDescent="0.25">
      <c r="A18" t="s">
        <v>15</v>
      </c>
      <c r="B18" s="1">
        <f>7/11</f>
        <v>0.63636363636363635</v>
      </c>
      <c r="C18" s="1">
        <f>8/11</f>
        <v>0.72727272727272729</v>
      </c>
      <c r="D18" s="1">
        <f>5/11</f>
        <v>0.45454545454545453</v>
      </c>
      <c r="E18" s="1">
        <f>6/11</f>
        <v>0.54545454545454541</v>
      </c>
      <c r="F18" s="1">
        <f>6/11</f>
        <v>0.54545454545454541</v>
      </c>
    </row>
    <row r="19" spans="1:7" x14ac:dyDescent="0.25">
      <c r="A19" t="s">
        <v>16</v>
      </c>
      <c r="B19" s="1">
        <f>11/12</f>
        <v>0.91666666666666663</v>
      </c>
      <c r="C19" s="1">
        <f>10/12</f>
        <v>0.83333333333333337</v>
      </c>
      <c r="D19" s="1">
        <f>10/12</f>
        <v>0.83333333333333337</v>
      </c>
      <c r="E19" s="1">
        <f>10/12</f>
        <v>0.83333333333333337</v>
      </c>
      <c r="F19" s="1">
        <f>12/12</f>
        <v>1</v>
      </c>
    </row>
    <row r="20" spans="1:7" x14ac:dyDescent="0.25">
      <c r="A20" t="s">
        <v>17</v>
      </c>
      <c r="B20" s="1">
        <f>2/10</f>
        <v>0.2</v>
      </c>
      <c r="C20" s="1">
        <f>0/10</f>
        <v>0</v>
      </c>
      <c r="D20" s="1">
        <f>0/10</f>
        <v>0</v>
      </c>
      <c r="E20" s="1">
        <f>3/10</f>
        <v>0.3</v>
      </c>
      <c r="F20" s="1">
        <f>0/10</f>
        <v>0</v>
      </c>
    </row>
    <row r="21" spans="1:7" x14ac:dyDescent="0.25">
      <c r="A21" t="s">
        <v>18</v>
      </c>
      <c r="B21" s="1">
        <f>7/10</f>
        <v>0.7</v>
      </c>
      <c r="C21" s="1">
        <f>7/10</f>
        <v>0.7</v>
      </c>
      <c r="D21" s="1">
        <f>1/10</f>
        <v>0.1</v>
      </c>
      <c r="E21" s="1">
        <f>0/10</f>
        <v>0</v>
      </c>
      <c r="F21" s="1">
        <f>0/10</f>
        <v>0</v>
      </c>
    </row>
    <row r="22" spans="1:7" x14ac:dyDescent="0.25">
      <c r="A22" t="s">
        <v>19</v>
      </c>
      <c r="B22" s="1">
        <f>10/12</f>
        <v>0.83333333333333337</v>
      </c>
      <c r="C22" s="1">
        <f>10/12</f>
        <v>0.83333333333333337</v>
      </c>
      <c r="D22" s="1">
        <f>5/12</f>
        <v>0.41666666666666669</v>
      </c>
      <c r="E22" s="1">
        <f>3/12</f>
        <v>0.25</v>
      </c>
      <c r="F22" s="1">
        <f>7/12</f>
        <v>0.58333333333333337</v>
      </c>
    </row>
    <row r="24" spans="1:7" x14ac:dyDescent="0.25">
      <c r="A24" t="s">
        <v>24</v>
      </c>
      <c r="B24" t="s">
        <v>31</v>
      </c>
      <c r="C24" t="s">
        <v>30</v>
      </c>
      <c r="D24" t="s">
        <v>35</v>
      </c>
      <c r="E24" t="s">
        <v>48</v>
      </c>
      <c r="F24" t="s">
        <v>59</v>
      </c>
      <c r="G24" t="s">
        <v>41</v>
      </c>
    </row>
    <row r="25" spans="1:7" x14ac:dyDescent="0.25">
      <c r="B25" t="s">
        <v>25</v>
      </c>
      <c r="C25" t="s">
        <v>32</v>
      </c>
      <c r="D25" t="s">
        <v>36</v>
      </c>
      <c r="E25" t="s">
        <v>49</v>
      </c>
      <c r="F25" t="s">
        <v>62</v>
      </c>
      <c r="G25" t="s">
        <v>41</v>
      </c>
    </row>
    <row r="26" spans="1:7" x14ac:dyDescent="0.25">
      <c r="B26" t="s">
        <v>26</v>
      </c>
      <c r="C26" t="s">
        <v>33</v>
      </c>
      <c r="D26" t="s">
        <v>37</v>
      </c>
      <c r="E26" t="s">
        <v>50</v>
      </c>
      <c r="F26" t="s">
        <v>61</v>
      </c>
      <c r="G26" t="s">
        <v>41</v>
      </c>
    </row>
    <row r="27" spans="1:7" x14ac:dyDescent="0.25">
      <c r="B27" t="s">
        <v>27</v>
      </c>
      <c r="C27" t="s">
        <v>34</v>
      </c>
      <c r="D27" t="s">
        <v>42</v>
      </c>
      <c r="E27" t="s">
        <v>51</v>
      </c>
      <c r="F27" t="s">
        <v>60</v>
      </c>
      <c r="G27" t="s">
        <v>41</v>
      </c>
    </row>
    <row r="28" spans="1:7" x14ac:dyDescent="0.25">
      <c r="B28" t="s">
        <v>28</v>
      </c>
      <c r="D28" t="s">
        <v>44</v>
      </c>
      <c r="E28" t="s">
        <v>52</v>
      </c>
      <c r="F28" t="s">
        <v>63</v>
      </c>
      <c r="G28" t="s">
        <v>41</v>
      </c>
    </row>
    <row r="29" spans="1:7" x14ac:dyDescent="0.25">
      <c r="B29" t="s">
        <v>29</v>
      </c>
      <c r="D29" t="s">
        <v>45</v>
      </c>
      <c r="E29" t="s">
        <v>53</v>
      </c>
      <c r="F29" t="s">
        <v>64</v>
      </c>
      <c r="G29" t="s">
        <v>41</v>
      </c>
    </row>
    <row r="30" spans="1:7" x14ac:dyDescent="0.25">
      <c r="D30" t="s">
        <v>46</v>
      </c>
      <c r="E30" t="s">
        <v>56</v>
      </c>
      <c r="F30" t="s">
        <v>65</v>
      </c>
      <c r="G30" t="s">
        <v>41</v>
      </c>
    </row>
    <row r="31" spans="1:7" x14ac:dyDescent="0.25">
      <c r="E31" t="s">
        <v>57</v>
      </c>
      <c r="F31" t="s">
        <v>66</v>
      </c>
      <c r="G31" t="s">
        <v>41</v>
      </c>
    </row>
    <row r="32" spans="1:7" x14ac:dyDescent="0.25">
      <c r="F32" t="s">
        <v>68</v>
      </c>
      <c r="G32" t="s">
        <v>41</v>
      </c>
    </row>
    <row r="33" spans="1:7" x14ac:dyDescent="0.25">
      <c r="F33" t="s">
        <v>67</v>
      </c>
      <c r="G33" t="s">
        <v>41</v>
      </c>
    </row>
    <row r="34" spans="1:7" x14ac:dyDescent="0.25">
      <c r="F34" t="s">
        <v>69</v>
      </c>
      <c r="G34" t="s">
        <v>41</v>
      </c>
    </row>
    <row r="35" spans="1:7" x14ac:dyDescent="0.25">
      <c r="F35" t="s">
        <v>70</v>
      </c>
      <c r="G35" t="s">
        <v>41</v>
      </c>
    </row>
    <row r="36" spans="1:7" x14ac:dyDescent="0.25">
      <c r="F36" t="s">
        <v>71</v>
      </c>
      <c r="G36" t="s">
        <v>41</v>
      </c>
    </row>
    <row r="38" spans="1:7" x14ac:dyDescent="0.25">
      <c r="A38" t="s">
        <v>55</v>
      </c>
      <c r="B38" t="s">
        <v>54</v>
      </c>
      <c r="C38" t="s">
        <v>72</v>
      </c>
      <c r="D38" t="s">
        <v>41</v>
      </c>
    </row>
  </sheetData>
  <phoneticPr fontId="1" type="noConversion"/>
  <conditionalFormatting sqref="B4:F22">
    <cfRule type="colorScale" priority="1">
      <colorScale>
        <cfvo type="min"/>
        <cfvo type="percentile" val="50"/>
        <cfvo type="max"/>
        <color rgb="FFF8696B"/>
        <color rgb="FFFFEB84"/>
        <color rgb="FF63BE7B"/>
      </colorScale>
    </cfRule>
  </conditionalFormatting>
  <pageMargins left="0.7" right="0.7" top="0.75" bottom="0.75" header="0.3" footer="0.3"/>
  <ignoredErrors>
    <ignoredError sqref="C13 D6" 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18D5E-8151-43DC-9800-EECCEDBA2298}">
  <dimension ref="A1:X35"/>
  <sheetViews>
    <sheetView workbookViewId="0">
      <selection activeCell="B23" sqref="B23"/>
    </sheetView>
  </sheetViews>
  <sheetFormatPr defaultRowHeight="15" x14ac:dyDescent="0.25"/>
  <cols>
    <col min="1" max="1" width="32.85546875" customWidth="1"/>
  </cols>
  <sheetData>
    <row r="1" spans="1:24" x14ac:dyDescent="0.25">
      <c r="A1" t="s">
        <v>38</v>
      </c>
      <c r="B1" t="s">
        <v>39</v>
      </c>
      <c r="C1" t="s">
        <v>40</v>
      </c>
      <c r="D1" t="s">
        <v>74</v>
      </c>
      <c r="E1" t="s">
        <v>47</v>
      </c>
      <c r="F1" t="s">
        <v>58</v>
      </c>
      <c r="G1" t="s">
        <v>41</v>
      </c>
      <c r="O1" t="s">
        <v>41</v>
      </c>
      <c r="X1" t="s">
        <v>41</v>
      </c>
    </row>
    <row r="2" spans="1:24" x14ac:dyDescent="0.25">
      <c r="B2" t="s">
        <v>73</v>
      </c>
    </row>
    <row r="4" spans="1:24" x14ac:dyDescent="0.25">
      <c r="A4" t="s">
        <v>0</v>
      </c>
      <c r="B4" t="s">
        <v>2</v>
      </c>
      <c r="E4" t="s">
        <v>20</v>
      </c>
      <c r="H4" t="s">
        <v>21</v>
      </c>
      <c r="K4" t="s">
        <v>22</v>
      </c>
      <c r="N4" t="s">
        <v>23</v>
      </c>
    </row>
    <row r="5" spans="1:24" x14ac:dyDescent="0.25">
      <c r="B5" t="s">
        <v>77</v>
      </c>
      <c r="C5" t="s">
        <v>78</v>
      </c>
      <c r="D5" t="s">
        <v>79</v>
      </c>
      <c r="E5" t="s">
        <v>77</v>
      </c>
      <c r="F5" t="s">
        <v>78</v>
      </c>
      <c r="G5" t="s">
        <v>79</v>
      </c>
      <c r="H5" t="s">
        <v>77</v>
      </c>
      <c r="I5" t="s">
        <v>78</v>
      </c>
      <c r="J5" t="s">
        <v>79</v>
      </c>
      <c r="K5" t="s">
        <v>77</v>
      </c>
      <c r="L5" t="s">
        <v>78</v>
      </c>
      <c r="M5" t="s">
        <v>79</v>
      </c>
      <c r="N5" t="s">
        <v>77</v>
      </c>
      <c r="O5" t="s">
        <v>78</v>
      </c>
      <c r="P5" t="s">
        <v>79</v>
      </c>
    </row>
    <row r="6" spans="1:24" x14ac:dyDescent="0.25">
      <c r="A6" t="s">
        <v>1</v>
      </c>
      <c r="B6" s="3">
        <v>10</v>
      </c>
      <c r="C6" s="3">
        <v>12</v>
      </c>
      <c r="D6" s="1">
        <f>B6/C6</f>
        <v>0.83333333333333337</v>
      </c>
      <c r="E6" s="3">
        <v>3</v>
      </c>
      <c r="F6" s="3">
        <v>12</v>
      </c>
      <c r="G6" s="1">
        <f>E6/F6</f>
        <v>0.25</v>
      </c>
      <c r="H6" s="3">
        <v>5</v>
      </c>
      <c r="I6" s="3">
        <v>12</v>
      </c>
      <c r="J6" s="1">
        <f>H6/I6</f>
        <v>0.41666666666666669</v>
      </c>
      <c r="K6" s="3">
        <v>5</v>
      </c>
      <c r="L6" s="3">
        <v>12</v>
      </c>
      <c r="M6" s="1">
        <f t="shared" ref="M6:P19" si="0">K6/L6</f>
        <v>0.41666666666666669</v>
      </c>
      <c r="N6" s="3">
        <v>6</v>
      </c>
      <c r="O6" s="3">
        <v>12</v>
      </c>
      <c r="P6" s="1">
        <f t="shared" si="0"/>
        <v>0.5</v>
      </c>
    </row>
    <row r="7" spans="1:24" x14ac:dyDescent="0.25">
      <c r="A7" t="s">
        <v>4</v>
      </c>
      <c r="B7" s="3">
        <v>8</v>
      </c>
      <c r="C7" s="3">
        <v>9</v>
      </c>
      <c r="D7" s="1">
        <f t="shared" ref="D7:D19" si="1">B7/C7</f>
        <v>0.88888888888888884</v>
      </c>
      <c r="E7" s="3">
        <v>3</v>
      </c>
      <c r="F7" s="3">
        <v>9</v>
      </c>
      <c r="G7" s="1">
        <f t="shared" ref="G7:G19" si="2">E7/F7</f>
        <v>0.33333333333333331</v>
      </c>
      <c r="H7" s="3">
        <v>7</v>
      </c>
      <c r="I7" s="3">
        <v>9</v>
      </c>
      <c r="J7" s="1">
        <f t="shared" ref="J7:J19" si="3">H7/I7</f>
        <v>0.77777777777777779</v>
      </c>
      <c r="K7" s="3">
        <v>5</v>
      </c>
      <c r="L7" s="3">
        <v>9</v>
      </c>
      <c r="M7" s="1">
        <f t="shared" si="0"/>
        <v>0.55555555555555558</v>
      </c>
      <c r="N7" s="3">
        <v>4</v>
      </c>
      <c r="O7" s="3">
        <v>9</v>
      </c>
      <c r="P7" s="1">
        <f t="shared" si="0"/>
        <v>0.44444444444444442</v>
      </c>
    </row>
    <row r="8" spans="1:24" x14ac:dyDescent="0.25">
      <c r="A8" t="s">
        <v>5</v>
      </c>
      <c r="B8" s="3">
        <v>8</v>
      </c>
      <c r="C8" s="3">
        <v>11</v>
      </c>
      <c r="D8" s="1">
        <f t="shared" si="1"/>
        <v>0.72727272727272729</v>
      </c>
      <c r="E8" s="3">
        <v>2</v>
      </c>
      <c r="F8" s="3">
        <v>11</v>
      </c>
      <c r="G8" s="1">
        <f t="shared" si="2"/>
        <v>0.18181818181818182</v>
      </c>
      <c r="H8" s="3">
        <v>6</v>
      </c>
      <c r="I8" s="3">
        <v>11</v>
      </c>
      <c r="J8" s="1">
        <f t="shared" si="3"/>
        <v>0.54545454545454541</v>
      </c>
      <c r="K8" s="3">
        <v>8</v>
      </c>
      <c r="L8" s="3">
        <v>11</v>
      </c>
      <c r="M8" s="1">
        <f t="shared" si="0"/>
        <v>0.72727272727272729</v>
      </c>
      <c r="N8" s="3">
        <v>4</v>
      </c>
      <c r="O8" s="3">
        <v>11</v>
      </c>
      <c r="P8" s="1">
        <f t="shared" si="0"/>
        <v>0.36363636363636365</v>
      </c>
    </row>
    <row r="9" spans="1:24" x14ac:dyDescent="0.25">
      <c r="A9" t="s">
        <v>6</v>
      </c>
      <c r="B9" s="3">
        <v>8</v>
      </c>
      <c r="C9" s="3">
        <v>10</v>
      </c>
      <c r="D9" s="1">
        <f t="shared" si="1"/>
        <v>0.8</v>
      </c>
      <c r="E9" s="3">
        <v>1</v>
      </c>
      <c r="F9" s="3">
        <v>10</v>
      </c>
      <c r="G9" s="1">
        <f t="shared" si="2"/>
        <v>0.1</v>
      </c>
      <c r="H9" s="3">
        <v>5</v>
      </c>
      <c r="I9" s="3">
        <v>10</v>
      </c>
      <c r="J9" s="1">
        <f t="shared" si="3"/>
        <v>0.5</v>
      </c>
      <c r="K9" s="3">
        <v>5</v>
      </c>
      <c r="L9" s="3">
        <v>10</v>
      </c>
      <c r="M9" s="1">
        <f t="shared" si="0"/>
        <v>0.5</v>
      </c>
      <c r="N9" s="3">
        <v>3</v>
      </c>
      <c r="O9" s="3">
        <v>10</v>
      </c>
      <c r="P9" s="1">
        <f t="shared" si="0"/>
        <v>0.3</v>
      </c>
    </row>
    <row r="10" spans="1:24" x14ac:dyDescent="0.25">
      <c r="A10" t="s">
        <v>7</v>
      </c>
      <c r="B10" s="3">
        <v>10</v>
      </c>
      <c r="C10" s="3">
        <v>13</v>
      </c>
      <c r="D10" s="1">
        <f t="shared" si="1"/>
        <v>0.76923076923076927</v>
      </c>
      <c r="E10" s="3">
        <v>2</v>
      </c>
      <c r="F10" s="3">
        <v>13</v>
      </c>
      <c r="G10" s="1">
        <f t="shared" si="2"/>
        <v>0.15384615384615385</v>
      </c>
      <c r="H10" s="3">
        <v>6</v>
      </c>
      <c r="I10" s="3">
        <v>13</v>
      </c>
      <c r="J10" s="1">
        <f t="shared" si="3"/>
        <v>0.46153846153846156</v>
      </c>
      <c r="K10" s="3">
        <v>3</v>
      </c>
      <c r="L10" s="3">
        <v>13</v>
      </c>
      <c r="M10" s="1">
        <f t="shared" si="0"/>
        <v>0.23076923076923078</v>
      </c>
      <c r="N10" s="3">
        <v>1</v>
      </c>
      <c r="O10" s="3">
        <v>13</v>
      </c>
      <c r="P10" s="1">
        <f t="shared" si="0"/>
        <v>7.6923076923076927E-2</v>
      </c>
    </row>
    <row r="11" spans="1:24" x14ac:dyDescent="0.25">
      <c r="B11" s="3"/>
      <c r="C11" s="3"/>
      <c r="D11" s="1"/>
      <c r="E11" s="3"/>
      <c r="F11" s="3"/>
      <c r="G11" s="1"/>
      <c r="H11" s="3"/>
      <c r="I11" s="3"/>
      <c r="J11" s="1"/>
      <c r="K11" s="3"/>
      <c r="L11" s="3"/>
      <c r="M11" s="1"/>
      <c r="N11" s="3"/>
      <c r="O11" s="3"/>
      <c r="P11" s="1"/>
    </row>
    <row r="12" spans="1:24" x14ac:dyDescent="0.25">
      <c r="A12" t="s">
        <v>9</v>
      </c>
      <c r="B12" s="3"/>
      <c r="C12" s="3"/>
      <c r="D12" s="1"/>
      <c r="E12" s="3"/>
      <c r="F12" s="3"/>
      <c r="G12" s="1"/>
      <c r="H12" s="3"/>
      <c r="I12" s="3"/>
      <c r="J12" s="1"/>
      <c r="K12" s="3"/>
      <c r="L12" s="3"/>
      <c r="M12" s="1"/>
      <c r="N12" s="3"/>
      <c r="O12" s="3"/>
      <c r="P12" s="1"/>
    </row>
    <row r="13" spans="1:24" x14ac:dyDescent="0.25">
      <c r="A13" t="s">
        <v>10</v>
      </c>
      <c r="B13" s="3">
        <v>10</v>
      </c>
      <c r="C13" s="3">
        <v>10</v>
      </c>
      <c r="D13" s="1">
        <f t="shared" si="1"/>
        <v>1</v>
      </c>
      <c r="E13" s="3">
        <v>9</v>
      </c>
      <c r="F13" s="3">
        <v>10</v>
      </c>
      <c r="G13" s="1">
        <f t="shared" si="2"/>
        <v>0.9</v>
      </c>
      <c r="H13" s="3">
        <v>10</v>
      </c>
      <c r="I13" s="3">
        <v>10</v>
      </c>
      <c r="J13" s="1">
        <f t="shared" si="3"/>
        <v>1</v>
      </c>
      <c r="K13" s="3">
        <v>10</v>
      </c>
      <c r="L13" s="3">
        <v>10</v>
      </c>
      <c r="M13" s="1">
        <f t="shared" si="0"/>
        <v>1</v>
      </c>
      <c r="N13" s="3">
        <v>8</v>
      </c>
      <c r="O13" s="3">
        <v>10</v>
      </c>
      <c r="P13" s="1">
        <f t="shared" si="0"/>
        <v>0.8</v>
      </c>
    </row>
    <row r="14" spans="1:24" x14ac:dyDescent="0.25">
      <c r="A14" t="s">
        <v>11</v>
      </c>
      <c r="B14" s="3">
        <v>10</v>
      </c>
      <c r="C14" s="3">
        <v>10</v>
      </c>
      <c r="D14" s="1">
        <f t="shared" si="1"/>
        <v>1</v>
      </c>
      <c r="E14" s="3">
        <v>9</v>
      </c>
      <c r="F14" s="3">
        <v>10</v>
      </c>
      <c r="G14" s="1">
        <f t="shared" si="2"/>
        <v>0.9</v>
      </c>
      <c r="H14" s="3">
        <v>10</v>
      </c>
      <c r="I14" s="3">
        <v>10</v>
      </c>
      <c r="J14" s="1">
        <f t="shared" si="3"/>
        <v>1</v>
      </c>
      <c r="K14" s="3">
        <v>10</v>
      </c>
      <c r="L14" s="3">
        <v>10</v>
      </c>
      <c r="M14" s="1">
        <f t="shared" si="0"/>
        <v>1</v>
      </c>
      <c r="N14" s="3">
        <v>10</v>
      </c>
      <c r="O14" s="3">
        <v>10</v>
      </c>
      <c r="P14" s="1">
        <f t="shared" si="0"/>
        <v>1</v>
      </c>
    </row>
    <row r="15" spans="1:24" x14ac:dyDescent="0.25">
      <c r="A15" t="s">
        <v>12</v>
      </c>
      <c r="B15" s="3">
        <v>8</v>
      </c>
      <c r="C15" s="3">
        <v>8</v>
      </c>
      <c r="D15" s="1">
        <f t="shared" si="1"/>
        <v>1</v>
      </c>
      <c r="E15" s="3">
        <v>8</v>
      </c>
      <c r="F15" s="3">
        <v>8</v>
      </c>
      <c r="G15" s="1">
        <f t="shared" si="2"/>
        <v>1</v>
      </c>
      <c r="H15" s="3">
        <v>8</v>
      </c>
      <c r="I15" s="3">
        <v>8</v>
      </c>
      <c r="J15" s="1">
        <f t="shared" si="3"/>
        <v>1</v>
      </c>
      <c r="K15" s="3">
        <v>8</v>
      </c>
      <c r="L15" s="3">
        <v>8</v>
      </c>
      <c r="M15" s="1">
        <f t="shared" si="0"/>
        <v>1</v>
      </c>
      <c r="N15" s="3">
        <v>8</v>
      </c>
      <c r="O15" s="3">
        <v>8</v>
      </c>
      <c r="P15" s="1">
        <f t="shared" si="0"/>
        <v>1</v>
      </c>
    </row>
    <row r="16" spans="1:24" x14ac:dyDescent="0.25">
      <c r="A16" t="s">
        <v>15</v>
      </c>
      <c r="B16" s="3">
        <v>9</v>
      </c>
      <c r="C16" s="3">
        <v>13</v>
      </c>
      <c r="D16" s="1">
        <f t="shared" si="1"/>
        <v>0.69230769230769229</v>
      </c>
      <c r="E16" s="3">
        <v>7</v>
      </c>
      <c r="F16" s="3">
        <v>13</v>
      </c>
      <c r="G16" s="1">
        <f t="shared" si="2"/>
        <v>0.53846153846153844</v>
      </c>
      <c r="H16" s="3">
        <v>10</v>
      </c>
      <c r="I16" s="3">
        <v>13</v>
      </c>
      <c r="J16" s="1">
        <f t="shared" si="3"/>
        <v>0.76923076923076927</v>
      </c>
      <c r="K16" s="3">
        <v>10</v>
      </c>
      <c r="L16" s="3">
        <v>13</v>
      </c>
      <c r="M16" s="1">
        <f t="shared" si="0"/>
        <v>0.76923076923076927</v>
      </c>
      <c r="N16" s="3">
        <v>10</v>
      </c>
      <c r="O16" s="3">
        <v>13</v>
      </c>
      <c r="P16" s="1">
        <f t="shared" si="0"/>
        <v>0.76923076923076927</v>
      </c>
    </row>
    <row r="17" spans="1:16" x14ac:dyDescent="0.25">
      <c r="A17" t="s">
        <v>16</v>
      </c>
      <c r="B17" s="3">
        <v>9</v>
      </c>
      <c r="C17" s="3">
        <v>12</v>
      </c>
      <c r="D17" s="1">
        <f t="shared" si="1"/>
        <v>0.75</v>
      </c>
      <c r="E17" s="3">
        <v>10</v>
      </c>
      <c r="F17" s="3">
        <v>12</v>
      </c>
      <c r="G17" s="1">
        <f t="shared" si="2"/>
        <v>0.83333333333333337</v>
      </c>
      <c r="H17" s="3">
        <v>11</v>
      </c>
      <c r="I17" s="3">
        <v>12</v>
      </c>
      <c r="J17" s="1">
        <f t="shared" si="3"/>
        <v>0.91666666666666663</v>
      </c>
      <c r="K17" s="3">
        <v>12</v>
      </c>
      <c r="L17" s="3">
        <v>12</v>
      </c>
      <c r="M17" s="1">
        <f t="shared" si="0"/>
        <v>1</v>
      </c>
      <c r="N17" s="3">
        <v>12</v>
      </c>
      <c r="O17" s="3">
        <v>12</v>
      </c>
      <c r="P17" s="1">
        <f t="shared" si="0"/>
        <v>1</v>
      </c>
    </row>
    <row r="18" spans="1:16" x14ac:dyDescent="0.25">
      <c r="A18" t="s">
        <v>18</v>
      </c>
      <c r="B18" s="3">
        <v>4</v>
      </c>
      <c r="C18" s="3">
        <v>11</v>
      </c>
      <c r="D18" s="1">
        <f t="shared" si="1"/>
        <v>0.36363636363636365</v>
      </c>
      <c r="E18" s="3">
        <v>9</v>
      </c>
      <c r="F18" s="3">
        <v>11</v>
      </c>
      <c r="G18" s="1">
        <f t="shared" si="2"/>
        <v>0.81818181818181823</v>
      </c>
      <c r="H18" s="3">
        <v>2</v>
      </c>
      <c r="I18" s="3">
        <v>11</v>
      </c>
      <c r="J18" s="1">
        <f t="shared" si="3"/>
        <v>0.18181818181818182</v>
      </c>
      <c r="K18" s="3">
        <v>1</v>
      </c>
      <c r="L18" s="3">
        <v>11</v>
      </c>
      <c r="M18" s="1">
        <f t="shared" si="0"/>
        <v>9.0909090909090912E-2</v>
      </c>
      <c r="N18" s="3">
        <v>0</v>
      </c>
      <c r="O18" s="3">
        <v>11</v>
      </c>
      <c r="P18" s="1">
        <f t="shared" si="0"/>
        <v>0</v>
      </c>
    </row>
    <row r="19" spans="1:16" x14ac:dyDescent="0.25">
      <c r="A19" t="s">
        <v>19</v>
      </c>
      <c r="B19" s="3">
        <v>8</v>
      </c>
      <c r="C19" s="3">
        <v>13</v>
      </c>
      <c r="D19" s="1">
        <f t="shared" si="1"/>
        <v>0.61538461538461542</v>
      </c>
      <c r="E19" s="3">
        <v>13</v>
      </c>
      <c r="F19" s="3">
        <v>13</v>
      </c>
      <c r="G19" s="1">
        <f t="shared" si="2"/>
        <v>1</v>
      </c>
      <c r="H19" s="3">
        <v>7</v>
      </c>
      <c r="I19" s="3">
        <v>13</v>
      </c>
      <c r="J19" s="1">
        <f t="shared" si="3"/>
        <v>0.53846153846153844</v>
      </c>
      <c r="K19" s="3">
        <v>4</v>
      </c>
      <c r="L19" s="3">
        <v>13</v>
      </c>
      <c r="M19" s="1">
        <f t="shared" si="0"/>
        <v>0.30769230769230771</v>
      </c>
      <c r="N19" s="3">
        <v>7</v>
      </c>
      <c r="O19" s="3">
        <v>13</v>
      </c>
      <c r="P19" s="1">
        <f t="shared" si="0"/>
        <v>0.53846153846153844</v>
      </c>
    </row>
    <row r="20" spans="1:16" x14ac:dyDescent="0.25">
      <c r="B20" s="2"/>
      <c r="C20" s="2"/>
      <c r="D20" s="2"/>
      <c r="E20" s="2"/>
      <c r="F20" s="2"/>
      <c r="G20" s="2"/>
      <c r="H20" s="2"/>
      <c r="I20" s="2"/>
      <c r="J20" s="2"/>
      <c r="K20" s="2"/>
      <c r="L20" s="2"/>
      <c r="M20" s="2"/>
      <c r="N20" s="2"/>
    </row>
    <row r="21" spans="1:16" x14ac:dyDescent="0.25">
      <c r="A21" t="s">
        <v>24</v>
      </c>
      <c r="B21" t="s">
        <v>75</v>
      </c>
      <c r="E21" t="s">
        <v>80</v>
      </c>
      <c r="H21" t="s">
        <v>85</v>
      </c>
      <c r="K21" t="s">
        <v>90</v>
      </c>
      <c r="N21" t="s">
        <v>94</v>
      </c>
      <c r="O21" t="s">
        <v>41</v>
      </c>
    </row>
    <row r="22" spans="1:16" x14ac:dyDescent="0.25">
      <c r="B22" t="s">
        <v>76</v>
      </c>
      <c r="E22" t="s">
        <v>81</v>
      </c>
      <c r="H22" t="s">
        <v>86</v>
      </c>
      <c r="K22" t="s">
        <v>91</v>
      </c>
      <c r="N22" t="s">
        <v>95</v>
      </c>
      <c r="O22" t="s">
        <v>41</v>
      </c>
    </row>
    <row r="23" spans="1:16" x14ac:dyDescent="0.25">
      <c r="B23" t="s">
        <v>41</v>
      </c>
      <c r="E23" t="s">
        <v>82</v>
      </c>
      <c r="H23" t="s">
        <v>87</v>
      </c>
      <c r="K23" t="s">
        <v>92</v>
      </c>
      <c r="N23" t="s">
        <v>96</v>
      </c>
      <c r="O23" t="s">
        <v>41</v>
      </c>
    </row>
    <row r="24" spans="1:16" x14ac:dyDescent="0.25">
      <c r="B24" t="s">
        <v>41</v>
      </c>
      <c r="E24" t="s">
        <v>83</v>
      </c>
      <c r="H24" t="s">
        <v>88</v>
      </c>
      <c r="K24" t="s">
        <v>93</v>
      </c>
      <c r="N24" t="s">
        <v>97</v>
      </c>
      <c r="O24" t="s">
        <v>41</v>
      </c>
    </row>
    <row r="25" spans="1:16" x14ac:dyDescent="0.25">
      <c r="B25" t="s">
        <v>41</v>
      </c>
      <c r="E25" t="s">
        <v>84</v>
      </c>
      <c r="H25" t="s">
        <v>89</v>
      </c>
      <c r="K25" t="s">
        <v>41</v>
      </c>
      <c r="N25" t="s">
        <v>41</v>
      </c>
      <c r="O25" t="s">
        <v>41</v>
      </c>
    </row>
    <row r="26" spans="1:16" x14ac:dyDescent="0.25">
      <c r="B26" t="s">
        <v>41</v>
      </c>
      <c r="H26" t="s">
        <v>41</v>
      </c>
      <c r="K26" t="s">
        <v>41</v>
      </c>
      <c r="N26" t="s">
        <v>41</v>
      </c>
      <c r="O26" t="s">
        <v>41</v>
      </c>
    </row>
    <row r="27" spans="1:16" x14ac:dyDescent="0.25">
      <c r="B27" t="s">
        <v>41</v>
      </c>
      <c r="E27" t="s">
        <v>41</v>
      </c>
      <c r="H27" t="s">
        <v>41</v>
      </c>
      <c r="K27" t="s">
        <v>41</v>
      </c>
      <c r="N27" t="s">
        <v>41</v>
      </c>
      <c r="O27" t="s">
        <v>41</v>
      </c>
    </row>
    <row r="28" spans="1:16" x14ac:dyDescent="0.25">
      <c r="B28" t="s">
        <v>41</v>
      </c>
      <c r="E28" t="s">
        <v>41</v>
      </c>
      <c r="H28" t="s">
        <v>41</v>
      </c>
      <c r="K28" t="s">
        <v>41</v>
      </c>
      <c r="N28" t="s">
        <v>41</v>
      </c>
      <c r="O28" t="s">
        <v>41</v>
      </c>
    </row>
    <row r="29" spans="1:16" x14ac:dyDescent="0.25">
      <c r="E29" t="s">
        <v>41</v>
      </c>
      <c r="H29" t="s">
        <v>41</v>
      </c>
      <c r="K29" t="s">
        <v>41</v>
      </c>
      <c r="N29" t="s">
        <v>41</v>
      </c>
      <c r="O29" t="s">
        <v>41</v>
      </c>
    </row>
    <row r="30" spans="1:16" x14ac:dyDescent="0.25">
      <c r="B30" t="s">
        <v>41</v>
      </c>
      <c r="E30" t="s">
        <v>41</v>
      </c>
      <c r="H30" t="s">
        <v>41</v>
      </c>
      <c r="K30" t="s">
        <v>41</v>
      </c>
      <c r="N30" t="s">
        <v>41</v>
      </c>
      <c r="O30" t="s">
        <v>41</v>
      </c>
    </row>
    <row r="31" spans="1:16" x14ac:dyDescent="0.25">
      <c r="B31" t="s">
        <v>41</v>
      </c>
      <c r="E31" t="s">
        <v>41</v>
      </c>
      <c r="H31" t="s">
        <v>41</v>
      </c>
      <c r="K31" t="s">
        <v>41</v>
      </c>
      <c r="N31" t="s">
        <v>41</v>
      </c>
      <c r="O31" t="s">
        <v>41</v>
      </c>
    </row>
    <row r="32" spans="1:16" x14ac:dyDescent="0.25">
      <c r="B32" t="s">
        <v>41</v>
      </c>
      <c r="E32" t="s">
        <v>41</v>
      </c>
      <c r="H32" t="s">
        <v>41</v>
      </c>
      <c r="K32" t="s">
        <v>41</v>
      </c>
      <c r="N32" t="s">
        <v>41</v>
      </c>
      <c r="O32" t="s">
        <v>41</v>
      </c>
    </row>
    <row r="33" spans="1:15" x14ac:dyDescent="0.25">
      <c r="B33" t="s">
        <v>41</v>
      </c>
      <c r="E33" t="s">
        <v>41</v>
      </c>
      <c r="K33" t="s">
        <v>41</v>
      </c>
      <c r="N33" t="s">
        <v>41</v>
      </c>
      <c r="O33" t="s">
        <v>41</v>
      </c>
    </row>
    <row r="34" spans="1:15" x14ac:dyDescent="0.25">
      <c r="B34" t="s">
        <v>41</v>
      </c>
    </row>
    <row r="35" spans="1:15" x14ac:dyDescent="0.25">
      <c r="A35" t="s">
        <v>55</v>
      </c>
      <c r="B35" t="s">
        <v>41</v>
      </c>
      <c r="E35" t="s">
        <v>41</v>
      </c>
      <c r="H35" t="s">
        <v>41</v>
      </c>
    </row>
  </sheetData>
  <conditionalFormatting sqref="D6:D19 G6:G19 J6:J19 P6:P19 M6:M19">
    <cfRule type="colorScale" priority="1">
      <colorScale>
        <cfvo type="min"/>
        <cfvo type="percentile" val="50"/>
        <cfvo type="max"/>
        <color rgb="FFF8696B"/>
        <color rgb="FFFFEB84"/>
        <color rgb="FF63BE7B"/>
      </colorScale>
    </cfRule>
  </conditionalFormatting>
  <pageMargins left="0.7" right="0.7" top="0.75" bottom="0.75" header="0.3" footer="0.3"/>
  <ignoredErrors>
    <ignoredError sqref="G11:P12 G6 J6 M6 P6 G7 J7 G8 J8 G9 J9 G10 J10 G19 G13 J13 G14 J14 G15 J15 G16 J16 G17 J17 G18 J18 J19 M7 M8 M9 M10 M13 M14 M15 M16 M17 M18 M19 P7 P8 P9 P10 P13 P14 P15 P16 P17 P18 P19" evalError="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97466-291E-4D7B-B99B-61923FA8ABF4}">
  <dimension ref="A1:X33"/>
  <sheetViews>
    <sheetView topLeftCell="A16" workbookViewId="0">
      <selection activeCell="C31" sqref="A1:XFD1048576"/>
    </sheetView>
  </sheetViews>
  <sheetFormatPr defaultRowHeight="15" x14ac:dyDescent="0.25"/>
  <cols>
    <col min="1" max="1" width="32.85546875" customWidth="1"/>
  </cols>
  <sheetData>
    <row r="1" spans="1:24" x14ac:dyDescent="0.25">
      <c r="A1" t="s">
        <v>38</v>
      </c>
      <c r="B1" t="s">
        <v>39</v>
      </c>
      <c r="C1" t="s">
        <v>40</v>
      </c>
      <c r="D1" t="s">
        <v>74</v>
      </c>
      <c r="E1" t="s">
        <v>47</v>
      </c>
      <c r="F1" t="s">
        <v>58</v>
      </c>
      <c r="G1" t="s">
        <v>41</v>
      </c>
      <c r="O1" t="s">
        <v>41</v>
      </c>
      <c r="X1" t="s">
        <v>41</v>
      </c>
    </row>
    <row r="2" spans="1:24" x14ac:dyDescent="0.25">
      <c r="B2" t="s">
        <v>73</v>
      </c>
    </row>
    <row r="4" spans="1:24" x14ac:dyDescent="0.25">
      <c r="A4" t="s">
        <v>0</v>
      </c>
      <c r="B4" t="s">
        <v>2</v>
      </c>
      <c r="E4" t="s">
        <v>20</v>
      </c>
      <c r="H4" t="s">
        <v>21</v>
      </c>
      <c r="K4" t="s">
        <v>22</v>
      </c>
      <c r="N4" t="s">
        <v>23</v>
      </c>
    </row>
    <row r="5" spans="1:24" x14ac:dyDescent="0.25">
      <c r="B5" t="s">
        <v>77</v>
      </c>
      <c r="C5" t="s">
        <v>78</v>
      </c>
      <c r="D5" t="s">
        <v>79</v>
      </c>
      <c r="E5" t="s">
        <v>77</v>
      </c>
      <c r="F5" t="s">
        <v>78</v>
      </c>
      <c r="G5" t="s">
        <v>79</v>
      </c>
      <c r="H5" t="s">
        <v>77</v>
      </c>
      <c r="I5" t="s">
        <v>78</v>
      </c>
      <c r="J5" t="s">
        <v>79</v>
      </c>
      <c r="K5" t="s">
        <v>77</v>
      </c>
      <c r="L5" t="s">
        <v>78</v>
      </c>
      <c r="M5" t="s">
        <v>79</v>
      </c>
      <c r="N5" t="s">
        <v>77</v>
      </c>
      <c r="O5" t="s">
        <v>78</v>
      </c>
      <c r="P5" t="s">
        <v>79</v>
      </c>
    </row>
    <row r="6" spans="1:24" x14ac:dyDescent="0.25">
      <c r="A6" t="s">
        <v>1</v>
      </c>
      <c r="B6" s="3">
        <v>0</v>
      </c>
      <c r="C6" s="3">
        <v>14</v>
      </c>
      <c r="D6" s="1">
        <f>B6/C6</f>
        <v>0</v>
      </c>
      <c r="E6" s="3">
        <v>7</v>
      </c>
      <c r="F6" s="3">
        <v>14</v>
      </c>
      <c r="G6" s="1">
        <f>E6/F6</f>
        <v>0.5</v>
      </c>
      <c r="H6" s="3">
        <v>11</v>
      </c>
      <c r="I6" s="3">
        <v>14</v>
      </c>
      <c r="J6" s="1">
        <f>H6/I6</f>
        <v>0.7857142857142857</v>
      </c>
      <c r="K6" s="3">
        <v>11</v>
      </c>
      <c r="L6" s="3">
        <v>14</v>
      </c>
      <c r="M6" s="1">
        <f t="shared" ref="M6:P17" si="0">K6/L6</f>
        <v>0.7857142857142857</v>
      </c>
      <c r="N6" s="3">
        <v>13</v>
      </c>
      <c r="O6" s="3">
        <v>14</v>
      </c>
      <c r="P6" s="1">
        <f t="shared" si="0"/>
        <v>0.9285714285714286</v>
      </c>
    </row>
    <row r="7" spans="1:24" x14ac:dyDescent="0.25">
      <c r="A7" t="s">
        <v>4</v>
      </c>
      <c r="B7" s="3">
        <v>0</v>
      </c>
      <c r="C7" s="3">
        <v>9</v>
      </c>
      <c r="D7" s="1">
        <f t="shared" ref="D7:D17" si="1">B7/C7</f>
        <v>0</v>
      </c>
      <c r="E7" s="3">
        <v>4</v>
      </c>
      <c r="F7" s="3">
        <v>9</v>
      </c>
      <c r="G7" s="1">
        <f t="shared" ref="G7:G17" si="2">E7/F7</f>
        <v>0.44444444444444442</v>
      </c>
      <c r="H7" s="3">
        <v>8</v>
      </c>
      <c r="I7" s="3">
        <v>9</v>
      </c>
      <c r="J7" s="1">
        <f t="shared" ref="J7:J17" si="3">H7/I7</f>
        <v>0.88888888888888884</v>
      </c>
      <c r="K7" s="3">
        <v>8</v>
      </c>
      <c r="L7" s="3">
        <v>9</v>
      </c>
      <c r="M7" s="1">
        <f t="shared" si="0"/>
        <v>0.88888888888888884</v>
      </c>
      <c r="N7" s="3">
        <v>9</v>
      </c>
      <c r="O7" s="3">
        <v>9</v>
      </c>
      <c r="P7" s="1">
        <f t="shared" si="0"/>
        <v>1</v>
      </c>
    </row>
    <row r="8" spans="1:24" x14ac:dyDescent="0.25">
      <c r="A8" t="s">
        <v>5</v>
      </c>
      <c r="B8" s="3">
        <v>0</v>
      </c>
      <c r="C8" s="3">
        <v>12</v>
      </c>
      <c r="D8" s="1">
        <f t="shared" si="1"/>
        <v>0</v>
      </c>
      <c r="E8" s="3">
        <v>5</v>
      </c>
      <c r="F8" s="3">
        <v>12</v>
      </c>
      <c r="G8" s="1">
        <f t="shared" si="2"/>
        <v>0.41666666666666669</v>
      </c>
      <c r="H8" s="3">
        <v>9</v>
      </c>
      <c r="I8" s="3">
        <v>12</v>
      </c>
      <c r="J8" s="1">
        <f t="shared" si="3"/>
        <v>0.75</v>
      </c>
      <c r="K8" s="3">
        <v>8</v>
      </c>
      <c r="L8" s="3">
        <v>12</v>
      </c>
      <c r="M8" s="1">
        <f t="shared" si="0"/>
        <v>0.66666666666666663</v>
      </c>
      <c r="N8" s="3">
        <v>11</v>
      </c>
      <c r="O8" s="3">
        <v>12</v>
      </c>
      <c r="P8" s="1">
        <f t="shared" si="0"/>
        <v>0.91666666666666663</v>
      </c>
    </row>
    <row r="9" spans="1:24" x14ac:dyDescent="0.25">
      <c r="A9" t="s">
        <v>6</v>
      </c>
      <c r="B9" s="3">
        <v>0</v>
      </c>
      <c r="C9" s="3">
        <v>9</v>
      </c>
      <c r="D9" s="1">
        <f t="shared" si="1"/>
        <v>0</v>
      </c>
      <c r="E9" s="3">
        <v>4</v>
      </c>
      <c r="F9" s="3">
        <v>9</v>
      </c>
      <c r="G9" s="1">
        <f t="shared" si="2"/>
        <v>0.44444444444444442</v>
      </c>
      <c r="H9" s="3">
        <v>7</v>
      </c>
      <c r="I9" s="3">
        <v>9</v>
      </c>
      <c r="J9" s="1">
        <f t="shared" si="3"/>
        <v>0.77777777777777779</v>
      </c>
      <c r="K9" s="3">
        <v>6</v>
      </c>
      <c r="L9" s="3">
        <v>9</v>
      </c>
      <c r="M9" s="1">
        <f t="shared" si="0"/>
        <v>0.66666666666666663</v>
      </c>
      <c r="N9" s="3">
        <v>8</v>
      </c>
      <c r="O9" s="3">
        <v>9</v>
      </c>
      <c r="P9" s="1">
        <f t="shared" si="0"/>
        <v>0.88888888888888884</v>
      </c>
    </row>
    <row r="10" spans="1:24" x14ac:dyDescent="0.25">
      <c r="A10" t="s">
        <v>7</v>
      </c>
      <c r="B10" s="3">
        <v>0</v>
      </c>
      <c r="C10" s="3">
        <v>11</v>
      </c>
      <c r="D10" s="1">
        <f t="shared" si="1"/>
        <v>0</v>
      </c>
      <c r="E10" s="3">
        <v>9</v>
      </c>
      <c r="F10" s="3">
        <v>11</v>
      </c>
      <c r="G10" s="1">
        <f t="shared" si="2"/>
        <v>0.81818181818181823</v>
      </c>
      <c r="H10" s="3">
        <v>9</v>
      </c>
      <c r="I10" s="3">
        <v>11</v>
      </c>
      <c r="J10" s="1">
        <f t="shared" si="3"/>
        <v>0.81818181818181823</v>
      </c>
      <c r="K10" s="3">
        <v>8</v>
      </c>
      <c r="L10" s="3">
        <v>11</v>
      </c>
      <c r="M10" s="1">
        <f t="shared" si="0"/>
        <v>0.72727272727272729</v>
      </c>
      <c r="N10" s="3">
        <v>9</v>
      </c>
      <c r="O10" s="3">
        <v>11</v>
      </c>
      <c r="P10" s="1">
        <f t="shared" si="0"/>
        <v>0.81818181818181823</v>
      </c>
    </row>
    <row r="11" spans="1:24" x14ac:dyDescent="0.25">
      <c r="B11" s="3"/>
      <c r="C11" s="3"/>
      <c r="D11" s="1"/>
      <c r="E11" s="3"/>
      <c r="F11" s="3"/>
      <c r="G11" s="1"/>
      <c r="H11" s="3"/>
      <c r="I11" s="3"/>
      <c r="J11" s="1"/>
      <c r="K11" s="3"/>
      <c r="L11" s="3"/>
      <c r="M11" s="1"/>
      <c r="N11" s="3"/>
      <c r="O11" s="3"/>
      <c r="P11" s="1"/>
    </row>
    <row r="12" spans="1:24" x14ac:dyDescent="0.25">
      <c r="A12" t="s">
        <v>9</v>
      </c>
      <c r="B12" s="3"/>
      <c r="C12" s="3"/>
      <c r="D12" s="1"/>
      <c r="E12" s="3"/>
      <c r="F12" s="3"/>
      <c r="G12" s="1"/>
      <c r="H12" s="3"/>
      <c r="I12" s="3"/>
      <c r="J12" s="1"/>
      <c r="K12" s="3"/>
      <c r="L12" s="3"/>
      <c r="M12" s="1"/>
      <c r="N12" s="3"/>
      <c r="O12" s="3"/>
      <c r="P12" s="1"/>
    </row>
    <row r="13" spans="1:24" x14ac:dyDescent="0.25">
      <c r="A13" t="s">
        <v>10</v>
      </c>
      <c r="B13" s="3">
        <v>0</v>
      </c>
      <c r="C13" s="3">
        <v>9</v>
      </c>
      <c r="D13" s="1">
        <f t="shared" si="1"/>
        <v>0</v>
      </c>
      <c r="E13" s="3">
        <v>9</v>
      </c>
      <c r="F13" s="3">
        <v>9</v>
      </c>
      <c r="G13" s="1">
        <f t="shared" si="2"/>
        <v>1</v>
      </c>
      <c r="H13" s="3">
        <v>9</v>
      </c>
      <c r="I13" s="3">
        <v>9</v>
      </c>
      <c r="J13" s="1">
        <f t="shared" si="3"/>
        <v>1</v>
      </c>
      <c r="K13" s="3">
        <v>7</v>
      </c>
      <c r="L13" s="3">
        <v>9</v>
      </c>
      <c r="M13" s="1">
        <f t="shared" si="0"/>
        <v>0.77777777777777779</v>
      </c>
      <c r="N13" s="3">
        <v>8</v>
      </c>
      <c r="O13" s="3">
        <v>9</v>
      </c>
      <c r="P13" s="1">
        <f t="shared" si="0"/>
        <v>0.88888888888888884</v>
      </c>
    </row>
    <row r="14" spans="1:24" x14ac:dyDescent="0.25">
      <c r="A14" t="s">
        <v>11</v>
      </c>
      <c r="B14" s="3">
        <v>0</v>
      </c>
      <c r="C14" s="3">
        <v>12</v>
      </c>
      <c r="D14" s="1">
        <f t="shared" si="1"/>
        <v>0</v>
      </c>
      <c r="E14" s="3">
        <v>12</v>
      </c>
      <c r="F14" s="3">
        <v>12</v>
      </c>
      <c r="G14" s="1">
        <f t="shared" si="2"/>
        <v>1</v>
      </c>
      <c r="H14" s="3">
        <v>12</v>
      </c>
      <c r="I14" s="3">
        <v>12</v>
      </c>
      <c r="J14" s="1">
        <f t="shared" si="3"/>
        <v>1</v>
      </c>
      <c r="K14" s="3">
        <v>12</v>
      </c>
      <c r="L14" s="3">
        <v>12</v>
      </c>
      <c r="M14" s="1">
        <f t="shared" si="0"/>
        <v>1</v>
      </c>
      <c r="N14" s="3">
        <v>12</v>
      </c>
      <c r="O14" s="3">
        <v>12</v>
      </c>
      <c r="P14" s="1">
        <f t="shared" si="0"/>
        <v>1</v>
      </c>
    </row>
    <row r="15" spans="1:24" x14ac:dyDescent="0.25">
      <c r="A15" t="s">
        <v>12</v>
      </c>
      <c r="B15" s="3">
        <v>0</v>
      </c>
      <c r="C15" s="3">
        <v>13</v>
      </c>
      <c r="D15" s="1">
        <f t="shared" si="1"/>
        <v>0</v>
      </c>
      <c r="E15" s="3">
        <v>13</v>
      </c>
      <c r="F15" s="3">
        <v>13</v>
      </c>
      <c r="G15" s="1">
        <f t="shared" si="2"/>
        <v>1</v>
      </c>
      <c r="H15" s="3">
        <v>13</v>
      </c>
      <c r="I15" s="3">
        <v>13</v>
      </c>
      <c r="J15" s="1">
        <f t="shared" si="3"/>
        <v>1</v>
      </c>
      <c r="K15" s="3">
        <v>13</v>
      </c>
      <c r="L15" s="3">
        <v>13</v>
      </c>
      <c r="M15" s="1">
        <f t="shared" si="0"/>
        <v>1</v>
      </c>
      <c r="N15" s="3">
        <v>13</v>
      </c>
      <c r="O15" s="3">
        <v>13</v>
      </c>
      <c r="P15" s="1">
        <f t="shared" si="0"/>
        <v>1</v>
      </c>
    </row>
    <row r="16" spans="1:24" x14ac:dyDescent="0.25">
      <c r="A16" t="s">
        <v>15</v>
      </c>
      <c r="B16" s="3">
        <v>0</v>
      </c>
      <c r="C16" s="3">
        <v>9</v>
      </c>
      <c r="D16" s="1">
        <f t="shared" si="1"/>
        <v>0</v>
      </c>
      <c r="E16" s="3">
        <v>6</v>
      </c>
      <c r="F16" s="3">
        <v>9</v>
      </c>
      <c r="G16" s="1">
        <f t="shared" si="2"/>
        <v>0.66666666666666663</v>
      </c>
      <c r="H16" s="3">
        <v>3</v>
      </c>
      <c r="I16" s="3">
        <v>9</v>
      </c>
      <c r="J16" s="1">
        <f t="shared" si="3"/>
        <v>0.33333333333333331</v>
      </c>
      <c r="K16" s="3">
        <v>3</v>
      </c>
      <c r="L16" s="3">
        <v>9</v>
      </c>
      <c r="M16" s="1">
        <f t="shared" si="0"/>
        <v>0.33333333333333331</v>
      </c>
      <c r="N16" s="3">
        <v>2</v>
      </c>
      <c r="O16" s="3">
        <v>9</v>
      </c>
      <c r="P16" s="1">
        <f t="shared" si="0"/>
        <v>0.22222222222222221</v>
      </c>
    </row>
    <row r="17" spans="1:16" x14ac:dyDescent="0.25">
      <c r="A17" t="s">
        <v>16</v>
      </c>
      <c r="B17" s="3">
        <v>0</v>
      </c>
      <c r="C17" s="3">
        <v>12</v>
      </c>
      <c r="D17" s="1">
        <f t="shared" si="1"/>
        <v>0</v>
      </c>
      <c r="E17" s="3">
        <v>7</v>
      </c>
      <c r="F17" s="3">
        <v>12</v>
      </c>
      <c r="G17" s="1">
        <f t="shared" si="2"/>
        <v>0.58333333333333337</v>
      </c>
      <c r="H17" s="3">
        <v>9</v>
      </c>
      <c r="I17" s="3">
        <v>12</v>
      </c>
      <c r="J17" s="1">
        <f t="shared" si="3"/>
        <v>0.75</v>
      </c>
      <c r="K17" s="3">
        <v>10</v>
      </c>
      <c r="L17" s="3">
        <v>12</v>
      </c>
      <c r="M17" s="1">
        <f t="shared" si="0"/>
        <v>0.83333333333333337</v>
      </c>
      <c r="N17" s="3">
        <v>11</v>
      </c>
      <c r="O17" s="3">
        <v>12</v>
      </c>
      <c r="P17" s="1">
        <f t="shared" si="0"/>
        <v>0.91666666666666663</v>
      </c>
    </row>
    <row r="18" spans="1:16" x14ac:dyDescent="0.25">
      <c r="B18" s="2"/>
      <c r="C18" s="2"/>
      <c r="D18" s="2"/>
      <c r="E18" s="2"/>
      <c r="F18" s="2"/>
      <c r="G18" s="2"/>
      <c r="H18" s="2"/>
      <c r="I18" s="2"/>
      <c r="J18" s="2"/>
      <c r="K18" s="2"/>
      <c r="L18" s="2"/>
      <c r="M18" s="2"/>
      <c r="N18" s="2"/>
    </row>
    <row r="19" spans="1:16" x14ac:dyDescent="0.25">
      <c r="A19" t="s">
        <v>24</v>
      </c>
      <c r="B19" t="s">
        <v>98</v>
      </c>
      <c r="E19" t="s">
        <v>100</v>
      </c>
      <c r="H19" t="s">
        <v>103</v>
      </c>
      <c r="K19" t="s">
        <v>103</v>
      </c>
      <c r="N19" t="s">
        <v>110</v>
      </c>
    </row>
    <row r="20" spans="1:16" x14ac:dyDescent="0.25">
      <c r="B20" t="s">
        <v>99</v>
      </c>
      <c r="E20" t="s">
        <v>101</v>
      </c>
      <c r="H20" t="s">
        <v>104</v>
      </c>
      <c r="K20" t="s">
        <v>107</v>
      </c>
      <c r="N20" t="s">
        <v>111</v>
      </c>
    </row>
    <row r="21" spans="1:16" x14ac:dyDescent="0.25">
      <c r="E21" t="s">
        <v>102</v>
      </c>
      <c r="H21" t="s">
        <v>105</v>
      </c>
      <c r="K21" t="s">
        <v>108</v>
      </c>
      <c r="N21" t="s">
        <v>112</v>
      </c>
    </row>
    <row r="22" spans="1:16" x14ac:dyDescent="0.25">
      <c r="H22" t="s">
        <v>106</v>
      </c>
      <c r="K22" t="s">
        <v>109</v>
      </c>
      <c r="N22" t="s">
        <v>113</v>
      </c>
    </row>
    <row r="23" spans="1:16" x14ac:dyDescent="0.25">
      <c r="N23" t="s">
        <v>114</v>
      </c>
    </row>
    <row r="28" spans="1:16" x14ac:dyDescent="0.25">
      <c r="B28" t="s">
        <v>41</v>
      </c>
      <c r="E28" t="s">
        <v>41</v>
      </c>
      <c r="H28" t="s">
        <v>41</v>
      </c>
      <c r="K28" t="s">
        <v>41</v>
      </c>
      <c r="N28" t="s">
        <v>41</v>
      </c>
      <c r="O28" t="s">
        <v>41</v>
      </c>
    </row>
    <row r="29" spans="1:16" x14ac:dyDescent="0.25">
      <c r="B29" t="s">
        <v>41</v>
      </c>
      <c r="E29" t="s">
        <v>41</v>
      </c>
      <c r="H29" t="s">
        <v>41</v>
      </c>
      <c r="K29" t="s">
        <v>41</v>
      </c>
      <c r="N29" t="s">
        <v>41</v>
      </c>
      <c r="O29" t="s">
        <v>41</v>
      </c>
    </row>
    <row r="30" spans="1:16" x14ac:dyDescent="0.25">
      <c r="B30" t="s">
        <v>41</v>
      </c>
      <c r="E30" t="s">
        <v>41</v>
      </c>
      <c r="H30" t="s">
        <v>41</v>
      </c>
      <c r="K30" t="s">
        <v>41</v>
      </c>
      <c r="N30" t="s">
        <v>41</v>
      </c>
      <c r="O30" t="s">
        <v>41</v>
      </c>
    </row>
    <row r="31" spans="1:16" x14ac:dyDescent="0.25">
      <c r="B31" t="s">
        <v>41</v>
      </c>
      <c r="E31" t="s">
        <v>41</v>
      </c>
      <c r="K31" t="s">
        <v>41</v>
      </c>
      <c r="N31" t="s">
        <v>41</v>
      </c>
      <c r="O31" t="s">
        <v>41</v>
      </c>
    </row>
    <row r="33" spans="5:8" x14ac:dyDescent="0.25">
      <c r="E33" t="s">
        <v>41</v>
      </c>
      <c r="H33" t="s">
        <v>41</v>
      </c>
    </row>
  </sheetData>
  <conditionalFormatting sqref="D6:D17 G6:G17 J6:J17 P6:P17 M6:M17">
    <cfRule type="colorScale" priority="3">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Consolidation</vt:lpstr>
      <vt:lpstr>Confusion Matrix</vt:lpstr>
      <vt:lpstr>Final Week3</vt:lpstr>
      <vt:lpstr>Final Week8</vt:lpstr>
      <vt:lpstr>Final Week12</vt:lpstr>
      <vt:lpstr>Final Week18</vt:lpstr>
      <vt:lpstr>Preliminary</vt:lpstr>
      <vt:lpstr>T1_W8</vt:lpstr>
      <vt:lpstr>T2_W8</vt:lpstr>
      <vt:lpstr>T1_W12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Jia Wei Bu</dc:creator>
  <cp:lastModifiedBy>BU JIA WEI</cp:lastModifiedBy>
  <dcterms:created xsi:type="dcterms:W3CDTF">2025-04-06T09:05:11Z</dcterms:created>
  <dcterms:modified xsi:type="dcterms:W3CDTF">2025-05-04T14:27:56Z</dcterms:modified>
</cp:coreProperties>
</file>