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/>
  </bookViews>
  <sheets>
    <sheet name="ICT" sheetId="1" r:id="rId1"/>
    <sheet name="Explanation" sheetId="2" r:id="rId2"/>
    <sheet name="Scenario Summary" sheetId="15" r:id="rId3"/>
  </sheets>
  <definedNames>
    <definedName name="failed_budget">ICT!$C$7</definedName>
    <definedName name="largest_project">ICT!$C$6</definedName>
    <definedName name="normal_loss">ICT!$G$3</definedName>
    <definedName name="_xlnm.Print_Area" localSheetId="0">ICT!$A$1:$O$85</definedName>
    <definedName name="risk_excess">ICT!$G$4</definedName>
    <definedName name="risk_excess_percent">ICT!$F$4</definedName>
    <definedName name="total_loss">ICT!$C$3</definedName>
    <definedName name="total_loss_percent">ICT!$C$4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<sst xmlns="http://schemas.openxmlformats.org/spreadsheetml/2006/main" count="507" uniqueCount="288">
  <si>
    <t>Portfolio Dutch Federal IT 2007</t>
  </si>
  <si>
    <t>mln eur</t>
  </si>
  <si>
    <t>Expected failing IT millions (mln EUR):</t>
  </si>
  <si>
    <t>normal risk</t>
  </si>
  <si>
    <t>Expected probability of failure</t>
  </si>
  <si>
    <t>risk excess</t>
  </si>
  <si>
    <t>Nr. Ministerie Project</t>
  </si>
  <si>
    <r>
      <t>referred table(T1)</t>
    </r>
    <r>
      <rPr>
        <sz val="10"/>
        <rFont val="Arial"/>
        <family val="2"/>
        <charset val="0"/>
      </rPr>
      <t>: https://www.tweedekamer.nl/downloads/document?id=2009D34255</t>
    </r>
  </si>
  <si>
    <t>%Largest project of IT component:</t>
  </si>
  <si>
    <t>%Failed of project in case that software failes:</t>
  </si>
  <si>
    <t>T=Acutal Duration</t>
  </si>
  <si>
    <t>Empty = no source</t>
  </si>
  <si>
    <t>M=Final cost</t>
  </si>
  <si>
    <t>Min</t>
  </si>
  <si>
    <r>
      <t>Description</t>
    </r>
    <r>
      <rPr>
        <b/>
        <sz val="10"/>
        <color rgb="FFFF0000"/>
        <rFont val="Arial"/>
        <family val="2"/>
        <charset val="0"/>
      </rPr>
      <t>(Project renaming situation checked 2024)</t>
    </r>
  </si>
  <si>
    <t>Costs(mln)</t>
  </si>
  <si>
    <t>% IT</t>
  </si>
  <si>
    <t>time period</t>
  </si>
  <si>
    <t>duration (year)</t>
  </si>
  <si>
    <t>IT EUR(mln)</t>
  </si>
  <si>
    <t>IT/year</t>
  </si>
  <si>
    <t>software EUR(mln)</t>
  </si>
  <si>
    <t>dollars 99</t>
  </si>
  <si>
    <t>Benchmark</t>
  </si>
  <si>
    <t>size (FP)</t>
  </si>
  <si>
    <t>probability of failure</t>
  </si>
  <si>
    <t>failure(mln EUR)</t>
  </si>
  <si>
    <t>Following 
Columns 
added 
2024</t>
  </si>
  <si>
    <t>Current status</t>
  </si>
  <si>
    <t>Online date</t>
  </si>
  <si>
    <t>Overrun(M&amp;T)</t>
  </si>
  <si>
    <t>Lastest coast</t>
  </si>
  <si>
    <t>info link</t>
  </si>
  <si>
    <t>BZK</t>
  </si>
  <si>
    <t>P-direkt</t>
  </si>
  <si>
    <t>2004-2018</t>
  </si>
  <si>
    <t>active</t>
  </si>
  <si>
    <t>31-12-2010</t>
  </si>
  <si>
    <t>https://rijksictdashboard.nl/ict-activiteiten/e404d751-2023-4ddb-86c1-5469bc63317f</t>
  </si>
  <si>
    <t>VenW</t>
  </si>
  <si>
    <t>BB (Beter Benutten) 21</t>
  </si>
  <si>
    <t>1999-2008</t>
  </si>
  <si>
    <t>https://www.treinreiziger.nl/prorail-tot-2030-extra-veel-spoor-vernieuwen-ook-overdag-en-buiten-vakanties/</t>
  </si>
  <si>
    <t>FIN</t>
  </si>
  <si>
    <t>Aanslagbelastingensysteem (ABS)</t>
  </si>
  <si>
    <t>https://zoek.officielebekendmakingen.nl/kst-31066-992.html</t>
  </si>
  <si>
    <t>Toeslagen</t>
  </si>
  <si>
    <t>2005-2008</t>
  </si>
  <si>
    <t>23-12-2011</t>
  </si>
  <si>
    <t>T</t>
  </si>
  <si>
    <t>https://rijksictdashboard.nl/ict-activiteiten/e65803ab-6288-40f4-95bb-7b4ba269a327</t>
  </si>
  <si>
    <t>Complexiteitsreductie</t>
  </si>
  <si>
    <t>2006-2015</t>
  </si>
  <si>
    <t>suspended</t>
  </si>
  <si>
    <t>T1</t>
  </si>
  <si>
    <t>SZW</t>
  </si>
  <si>
    <t>Vernieuwing (UWV)</t>
  </si>
  <si>
    <t>2007-2011</t>
  </si>
  <si>
    <t>https://www.uwv.nl/nl/over-uwv</t>
  </si>
  <si>
    <t>Samenwerking UWV-Belastingdienst (SUB)</t>
  </si>
  <si>
    <t>2003-2008</t>
  </si>
  <si>
    <t>https://www.loonaangifteketen.nl/binaries/loonaangifteketen/documenten/convenanten/2020/03/09/convenant-samenwerking-loonaangifteketen-belastingdienst-uwv-cbs/Convenant+samenwerking+loonaangifteketen+Belastingdienst+UWV+CBS.pdf</t>
  </si>
  <si>
    <t>VTI, Programma Vaste Telecom Infra</t>
  </si>
  <si>
    <t>2006-2011</t>
  </si>
  <si>
    <t>cancelled</t>
  </si>
  <si>
    <t>InfoPlus</t>
  </si>
  <si>
    <t>Oct 2000 - Oct 2009</t>
  </si>
  <si>
    <t>JUS</t>
  </si>
  <si>
    <t>Project Invoering Protocol Identiteitsvaststelling</t>
  </si>
  <si>
    <t>-2010</t>
  </si>
  <si>
    <t>https://www.strafrechtketen.nl/actueel/nieuws/2021/11/22/protocol-identiteitsvaststelling</t>
  </si>
  <si>
    <r>
      <t>Herinrichting invorderingsproces</t>
    </r>
    <r>
      <rPr>
        <b/>
        <sz val="10"/>
        <color indexed="10"/>
        <rFont val="Arial"/>
        <family val="2"/>
        <charset val="0"/>
      </rPr>
      <t>(renamed to ETM)</t>
    </r>
  </si>
  <si>
    <t>M&amp;T</t>
  </si>
  <si>
    <t>https://rijksictdashboard.nl/ict-activiteiten/44407368-191b-4ae7-b727-7eab039661b7</t>
  </si>
  <si>
    <t>DEF</t>
  </si>
  <si>
    <t>MULAN</t>
  </si>
  <si>
    <t>2003-2007</t>
  </si>
  <si>
    <t>MIS</t>
  </si>
  <si>
    <t>https://zoek.officielebekendmakingen.nl/kst-36100-X-1.html</t>
  </si>
  <si>
    <t>wet Werk en Inkomen naar Arbeidsvermogen (UWV)</t>
  </si>
  <si>
    <t>Oct 2005 till medio 2008</t>
  </si>
  <si>
    <t>Reisdocumentenprogramma</t>
  </si>
  <si>
    <t>2005-2009</t>
  </si>
  <si>
    <t>unkown</t>
  </si>
  <si>
    <t>Implementatie C2000</t>
  </si>
  <si>
    <t>2006-2009</t>
  </si>
  <si>
    <t>https://www.adviescollegeicttoetsing.nl/documenten/publicaties/2016/11/22/bit-advies-implementatie-vernieuwing-c2000</t>
  </si>
  <si>
    <t>LNV</t>
  </si>
  <si>
    <t>Elektronische Dienstverlening LNV (EDV)</t>
  </si>
  <si>
    <t>2003-2011</t>
  </si>
  <si>
    <t>unknown</t>
  </si>
  <si>
    <t>VWS</t>
  </si>
  <si>
    <t>Diagnose Behandeling Combinaties (DBC) in de curatieve zorg</t>
  </si>
  <si>
    <t>2000-2007</t>
  </si>
  <si>
    <t>https://www.zorgcijfersdatabank.nl/toelichting/rapport-2022/medisch-specialistische-zorg</t>
  </si>
  <si>
    <t>Vernieuwing informatievoorziening DJI</t>
  </si>
  <si>
    <t>2002-2012</t>
  </si>
  <si>
    <t>31-12-2013</t>
  </si>
  <si>
    <t>https://rijksictdashboard.nl/ict-activiteiten/7322396e-dea8-4d38-9273-c197eb79180c</t>
  </si>
  <si>
    <t>Modernisering Objecten Bediening Zeeland</t>
  </si>
  <si>
    <t>2004-2010</t>
  </si>
  <si>
    <t>31-12-2018</t>
  </si>
  <si>
    <t>https://rijksictdashboard.nl/ict-activiteiten/f50705ba-ec4e-4893-ac46-ff5ed127e922</t>
  </si>
  <si>
    <t>SPEER</t>
  </si>
  <si>
    <t>till 2013</t>
  </si>
  <si>
    <t>31-12-2015</t>
  </si>
  <si>
    <t>https://rijksictdashboard.nl/ict-activiteiten/85e1279b-0c14-45f1-b144-3144cf75c544</t>
  </si>
  <si>
    <t>Walvis/SUB SZW Digitaal Klantdossier (CWI)</t>
  </si>
  <si>
    <t>Implementatie EMD/WDH</t>
  </si>
  <si>
    <t>Basisregistraties</t>
  </si>
  <si>
    <t>2007-2010</t>
  </si>
  <si>
    <t>https://rijksictdashboard.nl/ict-activiteiten/2de4f98a-9342-40b8-b5c4-c76d6269cc92</t>
  </si>
  <si>
    <t>BZ</t>
  </si>
  <si>
    <t>Werken in de Toekomst (WIT)</t>
  </si>
  <si>
    <t>2008-2001</t>
  </si>
  <si>
    <t xml:space="preserve">             &lt;20</t>
  </si>
  <si>
    <r>
      <t xml:space="preserve">Vernieuwing IND </t>
    </r>
    <r>
      <rPr>
        <b/>
        <sz val="10"/>
        <color indexed="10"/>
        <rFont val="Arial"/>
        <family val="2"/>
        <charset val="0"/>
      </rPr>
      <t>(renamed to INDIGO)</t>
    </r>
  </si>
  <si>
    <t>2006-2010</t>
  </si>
  <si>
    <t>https://rijksictdashboard.nl/ict-activiteiten/7bec8d3e-7062-41fb-a2e3-bdc1edf7c518</t>
  </si>
  <si>
    <t>OCW</t>
  </si>
  <si>
    <t>Wijziging studiefinancieringssytemen IBGroep</t>
  </si>
  <si>
    <t>Programma NoorderWint</t>
  </si>
  <si>
    <t>2005-2010</t>
  </si>
  <si>
    <t>31-01-2011</t>
  </si>
  <si>
    <t>https://rijksictdashboard.nl/ict-activiteiten/6a20e4b6-c125-48c5-b5c7-3fa1f7356ea6</t>
  </si>
  <si>
    <t>USMF (UWV)</t>
  </si>
  <si>
    <t>2002-2007</t>
  </si>
  <si>
    <t>PALS</t>
  </si>
  <si>
    <t>https://rijksictdashboard.nl/ict-activiteiten/2e6d6fb1-50c7-47bc-8d56-d5e0fe5d95d1</t>
  </si>
  <si>
    <t>Invoering van het persoonsgebonden nummer (PGN, ook wel onderwijsnummer) in het Primair Onderwijs</t>
  </si>
  <si>
    <t>Sagitta binnenbrengen</t>
  </si>
  <si>
    <t>2006-2007</t>
  </si>
  <si>
    <t>Herman</t>
  </si>
  <si>
    <t>Q3-2006 t/m Q1-2009</t>
  </si>
  <si>
    <t>SVB Tien (SVB)</t>
  </si>
  <si>
    <t>https://rijksictdashboard.nl/ict-activiteiten/09b1ce9a-294f-48db-96b9-bf5cb79305cc</t>
  </si>
  <si>
    <t>ReIS</t>
  </si>
  <si>
    <t>2003-2010</t>
  </si>
  <si>
    <t>completed</t>
  </si>
  <si>
    <t>eCustoms</t>
  </si>
  <si>
    <t>2005-2012</t>
  </si>
  <si>
    <t>M</t>
  </si>
  <si>
    <t>https://rijksictdashboard.nl/ict-activiteiten/ce9d570c-f711-4bb1-953b-01a62f444c03</t>
  </si>
  <si>
    <t>DIV-online</t>
  </si>
  <si>
    <t>VenW Beschikbaarheid In Zicht (BIZ) 25 100</t>
  </si>
  <si>
    <t>NA</t>
  </si>
  <si>
    <t>Vooringevulde aangifte (VIA)</t>
  </si>
  <si>
    <t>2006-2008</t>
  </si>
  <si>
    <t>https://rijksictdashboard.nl/ict-activiteiten/f5a8b162-363e-480a-8d0f-e21c0eedae65</t>
  </si>
  <si>
    <t>Modernisering Gemeentelijke Basisadministratie persoonsgegevens ( mGBA)</t>
  </si>
  <si>
    <t>https://www.parlementairemonitor.nl/9353000/1/j9vvij5epmj1ey0/vm7yr0tfxszn</t>
  </si>
  <si>
    <t>Rijksweb</t>
  </si>
  <si>
    <t>2005-2007</t>
  </si>
  <si>
    <t>GPS</t>
  </si>
  <si>
    <t>2000-2010</t>
  </si>
  <si>
    <t>31-12-2011</t>
  </si>
  <si>
    <t>https://rijksictdashboard.nl/ict-activiteiten/132afe97-ad4f-49fc-b789-f3010c85c893</t>
  </si>
  <si>
    <t>Servicegericht bekostigen</t>
  </si>
  <si>
    <t>2004-feb 2007</t>
  </si>
  <si>
    <t>VIP21</t>
  </si>
  <si>
    <t>Walradar Noordzeekanaal</t>
  </si>
  <si>
    <t>NVIS (Nieuw Visum Informatie Systeem)</t>
  </si>
  <si>
    <t>Managementinformatie &amp; Datawarehousing DJI (MI&amp;D)</t>
  </si>
  <si>
    <r>
      <t>Programma Stroomlijning indicatieprocessen in Zorg en Sociale Zekerheid</t>
    </r>
    <r>
      <rPr>
        <b/>
        <sz val="10"/>
        <color indexed="10"/>
        <rFont val="Arial"/>
        <family val="2"/>
        <charset val="0"/>
      </rPr>
      <t>(renamed to Programma Stroomlijning Indicatieprocessen (STIP))</t>
    </r>
  </si>
  <si>
    <t>https://rijksictdashboard.nl/ict-activiteiten/baa114a3-4559-407f-ba15-c4a30c800442</t>
  </si>
  <si>
    <t>EZ</t>
  </si>
  <si>
    <t>Bedrijvenloket</t>
  </si>
  <si>
    <t>Biometrie DJI</t>
  </si>
  <si>
    <t>Oct 2006 - Q3 2008</t>
  </si>
  <si>
    <r>
      <t>Nationaal Schengen Informatiesysteem (NSIS-II)</t>
    </r>
    <r>
      <rPr>
        <b/>
        <sz val="10"/>
        <color indexed="10"/>
        <rFont val="Arial"/>
        <family val="2"/>
        <charset val="0"/>
      </rPr>
      <t>(renamed to NL-SIS-II (Nederlands Schengen Informatiesysteem))</t>
    </r>
  </si>
  <si>
    <t>https://rijksictdashboard.nl/ict-activiteiten/1c2220dc-caea-45a3-8004-bfc173e3947f</t>
  </si>
  <si>
    <t>VROM</t>
  </si>
  <si>
    <r>
      <t>Basisregistraties Adressen en Gebouwen</t>
    </r>
    <r>
      <rPr>
        <b/>
        <sz val="10"/>
        <color indexed="10"/>
        <rFont val="Arial"/>
        <family val="2"/>
        <charset val="0"/>
      </rPr>
      <t>(2.0)</t>
    </r>
  </si>
  <si>
    <t>till end 2009</t>
  </si>
  <si>
    <t>https://www.geobasisregistraties.nl/basisregistraties/adressen-en-gebouwen/bag-wet-en-regelgeving</t>
  </si>
  <si>
    <t>Basisvoorziening Handhaving (BVH)</t>
  </si>
  <si>
    <t>Mar 2007 - Sep 2009</t>
  </si>
  <si>
    <t>HAVANK</t>
  </si>
  <si>
    <t>t/m 2009</t>
  </si>
  <si>
    <t>Implementatie Wet OM-afdoening</t>
  </si>
  <si>
    <t>https://www.om.nl/onderwerpen/beleidsregels/aanwijzingen/executie/aanwijzing-om-strafbeschikking-2022a003#:~:text=Door%20de%20invoering%20van%20de,257a%20Sv).</t>
  </si>
  <si>
    <t>ASTRIS</t>
  </si>
  <si>
    <t>Trots</t>
  </si>
  <si>
    <t>2004-2009</t>
  </si>
  <si>
    <t>Digitaal Verzekeringsbericht (UWV)</t>
  </si>
  <si>
    <t>Sept 2006 - Q1 2009</t>
  </si>
  <si>
    <t>DONNA</t>
  </si>
  <si>
    <t>till medio 2009</t>
  </si>
  <si>
    <t>Relatie-identificatie LNV (Rel-id)</t>
  </si>
  <si>
    <t>2007-2009</t>
  </si>
  <si>
    <t>Killen en Migreren (UWV)</t>
  </si>
  <si>
    <t>https://rijksictdashboard.nl/ict-activiteiten/715d29e9-380c-430a-92b5-ef9848b7fde9</t>
  </si>
  <si>
    <t>Basisvoorziening Opsporing (BVO)</t>
  </si>
  <si>
    <t>Jan 2007 - medio 2008</t>
  </si>
  <si>
    <t>Nieuw handelsregister</t>
  </si>
  <si>
    <t>2002-2010</t>
  </si>
  <si>
    <t>Basisvoorziening Capaciteitsmanagement (BVCM)</t>
  </si>
  <si>
    <t>Mar 2007 - Jul 2009</t>
  </si>
  <si>
    <t>Vervanging deelsystemen TITAAN</t>
  </si>
  <si>
    <t>2007-2021</t>
  </si>
  <si>
    <t>TITAAN (Theatre Independent Tactical Army and Airforce Network)</t>
  </si>
  <si>
    <t>2001-2009</t>
  </si>
  <si>
    <t>https://www.computable.nl/2020/11/04/weg-vrij-voor-nieuwe-it-infrastructuur-defensie/</t>
  </si>
  <si>
    <t>Herinrichting Personele Functiegebied</t>
  </si>
  <si>
    <t>https://rijksictdashboard.nl/ict-activiteiten/c109adb4-3a3a-4df4-ba0f-5849ccc8a43d</t>
  </si>
  <si>
    <t>F-16 Link-16</t>
  </si>
  <si>
    <t>2000-2011</t>
  </si>
  <si>
    <t>https://magazines.defensie.nl/defensiekrant/2016/22/dkdatalink</t>
  </si>
  <si>
    <t>NIMCIS (Nieuw Mariniers Communicatie en Informatie Systeem)</t>
  </si>
  <si>
    <t>2002-2008</t>
  </si>
  <si>
    <t>https://magazines.defensie.nl/materieelgezien/2022/02/nimcis-biedt-verbeterde-verbindingen-korps-mariniers</t>
  </si>
  <si>
    <t>JenG</t>
  </si>
  <si>
    <t>Elektronisch Kinddossier in de Jeugdgezondheidszorg</t>
  </si>
  <si>
    <t>MILSATCOM lange termijn defensiebreed (Militaire Satelliet Communicatie)</t>
  </si>
  <si>
    <t>2001-2012</t>
  </si>
  <si>
    <t>https://www.rijksfinancien.nl/memorie-van-toelichting/2023/OWB/K/onderdeel/1467257</t>
  </si>
  <si>
    <t>Battlefield Management System (BMS)</t>
  </si>
  <si>
    <t>2006-2012</t>
  </si>
  <si>
    <t>https://rijksictdashboard.nl/ict-activiteiten/a5b6b639-f62f-4cc9-8bed-14a8161db378</t>
  </si>
  <si>
    <t>Datacommunicatie Mobiel Optreden (DCMO)</t>
  </si>
  <si>
    <t>2008-2012</t>
  </si>
  <si>
    <t>Defensiepas/ Basisvoorziening Betrouwbare Communicatie (BBC)</t>
  </si>
  <si>
    <t>2004-2008</t>
  </si>
  <si>
    <t>EXPLANATION OF THE CALCULATION</t>
  </si>
  <si>
    <t>see separate sheet</t>
  </si>
  <si>
    <t>Projects with M&amp;T</t>
  </si>
  <si>
    <t>Estimate Cost</t>
  </si>
  <si>
    <t>Final coast</t>
  </si>
  <si>
    <t>complete</t>
  </si>
  <si>
    <t>The portfolio used is located at:</t>
  </si>
  <si>
    <t>http://www.minbzk.nl/aspx/download.aspx?file=/contents/pages/90083/bijlageinventarisatiegroteict-projecten.pdf</t>
  </si>
  <si>
    <t>In case of an a-b notation, the average percentage/costs are taken (this occurred 10 times). There is one project with an &gt;a notation, in this case a is taken.</t>
  </si>
  <si>
    <t>The benchmark used is described in the following book:</t>
  </si>
  <si>
    <r>
      <t xml:space="preserve">Capers Jones, </t>
    </r>
    <r>
      <rPr>
        <b/>
        <sz val="10"/>
        <rFont val="Arial"/>
        <family val="2"/>
        <charset val="0"/>
      </rPr>
      <t>Software Assessments, Benchmarks, and Best practices</t>
    </r>
    <r>
      <rPr>
        <sz val="10"/>
        <rFont val="Arial"/>
        <family val="2"/>
        <charset val="0"/>
      </rPr>
      <t>, Addison-Wesley, 2000, ISBN 0-201-48542-7</t>
    </r>
  </si>
  <si>
    <t>Tabel 1.3 (p18) lists the number of projects used. For the interesting categories these are:</t>
  </si>
  <si>
    <t>Outsourced</t>
  </si>
  <si>
    <t>Military</t>
  </si>
  <si>
    <t>Total</t>
  </si>
  <si>
    <t>Table 7.7(p191) describes the connection between function points and costs for MIS projects. From these, a formula was derived:</t>
  </si>
  <si>
    <t>Avg costs/FP</t>
  </si>
  <si>
    <t>Avg costs</t>
  </si>
  <si>
    <t>fitted FP (R^2=1.000 with log-log transformation)</t>
  </si>
  <si>
    <t>Table  8.8 (p274) describes the connection between function points and costs for outsourced projects. From these, a formula was derived:</t>
  </si>
  <si>
    <t>Table 11.7 (p498) describes the connection between function points and costs for military projects. From these, a formula was derived:</t>
  </si>
  <si>
    <t>Table 7.8(p192), 8.8(p275) and 11.8(p499) describe the relation between function points and canceled projects</t>
  </si>
  <si>
    <t>size(FP)</t>
  </si>
  <si>
    <t>The fit used is already entered in the cells that are equal to the original table.</t>
  </si>
  <si>
    <t>This method is described in:</t>
  </si>
  <si>
    <r>
      <t xml:space="preserve">C. Verhoef, </t>
    </r>
    <r>
      <rPr>
        <b/>
        <sz val="10"/>
        <rFont val="Arial"/>
        <family val="2"/>
        <charset val="0"/>
      </rPr>
      <t>Quantitative IT portfolio management</t>
    </r>
    <r>
      <rPr>
        <sz val="10"/>
        <rFont val="Arial"/>
        <family val="2"/>
        <charset val="0"/>
      </rPr>
      <t xml:space="preserve">, Science of Computer Programming, Volume 45, Issue 1, October 2002, Pages 1-96. </t>
    </r>
  </si>
  <si>
    <t>http://www.cs.vu.nl/~x/ipm/ipm.pdf</t>
  </si>
  <si>
    <t>The benchmark used describes the situation in 1999 and uses costs in dollars.</t>
  </si>
  <si>
    <t>Current euros have to be translated to this unit</t>
  </si>
  <si>
    <t>On the site of DNB the following information is listed:</t>
  </si>
  <si>
    <t>via</t>
  </si>
  <si>
    <t>http://www.statistics.dnb.nl/index.cgi?lang=nl&amp;todo=Koersen</t>
  </si>
  <si>
    <t>Amerikaanse dollar *</t>
  </si>
  <si>
    <t>* Source: ECB</t>
  </si>
  <si>
    <t>Thereby, the conversion rate used is 1.0658</t>
  </si>
  <si>
    <t>Next to that, inflation is corrected for. From CBS Statline, table Historische Inflatie:</t>
  </si>
  <si>
    <t>http://statline.cbs.nl/</t>
  </si>
  <si>
    <t>Onderwerpen</t>
  </si>
  <si>
    <t>Inflatie, afgeleid</t>
  </si>
  <si>
    <t>Calculated index</t>
  </si>
  <si>
    <t>Perioden</t>
  </si>
  <si>
    <t>%</t>
  </si>
  <si>
    <t>De reeks Inflatiecijfers, afgeleid is gelijk aan de gewone reeks,</t>
  </si>
  <si>
    <t>exclusief het effect van veranderingen in de tarieven van</t>
  </si>
  <si>
    <t>productgebonden belastingen (bijvoorbeeld BTW en accijns op</t>
  </si>
  <si>
    <t>alcohol en tabak) en subsidies.</t>
  </si>
  <si>
    <t>The correction for inflation used is 1.178206706 . The inflation correction has been adjusted for the effect of taxation.</t>
  </si>
  <si>
    <t>Scenario Summary</t>
  </si>
  <si>
    <t>Current Values:</t>
  </si>
  <si>
    <t>low</t>
  </si>
  <si>
    <t>normal</t>
  </si>
  <si>
    <t>high</t>
  </si>
  <si>
    <t>Created by pkampst on 7/10/2008</t>
  </si>
  <si>
    <t>Changing Cells:</t>
  </si>
  <si>
    <t>largest_project</t>
  </si>
  <si>
    <t>failed_budget</t>
  </si>
  <si>
    <t>Result Cells:</t>
  </si>
  <si>
    <t>total_loss</t>
  </si>
  <si>
    <t>total_loss_percent</t>
  </si>
  <si>
    <t>risk_excess_percent</t>
  </si>
  <si>
    <t>normal_loss</t>
  </si>
  <si>
    <t>risk_excess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</si>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</sst>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0.0%"/>
    <numFmt numFmtId="177" formatCode="_(* #,##0_);_(* \(#,##0\);_(* &quot;-&quot;??_);_(@_)"/>
  </numFmts>
  <fonts count="34">
    <font>
      <sz val="10"/>
      <name val="Arial"/>
      <family val="2"/>
      <charset val="0"/>
    </font>
    <font>
      <b/>
      <sz val="11"/>
      <color indexed="9"/>
      <name val="Arial"/>
      <family val="2"/>
      <charset val="0"/>
    </font>
    <font>
      <sz val="9"/>
      <color indexed="9"/>
      <name val="Arial"/>
      <family val="2"/>
      <charset val="0"/>
    </font>
    <font>
      <b/>
      <sz val="10"/>
      <color indexed="8"/>
      <name val="Arial"/>
      <family val="2"/>
      <charset val="0"/>
    </font>
    <font>
      <sz val="8"/>
      <name val="Arial"/>
      <family val="2"/>
      <charset val="0"/>
    </font>
    <font>
      <b/>
      <sz val="10"/>
      <color indexed="18"/>
      <name val="Arial"/>
      <family val="2"/>
      <charset val="0"/>
    </font>
    <font>
      <u/>
      <sz val="10"/>
      <color rgb="FF800080"/>
      <name val="Arial"/>
      <family val="2"/>
      <charset val="0"/>
    </font>
    <font>
      <b/>
      <sz val="10"/>
      <name val="Arial"/>
      <family val="2"/>
      <charset val="0"/>
    </font>
    <font>
      <u/>
      <sz val="10"/>
      <color indexed="12"/>
      <name val="Arial"/>
      <family val="2"/>
      <charset val="0"/>
    </font>
    <font>
      <sz val="9"/>
      <name val="Arial"/>
      <family val="2"/>
      <charset val="0"/>
    </font>
    <font>
      <b/>
      <sz val="14"/>
      <name val="Arial"/>
      <family val="2"/>
      <charset val="0"/>
    </font>
    <font>
      <b/>
      <sz val="12"/>
      <name val="Arial"/>
      <family val="2"/>
      <charset val="0"/>
    </font>
    <font>
      <b/>
      <sz val="10"/>
      <color rgb="FFFF0000"/>
      <name val="Arial"/>
      <family val="2"/>
      <charset val="0"/>
    </font>
    <font>
      <b/>
      <i/>
      <sz val="10"/>
      <name val="Arial"/>
      <family val="2"/>
      <charset val="0"/>
    </font>
    <font>
      <sz val="10"/>
      <color theme="6" tint="-0.25"/>
      <name val="Arial"/>
      <family val="2"/>
      <charset val="0"/>
    </font>
    <font>
      <u/>
      <sz val="10"/>
      <color indexed="36"/>
      <name val="Arial"/>
      <family val="2"/>
      <charset val="0"/>
    </font>
    <font>
      <sz val="11"/>
      <color indexed="10"/>
      <name val="Calibri"/>
      <family val="2"/>
      <charset val="0"/>
    </font>
    <font>
      <b/>
      <sz val="18"/>
      <color indexed="56"/>
      <name val="Cambria"/>
      <family val="1"/>
      <charset val="0"/>
    </font>
    <font>
      <i/>
      <sz val="11"/>
      <color indexed="23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indexed="62"/>
      <name val="Calibri"/>
      <family val="2"/>
      <charset val="0"/>
    </font>
    <font>
      <b/>
      <sz val="11"/>
      <color indexed="63"/>
      <name val="Calibri"/>
      <family val="2"/>
      <charset val="0"/>
    </font>
    <font>
      <b/>
      <sz val="11"/>
      <color indexed="52"/>
      <name val="Calibri"/>
      <family val="2"/>
      <charset val="0"/>
    </font>
    <font>
      <b/>
      <sz val="11"/>
      <color indexed="9"/>
      <name val="Calibri"/>
      <family val="2"/>
      <charset val="0"/>
    </font>
    <font>
      <sz val="11"/>
      <color indexed="52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color indexed="17"/>
      <name val="Calibri"/>
      <family val="2"/>
      <charset val="0"/>
    </font>
    <font>
      <sz val="11"/>
      <color indexed="20"/>
      <name val="Calibri"/>
      <family val="2"/>
      <charset val="0"/>
    </font>
    <font>
      <sz val="11"/>
      <color indexed="60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indexed="8"/>
      <name val="Calibri"/>
      <family val="2"/>
      <charset val="0"/>
    </font>
    <font>
      <b/>
      <sz val="10"/>
      <color indexed="10"/>
      <name val="Arial"/>
      <family val="2"/>
      <charset val="0"/>
    </font>
  </fonts>
  <fills count="28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0" fillId="7" borderId="7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8" borderId="11" applyNumberFormat="0" applyAlignment="0" applyProtection="0"/>
    <xf numFmtId="0" fontId="23" fillId="4" borderId="12" applyNumberFormat="0" applyAlignment="0" applyProtection="0"/>
    <xf numFmtId="0" fontId="24" fillId="4" borderId="11" applyNumberFormat="0" applyAlignment="0" applyProtection="0"/>
    <xf numFmtId="0" fontId="25" fillId="9" borderId="13" applyNumberFormat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8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0" applyNumberFormat="0" applyBorder="0" applyAlignment="0" applyProtection="0"/>
    <xf numFmtId="0" fontId="31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2" fillId="11" borderId="0" applyNumberFormat="0" applyBorder="0" applyAlignment="0" applyProtection="0"/>
    <xf numFmtId="0" fontId="3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2" fillId="10" borderId="0" applyNumberFormat="0" applyBorder="0" applyAlignment="0" applyProtection="0"/>
    <xf numFmtId="0" fontId="32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1" fillId="21" borderId="0" applyNumberFormat="0" applyBorder="0" applyAlignment="0" applyProtection="0"/>
    <xf numFmtId="0" fontId="31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15" borderId="0" applyNumberFormat="0" applyBorder="0" applyAlignment="0" applyProtection="0"/>
    <xf numFmtId="0" fontId="31" fillId="23" borderId="0" applyNumberFormat="0" applyBorder="0" applyAlignment="0" applyProtection="0"/>
    <xf numFmtId="0" fontId="31" fillId="25" borderId="0" applyNumberFormat="0" applyBorder="0" applyAlignment="0" applyProtection="0"/>
    <xf numFmtId="0" fontId="32" fillId="8" borderId="0" applyNumberFormat="0" applyBorder="0" applyAlignment="0" applyProtection="0"/>
    <xf numFmtId="0" fontId="32" fillId="26" borderId="0" applyNumberFormat="0" applyBorder="0" applyAlignment="0" applyProtection="0"/>
    <xf numFmtId="0" fontId="31" fillId="27" borderId="0" applyNumberFormat="0" applyBorder="0" applyAlignment="0" applyProtection="0"/>
  </cellStyleXfs>
  <cellXfs count="6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4" fillId="0" borderId="0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/>
    </xf>
    <xf numFmtId="0" fontId="0" fillId="0" borderId="3" xfId="0" applyFill="1" applyBorder="1" applyAlignment="1"/>
    <xf numFmtId="0" fontId="0" fillId="4" borderId="0" xfId="0" applyFill="1" applyBorder="1" applyAlignment="1"/>
    <xf numFmtId="1" fontId="0" fillId="0" borderId="0" xfId="0" applyNumberFormat="1" applyFill="1" applyBorder="1" applyAlignment="1"/>
    <xf numFmtId="176" fontId="0" fillId="0" borderId="0" xfId="0" applyNumberFormat="1" applyFill="1" applyBorder="1" applyAlignment="1"/>
    <xf numFmtId="0" fontId="3" fillId="3" borderId="4" xfId="0" applyFont="1" applyFill="1" applyBorder="1" applyAlignment="1">
      <alignment horizontal="left"/>
    </xf>
    <xf numFmtId="1" fontId="0" fillId="0" borderId="4" xfId="0" applyNumberFormat="1" applyFill="1" applyBorder="1" applyAlignment="1"/>
    <xf numFmtId="0" fontId="0" fillId="0" borderId="0" xfId="0" applyFont="1"/>
    <xf numFmtId="0" fontId="6" fillId="0" borderId="0" xfId="6" applyFont="1" applyAlignment="1" applyProtection="1"/>
    <xf numFmtId="0" fontId="0" fillId="0" borderId="0" xfId="0" applyAlignment="1"/>
    <xf numFmtId="0" fontId="7" fillId="0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7" fillId="0" borderId="6" xfId="0" applyFont="1" applyFill="1" applyBorder="1" applyAlignment="1">
      <alignment horizontal="center"/>
    </xf>
    <xf numFmtId="0" fontId="0" fillId="0" borderId="6" xfId="0" applyFill="1" applyBorder="1" applyAlignment="1"/>
    <xf numFmtId="44" fontId="0" fillId="0" borderId="0" xfId="2" applyFont="1" applyFill="1" applyBorder="1" applyAlignment="1"/>
    <xf numFmtId="44" fontId="0" fillId="0" borderId="0" xfId="0" applyNumberFormat="1" applyFill="1" applyBorder="1" applyAlignment="1"/>
    <xf numFmtId="177" fontId="0" fillId="0" borderId="0" xfId="1" applyNumberFormat="1" applyFont="1" applyFill="1" applyBorder="1" applyAlignment="1"/>
    <xf numFmtId="0" fontId="0" fillId="0" borderId="4" xfId="0" applyFill="1" applyBorder="1" applyAlignment="1"/>
    <xf numFmtId="44" fontId="0" fillId="0" borderId="4" xfId="2" applyFont="1" applyFill="1" applyBorder="1" applyAlignment="1"/>
    <xf numFmtId="44" fontId="0" fillId="0" borderId="4" xfId="0" applyNumberFormat="1" applyFill="1" applyBorder="1" applyAlignment="1"/>
    <xf numFmtId="177" fontId="0" fillId="0" borderId="4" xfId="1" applyNumberFormat="1" applyFont="1" applyFill="1" applyBorder="1" applyAlignment="1"/>
    <xf numFmtId="9" fontId="0" fillId="0" borderId="0" xfId="3" applyNumberFormat="1" applyFont="1" applyFill="1" applyBorder="1" applyAlignment="1"/>
    <xf numFmtId="9" fontId="0" fillId="0" borderId="0" xfId="3" applyFont="1" applyFill="1" applyBorder="1" applyAlignment="1"/>
    <xf numFmtId="9" fontId="0" fillId="0" borderId="0" xfId="3" applyFont="1"/>
    <xf numFmtId="9" fontId="0" fillId="0" borderId="4" xfId="3" applyFont="1" applyFill="1" applyBorder="1" applyAlignment="1"/>
    <xf numFmtId="0" fontId="8" fillId="0" borderId="0" xfId="6" applyAlignment="1" applyProtection="1"/>
    <xf numFmtId="0" fontId="9" fillId="5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0" xfId="0" applyAlignment="1">
      <alignment horizontal="left" indent="1"/>
    </xf>
    <xf numFmtId="0" fontId="10" fillId="0" borderId="0" xfId="0" applyFont="1"/>
    <xf numFmtId="0" fontId="11" fillId="0" borderId="0" xfId="0" applyFont="1"/>
    <xf numFmtId="0" fontId="7" fillId="0" borderId="0" xfId="0" applyFont="1"/>
    <xf numFmtId="0" fontId="11" fillId="6" borderId="0" xfId="0" applyFont="1" applyFill="1"/>
    <xf numFmtId="1" fontId="11" fillId="6" borderId="0" xfId="0" applyNumberFormat="1" applyFont="1" applyFill="1"/>
    <xf numFmtId="176" fontId="0" fillId="0" borderId="0" xfId="3" applyNumberFormat="1" applyFont="1"/>
    <xf numFmtId="1" fontId="0" fillId="0" borderId="0" xfId="0" applyNumberFormat="1"/>
    <xf numFmtId="176" fontId="11" fillId="6" borderId="0" xfId="3" applyNumberFormat="1" applyFont="1" applyFill="1"/>
    <xf numFmtId="176" fontId="0" fillId="0" borderId="0" xfId="2" applyNumberFormat="1" applyFont="1"/>
    <xf numFmtId="0" fontId="12" fillId="0" borderId="0" xfId="0" applyFont="1" applyAlignment="1">
      <alignment horizontal="center" wrapText="1"/>
    </xf>
    <xf numFmtId="1" fontId="0" fillId="0" borderId="0" xfId="2" applyNumberFormat="1" applyFont="1"/>
    <xf numFmtId="2" fontId="0" fillId="0" borderId="0" xfId="0" applyNumberFormat="1"/>
    <xf numFmtId="0" fontId="7" fillId="0" borderId="0" xfId="0" applyFont="1" applyAlignment="1">
      <alignment horizontal="center"/>
    </xf>
    <xf numFmtId="0" fontId="13" fillId="0" borderId="0" xfId="0" applyFont="1"/>
    <xf numFmtId="0" fontId="6" fillId="0" borderId="0" xfId="6" applyFont="1"/>
    <xf numFmtId="0" fontId="8" fillId="0" borderId="0" xfId="6"/>
    <xf numFmtId="58" fontId="0" fillId="0" borderId="0" xfId="0" applyNumberFormat="1"/>
    <xf numFmtId="0" fontId="0" fillId="0" borderId="0" xfId="2" applyNumberFormat="1" applyFont="1"/>
    <xf numFmtId="0" fontId="14" fillId="0" borderId="0" xfId="0" applyFont="1"/>
    <xf numFmtId="0" fontId="14" fillId="0" borderId="0" xfId="0" applyFon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000080"/>
      <color rgb="00FFFFFF"/>
      <color rgb="000000FF"/>
      <color rgb="00C0C0C0"/>
      <color rgb="00800080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adviescollegeicttoetsing.nl/documenten/publicaties/2016/11/22/bit-advies-implementatie-vernieuwing-c2000" TargetMode="External"/><Relationship Id="rId8" Type="http://schemas.openxmlformats.org/officeDocument/2006/relationships/hyperlink" Target="https://zoek.officielebekendmakingen.nl/kst-36100-X-1.html" TargetMode="External"/><Relationship Id="rId7" Type="http://schemas.openxmlformats.org/officeDocument/2006/relationships/hyperlink" Target="https://www.strafrechtketen.nl/actueel/nieuws/2021/11/22/protocol-identiteitsvaststelling" TargetMode="External"/><Relationship Id="rId6" Type="http://schemas.openxmlformats.org/officeDocument/2006/relationships/hyperlink" Target="https://www.loonaangifteketen.nl/binaries/loonaangifteketen/documenten/convenanten/2020/03/09/convenant-samenwerking-loonaangifteketen-belastingdienst-uwv-cbs/Convenant+samenwerking+loonaangifteketen+Belastingdienst+UWV+CBS.pdf" TargetMode="External"/><Relationship Id="rId5" Type="http://schemas.openxmlformats.org/officeDocument/2006/relationships/hyperlink" Target="https://www.uwv.nl/nl/over-uwv" TargetMode="External"/><Relationship Id="rId4" Type="http://schemas.openxmlformats.org/officeDocument/2006/relationships/hyperlink" Target="https://rijksictdashboard.nl/ict-activiteiten/e65803ab-6288-40f4-95bb-7b4ba269a327" TargetMode="External"/><Relationship Id="rId34" Type="http://schemas.openxmlformats.org/officeDocument/2006/relationships/hyperlink" Target="https://rijksictdashboard.nl/ict-activiteiten/44407368-191b-4ae7-b727-7eab039661b7" TargetMode="External"/><Relationship Id="rId33" Type="http://schemas.openxmlformats.org/officeDocument/2006/relationships/hyperlink" Target="https://rijksictdashboard.nl/ict-activiteiten/a5b6b639-f62f-4cc9-8bed-14a8161db378" TargetMode="External"/><Relationship Id="rId32" Type="http://schemas.openxmlformats.org/officeDocument/2006/relationships/hyperlink" Target="https://www.rijksfinancien.nl/memorie-van-toelichting/2023/OWB/K/onderdeel/1467257" TargetMode="External"/><Relationship Id="rId31" Type="http://schemas.openxmlformats.org/officeDocument/2006/relationships/hyperlink" Target="https://magazines.defensie.nl/materieelgezien/2022/02/nimcis-biedt-verbeterde-verbindingen-korps-mariniers" TargetMode="External"/><Relationship Id="rId30" Type="http://schemas.openxmlformats.org/officeDocument/2006/relationships/hyperlink" Target="https://magazines.defensie.nl/defensiekrant/2016/22/dkdatalink" TargetMode="External"/><Relationship Id="rId3" Type="http://schemas.openxmlformats.org/officeDocument/2006/relationships/hyperlink" Target="https://zoek.officielebekendmakingen.nl/kst-31066-992.html" TargetMode="External"/><Relationship Id="rId29" Type="http://schemas.openxmlformats.org/officeDocument/2006/relationships/hyperlink" Target="https://rijksictdashboard.nl/ict-activiteiten/c109adb4-3a3a-4df4-ba0f-5849ccc8a43d" TargetMode="External"/><Relationship Id="rId28" Type="http://schemas.openxmlformats.org/officeDocument/2006/relationships/hyperlink" Target="https://www.computable.nl/2020/11/04/weg-vrij-voor-nieuwe-it-infrastructuur-defensie/" TargetMode="External"/><Relationship Id="rId27" Type="http://schemas.openxmlformats.org/officeDocument/2006/relationships/hyperlink" Target="https://rijksictdashboard.nl/ict-activiteiten/715d29e9-380c-430a-92b5-ef9848b7fde9" TargetMode="External"/><Relationship Id="rId26" Type="http://schemas.openxmlformats.org/officeDocument/2006/relationships/hyperlink" Target="https://www.om.nl/onderwerpen/beleidsregels/aanwijzingen/executie/aanwijzing-om-strafbeschikking-2022a003#:~:text=Door%20de%20invoering%20van%20de,257a%20Sv)." TargetMode="External"/><Relationship Id="rId25" Type="http://schemas.openxmlformats.org/officeDocument/2006/relationships/hyperlink" Target="https://www.geobasisregistraties.nl/basisregistraties/adressen-en-gebouwen/bag-wet-en-regelgeving" TargetMode="External"/><Relationship Id="rId24" Type="http://schemas.openxmlformats.org/officeDocument/2006/relationships/hyperlink" Target="https://rijksictdashboard.nl/ict-activiteiten/1c2220dc-caea-45a3-8004-bfc173e3947f" TargetMode="External"/><Relationship Id="rId23" Type="http://schemas.openxmlformats.org/officeDocument/2006/relationships/hyperlink" Target="https://rijksictdashboard.nl/ict-activiteiten/baa114a3-4559-407f-ba15-c4a30c800442" TargetMode="External"/><Relationship Id="rId22" Type="http://schemas.openxmlformats.org/officeDocument/2006/relationships/hyperlink" Target="https://rijksictdashboard.nl/ict-activiteiten/132afe97-ad4f-49fc-b789-f3010c85c893" TargetMode="External"/><Relationship Id="rId21" Type="http://schemas.openxmlformats.org/officeDocument/2006/relationships/hyperlink" Target="https://www.parlementairemonitor.nl/9353000/1/j9vvij5epmj1ey0/vm7yr0tfxszn" TargetMode="External"/><Relationship Id="rId20" Type="http://schemas.openxmlformats.org/officeDocument/2006/relationships/hyperlink" Target="https://rijksictdashboard.nl/ict-activiteiten/f5a8b162-363e-480a-8d0f-e21c0eedae65" TargetMode="External"/><Relationship Id="rId2" Type="http://schemas.openxmlformats.org/officeDocument/2006/relationships/hyperlink" Target="https://www.treinreiziger.nl/prorail-tot-2030-extra-veel-spoor-vernieuwen-ook-overdag-en-buiten-vakanties/" TargetMode="External"/><Relationship Id="rId19" Type="http://schemas.openxmlformats.org/officeDocument/2006/relationships/hyperlink" Target="https://rijksictdashboard.nl/ict-activiteiten/ce9d570c-f711-4bb1-953b-01a62f444c03" TargetMode="External"/><Relationship Id="rId18" Type="http://schemas.openxmlformats.org/officeDocument/2006/relationships/hyperlink" Target="https://rijksictdashboard.nl/ict-activiteiten/09b1ce9a-294f-48db-96b9-bf5cb79305cc" TargetMode="External"/><Relationship Id="rId17" Type="http://schemas.openxmlformats.org/officeDocument/2006/relationships/hyperlink" Target="https://rijksictdashboard.nl/ict-activiteiten/2e6d6fb1-50c7-47bc-8d56-d5e0fe5d95d1" TargetMode="External"/><Relationship Id="rId16" Type="http://schemas.openxmlformats.org/officeDocument/2006/relationships/hyperlink" Target="https://rijksictdashboard.nl/ict-activiteiten/6a20e4b6-c125-48c5-b5c7-3fa1f7356ea6" TargetMode="External"/><Relationship Id="rId15" Type="http://schemas.openxmlformats.org/officeDocument/2006/relationships/hyperlink" Target="https://rijksictdashboard.nl/ict-activiteiten/7bec8d3e-7062-41fb-a2e3-bdc1edf7c518" TargetMode="External"/><Relationship Id="rId14" Type="http://schemas.openxmlformats.org/officeDocument/2006/relationships/hyperlink" Target="https://rijksictdashboard.nl/ict-activiteiten/2de4f98a-9342-40b8-b5c4-c76d6269cc92" TargetMode="External"/><Relationship Id="rId13" Type="http://schemas.openxmlformats.org/officeDocument/2006/relationships/hyperlink" Target="https://rijksictdashboard.nl/ict-activiteiten/85e1279b-0c14-45f1-b144-3144cf75c544" TargetMode="External"/><Relationship Id="rId12" Type="http://schemas.openxmlformats.org/officeDocument/2006/relationships/hyperlink" Target="https://rijksictdashboard.nl/ict-activiteiten/f50705ba-ec4e-4893-ac46-ff5ed127e922" TargetMode="External"/><Relationship Id="rId11" Type="http://schemas.openxmlformats.org/officeDocument/2006/relationships/hyperlink" Target="https://rijksictdashboard.nl/ict-activiteiten/7322396e-dea8-4d38-9273-c197eb79180c" TargetMode="External"/><Relationship Id="rId10" Type="http://schemas.openxmlformats.org/officeDocument/2006/relationships/hyperlink" Target="https://www.zorgcijfersdatabank.nl/toelichting/rapport-2022/medisch-specialistische-zorg" TargetMode="External"/><Relationship Id="rId1" Type="http://schemas.openxmlformats.org/officeDocument/2006/relationships/hyperlink" Target="https://rijksictdashboard.nl/ict-activiteiten/e404d751-2023-4ddb-86c1-5469bc63317f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://statline.cbs.nl/" TargetMode="External"/><Relationship Id="rId3" Type="http://schemas.openxmlformats.org/officeDocument/2006/relationships/hyperlink" Target="http://www.statistics.dnb.nl/index.cgi?lang=nl&amp;todo=Koersen" TargetMode="External"/><Relationship Id="rId2" Type="http://schemas.openxmlformats.org/officeDocument/2006/relationships/hyperlink" Target="http://www.minbzk.nl/aspx/download.aspx?file=/contents/pages/90083/bijlageinventarisatiegroteict-projecten.pdf" TargetMode="External"/><Relationship Id="rId1" Type="http://schemas.openxmlformats.org/officeDocument/2006/relationships/hyperlink" Target="http://www.cs.vu.nl/~x/ipm/ip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90"/>
  <sheetViews>
    <sheetView tabSelected="1" zoomScaleSheetLayoutView="60" topLeftCell="A48" workbookViewId="0">
      <selection activeCell="R38" sqref="R38"/>
    </sheetView>
  </sheetViews>
  <sheetFormatPr defaultColWidth="8.85714285714286" defaultRowHeight="12.75"/>
  <cols>
    <col min="1" max="1" width="6.42857142857143"/>
    <col min="2" max="2" width="80.5714285714286" customWidth="1"/>
    <col min="3" max="3" width="12" customWidth="1"/>
    <col min="4" max="4" width="11.2857142857143" customWidth="1"/>
    <col min="5" max="5" width="22.7142857142857"/>
    <col min="6" max="6" width="14.4285714285714"/>
    <col min="7" max="7" width="12.2857142857143"/>
    <col min="8" max="8" width="7.28571428571429" customWidth="1"/>
    <col min="9" max="9" width="12.2857142857143" customWidth="1"/>
    <col min="10" max="10" width="16"/>
    <col min="11" max="11" width="11.7142857142857" customWidth="1"/>
    <col min="12" max="12" width="8.71428571428571"/>
    <col min="14" max="14" width="15.1428571428571" customWidth="1"/>
    <col min="15" max="15" width="10.8571428571429" customWidth="1"/>
    <col min="16" max="16" width="13.4285714285714" customWidth="1"/>
    <col min="17" max="17" width="13.2857142857143" customWidth="1"/>
    <col min="18" max="18" width="15.7142857142857" customWidth="1"/>
    <col min="19" max="19" width="13.2857142857143" customWidth="1"/>
  </cols>
  <sheetData>
    <row r="1" s="40" customFormat="1" ht="18" spans="1:1">
      <c r="A1" s="40" t="s">
        <v>0</v>
      </c>
    </row>
    <row r="2" s="41" customFormat="1" ht="15.75" spans="7:8">
      <c r="G2" t="s">
        <v>1</v>
      </c>
      <c r="H2"/>
    </row>
    <row r="3" ht="15.75" spans="2:8">
      <c r="B3" s="43" t="s">
        <v>2</v>
      </c>
      <c r="C3" s="44">
        <f>SUM(N10:N82)</f>
        <v>1637.83085097422</v>
      </c>
      <c r="E3" t="s">
        <v>3</v>
      </c>
      <c r="F3" s="45">
        <v>0.178758</v>
      </c>
      <c r="G3" s="46">
        <f>C7/100*F3*SUM(C9:C81)</f>
        <v>780.314868495</v>
      </c>
      <c r="H3" s="46"/>
    </row>
    <row r="4" ht="15.75" spans="2:20">
      <c r="B4" s="43" t="s">
        <v>4</v>
      </c>
      <c r="C4" s="47">
        <f>C3/SUM(C10:C82)/C7*100</f>
        <v>0.373859084389878</v>
      </c>
      <c r="E4" t="s">
        <v>5</v>
      </c>
      <c r="F4" s="48">
        <f>(C4-F3)</f>
        <v>0.195101084389878</v>
      </c>
      <c r="G4" s="46">
        <f>C7/100*F4*SUM(C10:C82)</f>
        <v>854.713950829219</v>
      </c>
      <c r="H4" s="46"/>
      <c r="T4" s="42" t="s">
        <v>6</v>
      </c>
    </row>
    <row r="5" spans="20:20">
      <c r="T5" s="53" t="s">
        <v>7</v>
      </c>
    </row>
    <row r="6" spans="2:3">
      <c r="B6" t="s">
        <v>8</v>
      </c>
      <c r="C6">
        <v>50</v>
      </c>
    </row>
    <row r="7" spans="2:19">
      <c r="B7" t="s">
        <v>9</v>
      </c>
      <c r="C7">
        <v>75</v>
      </c>
      <c r="R7" t="s">
        <v>10</v>
      </c>
      <c r="S7" t="s">
        <v>11</v>
      </c>
    </row>
    <row r="8" spans="18:18">
      <c r="R8" t="s">
        <v>12</v>
      </c>
    </row>
    <row r="9" s="42" customFormat="1" spans="1:20">
      <c r="A9" s="42" t="s">
        <v>13</v>
      </c>
      <c r="B9" s="42" t="s">
        <v>14</v>
      </c>
      <c r="C9" s="42" t="s">
        <v>15</v>
      </c>
      <c r="D9" s="42" t="s">
        <v>16</v>
      </c>
      <c r="E9" s="42" t="s">
        <v>17</v>
      </c>
      <c r="F9" s="42" t="s">
        <v>18</v>
      </c>
      <c r="G9" s="42" t="s">
        <v>19</v>
      </c>
      <c r="H9" s="42" t="s">
        <v>20</v>
      </c>
      <c r="I9" s="42" t="s">
        <v>21</v>
      </c>
      <c r="J9" s="42" t="s">
        <v>22</v>
      </c>
      <c r="K9" s="42" t="s">
        <v>23</v>
      </c>
      <c r="L9" s="42" t="s">
        <v>24</v>
      </c>
      <c r="M9" s="42" t="s">
        <v>25</v>
      </c>
      <c r="N9" s="42" t="s">
        <v>26</v>
      </c>
      <c r="O9" s="49" t="s">
        <v>27</v>
      </c>
      <c r="P9" s="42" t="s">
        <v>28</v>
      </c>
      <c r="Q9" s="42" t="s">
        <v>29</v>
      </c>
      <c r="R9" s="42" t="s">
        <v>30</v>
      </c>
      <c r="S9" s="42" t="s">
        <v>31</v>
      </c>
      <c r="T9" s="42" t="s">
        <v>32</v>
      </c>
    </row>
    <row r="10" spans="1:20">
      <c r="A10" t="s">
        <v>33</v>
      </c>
      <c r="B10" t="s">
        <v>34</v>
      </c>
      <c r="C10">
        <v>700</v>
      </c>
      <c r="D10">
        <v>42</v>
      </c>
      <c r="E10" t="s">
        <v>35</v>
      </c>
      <c r="F10">
        <v>12</v>
      </c>
      <c r="G10">
        <f t="shared" ref="G10:G41" si="0">C10*D10/100</f>
        <v>294</v>
      </c>
      <c r="H10">
        <f t="shared" ref="H10:H41" si="1">G10/F10</f>
        <v>24.5</v>
      </c>
      <c r="I10">
        <f t="shared" ref="I10:I41" si="2">G10*$C$6/100</f>
        <v>147</v>
      </c>
      <c r="J10" s="50">
        <f t="shared" ref="J10:J41" si="3">I10/1.178206706*1.0658*1000000</f>
        <v>132975478.073709</v>
      </c>
      <c r="K10" t="str">
        <f t="shared" ref="K10:K20" si="4">IF(A10="DEF","Military","MIS")</f>
        <v>MIS</v>
      </c>
      <c r="L10" s="46">
        <f t="shared" ref="L10:L41" si="5">IF(K10="Outsourced",0.04744419*POWER(J10,0.7139649),IF(K10="Military",0.05190356*POWER(J10,0.680408),0.07406812*POWER(J10,0.6877308)))</f>
        <v>28615.3614334221</v>
      </c>
      <c r="M10" s="45">
        <f t="shared" ref="M10:M41" si="6">IF(K10="Military",0.34066666*(1-EXP(-0.01631659*POWER(L10,0.47035413))),0.480552258*(1-EXP(-0.007488657*POWER(L10,0.587382996))))</f>
        <v>0.459022966387545</v>
      </c>
      <c r="N10" s="51">
        <f t="shared" ref="N10:N21" si="7">C10*M10*$C$7/100</f>
        <v>240.987057353461</v>
      </c>
      <c r="O10" s="52"/>
      <c r="P10" t="s">
        <v>36</v>
      </c>
      <c r="Q10" t="s">
        <v>37</v>
      </c>
      <c r="S10">
        <v>115.91</v>
      </c>
      <c r="T10" s="54" t="s">
        <v>38</v>
      </c>
    </row>
    <row r="11" spans="1:20">
      <c r="A11" t="s">
        <v>39</v>
      </c>
      <c r="B11" t="s">
        <v>40</v>
      </c>
      <c r="C11">
        <v>300</v>
      </c>
      <c r="D11">
        <v>75</v>
      </c>
      <c r="E11" t="s">
        <v>41</v>
      </c>
      <c r="F11">
        <v>9</v>
      </c>
      <c r="G11">
        <f t="shared" si="0"/>
        <v>225</v>
      </c>
      <c r="H11">
        <f t="shared" si="1"/>
        <v>25</v>
      </c>
      <c r="I11">
        <f t="shared" si="2"/>
        <v>112.5</v>
      </c>
      <c r="J11" s="50">
        <f t="shared" si="3"/>
        <v>101766947.50539</v>
      </c>
      <c r="K11" t="str">
        <f t="shared" si="4"/>
        <v>MIS</v>
      </c>
      <c r="L11" s="46">
        <f t="shared" si="5"/>
        <v>23807.2436383061</v>
      </c>
      <c r="M11" s="45">
        <f t="shared" si="6"/>
        <v>0.450961052431776</v>
      </c>
      <c r="N11" s="51">
        <f t="shared" si="7"/>
        <v>101.46623679715</v>
      </c>
      <c r="O11" s="52"/>
      <c r="P11" t="s">
        <v>36</v>
      </c>
      <c r="T11" s="54" t="s">
        <v>42</v>
      </c>
    </row>
    <row r="12" spans="1:20">
      <c r="A12" t="s">
        <v>43</v>
      </c>
      <c r="B12" t="s">
        <v>44</v>
      </c>
      <c r="C12">
        <v>226</v>
      </c>
      <c r="D12">
        <v>99</v>
      </c>
      <c r="E12" t="s">
        <v>41</v>
      </c>
      <c r="F12">
        <v>9</v>
      </c>
      <c r="G12">
        <f t="shared" si="0"/>
        <v>223.74</v>
      </c>
      <c r="H12">
        <f t="shared" si="1"/>
        <v>24.86</v>
      </c>
      <c r="I12">
        <f t="shared" si="2"/>
        <v>111.87</v>
      </c>
      <c r="J12" s="50">
        <f t="shared" si="3"/>
        <v>101197052.599359</v>
      </c>
      <c r="K12" t="str">
        <f t="shared" si="4"/>
        <v>MIS</v>
      </c>
      <c r="L12" s="46">
        <f t="shared" si="5"/>
        <v>23715.4746145733</v>
      </c>
      <c r="M12" s="45">
        <f t="shared" si="6"/>
        <v>0.450773554004461</v>
      </c>
      <c r="N12" s="51">
        <f t="shared" si="7"/>
        <v>76.4061174037561</v>
      </c>
      <c r="O12" s="52"/>
      <c r="P12" t="s">
        <v>36</v>
      </c>
      <c r="T12" s="55" t="s">
        <v>45</v>
      </c>
    </row>
    <row r="13" spans="1:20">
      <c r="A13" t="s">
        <v>43</v>
      </c>
      <c r="B13" t="s">
        <v>46</v>
      </c>
      <c r="C13">
        <v>275</v>
      </c>
      <c r="D13">
        <v>81</v>
      </c>
      <c r="E13" t="s">
        <v>47</v>
      </c>
      <c r="F13">
        <v>3</v>
      </c>
      <c r="G13">
        <f t="shared" si="0"/>
        <v>222.75</v>
      </c>
      <c r="H13">
        <f t="shared" si="1"/>
        <v>74.25</v>
      </c>
      <c r="I13">
        <f t="shared" si="2"/>
        <v>111.375</v>
      </c>
      <c r="J13" s="50">
        <f t="shared" si="3"/>
        <v>100749278.030336</v>
      </c>
      <c r="K13" t="str">
        <f t="shared" si="4"/>
        <v>MIS</v>
      </c>
      <c r="L13" s="46">
        <f t="shared" si="5"/>
        <v>23643.2571276585</v>
      </c>
      <c r="M13" s="45">
        <f t="shared" si="6"/>
        <v>0.450624955157009</v>
      </c>
      <c r="N13" s="51">
        <f t="shared" si="7"/>
        <v>92.9413970011331</v>
      </c>
      <c r="P13" t="s">
        <v>36</v>
      </c>
      <c r="Q13" t="s">
        <v>48</v>
      </c>
      <c r="R13" t="s">
        <v>49</v>
      </c>
      <c r="S13">
        <v>240</v>
      </c>
      <c r="T13" s="54" t="s">
        <v>50</v>
      </c>
    </row>
    <row r="14" spans="1:20">
      <c r="A14" t="s">
        <v>43</v>
      </c>
      <c r="B14" t="s">
        <v>51</v>
      </c>
      <c r="C14">
        <v>200</v>
      </c>
      <c r="D14">
        <v>90</v>
      </c>
      <c r="E14" t="s">
        <v>52</v>
      </c>
      <c r="F14">
        <v>9</v>
      </c>
      <c r="G14">
        <f t="shared" si="0"/>
        <v>180</v>
      </c>
      <c r="H14">
        <f t="shared" si="1"/>
        <v>20</v>
      </c>
      <c r="I14">
        <f t="shared" si="2"/>
        <v>90</v>
      </c>
      <c r="J14" s="50">
        <f t="shared" si="3"/>
        <v>81413558.0043117</v>
      </c>
      <c r="K14" t="str">
        <f t="shared" si="4"/>
        <v>MIS</v>
      </c>
      <c r="L14" s="46">
        <f t="shared" si="5"/>
        <v>20420.2528649776</v>
      </c>
      <c r="M14" s="45">
        <f t="shared" si="6"/>
        <v>0.442924176575854</v>
      </c>
      <c r="N14" s="51">
        <f t="shared" si="7"/>
        <v>66.4386264863781</v>
      </c>
      <c r="P14" t="s">
        <v>53</v>
      </c>
      <c r="T14" t="s">
        <v>54</v>
      </c>
    </row>
    <row r="15" spans="1:20">
      <c r="A15" t="s">
        <v>55</v>
      </c>
      <c r="B15" t="s">
        <v>56</v>
      </c>
      <c r="C15">
        <v>260</v>
      </c>
      <c r="D15">
        <v>62</v>
      </c>
      <c r="E15" t="s">
        <v>57</v>
      </c>
      <c r="F15">
        <v>4</v>
      </c>
      <c r="G15">
        <f t="shared" si="0"/>
        <v>161.2</v>
      </c>
      <c r="H15">
        <f t="shared" si="1"/>
        <v>40.3</v>
      </c>
      <c r="I15">
        <f t="shared" si="2"/>
        <v>80.6</v>
      </c>
      <c r="J15" s="50">
        <f t="shared" si="3"/>
        <v>72910364.1683058</v>
      </c>
      <c r="K15" t="str">
        <f t="shared" si="4"/>
        <v>MIS</v>
      </c>
      <c r="L15" s="46">
        <f t="shared" si="5"/>
        <v>18928.3899592351</v>
      </c>
      <c r="M15" s="45">
        <f t="shared" si="6"/>
        <v>0.438506231039891</v>
      </c>
      <c r="N15" s="51">
        <f t="shared" si="7"/>
        <v>85.5087150527788</v>
      </c>
      <c r="P15" t="s">
        <v>36</v>
      </c>
      <c r="T15" s="55" t="s">
        <v>58</v>
      </c>
    </row>
    <row r="16" spans="1:20">
      <c r="A16" t="s">
        <v>43</v>
      </c>
      <c r="B16" t="s">
        <v>59</v>
      </c>
      <c r="C16">
        <v>165</v>
      </c>
      <c r="D16">
        <v>94</v>
      </c>
      <c r="E16" t="s">
        <v>60</v>
      </c>
      <c r="F16">
        <v>5</v>
      </c>
      <c r="G16">
        <f t="shared" si="0"/>
        <v>155.1</v>
      </c>
      <c r="H16">
        <f t="shared" si="1"/>
        <v>31.02</v>
      </c>
      <c r="I16">
        <f t="shared" si="2"/>
        <v>77.55</v>
      </c>
      <c r="J16" s="50">
        <f t="shared" si="3"/>
        <v>70151349.1470486</v>
      </c>
      <c r="K16" t="str">
        <f t="shared" si="4"/>
        <v>MIS</v>
      </c>
      <c r="L16" s="46">
        <f t="shared" si="5"/>
        <v>18432.8273673195</v>
      </c>
      <c r="M16" s="45">
        <f t="shared" si="6"/>
        <v>0.436892195790372</v>
      </c>
      <c r="N16" s="51">
        <f t="shared" si="7"/>
        <v>54.0654092290585</v>
      </c>
      <c r="P16" t="s">
        <v>36</v>
      </c>
      <c r="T16" s="55" t="s">
        <v>61</v>
      </c>
    </row>
    <row r="17" spans="1:20">
      <c r="A17" t="s">
        <v>39</v>
      </c>
      <c r="B17" t="s">
        <v>62</v>
      </c>
      <c r="C17">
        <v>117</v>
      </c>
      <c r="D17">
        <v>100</v>
      </c>
      <c r="E17" t="s">
        <v>63</v>
      </c>
      <c r="F17">
        <v>5</v>
      </c>
      <c r="G17">
        <f t="shared" si="0"/>
        <v>117</v>
      </c>
      <c r="H17">
        <f t="shared" si="1"/>
        <v>23.4</v>
      </c>
      <c r="I17">
        <f t="shared" si="2"/>
        <v>58.5</v>
      </c>
      <c r="J17" s="50">
        <f t="shared" si="3"/>
        <v>52918812.7028026</v>
      </c>
      <c r="K17" t="str">
        <f t="shared" si="4"/>
        <v>MIS</v>
      </c>
      <c r="L17" s="46">
        <f t="shared" si="5"/>
        <v>15184.3382195216</v>
      </c>
      <c r="M17" s="45">
        <f t="shared" si="6"/>
        <v>0.42403273586957</v>
      </c>
      <c r="N17" s="51">
        <f t="shared" si="7"/>
        <v>37.2088725725548</v>
      </c>
      <c r="P17" t="s">
        <v>64</v>
      </c>
      <c r="T17" t="s">
        <v>54</v>
      </c>
    </row>
    <row r="18" spans="1:20">
      <c r="A18" t="s">
        <v>39</v>
      </c>
      <c r="B18" t="s">
        <v>65</v>
      </c>
      <c r="C18">
        <v>143</v>
      </c>
      <c r="D18">
        <v>80</v>
      </c>
      <c r="E18" t="s">
        <v>66</v>
      </c>
      <c r="F18">
        <v>9</v>
      </c>
      <c r="G18">
        <f t="shared" si="0"/>
        <v>114.4</v>
      </c>
      <c r="H18">
        <f t="shared" si="1"/>
        <v>12.7111111111111</v>
      </c>
      <c r="I18">
        <f t="shared" si="2"/>
        <v>57.2</v>
      </c>
      <c r="J18" s="50">
        <f t="shared" si="3"/>
        <v>51742839.0871848</v>
      </c>
      <c r="K18" t="str">
        <f t="shared" si="4"/>
        <v>MIS</v>
      </c>
      <c r="L18" s="46">
        <f t="shared" si="5"/>
        <v>14951.4642953491</v>
      </c>
      <c r="M18" s="45">
        <f t="shared" si="6"/>
        <v>0.422928864417249</v>
      </c>
      <c r="N18" s="51">
        <f t="shared" si="7"/>
        <v>45.3591207087499</v>
      </c>
      <c r="P18" t="s">
        <v>64</v>
      </c>
      <c r="T18" t="s">
        <v>54</v>
      </c>
    </row>
    <row r="19" spans="1:20">
      <c r="A19" t="s">
        <v>67</v>
      </c>
      <c r="B19" t="s">
        <v>68</v>
      </c>
      <c r="C19">
        <v>100</v>
      </c>
      <c r="D19">
        <v>90</v>
      </c>
      <c r="E19" s="60" t="s">
        <v>69</v>
      </c>
      <c r="F19">
        <f>POWER(G19,0.2911873)*1.537648</f>
        <v>5.70042882602015</v>
      </c>
      <c r="G19">
        <f t="shared" si="0"/>
        <v>90</v>
      </c>
      <c r="H19">
        <f t="shared" si="1"/>
        <v>15.7882858898591</v>
      </c>
      <c r="I19">
        <f t="shared" si="2"/>
        <v>45</v>
      </c>
      <c r="J19" s="50">
        <f t="shared" si="3"/>
        <v>40706779.0021558</v>
      </c>
      <c r="K19" t="str">
        <f t="shared" si="4"/>
        <v>MIS</v>
      </c>
      <c r="L19" s="46">
        <f t="shared" si="5"/>
        <v>12677.4969849133</v>
      </c>
      <c r="M19" s="45">
        <f t="shared" si="6"/>
        <v>0.410459202337304</v>
      </c>
      <c r="N19" s="51">
        <f t="shared" si="7"/>
        <v>30.7844401752978</v>
      </c>
      <c r="P19" t="s">
        <v>36</v>
      </c>
      <c r="T19" s="54" t="s">
        <v>70</v>
      </c>
    </row>
    <row r="20" spans="1:20">
      <c r="A20" t="s">
        <v>43</v>
      </c>
      <c r="B20" s="15" t="s">
        <v>71</v>
      </c>
      <c r="C20">
        <v>78</v>
      </c>
      <c r="D20">
        <v>100</v>
      </c>
      <c r="E20" t="s">
        <v>47</v>
      </c>
      <c r="F20">
        <v>3</v>
      </c>
      <c r="G20">
        <f t="shared" si="0"/>
        <v>78</v>
      </c>
      <c r="H20">
        <f t="shared" si="1"/>
        <v>26</v>
      </c>
      <c r="I20">
        <f t="shared" si="2"/>
        <v>39</v>
      </c>
      <c r="J20" s="50">
        <f t="shared" si="3"/>
        <v>35279208.4685351</v>
      </c>
      <c r="K20" t="str">
        <f t="shared" si="4"/>
        <v>MIS</v>
      </c>
      <c r="L20" s="46">
        <f t="shared" si="5"/>
        <v>11489.2713424599</v>
      </c>
      <c r="M20" s="45">
        <f t="shared" si="6"/>
        <v>0.402455101520358</v>
      </c>
      <c r="N20" s="51">
        <f t="shared" si="7"/>
        <v>23.5436234389409</v>
      </c>
      <c r="P20" t="s">
        <v>36</v>
      </c>
      <c r="Q20" t="s">
        <v>37</v>
      </c>
      <c r="R20" t="s">
        <v>72</v>
      </c>
      <c r="S20">
        <v>175.3</v>
      </c>
      <c r="T20" s="54" t="s">
        <v>73</v>
      </c>
    </row>
    <row r="21" spans="1:20">
      <c r="A21" t="s">
        <v>74</v>
      </c>
      <c r="B21" t="s">
        <v>75</v>
      </c>
      <c r="C21">
        <v>77.3</v>
      </c>
      <c r="D21">
        <v>100</v>
      </c>
      <c r="E21" t="s">
        <v>76</v>
      </c>
      <c r="F21">
        <v>4</v>
      </c>
      <c r="G21">
        <f t="shared" si="0"/>
        <v>77.3</v>
      </c>
      <c r="H21">
        <f t="shared" si="1"/>
        <v>19.325</v>
      </c>
      <c r="I21">
        <f t="shared" si="2"/>
        <v>38.65</v>
      </c>
      <c r="J21" s="50">
        <f t="shared" si="3"/>
        <v>34962600.1874072</v>
      </c>
      <c r="K21" t="s">
        <v>77</v>
      </c>
      <c r="L21" s="46">
        <f t="shared" si="5"/>
        <v>11418.2604604144</v>
      </c>
      <c r="M21" s="45">
        <f t="shared" si="6"/>
        <v>0.401937578397893</v>
      </c>
      <c r="N21" s="51">
        <f t="shared" si="7"/>
        <v>23.3023311076178</v>
      </c>
      <c r="P21" t="s">
        <v>36</v>
      </c>
      <c r="T21" s="55" t="s">
        <v>78</v>
      </c>
    </row>
    <row r="22" spans="1:20">
      <c r="A22" t="s">
        <v>55</v>
      </c>
      <c r="B22" t="s">
        <v>79</v>
      </c>
      <c r="C22">
        <v>127</v>
      </c>
      <c r="D22">
        <v>60</v>
      </c>
      <c r="E22" t="s">
        <v>80</v>
      </c>
      <c r="F22">
        <v>2.8</v>
      </c>
      <c r="G22">
        <f t="shared" si="0"/>
        <v>76.2</v>
      </c>
      <c r="H22">
        <f t="shared" si="1"/>
        <v>27.2142857142857</v>
      </c>
      <c r="I22">
        <f t="shared" si="2"/>
        <v>38.1</v>
      </c>
      <c r="J22" s="50">
        <f t="shared" si="3"/>
        <v>34465072.8884919</v>
      </c>
      <c r="K22" t="str">
        <f t="shared" ref="K22:K28" si="8">IF(A22="DEF","Military","MIS")</f>
        <v>MIS</v>
      </c>
      <c r="L22" s="46">
        <f t="shared" si="5"/>
        <v>11306.2647173391</v>
      </c>
      <c r="M22" s="45">
        <f t="shared" si="6"/>
        <v>0.401111637025141</v>
      </c>
      <c r="N22" s="51">
        <f t="shared" ref="N22:N53" si="9">C22*M22*$C$7/100</f>
        <v>38.2058834266447</v>
      </c>
      <c r="P22" t="s">
        <v>64</v>
      </c>
      <c r="T22" t="s">
        <v>54</v>
      </c>
    </row>
    <row r="23" spans="1:16">
      <c r="A23" t="s">
        <v>33</v>
      </c>
      <c r="B23" t="s">
        <v>81</v>
      </c>
      <c r="C23">
        <v>84.5</v>
      </c>
      <c r="D23">
        <v>90</v>
      </c>
      <c r="E23" t="s">
        <v>82</v>
      </c>
      <c r="F23">
        <v>4</v>
      </c>
      <c r="G23">
        <f t="shared" si="0"/>
        <v>76.05</v>
      </c>
      <c r="H23">
        <f t="shared" si="1"/>
        <v>19.0125</v>
      </c>
      <c r="I23">
        <f t="shared" si="2"/>
        <v>38.025</v>
      </c>
      <c r="J23" s="50">
        <f t="shared" si="3"/>
        <v>34397228.2568217</v>
      </c>
      <c r="K23" t="str">
        <f t="shared" si="8"/>
        <v>MIS</v>
      </c>
      <c r="L23" s="46">
        <f t="shared" si="5"/>
        <v>11290.9535787513</v>
      </c>
      <c r="M23" s="45">
        <f t="shared" si="6"/>
        <v>0.400997785345401</v>
      </c>
      <c r="N23" s="51">
        <f t="shared" si="9"/>
        <v>25.4132346462648</v>
      </c>
      <c r="P23" t="s">
        <v>83</v>
      </c>
    </row>
    <row r="24" spans="1:20">
      <c r="A24" t="s">
        <v>67</v>
      </c>
      <c r="B24" t="s">
        <v>84</v>
      </c>
      <c r="C24">
        <v>72.5</v>
      </c>
      <c r="D24">
        <v>100</v>
      </c>
      <c r="E24" t="s">
        <v>85</v>
      </c>
      <c r="F24">
        <v>3</v>
      </c>
      <c r="G24">
        <f t="shared" si="0"/>
        <v>72.5</v>
      </c>
      <c r="H24">
        <f t="shared" si="1"/>
        <v>24.1666666666667</v>
      </c>
      <c r="I24">
        <f t="shared" si="2"/>
        <v>36.25</v>
      </c>
      <c r="J24" s="50">
        <f t="shared" si="3"/>
        <v>32791571.9739589</v>
      </c>
      <c r="K24" t="str">
        <f t="shared" si="8"/>
        <v>MIS</v>
      </c>
      <c r="L24" s="46">
        <f t="shared" si="5"/>
        <v>10925.7811491392</v>
      </c>
      <c r="M24" s="45">
        <f t="shared" si="6"/>
        <v>0.398213677786992</v>
      </c>
      <c r="N24" s="51">
        <f t="shared" si="9"/>
        <v>21.6528687296677</v>
      </c>
      <c r="P24" t="s">
        <v>36</v>
      </c>
      <c r="T24" s="55" t="s">
        <v>86</v>
      </c>
    </row>
    <row r="25" spans="1:16">
      <c r="A25" t="s">
        <v>87</v>
      </c>
      <c r="B25" t="s">
        <v>88</v>
      </c>
      <c r="C25">
        <v>94.5</v>
      </c>
      <c r="D25">
        <v>75</v>
      </c>
      <c r="E25" t="s">
        <v>89</v>
      </c>
      <c r="F25">
        <v>8</v>
      </c>
      <c r="G25">
        <f t="shared" si="0"/>
        <v>70.875</v>
      </c>
      <c r="H25">
        <f t="shared" si="1"/>
        <v>8.859375</v>
      </c>
      <c r="I25">
        <f t="shared" si="2"/>
        <v>35.4375</v>
      </c>
      <c r="J25" s="50">
        <f t="shared" si="3"/>
        <v>32056588.4641977</v>
      </c>
      <c r="K25" t="str">
        <f t="shared" si="8"/>
        <v>MIS</v>
      </c>
      <c r="L25" s="46">
        <f t="shared" si="5"/>
        <v>10756.7687507677</v>
      </c>
      <c r="M25" s="45">
        <f t="shared" si="6"/>
        <v>0.396878916532154</v>
      </c>
      <c r="N25" s="51">
        <f t="shared" si="9"/>
        <v>28.1287932092164</v>
      </c>
      <c r="P25" t="s">
        <v>90</v>
      </c>
    </row>
    <row r="26" spans="1:20">
      <c r="A26" t="s">
        <v>91</v>
      </c>
      <c r="B26" t="s">
        <v>92</v>
      </c>
      <c r="C26">
        <v>162</v>
      </c>
      <c r="D26">
        <v>35</v>
      </c>
      <c r="E26" t="s">
        <v>93</v>
      </c>
      <c r="F26">
        <v>7</v>
      </c>
      <c r="G26">
        <f t="shared" si="0"/>
        <v>56.7</v>
      </c>
      <c r="H26">
        <f t="shared" si="1"/>
        <v>8.1</v>
      </c>
      <c r="I26">
        <f t="shared" si="2"/>
        <v>28.35</v>
      </c>
      <c r="J26" s="50">
        <f t="shared" si="3"/>
        <v>25645270.7713582</v>
      </c>
      <c r="K26" t="str">
        <f t="shared" si="8"/>
        <v>MIS</v>
      </c>
      <c r="L26" s="46">
        <f t="shared" si="5"/>
        <v>9226.43298140307</v>
      </c>
      <c r="M26" s="45">
        <f t="shared" si="6"/>
        <v>0.383272017072222</v>
      </c>
      <c r="N26" s="51">
        <f t="shared" si="9"/>
        <v>46.567550074275</v>
      </c>
      <c r="P26" t="s">
        <v>36</v>
      </c>
      <c r="T26" s="55" t="s">
        <v>94</v>
      </c>
    </row>
    <row r="27" spans="1:20">
      <c r="A27" t="s">
        <v>67</v>
      </c>
      <c r="B27" t="s">
        <v>95</v>
      </c>
      <c r="C27">
        <v>50</v>
      </c>
      <c r="D27">
        <v>100</v>
      </c>
      <c r="E27" t="s">
        <v>96</v>
      </c>
      <c r="F27">
        <v>10</v>
      </c>
      <c r="G27">
        <f t="shared" si="0"/>
        <v>50</v>
      </c>
      <c r="H27">
        <f t="shared" si="1"/>
        <v>5</v>
      </c>
      <c r="I27">
        <f t="shared" si="2"/>
        <v>25</v>
      </c>
      <c r="J27" s="50">
        <f t="shared" si="3"/>
        <v>22614877.2234199</v>
      </c>
      <c r="K27" t="str">
        <f t="shared" si="8"/>
        <v>MIS</v>
      </c>
      <c r="L27" s="46">
        <f t="shared" si="5"/>
        <v>8462.03372348046</v>
      </c>
      <c r="M27" s="45">
        <f t="shared" si="6"/>
        <v>0.375262929127606</v>
      </c>
      <c r="N27" s="51">
        <f t="shared" si="9"/>
        <v>14.0723598422852</v>
      </c>
      <c r="P27" t="s">
        <v>36</v>
      </c>
      <c r="Q27" t="s">
        <v>97</v>
      </c>
      <c r="R27" t="s">
        <v>49</v>
      </c>
      <c r="S27">
        <v>4.2</v>
      </c>
      <c r="T27" s="54" t="s">
        <v>98</v>
      </c>
    </row>
    <row r="28" spans="1:20">
      <c r="A28" t="s">
        <v>39</v>
      </c>
      <c r="B28" t="s">
        <v>99</v>
      </c>
      <c r="C28">
        <v>62</v>
      </c>
      <c r="D28">
        <v>80</v>
      </c>
      <c r="E28" t="s">
        <v>100</v>
      </c>
      <c r="F28">
        <v>6</v>
      </c>
      <c r="G28">
        <f t="shared" si="0"/>
        <v>49.6</v>
      </c>
      <c r="H28">
        <f t="shared" si="1"/>
        <v>8.26666666666667</v>
      </c>
      <c r="I28">
        <f t="shared" si="2"/>
        <v>24.8</v>
      </c>
      <c r="J28" s="50">
        <f t="shared" si="3"/>
        <v>22433958.2056326</v>
      </c>
      <c r="K28" t="str">
        <f t="shared" si="8"/>
        <v>MIS</v>
      </c>
      <c r="L28" s="46">
        <f t="shared" si="5"/>
        <v>8415.41855622535</v>
      </c>
      <c r="M28" s="45">
        <f t="shared" si="6"/>
        <v>0.374743821950425</v>
      </c>
      <c r="N28" s="51">
        <f t="shared" si="9"/>
        <v>17.4255877206947</v>
      </c>
      <c r="P28" t="s">
        <v>36</v>
      </c>
      <c r="Q28" t="s">
        <v>101</v>
      </c>
      <c r="R28" t="s">
        <v>72</v>
      </c>
      <c r="S28">
        <v>62.93</v>
      </c>
      <c r="T28" s="54" t="s">
        <v>102</v>
      </c>
    </row>
    <row r="29" spans="1:20">
      <c r="A29" t="s">
        <v>74</v>
      </c>
      <c r="B29" t="s">
        <v>103</v>
      </c>
      <c r="C29">
        <v>150</v>
      </c>
      <c r="D29">
        <v>33</v>
      </c>
      <c r="E29" t="s">
        <v>104</v>
      </c>
      <c r="F29">
        <f>POWER(G29,0.2911873)*1.537648</f>
        <v>4.78965729318656</v>
      </c>
      <c r="G29">
        <f t="shared" si="0"/>
        <v>49.5</v>
      </c>
      <c r="H29">
        <f t="shared" si="1"/>
        <v>10.3347686420937</v>
      </c>
      <c r="I29">
        <f t="shared" si="2"/>
        <v>24.75</v>
      </c>
      <c r="J29" s="50">
        <f t="shared" si="3"/>
        <v>22388728.4511857</v>
      </c>
      <c r="K29" t="s">
        <v>77</v>
      </c>
      <c r="L29" s="46">
        <f t="shared" si="5"/>
        <v>8403.7464473733</v>
      </c>
      <c r="M29" s="45">
        <f t="shared" si="6"/>
        <v>0.374613254745843</v>
      </c>
      <c r="N29" s="51">
        <f t="shared" si="9"/>
        <v>42.1439911589074</v>
      </c>
      <c r="P29" t="s">
        <v>36</v>
      </c>
      <c r="Q29" t="s">
        <v>105</v>
      </c>
      <c r="R29" t="s">
        <v>72</v>
      </c>
      <c r="S29">
        <v>276.44</v>
      </c>
      <c r="T29" s="54" t="s">
        <v>106</v>
      </c>
    </row>
    <row r="30" spans="1:20">
      <c r="A30" t="s">
        <v>55</v>
      </c>
      <c r="B30" t="s">
        <v>107</v>
      </c>
      <c r="C30">
        <v>59.1</v>
      </c>
      <c r="D30">
        <v>80</v>
      </c>
      <c r="E30" t="s">
        <v>47</v>
      </c>
      <c r="F30">
        <v>3</v>
      </c>
      <c r="G30">
        <f t="shared" si="0"/>
        <v>47.28</v>
      </c>
      <c r="H30">
        <f t="shared" si="1"/>
        <v>15.76</v>
      </c>
      <c r="I30">
        <f t="shared" si="2"/>
        <v>23.64</v>
      </c>
      <c r="J30" s="50">
        <f t="shared" si="3"/>
        <v>21384627.9024659</v>
      </c>
      <c r="K30" t="str">
        <f t="shared" ref="K30:K37" si="10">IF(A30="DEF","Military","MIS")</f>
        <v>MIS</v>
      </c>
      <c r="L30" s="46">
        <f t="shared" si="5"/>
        <v>8142.6923463245</v>
      </c>
      <c r="M30" s="45">
        <f t="shared" si="6"/>
        <v>0.371630159670478</v>
      </c>
      <c r="N30" s="51">
        <f t="shared" si="9"/>
        <v>16.4725068273939</v>
      </c>
      <c r="P30" t="s">
        <v>64</v>
      </c>
      <c r="T30" t="s">
        <v>54</v>
      </c>
    </row>
    <row r="31" spans="1:16">
      <c r="A31" t="s">
        <v>91</v>
      </c>
      <c r="B31" t="s">
        <v>108</v>
      </c>
      <c r="C31">
        <v>56.8</v>
      </c>
      <c r="D31">
        <v>80</v>
      </c>
      <c r="E31" t="s">
        <v>82</v>
      </c>
      <c r="F31">
        <v>4</v>
      </c>
      <c r="G31">
        <f t="shared" si="0"/>
        <v>45.44</v>
      </c>
      <c r="H31">
        <f t="shared" si="1"/>
        <v>11.36</v>
      </c>
      <c r="I31">
        <f t="shared" si="2"/>
        <v>22.72</v>
      </c>
      <c r="J31" s="50">
        <f t="shared" si="3"/>
        <v>20552400.420644</v>
      </c>
      <c r="K31" t="str">
        <f t="shared" si="10"/>
        <v>MIS</v>
      </c>
      <c r="L31" s="46">
        <f t="shared" si="5"/>
        <v>7923.41010756065</v>
      </c>
      <c r="M31" s="45">
        <f t="shared" si="6"/>
        <v>0.369027785775825</v>
      </c>
      <c r="N31" s="51">
        <f t="shared" si="9"/>
        <v>15.7205836740501</v>
      </c>
      <c r="P31" t="s">
        <v>90</v>
      </c>
    </row>
    <row r="32" spans="1:20">
      <c r="A32" t="s">
        <v>43</v>
      </c>
      <c r="B32" t="s">
        <v>109</v>
      </c>
      <c r="C32">
        <v>46</v>
      </c>
      <c r="D32">
        <v>93</v>
      </c>
      <c r="E32" t="s">
        <v>110</v>
      </c>
      <c r="F32">
        <v>3</v>
      </c>
      <c r="G32">
        <f t="shared" si="0"/>
        <v>42.78</v>
      </c>
      <c r="H32">
        <f t="shared" si="1"/>
        <v>14.26</v>
      </c>
      <c r="I32">
        <f t="shared" si="2"/>
        <v>21.39</v>
      </c>
      <c r="J32" s="50">
        <f t="shared" si="3"/>
        <v>19349288.9523581</v>
      </c>
      <c r="K32" t="str">
        <f t="shared" si="10"/>
        <v>MIS</v>
      </c>
      <c r="L32" s="46">
        <f t="shared" si="5"/>
        <v>7601.42961100785</v>
      </c>
      <c r="M32" s="45">
        <f t="shared" si="6"/>
        <v>0.365036412851179</v>
      </c>
      <c r="N32" s="51">
        <f t="shared" si="9"/>
        <v>12.5937562433657</v>
      </c>
      <c r="P32" t="s">
        <v>36</v>
      </c>
      <c r="Q32" t="s">
        <v>105</v>
      </c>
      <c r="R32" t="s">
        <v>49</v>
      </c>
      <c r="S32">
        <v>42.7</v>
      </c>
      <c r="T32" s="54" t="s">
        <v>111</v>
      </c>
    </row>
    <row r="33" spans="1:20">
      <c r="A33" t="s">
        <v>112</v>
      </c>
      <c r="B33" t="s">
        <v>113</v>
      </c>
      <c r="C33">
        <v>50</v>
      </c>
      <c r="D33">
        <v>85</v>
      </c>
      <c r="E33" t="s">
        <v>114</v>
      </c>
      <c r="F33">
        <v>7</v>
      </c>
      <c r="G33">
        <f t="shared" si="0"/>
        <v>42.5</v>
      </c>
      <c r="H33">
        <f t="shared" si="1"/>
        <v>6.07142857142857</v>
      </c>
      <c r="I33">
        <f t="shared" si="2"/>
        <v>21.25</v>
      </c>
      <c r="J33" s="50">
        <f t="shared" si="3"/>
        <v>19222645.6399069</v>
      </c>
      <c r="K33" t="str">
        <f t="shared" si="10"/>
        <v>MIS</v>
      </c>
      <c r="L33" s="46">
        <f t="shared" si="5"/>
        <v>7567.17840520434</v>
      </c>
      <c r="M33" s="45">
        <f t="shared" si="6"/>
        <v>0.3645993498486</v>
      </c>
      <c r="N33" s="51">
        <f t="shared" si="9"/>
        <v>13.6724756193225</v>
      </c>
      <c r="P33" t="s">
        <v>64</v>
      </c>
      <c r="S33" t="s">
        <v>115</v>
      </c>
      <c r="T33" t="s">
        <v>54</v>
      </c>
    </row>
    <row r="34" spans="1:20">
      <c r="A34" t="s">
        <v>67</v>
      </c>
      <c r="B34" s="15" t="s">
        <v>116</v>
      </c>
      <c r="C34">
        <v>80</v>
      </c>
      <c r="D34">
        <v>50</v>
      </c>
      <c r="E34" t="s">
        <v>117</v>
      </c>
      <c r="F34">
        <v>4</v>
      </c>
      <c r="G34">
        <f t="shared" si="0"/>
        <v>40</v>
      </c>
      <c r="H34">
        <f t="shared" si="1"/>
        <v>10</v>
      </c>
      <c r="I34">
        <f t="shared" si="2"/>
        <v>20</v>
      </c>
      <c r="J34" s="50">
        <f t="shared" si="3"/>
        <v>18091901.7787359</v>
      </c>
      <c r="K34" t="str">
        <f t="shared" si="10"/>
        <v>MIS</v>
      </c>
      <c r="L34" s="46">
        <f t="shared" si="5"/>
        <v>7258.16356612602</v>
      </c>
      <c r="M34" s="45">
        <f t="shared" si="6"/>
        <v>0.360541671566965</v>
      </c>
      <c r="N34" s="51">
        <f t="shared" si="9"/>
        <v>21.6325002940179</v>
      </c>
      <c r="P34" t="s">
        <v>36</v>
      </c>
      <c r="Q34" t="s">
        <v>97</v>
      </c>
      <c r="R34" t="s">
        <v>72</v>
      </c>
      <c r="S34">
        <v>98</v>
      </c>
      <c r="T34" s="54" t="s">
        <v>118</v>
      </c>
    </row>
    <row r="35" spans="1:20">
      <c r="A35" t="s">
        <v>119</v>
      </c>
      <c r="B35" t="s">
        <v>120</v>
      </c>
      <c r="C35">
        <v>54.2</v>
      </c>
      <c r="D35">
        <v>72</v>
      </c>
      <c r="E35" t="s">
        <v>63</v>
      </c>
      <c r="F35">
        <v>5</v>
      </c>
      <c r="G35">
        <f t="shared" si="0"/>
        <v>39.024</v>
      </c>
      <c r="H35">
        <f t="shared" si="1"/>
        <v>7.8048</v>
      </c>
      <c r="I35">
        <f t="shared" si="2"/>
        <v>19.512</v>
      </c>
      <c r="J35" s="50">
        <f t="shared" si="3"/>
        <v>17650459.3753348</v>
      </c>
      <c r="K35" t="str">
        <f t="shared" si="10"/>
        <v>MIS</v>
      </c>
      <c r="L35" s="46">
        <f t="shared" si="5"/>
        <v>7135.8979679441</v>
      </c>
      <c r="M35" s="45">
        <f t="shared" si="6"/>
        <v>0.358877033359565</v>
      </c>
      <c r="N35" s="51">
        <f t="shared" si="9"/>
        <v>14.5883514060663</v>
      </c>
      <c r="P35" t="s">
        <v>64</v>
      </c>
      <c r="T35" t="s">
        <v>54</v>
      </c>
    </row>
    <row r="36" spans="1:20">
      <c r="A36" t="s">
        <v>67</v>
      </c>
      <c r="B36" t="s">
        <v>121</v>
      </c>
      <c r="C36">
        <v>35</v>
      </c>
      <c r="D36">
        <v>95</v>
      </c>
      <c r="E36" t="s">
        <v>122</v>
      </c>
      <c r="F36">
        <v>5</v>
      </c>
      <c r="G36">
        <f t="shared" si="0"/>
        <v>33.25</v>
      </c>
      <c r="H36">
        <f t="shared" si="1"/>
        <v>6.65</v>
      </c>
      <c r="I36">
        <f t="shared" si="2"/>
        <v>16.625</v>
      </c>
      <c r="J36" s="50">
        <f t="shared" si="3"/>
        <v>15038893.3535742</v>
      </c>
      <c r="K36" t="str">
        <f t="shared" si="10"/>
        <v>MIS</v>
      </c>
      <c r="L36" s="46">
        <f t="shared" si="5"/>
        <v>6391.80828245504</v>
      </c>
      <c r="M36" s="45">
        <f t="shared" si="6"/>
        <v>0.347945187692128</v>
      </c>
      <c r="N36" s="51">
        <f t="shared" si="9"/>
        <v>9.13356117691836</v>
      </c>
      <c r="P36" t="s">
        <v>36</v>
      </c>
      <c r="Q36" t="s">
        <v>123</v>
      </c>
      <c r="R36" t="s">
        <v>72</v>
      </c>
      <c r="S36">
        <v>55</v>
      </c>
      <c r="T36" s="54" t="s">
        <v>124</v>
      </c>
    </row>
    <row r="37" spans="1:20">
      <c r="A37" t="s">
        <v>55</v>
      </c>
      <c r="B37" t="s">
        <v>125</v>
      </c>
      <c r="C37">
        <v>31.1</v>
      </c>
      <c r="D37">
        <v>100</v>
      </c>
      <c r="E37" t="s">
        <v>126</v>
      </c>
      <c r="F37">
        <v>5</v>
      </c>
      <c r="G37">
        <f t="shared" si="0"/>
        <v>31.1</v>
      </c>
      <c r="H37">
        <f t="shared" si="1"/>
        <v>6.22</v>
      </c>
      <c r="I37">
        <f t="shared" si="2"/>
        <v>15.55</v>
      </c>
      <c r="J37" s="50">
        <f t="shared" si="3"/>
        <v>14066453.6329672</v>
      </c>
      <c r="K37" t="str">
        <f t="shared" si="10"/>
        <v>MIS</v>
      </c>
      <c r="L37" s="46">
        <f t="shared" si="5"/>
        <v>6104.61174731992</v>
      </c>
      <c r="M37" s="45">
        <f t="shared" si="6"/>
        <v>0.343317433520089</v>
      </c>
      <c r="N37" s="51">
        <f t="shared" si="9"/>
        <v>8.00787913685608</v>
      </c>
      <c r="P37" t="s">
        <v>64</v>
      </c>
      <c r="T37" t="s">
        <v>54</v>
      </c>
    </row>
    <row r="38" spans="1:20">
      <c r="A38" t="s">
        <v>74</v>
      </c>
      <c r="B38" t="s">
        <v>127</v>
      </c>
      <c r="C38">
        <v>36.6</v>
      </c>
      <c r="D38">
        <v>82</v>
      </c>
      <c r="E38" t="s">
        <v>63</v>
      </c>
      <c r="F38">
        <v>5</v>
      </c>
      <c r="G38">
        <f t="shared" si="0"/>
        <v>30.012</v>
      </c>
      <c r="H38">
        <f t="shared" si="1"/>
        <v>6.0024</v>
      </c>
      <c r="I38">
        <f t="shared" si="2"/>
        <v>15.006</v>
      </c>
      <c r="J38" s="50">
        <f t="shared" si="3"/>
        <v>13574353.9045856</v>
      </c>
      <c r="K38" t="s">
        <v>77</v>
      </c>
      <c r="L38" s="46">
        <f t="shared" si="5"/>
        <v>5956.92292496868</v>
      </c>
      <c r="M38" s="45">
        <f t="shared" si="6"/>
        <v>0.340838926550365</v>
      </c>
      <c r="N38" s="51">
        <f t="shared" si="9"/>
        <v>9.35602853380752</v>
      </c>
      <c r="P38" t="s">
        <v>36</v>
      </c>
      <c r="Q38" t="s">
        <v>105</v>
      </c>
      <c r="R38" t="s">
        <v>49</v>
      </c>
      <c r="S38">
        <v>29</v>
      </c>
      <c r="T38" s="54" t="s">
        <v>128</v>
      </c>
    </row>
    <row r="39" spans="1:16">
      <c r="A39" t="s">
        <v>119</v>
      </c>
      <c r="B39" t="s">
        <v>129</v>
      </c>
      <c r="C39">
        <v>60</v>
      </c>
      <c r="D39">
        <v>50</v>
      </c>
      <c r="E39" t="s">
        <v>82</v>
      </c>
      <c r="F39">
        <v>4</v>
      </c>
      <c r="G39">
        <f t="shared" si="0"/>
        <v>30</v>
      </c>
      <c r="H39">
        <f t="shared" si="1"/>
        <v>7.5</v>
      </c>
      <c r="I39">
        <f t="shared" si="2"/>
        <v>15</v>
      </c>
      <c r="J39" s="50">
        <f t="shared" si="3"/>
        <v>13568926.3340519</v>
      </c>
      <c r="K39" t="str">
        <f t="shared" ref="K39:K44" si="11">IF(A39="DEF","Military","MIS")</f>
        <v>MIS</v>
      </c>
      <c r="L39" s="46">
        <f t="shared" si="5"/>
        <v>5955.2847741612</v>
      </c>
      <c r="M39" s="45">
        <f t="shared" si="6"/>
        <v>0.340811043084543</v>
      </c>
      <c r="N39" s="51">
        <f t="shared" si="9"/>
        <v>15.3364969388044</v>
      </c>
      <c r="P39" t="s">
        <v>90</v>
      </c>
    </row>
    <row r="40" spans="1:16">
      <c r="A40" t="s">
        <v>43</v>
      </c>
      <c r="B40" t="s">
        <v>130</v>
      </c>
      <c r="C40">
        <v>33.5</v>
      </c>
      <c r="D40">
        <v>87</v>
      </c>
      <c r="E40" t="s">
        <v>131</v>
      </c>
      <c r="F40">
        <v>1</v>
      </c>
      <c r="G40">
        <f t="shared" si="0"/>
        <v>29.145</v>
      </c>
      <c r="H40">
        <f t="shared" si="1"/>
        <v>29.145</v>
      </c>
      <c r="I40">
        <f t="shared" si="2"/>
        <v>14.5725</v>
      </c>
      <c r="J40" s="50">
        <f t="shared" si="3"/>
        <v>13182211.9335315</v>
      </c>
      <c r="K40" t="str">
        <f t="shared" si="11"/>
        <v>MIS</v>
      </c>
      <c r="L40" s="46">
        <f t="shared" si="5"/>
        <v>5838.03324696785</v>
      </c>
      <c r="M40" s="45">
        <f t="shared" si="6"/>
        <v>0.338792330211343</v>
      </c>
      <c r="N40" s="51">
        <f t="shared" si="9"/>
        <v>8.51215729656</v>
      </c>
      <c r="P40" t="s">
        <v>90</v>
      </c>
    </row>
    <row r="41" spans="1:20">
      <c r="A41" t="s">
        <v>39</v>
      </c>
      <c r="B41" t="s">
        <v>132</v>
      </c>
      <c r="C41">
        <v>30.5</v>
      </c>
      <c r="D41">
        <v>95</v>
      </c>
      <c r="E41" t="s">
        <v>133</v>
      </c>
      <c r="F41">
        <v>2.5</v>
      </c>
      <c r="G41">
        <f t="shared" si="0"/>
        <v>28.975</v>
      </c>
      <c r="H41">
        <f t="shared" si="1"/>
        <v>11.59</v>
      </c>
      <c r="I41">
        <f t="shared" si="2"/>
        <v>14.4875</v>
      </c>
      <c r="J41" s="50">
        <f t="shared" si="3"/>
        <v>13105321.3509718</v>
      </c>
      <c r="K41" t="str">
        <f t="shared" si="11"/>
        <v>MIS</v>
      </c>
      <c r="L41" s="46">
        <f t="shared" si="5"/>
        <v>5814.59278039854</v>
      </c>
      <c r="M41" s="45">
        <f t="shared" si="6"/>
        <v>0.338383252731164</v>
      </c>
      <c r="N41" s="51">
        <f t="shared" si="9"/>
        <v>7.74051690622537</v>
      </c>
      <c r="P41" t="s">
        <v>64</v>
      </c>
      <c r="T41" t="s">
        <v>54</v>
      </c>
    </row>
    <row r="42" spans="1:20">
      <c r="A42" t="s">
        <v>55</v>
      </c>
      <c r="B42" t="s">
        <v>134</v>
      </c>
      <c r="C42">
        <v>92</v>
      </c>
      <c r="D42">
        <v>30</v>
      </c>
      <c r="E42" t="s">
        <v>117</v>
      </c>
      <c r="F42">
        <v>4</v>
      </c>
      <c r="G42">
        <f t="shared" ref="G42:G73" si="12">C42*D42/100</f>
        <v>27.6</v>
      </c>
      <c r="H42">
        <f t="shared" ref="H42:H73" si="13">G42/F42</f>
        <v>6.9</v>
      </c>
      <c r="I42">
        <f t="shared" ref="I42:I73" si="14">G42*$C$6/100</f>
        <v>13.8</v>
      </c>
      <c r="J42" s="50">
        <f t="shared" ref="J42:J73" si="15">I42/1.178206706*1.0658*1000000</f>
        <v>12483412.2273278</v>
      </c>
      <c r="K42" t="str">
        <f t="shared" si="11"/>
        <v>MIS</v>
      </c>
      <c r="L42" s="46">
        <f t="shared" ref="L42:L73" si="16">IF(K42="Outsourced",0.04744419*POWER(J42,0.7139649),IF(K42="Military",0.05190356*POWER(J42,0.680408),0.07406812*POWER(J42,0.6877308)))</f>
        <v>5623.39133365404</v>
      </c>
      <c r="M42" s="45">
        <f t="shared" ref="M42:M73" si="17">IF(K42="Military",0.34066666*(1-EXP(-0.01631659*POWER(L42,0.47035413))),0.480552258*(1-EXP(-0.007488657*POWER(L42,0.587382996))))</f>
        <v>0.334975619701193</v>
      </c>
      <c r="N42" s="51">
        <f t="shared" si="9"/>
        <v>23.1133177593823</v>
      </c>
      <c r="P42" t="s">
        <v>64</v>
      </c>
      <c r="Q42" s="56">
        <v>41679</v>
      </c>
      <c r="R42" t="s">
        <v>72</v>
      </c>
      <c r="S42">
        <v>121.8</v>
      </c>
      <c r="T42" s="54" t="s">
        <v>135</v>
      </c>
    </row>
    <row r="43" spans="1:20">
      <c r="A43" t="s">
        <v>67</v>
      </c>
      <c r="B43" t="s">
        <v>136</v>
      </c>
      <c r="C43">
        <v>45</v>
      </c>
      <c r="D43">
        <v>60</v>
      </c>
      <c r="E43" t="s">
        <v>137</v>
      </c>
      <c r="F43">
        <v>7</v>
      </c>
      <c r="G43">
        <f t="shared" si="12"/>
        <v>27</v>
      </c>
      <c r="H43">
        <f t="shared" si="13"/>
        <v>3.85714285714286</v>
      </c>
      <c r="I43">
        <f t="shared" si="14"/>
        <v>13.5</v>
      </c>
      <c r="J43" s="50">
        <f t="shared" si="15"/>
        <v>12212033.7006468</v>
      </c>
      <c r="K43" t="str">
        <f t="shared" si="11"/>
        <v>MIS</v>
      </c>
      <c r="L43" s="46">
        <f t="shared" si="16"/>
        <v>5539.02975508372</v>
      </c>
      <c r="M43" s="45">
        <f t="shared" si="17"/>
        <v>0.333430740506014</v>
      </c>
      <c r="N43" s="51">
        <f t="shared" si="9"/>
        <v>11.253287492078</v>
      </c>
      <c r="P43" t="s">
        <v>138</v>
      </c>
      <c r="T43" t="s">
        <v>54</v>
      </c>
    </row>
    <row r="44" spans="1:20">
      <c r="A44" t="s">
        <v>43</v>
      </c>
      <c r="B44" t="s">
        <v>139</v>
      </c>
      <c r="C44">
        <v>47.6</v>
      </c>
      <c r="D44">
        <v>55</v>
      </c>
      <c r="E44" t="s">
        <v>140</v>
      </c>
      <c r="F44">
        <v>7</v>
      </c>
      <c r="G44">
        <f t="shared" si="12"/>
        <v>26.18</v>
      </c>
      <c r="H44">
        <f t="shared" si="13"/>
        <v>3.74</v>
      </c>
      <c r="I44">
        <f t="shared" si="14"/>
        <v>13.09</v>
      </c>
      <c r="J44" s="50">
        <f t="shared" si="15"/>
        <v>11841149.7141827</v>
      </c>
      <c r="K44" t="str">
        <f t="shared" si="11"/>
        <v>MIS</v>
      </c>
      <c r="L44" s="46">
        <f t="shared" si="16"/>
        <v>5422.78202650037</v>
      </c>
      <c r="M44" s="45">
        <f t="shared" si="17"/>
        <v>0.331258724808902</v>
      </c>
      <c r="N44" s="51">
        <f t="shared" si="9"/>
        <v>11.8259364756778</v>
      </c>
      <c r="P44" t="s">
        <v>36</v>
      </c>
      <c r="Q44" t="s">
        <v>37</v>
      </c>
      <c r="R44" t="s">
        <v>141</v>
      </c>
      <c r="S44">
        <v>65.28</v>
      </c>
      <c r="T44" s="54" t="s">
        <v>142</v>
      </c>
    </row>
    <row r="45" spans="1:16">
      <c r="A45" t="s">
        <v>74</v>
      </c>
      <c r="B45" t="s">
        <v>143</v>
      </c>
      <c r="C45">
        <v>57.7</v>
      </c>
      <c r="D45">
        <v>45</v>
      </c>
      <c r="E45" t="s">
        <v>140</v>
      </c>
      <c r="F45">
        <v>7</v>
      </c>
      <c r="G45">
        <f t="shared" si="12"/>
        <v>25.965</v>
      </c>
      <c r="H45">
        <f t="shared" si="13"/>
        <v>3.70928571428571</v>
      </c>
      <c r="I45">
        <f t="shared" si="14"/>
        <v>12.9825</v>
      </c>
      <c r="J45" s="50">
        <f t="shared" si="15"/>
        <v>11743905.742122</v>
      </c>
      <c r="K45" t="s">
        <v>77</v>
      </c>
      <c r="L45" s="46">
        <f t="shared" si="16"/>
        <v>5392.1152619387</v>
      </c>
      <c r="M45" s="45">
        <f t="shared" si="17"/>
        <v>0.330677180314875</v>
      </c>
      <c r="N45" s="51">
        <f t="shared" si="9"/>
        <v>14.3100549781262</v>
      </c>
      <c r="P45" t="s">
        <v>90</v>
      </c>
    </row>
    <row r="46" spans="1:20">
      <c r="A46" t="s">
        <v>39</v>
      </c>
      <c r="B46" t="s">
        <v>144</v>
      </c>
      <c r="C46">
        <v>25</v>
      </c>
      <c r="D46">
        <v>100</v>
      </c>
      <c r="E46" t="s">
        <v>145</v>
      </c>
      <c r="F46">
        <v>2.5</v>
      </c>
      <c r="G46">
        <f t="shared" si="12"/>
        <v>25</v>
      </c>
      <c r="H46">
        <f t="shared" si="13"/>
        <v>10</v>
      </c>
      <c r="I46">
        <f t="shared" si="14"/>
        <v>12.5</v>
      </c>
      <c r="J46" s="50">
        <f t="shared" si="15"/>
        <v>11307438.61171</v>
      </c>
      <c r="K46" t="str">
        <f t="shared" ref="K46:K74" si="18">IF(A46="DEF","Military","MIS")</f>
        <v>MIS</v>
      </c>
      <c r="L46" s="46">
        <f t="shared" si="16"/>
        <v>5253.48083224023</v>
      </c>
      <c r="M46" s="45">
        <f t="shared" si="17"/>
        <v>0.328002257055568</v>
      </c>
      <c r="N46" s="51">
        <f t="shared" si="9"/>
        <v>6.15004231979191</v>
      </c>
      <c r="P46" t="s">
        <v>64</v>
      </c>
      <c r="T46" t="s">
        <v>54</v>
      </c>
    </row>
    <row r="47" spans="1:20">
      <c r="A47" t="s">
        <v>43</v>
      </c>
      <c r="B47" t="s">
        <v>146</v>
      </c>
      <c r="C47">
        <v>45</v>
      </c>
      <c r="D47">
        <v>55</v>
      </c>
      <c r="E47" t="s">
        <v>147</v>
      </c>
      <c r="F47">
        <v>2</v>
      </c>
      <c r="G47">
        <f t="shared" si="12"/>
        <v>24.75</v>
      </c>
      <c r="H47">
        <f t="shared" si="13"/>
        <v>12.375</v>
      </c>
      <c r="I47">
        <f t="shared" si="14"/>
        <v>12.375</v>
      </c>
      <c r="J47" s="50">
        <f t="shared" si="15"/>
        <v>11194364.2255929</v>
      </c>
      <c r="K47" t="str">
        <f t="shared" si="18"/>
        <v>MIS</v>
      </c>
      <c r="L47" s="46">
        <f t="shared" si="16"/>
        <v>5217.29436716591</v>
      </c>
      <c r="M47" s="45">
        <f t="shared" si="17"/>
        <v>0.327291383115075</v>
      </c>
      <c r="N47" s="51">
        <f t="shared" si="9"/>
        <v>11.0460841801338</v>
      </c>
      <c r="P47" t="s">
        <v>36</v>
      </c>
      <c r="Q47" s="56">
        <v>41030</v>
      </c>
      <c r="R47" t="s">
        <v>72</v>
      </c>
      <c r="S47">
        <v>53.26</v>
      </c>
      <c r="T47" s="54" t="s">
        <v>148</v>
      </c>
    </row>
    <row r="48" spans="1:20">
      <c r="A48" t="s">
        <v>33</v>
      </c>
      <c r="B48" t="s">
        <v>149</v>
      </c>
      <c r="C48">
        <v>35.3</v>
      </c>
      <c r="D48">
        <v>70</v>
      </c>
      <c r="E48" t="s">
        <v>85</v>
      </c>
      <c r="F48">
        <v>3</v>
      </c>
      <c r="G48">
        <f t="shared" si="12"/>
        <v>24.71</v>
      </c>
      <c r="H48">
        <f t="shared" si="13"/>
        <v>8.23666666666667</v>
      </c>
      <c r="I48">
        <f t="shared" si="14"/>
        <v>12.355</v>
      </c>
      <c r="J48" s="50">
        <f t="shared" si="15"/>
        <v>11176272.3238141</v>
      </c>
      <c r="K48" t="str">
        <f t="shared" si="18"/>
        <v>MIS</v>
      </c>
      <c r="L48" s="46">
        <f t="shared" si="16"/>
        <v>5211.49396298846</v>
      </c>
      <c r="M48" s="45">
        <f t="shared" si="17"/>
        <v>0.327176938474182</v>
      </c>
      <c r="N48" s="51">
        <f t="shared" si="9"/>
        <v>8.66200944610398</v>
      </c>
      <c r="P48" t="s">
        <v>36</v>
      </c>
      <c r="T48" s="55" t="s">
        <v>150</v>
      </c>
    </row>
    <row r="49" spans="1:16">
      <c r="A49" t="s">
        <v>33</v>
      </c>
      <c r="B49" t="s">
        <v>151</v>
      </c>
      <c r="C49">
        <v>23</v>
      </c>
      <c r="D49">
        <v>100</v>
      </c>
      <c r="E49" t="s">
        <v>152</v>
      </c>
      <c r="F49">
        <v>2</v>
      </c>
      <c r="G49">
        <f t="shared" si="12"/>
        <v>23</v>
      </c>
      <c r="H49">
        <f t="shared" si="13"/>
        <v>11.5</v>
      </c>
      <c r="I49">
        <f t="shared" si="14"/>
        <v>11.5</v>
      </c>
      <c r="J49" s="50">
        <f t="shared" si="15"/>
        <v>10402843.5227732</v>
      </c>
      <c r="K49" t="str">
        <f t="shared" si="18"/>
        <v>MIS</v>
      </c>
      <c r="L49" s="46">
        <f t="shared" si="16"/>
        <v>4960.69956414442</v>
      </c>
      <c r="M49" s="45">
        <f t="shared" si="17"/>
        <v>0.32209291692753</v>
      </c>
      <c r="N49" s="51">
        <f t="shared" si="9"/>
        <v>5.5561028169999</v>
      </c>
      <c r="P49" t="s">
        <v>90</v>
      </c>
    </row>
    <row r="50" spans="1:20">
      <c r="A50" t="s">
        <v>67</v>
      </c>
      <c r="B50" t="s">
        <v>153</v>
      </c>
      <c r="C50">
        <v>90</v>
      </c>
      <c r="D50">
        <v>25</v>
      </c>
      <c r="E50" t="s">
        <v>154</v>
      </c>
      <c r="F50">
        <v>10</v>
      </c>
      <c r="G50">
        <f t="shared" si="12"/>
        <v>22.5</v>
      </c>
      <c r="H50">
        <f t="shared" si="13"/>
        <v>2.25</v>
      </c>
      <c r="I50">
        <f t="shared" si="14"/>
        <v>11.25</v>
      </c>
      <c r="J50" s="50">
        <f t="shared" si="15"/>
        <v>10176694.750539</v>
      </c>
      <c r="K50" t="str">
        <f t="shared" si="18"/>
        <v>MIS</v>
      </c>
      <c r="L50" s="46">
        <f t="shared" si="16"/>
        <v>4886.27962407377</v>
      </c>
      <c r="M50" s="45">
        <f t="shared" si="17"/>
        <v>0.320531310876329</v>
      </c>
      <c r="N50" s="51">
        <f t="shared" si="9"/>
        <v>21.6358634841522</v>
      </c>
      <c r="P50" t="s">
        <v>36</v>
      </c>
      <c r="Q50" t="s">
        <v>155</v>
      </c>
      <c r="R50" t="s">
        <v>72</v>
      </c>
      <c r="S50">
        <v>99.4</v>
      </c>
      <c r="T50" s="54" t="s">
        <v>156</v>
      </c>
    </row>
    <row r="51" spans="1:20">
      <c r="A51" t="s">
        <v>119</v>
      </c>
      <c r="B51" t="s">
        <v>157</v>
      </c>
      <c r="C51">
        <v>28.9</v>
      </c>
      <c r="D51">
        <v>75</v>
      </c>
      <c r="E51" t="s">
        <v>158</v>
      </c>
      <c r="F51">
        <v>3.2</v>
      </c>
      <c r="G51">
        <f t="shared" si="12"/>
        <v>21.675</v>
      </c>
      <c r="H51">
        <f t="shared" si="13"/>
        <v>6.7734375</v>
      </c>
      <c r="I51">
        <f t="shared" si="14"/>
        <v>10.8375</v>
      </c>
      <c r="J51" s="50">
        <f t="shared" si="15"/>
        <v>9803549.27635253</v>
      </c>
      <c r="K51" t="str">
        <f t="shared" si="18"/>
        <v>MIS</v>
      </c>
      <c r="L51" s="46">
        <f t="shared" si="16"/>
        <v>4762.34634247182</v>
      </c>
      <c r="M51" s="45">
        <f t="shared" si="17"/>
        <v>0.31787407509228</v>
      </c>
      <c r="N51" s="51">
        <f t="shared" si="9"/>
        <v>6.88992057762516</v>
      </c>
      <c r="P51" t="s">
        <v>138</v>
      </c>
      <c r="T51" t="s">
        <v>54</v>
      </c>
    </row>
    <row r="52" spans="1:20">
      <c r="A52" t="s">
        <v>39</v>
      </c>
      <c r="B52" t="s">
        <v>159</v>
      </c>
      <c r="C52">
        <v>21.4</v>
      </c>
      <c r="D52">
        <v>100</v>
      </c>
      <c r="E52" t="s">
        <v>47</v>
      </c>
      <c r="F52">
        <v>3</v>
      </c>
      <c r="G52">
        <f t="shared" si="12"/>
        <v>21.4</v>
      </c>
      <c r="H52">
        <f t="shared" si="13"/>
        <v>7.13333333333333</v>
      </c>
      <c r="I52">
        <f t="shared" si="14"/>
        <v>10.7</v>
      </c>
      <c r="J52" s="50">
        <f t="shared" si="15"/>
        <v>9679167.45162372</v>
      </c>
      <c r="K52" t="str">
        <f t="shared" si="18"/>
        <v>MIS</v>
      </c>
      <c r="L52" s="46">
        <f t="shared" si="16"/>
        <v>4720.70954652128</v>
      </c>
      <c r="M52" s="45">
        <f t="shared" si="17"/>
        <v>0.316965005837434</v>
      </c>
      <c r="N52" s="51">
        <f t="shared" si="9"/>
        <v>5.08728834369081</v>
      </c>
      <c r="P52" t="s">
        <v>64</v>
      </c>
      <c r="T52" t="s">
        <v>54</v>
      </c>
    </row>
    <row r="53" spans="1:20">
      <c r="A53" t="s">
        <v>39</v>
      </c>
      <c r="B53" t="s">
        <v>160</v>
      </c>
      <c r="C53">
        <v>26.2</v>
      </c>
      <c r="D53">
        <v>80</v>
      </c>
      <c r="E53" t="s">
        <v>82</v>
      </c>
      <c r="F53">
        <v>4</v>
      </c>
      <c r="G53">
        <f t="shared" si="12"/>
        <v>20.96</v>
      </c>
      <c r="H53">
        <f t="shared" si="13"/>
        <v>5.24</v>
      </c>
      <c r="I53">
        <f t="shared" si="14"/>
        <v>10.48</v>
      </c>
      <c r="J53" s="50">
        <f t="shared" si="15"/>
        <v>9480156.53205763</v>
      </c>
      <c r="K53" t="str">
        <f t="shared" si="18"/>
        <v>MIS</v>
      </c>
      <c r="L53" s="46">
        <f t="shared" si="16"/>
        <v>4653.74124789927</v>
      </c>
      <c r="M53" s="45">
        <f t="shared" si="17"/>
        <v>0.31548514489861</v>
      </c>
      <c r="N53" s="51">
        <f t="shared" si="9"/>
        <v>6.19928309725768</v>
      </c>
      <c r="P53" t="s">
        <v>64</v>
      </c>
      <c r="T53" t="s">
        <v>54</v>
      </c>
    </row>
    <row r="54" spans="1:20">
      <c r="A54" t="s">
        <v>112</v>
      </c>
      <c r="B54" t="s">
        <v>161</v>
      </c>
      <c r="C54">
        <v>24.3</v>
      </c>
      <c r="D54">
        <v>85</v>
      </c>
      <c r="E54" t="s">
        <v>47</v>
      </c>
      <c r="F54">
        <v>3</v>
      </c>
      <c r="G54">
        <f t="shared" si="12"/>
        <v>20.655</v>
      </c>
      <c r="H54">
        <f t="shared" si="13"/>
        <v>6.885</v>
      </c>
      <c r="I54">
        <f t="shared" si="14"/>
        <v>10.3275</v>
      </c>
      <c r="J54" s="50">
        <f t="shared" si="15"/>
        <v>9342205.78099477</v>
      </c>
      <c r="K54" t="str">
        <f t="shared" si="18"/>
        <v>MIS</v>
      </c>
      <c r="L54" s="46">
        <f t="shared" si="16"/>
        <v>4607.06228653466</v>
      </c>
      <c r="M54" s="45">
        <f t="shared" si="17"/>
        <v>0.314440467502932</v>
      </c>
      <c r="N54" s="51">
        <f t="shared" ref="N54:N82" si="19">C54*M54*$C$7/100</f>
        <v>5.73067752024093</v>
      </c>
      <c r="P54" t="s">
        <v>138</v>
      </c>
      <c r="T54" t="s">
        <v>54</v>
      </c>
    </row>
    <row r="55" spans="1:20">
      <c r="A55" t="s">
        <v>67</v>
      </c>
      <c r="B55" t="s">
        <v>162</v>
      </c>
      <c r="C55">
        <v>20</v>
      </c>
      <c r="D55">
        <v>100</v>
      </c>
      <c r="E55" t="s">
        <v>82</v>
      </c>
      <c r="F55">
        <v>4</v>
      </c>
      <c r="G55">
        <f t="shared" si="12"/>
        <v>20</v>
      </c>
      <c r="H55">
        <f t="shared" si="13"/>
        <v>5</v>
      </c>
      <c r="I55">
        <f t="shared" si="14"/>
        <v>10</v>
      </c>
      <c r="J55" s="50">
        <f t="shared" si="15"/>
        <v>9045950.88936797</v>
      </c>
      <c r="K55" t="str">
        <f t="shared" si="18"/>
        <v>MIS</v>
      </c>
      <c r="L55" s="46">
        <f t="shared" si="16"/>
        <v>4506.08262953414</v>
      </c>
      <c r="M55" s="45">
        <f t="shared" si="17"/>
        <v>0.312142545800194</v>
      </c>
      <c r="N55" s="51">
        <f t="shared" si="19"/>
        <v>4.68213818700292</v>
      </c>
      <c r="P55" t="s">
        <v>138</v>
      </c>
      <c r="T55" t="s">
        <v>54</v>
      </c>
    </row>
    <row r="56" ht="16" customHeight="1" spans="1:20">
      <c r="A56" t="s">
        <v>91</v>
      </c>
      <c r="B56" s="15" t="s">
        <v>163</v>
      </c>
      <c r="C56">
        <v>25</v>
      </c>
      <c r="D56">
        <v>80</v>
      </c>
      <c r="E56" t="s">
        <v>63</v>
      </c>
      <c r="F56">
        <v>5</v>
      </c>
      <c r="G56">
        <f t="shared" si="12"/>
        <v>20</v>
      </c>
      <c r="H56">
        <f t="shared" si="13"/>
        <v>4</v>
      </c>
      <c r="I56">
        <f t="shared" si="14"/>
        <v>10</v>
      </c>
      <c r="J56" s="50">
        <f t="shared" si="15"/>
        <v>9045950.88936797</v>
      </c>
      <c r="K56" t="str">
        <f t="shared" si="18"/>
        <v>MIS</v>
      </c>
      <c r="L56" s="46">
        <f t="shared" si="16"/>
        <v>4506.08262953414</v>
      </c>
      <c r="M56" s="45">
        <f t="shared" si="17"/>
        <v>0.312142545800194</v>
      </c>
      <c r="N56" s="51">
        <f t="shared" si="19"/>
        <v>5.85267273375365</v>
      </c>
      <c r="P56" t="s">
        <v>138</v>
      </c>
      <c r="Q56" s="56">
        <v>39822</v>
      </c>
      <c r="S56">
        <v>4.72</v>
      </c>
      <c r="T56" s="54" t="s">
        <v>164</v>
      </c>
    </row>
    <row r="57" spans="1:16">
      <c r="A57" t="s">
        <v>165</v>
      </c>
      <c r="B57" t="s">
        <v>166</v>
      </c>
      <c r="C57">
        <v>20.9</v>
      </c>
      <c r="D57">
        <v>90</v>
      </c>
      <c r="E57" t="s">
        <v>122</v>
      </c>
      <c r="F57">
        <v>5</v>
      </c>
      <c r="G57">
        <f t="shared" si="12"/>
        <v>18.81</v>
      </c>
      <c r="H57">
        <f t="shared" si="13"/>
        <v>3.762</v>
      </c>
      <c r="I57">
        <f t="shared" si="14"/>
        <v>9.405</v>
      </c>
      <c r="J57" s="50">
        <f t="shared" si="15"/>
        <v>8507716.81145057</v>
      </c>
      <c r="K57" t="str">
        <f t="shared" si="18"/>
        <v>MIS</v>
      </c>
      <c r="L57" s="46">
        <f t="shared" si="16"/>
        <v>4319.93465338262</v>
      </c>
      <c r="M57" s="45">
        <f t="shared" si="17"/>
        <v>0.307764555920782</v>
      </c>
      <c r="N57" s="51">
        <f t="shared" si="19"/>
        <v>4.82420941405825</v>
      </c>
      <c r="P57" t="s">
        <v>90</v>
      </c>
    </row>
    <row r="58" spans="1:16">
      <c r="A58" t="s">
        <v>67</v>
      </c>
      <c r="B58" t="s">
        <v>167</v>
      </c>
      <c r="C58">
        <v>18</v>
      </c>
      <c r="D58">
        <v>100</v>
      </c>
      <c r="E58" t="s">
        <v>168</v>
      </c>
      <c r="F58">
        <v>2</v>
      </c>
      <c r="G58">
        <f t="shared" si="12"/>
        <v>18</v>
      </c>
      <c r="H58">
        <f t="shared" si="13"/>
        <v>9</v>
      </c>
      <c r="I58">
        <f t="shared" si="14"/>
        <v>9</v>
      </c>
      <c r="J58" s="50">
        <f t="shared" si="15"/>
        <v>8141355.80043117</v>
      </c>
      <c r="K58" t="str">
        <f t="shared" si="18"/>
        <v>MIS</v>
      </c>
      <c r="L58" s="46">
        <f t="shared" si="16"/>
        <v>4191.12212268153</v>
      </c>
      <c r="M58" s="45">
        <f t="shared" si="17"/>
        <v>0.304621454409508</v>
      </c>
      <c r="N58" s="51">
        <f t="shared" si="19"/>
        <v>4.11238963452836</v>
      </c>
      <c r="P58" t="s">
        <v>90</v>
      </c>
    </row>
    <row r="59" spans="1:20">
      <c r="A59" t="s">
        <v>33</v>
      </c>
      <c r="B59" s="15" t="s">
        <v>169</v>
      </c>
      <c r="C59">
        <v>17.5</v>
      </c>
      <c r="D59">
        <v>100</v>
      </c>
      <c r="E59" t="s">
        <v>47</v>
      </c>
      <c r="F59">
        <v>3</v>
      </c>
      <c r="G59">
        <f t="shared" si="12"/>
        <v>17.5</v>
      </c>
      <c r="H59">
        <f t="shared" si="13"/>
        <v>5.83333333333333</v>
      </c>
      <c r="I59">
        <f t="shared" si="14"/>
        <v>8.75</v>
      </c>
      <c r="J59" s="50">
        <f t="shared" si="15"/>
        <v>7915207.02819697</v>
      </c>
      <c r="K59" t="str">
        <f t="shared" si="18"/>
        <v>MIS</v>
      </c>
      <c r="L59" s="46">
        <f t="shared" si="16"/>
        <v>4110.70492350321</v>
      </c>
      <c r="M59" s="45">
        <f t="shared" si="17"/>
        <v>0.302609658821876</v>
      </c>
      <c r="N59" s="51">
        <f t="shared" si="19"/>
        <v>3.97175177203712</v>
      </c>
      <c r="P59" t="s">
        <v>36</v>
      </c>
      <c r="Q59" t="s">
        <v>97</v>
      </c>
      <c r="R59" t="s">
        <v>72</v>
      </c>
      <c r="S59">
        <v>22.8</v>
      </c>
      <c r="T59" s="54" t="s">
        <v>170</v>
      </c>
    </row>
    <row r="60" spans="1:20">
      <c r="A60" t="s">
        <v>171</v>
      </c>
      <c r="B60" s="15" t="s">
        <v>172</v>
      </c>
      <c r="C60">
        <v>42</v>
      </c>
      <c r="D60">
        <v>37.5</v>
      </c>
      <c r="E60" t="s">
        <v>173</v>
      </c>
      <c r="F60">
        <f>POWER(G60,0.2911873)*1.537648</f>
        <v>3.43154596647314</v>
      </c>
      <c r="G60">
        <f t="shared" si="12"/>
        <v>15.75</v>
      </c>
      <c r="H60">
        <f t="shared" si="13"/>
        <v>4.58976803862764</v>
      </c>
      <c r="I60">
        <f t="shared" si="14"/>
        <v>7.875</v>
      </c>
      <c r="J60" s="50">
        <f t="shared" si="15"/>
        <v>7123686.32537727</v>
      </c>
      <c r="K60" t="str">
        <f t="shared" si="18"/>
        <v>MIS</v>
      </c>
      <c r="L60" s="46">
        <f t="shared" si="16"/>
        <v>3823.3800312027</v>
      </c>
      <c r="M60" s="45">
        <f t="shared" si="17"/>
        <v>0.295088834967819</v>
      </c>
      <c r="N60" s="51">
        <f t="shared" si="19"/>
        <v>9.29529830148629</v>
      </c>
      <c r="P60" t="s">
        <v>36</v>
      </c>
      <c r="T60" s="55" t="s">
        <v>174</v>
      </c>
    </row>
    <row r="61" spans="1:20">
      <c r="A61" t="s">
        <v>33</v>
      </c>
      <c r="B61" t="s">
        <v>175</v>
      </c>
      <c r="C61">
        <v>15</v>
      </c>
      <c r="D61">
        <v>100</v>
      </c>
      <c r="E61" t="s">
        <v>176</v>
      </c>
      <c r="F61">
        <v>2.6</v>
      </c>
      <c r="G61">
        <f t="shared" si="12"/>
        <v>15</v>
      </c>
      <c r="H61">
        <f t="shared" si="13"/>
        <v>5.76923076923077</v>
      </c>
      <c r="I61">
        <f t="shared" si="14"/>
        <v>7.5</v>
      </c>
      <c r="J61" s="50">
        <f t="shared" si="15"/>
        <v>6784463.16702597</v>
      </c>
      <c r="K61" t="str">
        <f t="shared" si="18"/>
        <v>MIS</v>
      </c>
      <c r="L61" s="46">
        <f t="shared" si="16"/>
        <v>3697.2169379065</v>
      </c>
      <c r="M61" s="45">
        <f t="shared" si="17"/>
        <v>0.291610500432871</v>
      </c>
      <c r="N61" s="51">
        <f t="shared" si="19"/>
        <v>3.28061812986979</v>
      </c>
      <c r="P61" t="s">
        <v>64</v>
      </c>
      <c r="T61" t="s">
        <v>54</v>
      </c>
    </row>
    <row r="62" spans="1:20">
      <c r="A62" t="s">
        <v>33</v>
      </c>
      <c r="B62" t="s">
        <v>177</v>
      </c>
      <c r="C62">
        <v>30</v>
      </c>
      <c r="D62">
        <v>50</v>
      </c>
      <c r="E62" t="s">
        <v>178</v>
      </c>
      <c r="F62">
        <f>POWER(G62,0.2911873)*1.537648</f>
        <v>3.38313841067565</v>
      </c>
      <c r="G62">
        <f t="shared" si="12"/>
        <v>15</v>
      </c>
      <c r="H62">
        <f t="shared" si="13"/>
        <v>4.43375297701885</v>
      </c>
      <c r="I62">
        <f t="shared" si="14"/>
        <v>7.5</v>
      </c>
      <c r="J62" s="50">
        <f t="shared" si="15"/>
        <v>6784463.16702597</v>
      </c>
      <c r="K62" t="str">
        <f t="shared" si="18"/>
        <v>MIS</v>
      </c>
      <c r="L62" s="46">
        <f t="shared" si="16"/>
        <v>3697.2169379065</v>
      </c>
      <c r="M62" s="45">
        <f t="shared" si="17"/>
        <v>0.291610500432871</v>
      </c>
      <c r="N62" s="51">
        <f t="shared" si="19"/>
        <v>6.56123625973959</v>
      </c>
      <c r="P62" t="s">
        <v>64</v>
      </c>
      <c r="T62" t="s">
        <v>54</v>
      </c>
    </row>
    <row r="63" spans="1:20">
      <c r="A63" t="s">
        <v>67</v>
      </c>
      <c r="B63" t="s">
        <v>179</v>
      </c>
      <c r="C63">
        <v>16</v>
      </c>
      <c r="D63">
        <v>90</v>
      </c>
      <c r="E63" t="s">
        <v>82</v>
      </c>
      <c r="F63">
        <v>4</v>
      </c>
      <c r="G63">
        <f t="shared" si="12"/>
        <v>14.4</v>
      </c>
      <c r="H63">
        <f t="shared" si="13"/>
        <v>3.6</v>
      </c>
      <c r="I63">
        <f t="shared" si="14"/>
        <v>7.2</v>
      </c>
      <c r="J63" s="50">
        <f t="shared" si="15"/>
        <v>6513084.64034493</v>
      </c>
      <c r="K63" t="str">
        <f t="shared" si="18"/>
        <v>MIS</v>
      </c>
      <c r="L63" s="46">
        <f t="shared" si="16"/>
        <v>3594.86275830157</v>
      </c>
      <c r="M63" s="45">
        <f t="shared" si="17"/>
        <v>0.288703677262665</v>
      </c>
      <c r="N63" s="51">
        <f t="shared" si="19"/>
        <v>3.46444412715198</v>
      </c>
      <c r="P63" t="s">
        <v>36</v>
      </c>
      <c r="T63" s="55" t="s">
        <v>180</v>
      </c>
    </row>
    <row r="64" spans="1:20">
      <c r="A64" t="s">
        <v>39</v>
      </c>
      <c r="B64" t="s">
        <v>181</v>
      </c>
      <c r="C64">
        <v>20.5</v>
      </c>
      <c r="D64">
        <v>70</v>
      </c>
      <c r="E64" t="s">
        <v>57</v>
      </c>
      <c r="F64">
        <v>4</v>
      </c>
      <c r="G64">
        <f t="shared" si="12"/>
        <v>14.35</v>
      </c>
      <c r="H64">
        <f t="shared" si="13"/>
        <v>3.5875</v>
      </c>
      <c r="I64">
        <f t="shared" si="14"/>
        <v>7.175</v>
      </c>
      <c r="J64" s="50">
        <f t="shared" si="15"/>
        <v>6490469.76312151</v>
      </c>
      <c r="K64" t="str">
        <f t="shared" si="18"/>
        <v>MIS</v>
      </c>
      <c r="L64" s="46">
        <f t="shared" si="16"/>
        <v>3586.27372983889</v>
      </c>
      <c r="M64" s="45">
        <f t="shared" si="17"/>
        <v>0.288456170417483</v>
      </c>
      <c r="N64" s="51">
        <f t="shared" si="19"/>
        <v>4.4350136201688</v>
      </c>
      <c r="P64" t="s">
        <v>64</v>
      </c>
      <c r="T64" t="s">
        <v>54</v>
      </c>
    </row>
    <row r="65" spans="1:20">
      <c r="A65" t="s">
        <v>39</v>
      </c>
      <c r="B65" t="s">
        <v>182</v>
      </c>
      <c r="C65">
        <v>18.7</v>
      </c>
      <c r="D65">
        <v>70</v>
      </c>
      <c r="E65" t="s">
        <v>183</v>
      </c>
      <c r="F65">
        <v>5</v>
      </c>
      <c r="G65">
        <f t="shared" si="12"/>
        <v>13.09</v>
      </c>
      <c r="H65">
        <f t="shared" si="13"/>
        <v>2.618</v>
      </c>
      <c r="I65">
        <f t="shared" si="14"/>
        <v>6.545</v>
      </c>
      <c r="J65" s="50">
        <f t="shared" si="15"/>
        <v>5920574.85709133</v>
      </c>
      <c r="K65" t="str">
        <f t="shared" si="18"/>
        <v>MIS</v>
      </c>
      <c r="L65" s="46">
        <f t="shared" si="16"/>
        <v>3366.62348137265</v>
      </c>
      <c r="M65" s="45">
        <f t="shared" si="17"/>
        <v>0.281928452259567</v>
      </c>
      <c r="N65" s="51">
        <f t="shared" si="19"/>
        <v>3.95404654294043</v>
      </c>
      <c r="P65" t="s">
        <v>64</v>
      </c>
      <c r="T65" t="s">
        <v>54</v>
      </c>
    </row>
    <row r="66" spans="1:20">
      <c r="A66" t="s">
        <v>55</v>
      </c>
      <c r="B66" t="s">
        <v>184</v>
      </c>
      <c r="C66">
        <v>20.6</v>
      </c>
      <c r="D66">
        <v>60</v>
      </c>
      <c r="E66" t="s">
        <v>185</v>
      </c>
      <c r="F66">
        <v>2.5</v>
      </c>
      <c r="G66">
        <f t="shared" si="12"/>
        <v>12.36</v>
      </c>
      <c r="H66">
        <f t="shared" si="13"/>
        <v>4.944</v>
      </c>
      <c r="I66">
        <f t="shared" si="14"/>
        <v>6.18</v>
      </c>
      <c r="J66" s="50">
        <f t="shared" si="15"/>
        <v>5590397.6496294</v>
      </c>
      <c r="K66" t="str">
        <f t="shared" si="18"/>
        <v>MIS</v>
      </c>
      <c r="L66" s="46">
        <f t="shared" si="16"/>
        <v>3236.35003806704</v>
      </c>
      <c r="M66" s="45">
        <f t="shared" si="17"/>
        <v>0.277866329014058</v>
      </c>
      <c r="N66" s="51">
        <f t="shared" si="19"/>
        <v>4.29303478326719</v>
      </c>
      <c r="P66" t="s">
        <v>64</v>
      </c>
      <c r="T66" t="s">
        <v>54</v>
      </c>
    </row>
    <row r="67" spans="1:20">
      <c r="A67" t="s">
        <v>39</v>
      </c>
      <c r="B67" t="s">
        <v>186</v>
      </c>
      <c r="C67">
        <v>20</v>
      </c>
      <c r="D67">
        <v>60</v>
      </c>
      <c r="E67" t="s">
        <v>187</v>
      </c>
      <c r="F67">
        <f>POWER(G67,0.2911873)*1.537648</f>
        <v>3.17030321372489</v>
      </c>
      <c r="G67">
        <f t="shared" si="12"/>
        <v>12</v>
      </c>
      <c r="H67">
        <f t="shared" si="13"/>
        <v>3.78512690775114</v>
      </c>
      <c r="I67">
        <f t="shared" si="14"/>
        <v>6</v>
      </c>
      <c r="J67" s="50">
        <f t="shared" si="15"/>
        <v>5427570.53362078</v>
      </c>
      <c r="K67" t="str">
        <f t="shared" si="18"/>
        <v>MIS</v>
      </c>
      <c r="L67" s="46">
        <f t="shared" si="16"/>
        <v>3171.22409951111</v>
      </c>
      <c r="M67" s="45">
        <f t="shared" si="17"/>
        <v>0.275778774660493</v>
      </c>
      <c r="N67" s="51">
        <f t="shared" si="19"/>
        <v>4.1366816199074</v>
      </c>
      <c r="P67" t="s">
        <v>64</v>
      </c>
      <c r="T67" t="s">
        <v>54</v>
      </c>
    </row>
    <row r="68" spans="1:16">
      <c r="A68" t="s">
        <v>87</v>
      </c>
      <c r="B68" t="s">
        <v>188</v>
      </c>
      <c r="C68">
        <v>25</v>
      </c>
      <c r="D68">
        <v>45</v>
      </c>
      <c r="E68" t="s">
        <v>189</v>
      </c>
      <c r="F68">
        <v>2</v>
      </c>
      <c r="G68">
        <f t="shared" si="12"/>
        <v>11.25</v>
      </c>
      <c r="H68">
        <f t="shared" si="13"/>
        <v>5.625</v>
      </c>
      <c r="I68">
        <f t="shared" si="14"/>
        <v>5.625</v>
      </c>
      <c r="J68" s="50">
        <f t="shared" si="15"/>
        <v>5088347.37526948</v>
      </c>
      <c r="K68" t="str">
        <f t="shared" si="18"/>
        <v>MIS</v>
      </c>
      <c r="L68" s="46">
        <f t="shared" si="16"/>
        <v>3033.54692085526</v>
      </c>
      <c r="M68" s="45">
        <f t="shared" si="17"/>
        <v>0.271233875392057</v>
      </c>
      <c r="N68" s="51">
        <f t="shared" si="19"/>
        <v>5.08563516360107</v>
      </c>
      <c r="P68" t="s">
        <v>90</v>
      </c>
    </row>
    <row r="69" spans="1:20">
      <c r="A69" t="s">
        <v>55</v>
      </c>
      <c r="B69" t="s">
        <v>190</v>
      </c>
      <c r="C69">
        <v>11</v>
      </c>
      <c r="D69">
        <v>100</v>
      </c>
      <c r="E69" t="s">
        <v>85</v>
      </c>
      <c r="F69">
        <v>3</v>
      </c>
      <c r="G69">
        <f t="shared" si="12"/>
        <v>11</v>
      </c>
      <c r="H69">
        <f t="shared" si="13"/>
        <v>3.66666666666667</v>
      </c>
      <c r="I69">
        <f t="shared" si="14"/>
        <v>5.5</v>
      </c>
      <c r="J69" s="50">
        <f t="shared" si="15"/>
        <v>4975272.98915238</v>
      </c>
      <c r="K69" t="str">
        <f t="shared" si="18"/>
        <v>MIS</v>
      </c>
      <c r="L69" s="46">
        <f t="shared" si="16"/>
        <v>2987.02306414131</v>
      </c>
      <c r="M69" s="45">
        <f t="shared" si="17"/>
        <v>0.269655863871035</v>
      </c>
      <c r="N69" s="51">
        <f t="shared" si="19"/>
        <v>2.22466087693604</v>
      </c>
      <c r="P69" t="s">
        <v>36</v>
      </c>
      <c r="Q69" t="s">
        <v>155</v>
      </c>
      <c r="R69" t="s">
        <v>72</v>
      </c>
      <c r="S69">
        <v>111</v>
      </c>
      <c r="T69" s="54" t="s">
        <v>191</v>
      </c>
    </row>
    <row r="70" spans="1:20">
      <c r="A70" t="s">
        <v>33</v>
      </c>
      <c r="B70" t="s">
        <v>192</v>
      </c>
      <c r="C70">
        <v>12</v>
      </c>
      <c r="D70">
        <v>85</v>
      </c>
      <c r="E70" t="s">
        <v>193</v>
      </c>
      <c r="F70">
        <v>1.5</v>
      </c>
      <c r="G70">
        <f t="shared" si="12"/>
        <v>10.2</v>
      </c>
      <c r="H70">
        <f t="shared" si="13"/>
        <v>6.8</v>
      </c>
      <c r="I70">
        <f t="shared" si="14"/>
        <v>5.1</v>
      </c>
      <c r="J70" s="50">
        <f t="shared" si="15"/>
        <v>4613434.95357766</v>
      </c>
      <c r="K70" t="str">
        <f t="shared" si="18"/>
        <v>MIS</v>
      </c>
      <c r="L70" s="46">
        <f t="shared" si="16"/>
        <v>2835.86893033722</v>
      </c>
      <c r="M70" s="45">
        <f t="shared" si="17"/>
        <v>0.264372915641712</v>
      </c>
      <c r="N70" s="51">
        <f t="shared" si="19"/>
        <v>2.37935624077541</v>
      </c>
      <c r="P70" t="s">
        <v>64</v>
      </c>
      <c r="T70" t="s">
        <v>54</v>
      </c>
    </row>
    <row r="71" spans="1:20">
      <c r="A71" t="s">
        <v>165</v>
      </c>
      <c r="B71" t="s">
        <v>194</v>
      </c>
      <c r="C71">
        <v>20</v>
      </c>
      <c r="D71">
        <v>50</v>
      </c>
      <c r="E71" t="s">
        <v>195</v>
      </c>
      <c r="F71">
        <v>8</v>
      </c>
      <c r="G71">
        <f t="shared" si="12"/>
        <v>10</v>
      </c>
      <c r="H71">
        <f t="shared" si="13"/>
        <v>1.25</v>
      </c>
      <c r="I71">
        <f t="shared" si="14"/>
        <v>5</v>
      </c>
      <c r="J71" s="50">
        <f t="shared" si="15"/>
        <v>4522975.44468398</v>
      </c>
      <c r="K71" t="str">
        <f t="shared" si="18"/>
        <v>MIS</v>
      </c>
      <c r="L71" s="46">
        <f t="shared" si="16"/>
        <v>2797.50938087868</v>
      </c>
      <c r="M71" s="45">
        <f t="shared" si="17"/>
        <v>0.262992605013023</v>
      </c>
      <c r="N71" s="51">
        <f t="shared" si="19"/>
        <v>3.94488907519535</v>
      </c>
      <c r="P71" t="s">
        <v>64</v>
      </c>
      <c r="T71" t="s">
        <v>54</v>
      </c>
    </row>
    <row r="72" spans="1:20">
      <c r="A72" t="s">
        <v>33</v>
      </c>
      <c r="B72" t="s">
        <v>196</v>
      </c>
      <c r="C72">
        <v>19</v>
      </c>
      <c r="D72">
        <v>51</v>
      </c>
      <c r="E72" t="s">
        <v>197</v>
      </c>
      <c r="F72">
        <v>2.5</v>
      </c>
      <c r="G72">
        <f t="shared" si="12"/>
        <v>9.69</v>
      </c>
      <c r="H72">
        <f t="shared" si="13"/>
        <v>3.876</v>
      </c>
      <c r="I72">
        <f t="shared" si="14"/>
        <v>4.845</v>
      </c>
      <c r="J72" s="50">
        <f t="shared" si="15"/>
        <v>4382763.20589878</v>
      </c>
      <c r="K72" t="str">
        <f t="shared" si="18"/>
        <v>MIS</v>
      </c>
      <c r="L72" s="46">
        <f t="shared" si="16"/>
        <v>2737.574783204</v>
      </c>
      <c r="M72" s="45">
        <f t="shared" si="17"/>
        <v>0.260802340354978</v>
      </c>
      <c r="N72" s="51">
        <f t="shared" si="19"/>
        <v>3.71643335005844</v>
      </c>
      <c r="P72" t="s">
        <v>64</v>
      </c>
      <c r="T72" t="s">
        <v>54</v>
      </c>
    </row>
    <row r="73" spans="1:16">
      <c r="A73" t="s">
        <v>74</v>
      </c>
      <c r="B73" t="s">
        <v>198</v>
      </c>
      <c r="C73">
        <v>200</v>
      </c>
      <c r="D73">
        <v>100</v>
      </c>
      <c r="E73" t="s">
        <v>199</v>
      </c>
      <c r="F73">
        <v>14</v>
      </c>
      <c r="G73">
        <f t="shared" si="12"/>
        <v>200</v>
      </c>
      <c r="H73">
        <f t="shared" si="13"/>
        <v>14.2857142857143</v>
      </c>
      <c r="I73">
        <f t="shared" si="14"/>
        <v>100</v>
      </c>
      <c r="J73" s="50">
        <f t="shared" si="15"/>
        <v>90459508.8936796</v>
      </c>
      <c r="K73" t="str">
        <f t="shared" si="18"/>
        <v>Military</v>
      </c>
      <c r="L73" s="46">
        <f t="shared" si="16"/>
        <v>13453.4061455841</v>
      </c>
      <c r="M73" s="45">
        <f t="shared" si="17"/>
        <v>0.258955909319135</v>
      </c>
      <c r="N73" s="51">
        <f t="shared" si="19"/>
        <v>38.8433863978703</v>
      </c>
      <c r="P73" t="s">
        <v>90</v>
      </c>
    </row>
    <row r="74" spans="1:20">
      <c r="A74" t="s">
        <v>74</v>
      </c>
      <c r="B74" t="s">
        <v>200</v>
      </c>
      <c r="C74">
        <v>158.5</v>
      </c>
      <c r="D74">
        <v>100</v>
      </c>
      <c r="E74" t="s">
        <v>201</v>
      </c>
      <c r="F74">
        <v>8</v>
      </c>
      <c r="G74">
        <f t="shared" ref="G74:G82" si="20">C74*D74/100</f>
        <v>158.5</v>
      </c>
      <c r="H74">
        <f t="shared" ref="H74:H82" si="21">G74/F74</f>
        <v>19.8125</v>
      </c>
      <c r="I74">
        <f t="shared" ref="I74:I82" si="22">G74*$C$6/100</f>
        <v>79.25</v>
      </c>
      <c r="J74" s="50">
        <f t="shared" ref="J74:J82" si="23">I74/1.178206706*1.0658*1000000</f>
        <v>71689160.7982411</v>
      </c>
      <c r="K74" t="str">
        <f t="shared" si="18"/>
        <v>Military</v>
      </c>
      <c r="L74" s="46">
        <f t="shared" ref="L74:L82" si="24">IF(K74="Outsourced",0.04744419*POWER(J74,0.7139649),IF(K74="Military",0.05190356*POWER(J74,0.680408),0.07406812*POWER(J74,0.6877308)))</f>
        <v>11484.4592008758</v>
      </c>
      <c r="M74" s="45">
        <f t="shared" ref="M74:M82" si="25">IF(K74="Military",0.34066666*(1-EXP(-0.01631659*POWER(L74,0.47035413))),0.480552258*(1-EXP(-0.007488657*POWER(L74,0.587382996))))</f>
        <v>0.250144987042743</v>
      </c>
      <c r="N74" s="51">
        <f t="shared" si="19"/>
        <v>29.7359853347061</v>
      </c>
      <c r="P74" t="s">
        <v>36</v>
      </c>
      <c r="T74" s="54" t="s">
        <v>202</v>
      </c>
    </row>
    <row r="75" spans="1:20">
      <c r="A75" t="s">
        <v>74</v>
      </c>
      <c r="B75" t="s">
        <v>203</v>
      </c>
      <c r="C75">
        <v>36.1</v>
      </c>
      <c r="D75">
        <v>22</v>
      </c>
      <c r="E75" t="s">
        <v>183</v>
      </c>
      <c r="F75">
        <v>5</v>
      </c>
      <c r="G75">
        <f t="shared" si="20"/>
        <v>7.942</v>
      </c>
      <c r="H75">
        <f t="shared" si="21"/>
        <v>1.5884</v>
      </c>
      <c r="I75">
        <f t="shared" si="22"/>
        <v>3.971</v>
      </c>
      <c r="J75" s="50">
        <f t="shared" si="23"/>
        <v>3592147.09816802</v>
      </c>
      <c r="K75" t="s">
        <v>77</v>
      </c>
      <c r="L75" s="46">
        <f t="shared" si="24"/>
        <v>2387.53776460534</v>
      </c>
      <c r="M75" s="45">
        <f t="shared" si="25"/>
        <v>0.247116420705893</v>
      </c>
      <c r="N75" s="51">
        <f t="shared" si="19"/>
        <v>6.69067709061204</v>
      </c>
      <c r="P75" t="s">
        <v>36</v>
      </c>
      <c r="Q75" t="s">
        <v>155</v>
      </c>
      <c r="R75" t="s">
        <v>72</v>
      </c>
      <c r="S75">
        <v>37.9</v>
      </c>
      <c r="T75" s="54" t="s">
        <v>204</v>
      </c>
    </row>
    <row r="76" spans="1:20">
      <c r="A76" t="s">
        <v>74</v>
      </c>
      <c r="B76" t="s">
        <v>205</v>
      </c>
      <c r="C76">
        <v>120.6</v>
      </c>
      <c r="D76">
        <v>80</v>
      </c>
      <c r="E76" t="s">
        <v>206</v>
      </c>
      <c r="F76">
        <v>11</v>
      </c>
      <c r="G76">
        <f t="shared" si="20"/>
        <v>96.48</v>
      </c>
      <c r="H76">
        <f t="shared" si="21"/>
        <v>8.77090909090909</v>
      </c>
      <c r="I76">
        <f t="shared" si="22"/>
        <v>48.24</v>
      </c>
      <c r="J76" s="50">
        <f t="shared" si="23"/>
        <v>43637667.0903111</v>
      </c>
      <c r="K76" t="str">
        <f t="shared" ref="K76:K82" si="26">IF(A76="DEF","Military","MIS")</f>
        <v>Military</v>
      </c>
      <c r="L76" s="46">
        <f t="shared" si="24"/>
        <v>8192.56785128053</v>
      </c>
      <c r="M76" s="45">
        <f t="shared" si="25"/>
        <v>0.230689930473484</v>
      </c>
      <c r="N76" s="51">
        <f t="shared" si="19"/>
        <v>20.8659042113267</v>
      </c>
      <c r="P76" t="s">
        <v>36</v>
      </c>
      <c r="T76" s="55" t="s">
        <v>207</v>
      </c>
    </row>
    <row r="77" spans="1:20">
      <c r="A77" t="s">
        <v>74</v>
      </c>
      <c r="B77" t="s">
        <v>208</v>
      </c>
      <c r="C77">
        <v>97.1</v>
      </c>
      <c r="D77">
        <v>95</v>
      </c>
      <c r="E77" t="s">
        <v>209</v>
      </c>
      <c r="F77">
        <v>6</v>
      </c>
      <c r="G77">
        <f t="shared" si="20"/>
        <v>92.245</v>
      </c>
      <c r="H77">
        <f t="shared" si="21"/>
        <v>15.3741666666667</v>
      </c>
      <c r="I77">
        <f t="shared" si="22"/>
        <v>46.1225</v>
      </c>
      <c r="J77" s="50">
        <f t="shared" si="23"/>
        <v>41722186.9894874</v>
      </c>
      <c r="K77" t="str">
        <f t="shared" si="26"/>
        <v>Military</v>
      </c>
      <c r="L77" s="46">
        <f t="shared" si="24"/>
        <v>7946.13356318447</v>
      </c>
      <c r="M77" s="45">
        <f t="shared" si="25"/>
        <v>0.228902062346074</v>
      </c>
      <c r="N77" s="51">
        <f t="shared" si="19"/>
        <v>16.6697926903529</v>
      </c>
      <c r="P77" t="s">
        <v>36</v>
      </c>
      <c r="T77" s="55" t="s">
        <v>210</v>
      </c>
    </row>
    <row r="78" spans="1:16">
      <c r="A78" t="s">
        <v>211</v>
      </c>
      <c r="B78" t="s">
        <v>212</v>
      </c>
      <c r="C78">
        <v>14.27</v>
      </c>
      <c r="D78">
        <v>35</v>
      </c>
      <c r="E78" t="s">
        <v>85</v>
      </c>
      <c r="F78">
        <v>3</v>
      </c>
      <c r="G78">
        <f t="shared" si="20"/>
        <v>4.9945</v>
      </c>
      <c r="H78">
        <f t="shared" si="21"/>
        <v>1.66483333333333</v>
      </c>
      <c r="I78">
        <f t="shared" si="22"/>
        <v>2.49725</v>
      </c>
      <c r="J78" s="50">
        <f t="shared" si="23"/>
        <v>2259000.08584742</v>
      </c>
      <c r="K78" t="str">
        <f t="shared" si="26"/>
        <v>MIS</v>
      </c>
      <c r="L78" s="46">
        <f t="shared" si="24"/>
        <v>1735.46246660803</v>
      </c>
      <c r="M78" s="45">
        <f t="shared" si="25"/>
        <v>0.216466355498684</v>
      </c>
      <c r="N78" s="51">
        <f t="shared" si="19"/>
        <v>2.31673116972466</v>
      </c>
      <c r="P78" t="s">
        <v>90</v>
      </c>
    </row>
    <row r="79" spans="1:20">
      <c r="A79" t="s">
        <v>74</v>
      </c>
      <c r="B79" t="s">
        <v>213</v>
      </c>
      <c r="C79">
        <v>132</v>
      </c>
      <c r="D79">
        <v>50</v>
      </c>
      <c r="E79" t="s">
        <v>214</v>
      </c>
      <c r="F79">
        <v>11</v>
      </c>
      <c r="G79">
        <f t="shared" si="20"/>
        <v>66</v>
      </c>
      <c r="H79">
        <f t="shared" si="21"/>
        <v>6</v>
      </c>
      <c r="I79">
        <f t="shared" si="22"/>
        <v>33</v>
      </c>
      <c r="J79" s="50">
        <f t="shared" si="23"/>
        <v>29851637.9349143</v>
      </c>
      <c r="K79" t="str">
        <f t="shared" si="26"/>
        <v>Military</v>
      </c>
      <c r="L79" s="46">
        <f t="shared" si="24"/>
        <v>6327.39994117953</v>
      </c>
      <c r="M79" s="45">
        <f t="shared" si="25"/>
        <v>0.215501520633709</v>
      </c>
      <c r="N79" s="51">
        <f t="shared" si="19"/>
        <v>21.3346505427372</v>
      </c>
      <c r="P79" t="s">
        <v>36</v>
      </c>
      <c r="T79" s="55" t="s">
        <v>215</v>
      </c>
    </row>
    <row r="80" spans="1:20">
      <c r="A80" t="s">
        <v>74</v>
      </c>
      <c r="B80" t="s">
        <v>216</v>
      </c>
      <c r="C80">
        <v>75</v>
      </c>
      <c r="D80">
        <v>70</v>
      </c>
      <c r="E80" t="s">
        <v>217</v>
      </c>
      <c r="F80">
        <v>6</v>
      </c>
      <c r="G80">
        <f t="shared" si="20"/>
        <v>52.5</v>
      </c>
      <c r="H80">
        <f t="shared" si="21"/>
        <v>8.75</v>
      </c>
      <c r="I80">
        <f t="shared" si="22"/>
        <v>26.25</v>
      </c>
      <c r="J80" s="50">
        <f t="shared" si="23"/>
        <v>23745621.0845909</v>
      </c>
      <c r="K80" t="str">
        <f t="shared" si="26"/>
        <v>Military</v>
      </c>
      <c r="L80" s="46">
        <f t="shared" si="24"/>
        <v>5415.05893133224</v>
      </c>
      <c r="M80" s="45">
        <f t="shared" si="25"/>
        <v>0.206330815824135</v>
      </c>
      <c r="N80" s="51">
        <f t="shared" si="19"/>
        <v>11.6061083901076</v>
      </c>
      <c r="P80" t="s">
        <v>53</v>
      </c>
      <c r="T80" s="54" t="s">
        <v>218</v>
      </c>
    </row>
    <row r="81" spans="1:16">
      <c r="A81" t="s">
        <v>74</v>
      </c>
      <c r="B81" t="s">
        <v>219</v>
      </c>
      <c r="C81">
        <v>37.5</v>
      </c>
      <c r="D81">
        <v>70</v>
      </c>
      <c r="E81" t="s">
        <v>220</v>
      </c>
      <c r="F81">
        <v>4</v>
      </c>
      <c r="G81">
        <f t="shared" si="20"/>
        <v>26.25</v>
      </c>
      <c r="H81">
        <f t="shared" si="21"/>
        <v>6.5625</v>
      </c>
      <c r="I81">
        <f t="shared" si="22"/>
        <v>13.125</v>
      </c>
      <c r="J81" s="50">
        <f t="shared" si="23"/>
        <v>11872810.5422955</v>
      </c>
      <c r="K81" t="str">
        <f t="shared" si="26"/>
        <v>Military</v>
      </c>
      <c r="L81" s="46">
        <f t="shared" si="24"/>
        <v>3378.93603211559</v>
      </c>
      <c r="M81" s="45">
        <f t="shared" si="25"/>
        <v>0.179009696697861</v>
      </c>
      <c r="N81" s="51">
        <f t="shared" si="19"/>
        <v>5.03464771962734</v>
      </c>
      <c r="P81" t="s">
        <v>90</v>
      </c>
    </row>
    <row r="82" spans="1:20">
      <c r="A82" t="s">
        <v>74</v>
      </c>
      <c r="B82" t="s">
        <v>221</v>
      </c>
      <c r="C82">
        <v>20.9</v>
      </c>
      <c r="D82">
        <v>100</v>
      </c>
      <c r="E82" t="s">
        <v>222</v>
      </c>
      <c r="F82">
        <v>4</v>
      </c>
      <c r="G82">
        <f t="shared" si="20"/>
        <v>20.9</v>
      </c>
      <c r="H82">
        <f t="shared" si="21"/>
        <v>5.225</v>
      </c>
      <c r="I82">
        <f t="shared" si="22"/>
        <v>10.45</v>
      </c>
      <c r="J82" s="50">
        <f t="shared" si="23"/>
        <v>9453018.67938952</v>
      </c>
      <c r="K82" t="str">
        <f t="shared" si="26"/>
        <v>Military</v>
      </c>
      <c r="L82" s="46">
        <f t="shared" si="24"/>
        <v>2893.55092604406</v>
      </c>
      <c r="M82" s="45">
        <f t="shared" si="25"/>
        <v>0.170306788848167</v>
      </c>
      <c r="N82" s="51">
        <f t="shared" si="19"/>
        <v>2.66955891519502</v>
      </c>
      <c r="P82" t="s">
        <v>138</v>
      </c>
      <c r="T82" t="s">
        <v>54</v>
      </c>
    </row>
    <row r="83" spans="3:14">
      <c r="C83">
        <f>SUM(C10:C82)</f>
        <v>5841.17</v>
      </c>
      <c r="G83" s="51">
        <f>SUM(G10:G82)</f>
        <v>4175.0275</v>
      </c>
      <c r="H83">
        <f>SUM(H10:H82)</f>
        <v>839.246556402792</v>
      </c>
      <c r="J83" s="57"/>
      <c r="N83" s="51">
        <f>SUM(N10:N82)</f>
        <v>1637.83085097422</v>
      </c>
    </row>
    <row r="84" spans="1:1">
      <c r="A84" t="s">
        <v>223</v>
      </c>
    </row>
    <row r="85" spans="1:19">
      <c r="A85" t="s">
        <v>224</v>
      </c>
      <c r="P85" s="58" t="s">
        <v>225</v>
      </c>
      <c r="Q85" s="59"/>
      <c r="R85" s="59">
        <v>18</v>
      </c>
      <c r="S85" s="59"/>
    </row>
    <row r="86" spans="16:19">
      <c r="P86" s="58" t="s">
        <v>226</v>
      </c>
      <c r="Q86" s="59"/>
      <c r="R86" s="59">
        <v>1827.8</v>
      </c>
      <c r="S86" s="59"/>
    </row>
    <row r="87" spans="16:19">
      <c r="P87" s="58" t="s">
        <v>227</v>
      </c>
      <c r="Q87" s="59"/>
      <c r="R87" s="59">
        <v>1615.64</v>
      </c>
      <c r="S87" s="59"/>
    </row>
    <row r="88" spans="16:19">
      <c r="P88" s="59"/>
      <c r="Q88" s="58" t="s">
        <v>36</v>
      </c>
      <c r="R88" s="59">
        <v>16</v>
      </c>
      <c r="S88" s="59"/>
    </row>
    <row r="89" spans="16:19">
      <c r="P89" s="59"/>
      <c r="Q89" s="58" t="s">
        <v>64</v>
      </c>
      <c r="R89" s="59">
        <v>1</v>
      </c>
      <c r="S89" s="59"/>
    </row>
    <row r="90" spans="16:19">
      <c r="P90" s="59"/>
      <c r="Q90" s="58" t="s">
        <v>228</v>
      </c>
      <c r="R90" s="59">
        <v>1</v>
      </c>
      <c r="S90" s="59"/>
    </row>
  </sheetData>
  <mergeCells count="1">
    <mergeCell ref="O9:O12"/>
  </mergeCells>
  <hyperlinks>
    <hyperlink ref="T10" r:id="rId1" display="https://rijksictdashboard.nl/ict-activiteiten/e404d751-2023-4ddb-86c1-5469bc63317f"/>
    <hyperlink ref="T11" r:id="rId2" display="https://www.treinreiziger.nl/prorail-tot-2030-extra-veel-spoor-vernieuwen-ook-overdag-en-buiten-vakanties/"/>
    <hyperlink ref="T12" r:id="rId3" display="https://zoek.officielebekendmakingen.nl/kst-31066-992.html"/>
    <hyperlink ref="T13" r:id="rId4" display="https://rijksictdashboard.nl/ict-activiteiten/e65803ab-6288-40f4-95bb-7b4ba269a327"/>
    <hyperlink ref="T15" r:id="rId5" display="https://www.uwv.nl/nl/over-uwv"/>
    <hyperlink ref="T16" r:id="rId6" display="https://www.loonaangifteketen.nl/binaries/loonaangifteketen/documenten/convenanten/2020/03/09/convenant-samenwerking-loonaangifteketen-belastingdienst-uwv-cbs/Convenant+samenwerking+loonaangifteketen+Belastingdienst+UWV+CBS.pdf"/>
    <hyperlink ref="T19" r:id="rId7" display="https://www.strafrechtketen.nl/actueel/nieuws/2021/11/22/protocol-identiteitsvaststelling"/>
    <hyperlink ref="T21" r:id="rId8" display="https://zoek.officielebekendmakingen.nl/kst-36100-X-1.html"/>
    <hyperlink ref="T24" r:id="rId9" display="https://www.adviescollegeicttoetsing.nl/documenten/publicaties/2016/11/22/bit-advies-implementatie-vernieuwing-c2000"/>
    <hyperlink ref="T26" r:id="rId10" display="https://www.zorgcijfersdatabank.nl/toelichting/rapport-2022/medisch-specialistische-zorg"/>
    <hyperlink ref="T27" r:id="rId11" display="https://rijksictdashboard.nl/ict-activiteiten/7322396e-dea8-4d38-9273-c197eb79180c"/>
    <hyperlink ref="T28" r:id="rId12" display="https://rijksictdashboard.nl/ict-activiteiten/f50705ba-ec4e-4893-ac46-ff5ed127e922"/>
    <hyperlink ref="T29" r:id="rId13" display="https://rijksictdashboard.nl/ict-activiteiten/85e1279b-0c14-45f1-b144-3144cf75c544"/>
    <hyperlink ref="T32" r:id="rId14" display="https://rijksictdashboard.nl/ict-activiteiten/2de4f98a-9342-40b8-b5c4-c76d6269cc92"/>
    <hyperlink ref="T34" r:id="rId15" display="https://rijksictdashboard.nl/ict-activiteiten/7bec8d3e-7062-41fb-a2e3-bdc1edf7c518"/>
    <hyperlink ref="T36" r:id="rId16" display="https://rijksictdashboard.nl/ict-activiteiten/6a20e4b6-c125-48c5-b5c7-3fa1f7356ea6"/>
    <hyperlink ref="T38" r:id="rId17" display="https://rijksictdashboard.nl/ict-activiteiten/2e6d6fb1-50c7-47bc-8d56-d5e0fe5d95d1"/>
    <hyperlink ref="T42" r:id="rId18" display="https://rijksictdashboard.nl/ict-activiteiten/09b1ce9a-294f-48db-96b9-bf5cb79305cc"/>
    <hyperlink ref="T44" r:id="rId19" display="https://rijksictdashboard.nl/ict-activiteiten/ce9d570c-f711-4bb1-953b-01a62f444c03"/>
    <hyperlink ref="T47" r:id="rId20" display="https://rijksictdashboard.nl/ict-activiteiten/f5a8b162-363e-480a-8d0f-e21c0eedae65"/>
    <hyperlink ref="T48" r:id="rId21" display="https://www.parlementairemonitor.nl/9353000/1/j9vvij5epmj1ey0/vm7yr0tfxszn"/>
    <hyperlink ref="T50" r:id="rId22" display="https://rijksictdashboard.nl/ict-activiteiten/132afe97-ad4f-49fc-b789-f3010c85c893"/>
    <hyperlink ref="T56" r:id="rId23" display="https://rijksictdashboard.nl/ict-activiteiten/baa114a3-4559-407f-ba15-c4a30c800442"/>
    <hyperlink ref="T59" r:id="rId24" display="https://rijksictdashboard.nl/ict-activiteiten/1c2220dc-caea-45a3-8004-bfc173e3947f"/>
    <hyperlink ref="T60" r:id="rId25" display="https://www.geobasisregistraties.nl/basisregistraties/adressen-en-gebouwen/bag-wet-en-regelgeving"/>
    <hyperlink ref="T63" r:id="rId26" display="https://www.om.nl/onderwerpen/beleidsregels/aanwijzingen/executie/aanwijzing-om-strafbeschikking-2022a003#:~:text=Door%20de%20invoering%20van%20de,257a%20Sv)."/>
    <hyperlink ref="T69" r:id="rId27" display="https://rijksictdashboard.nl/ict-activiteiten/715d29e9-380c-430a-92b5-ef9848b7fde9"/>
    <hyperlink ref="T74" r:id="rId28" display="https://www.computable.nl/2020/11/04/weg-vrij-voor-nieuwe-it-infrastructuur-defensie/"/>
    <hyperlink ref="T75" r:id="rId29" display="https://rijksictdashboard.nl/ict-activiteiten/c109adb4-3a3a-4df4-ba0f-5849ccc8a43d"/>
    <hyperlink ref="T76" r:id="rId30" display="https://magazines.defensie.nl/defensiekrant/2016/22/dkdatalink"/>
    <hyperlink ref="T77" r:id="rId31" display="https://magazines.defensie.nl/materieelgezien/2022/02/nimcis-biedt-verbeterde-verbindingen-korps-mariniers"/>
    <hyperlink ref="T79" r:id="rId32" display="https://www.rijksfinancien.nl/memorie-van-toelichting/2023/OWB/K/onderdeel/1467257"/>
    <hyperlink ref="T80" r:id="rId33" display="https://rijksictdashboard.nl/ict-activiteiten/a5b6b639-f62f-4cc9-8bed-14a8161db378"/>
    <hyperlink ref="T20" r:id="rId34" display="https://rijksictdashboard.nl/ict-activiteiten/44407368-191b-4ae7-b727-7eab039661b7"/>
  </hyperlinks>
  <pageMargins left="0.75" right="0.75" top="1" bottom="1" header="0.5" footer="0.5"/>
  <pageSetup paperSize="9" scale="41" orientation="landscape" horizontalDpi="3600" verticalDpi="3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zoomScaleSheetLayoutView="60" workbookViewId="0">
      <selection activeCell="A2" sqref="A2"/>
    </sheetView>
  </sheetViews>
  <sheetFormatPr defaultColWidth="8.85714285714286" defaultRowHeight="12.75" outlineLevelCol="4"/>
  <cols>
    <col min="1" max="1" width="17.8571428571429" customWidth="1"/>
    <col min="2" max="2" width="17.4285714285714" customWidth="1"/>
    <col min="3" max="3" width="18.1428571428571" customWidth="1"/>
    <col min="4" max="4" width="19.4285714285714"/>
    <col min="5" max="5" width="44" customWidth="1"/>
    <col min="6" max="9" width="7.42857142857143" customWidth="1"/>
  </cols>
  <sheetData>
    <row r="1" spans="1:1">
      <c r="A1" t="s">
        <v>229</v>
      </c>
    </row>
    <row r="2" spans="1:1">
      <c r="A2" s="16" t="s">
        <v>230</v>
      </c>
    </row>
    <row r="3" spans="1:1">
      <c r="A3" s="17" t="s">
        <v>231</v>
      </c>
    </row>
    <row r="5" spans="1:1">
      <c r="A5" t="s">
        <v>232</v>
      </c>
    </row>
    <row r="6" spans="1:1">
      <c r="A6" s="15" t="s">
        <v>233</v>
      </c>
    </row>
    <row r="8" ht="13.5" spans="1:1">
      <c r="A8" s="15" t="s">
        <v>234</v>
      </c>
    </row>
    <row r="9" s="15" customFormat="1" spans="1:4">
      <c r="A9" s="18" t="s">
        <v>24</v>
      </c>
      <c r="B9" s="18" t="s">
        <v>77</v>
      </c>
      <c r="C9" s="18" t="s">
        <v>235</v>
      </c>
      <c r="D9" s="18" t="s">
        <v>236</v>
      </c>
    </row>
    <row r="10" spans="1:4">
      <c r="A10" s="19">
        <v>1</v>
      </c>
      <c r="B10" s="6">
        <v>50</v>
      </c>
      <c r="C10">
        <v>50</v>
      </c>
      <c r="D10" s="6">
        <v>20</v>
      </c>
    </row>
    <row r="11" spans="1:4">
      <c r="A11" s="19">
        <v>10</v>
      </c>
      <c r="B11" s="6">
        <v>225</v>
      </c>
      <c r="C11">
        <v>135</v>
      </c>
      <c r="D11" s="6">
        <v>50</v>
      </c>
    </row>
    <row r="12" spans="1:4">
      <c r="A12" s="19">
        <v>100</v>
      </c>
      <c r="B12" s="6">
        <v>1600</v>
      </c>
      <c r="C12">
        <v>550</v>
      </c>
      <c r="D12" s="6">
        <v>150</v>
      </c>
    </row>
    <row r="13" spans="1:4">
      <c r="A13" s="19">
        <v>1000</v>
      </c>
      <c r="B13" s="6">
        <v>1250</v>
      </c>
      <c r="C13">
        <v>475</v>
      </c>
      <c r="D13" s="6">
        <v>125</v>
      </c>
    </row>
    <row r="14" spans="1:4">
      <c r="A14" s="19">
        <v>10000</v>
      </c>
      <c r="B14" s="6">
        <v>175</v>
      </c>
      <c r="C14">
        <v>90</v>
      </c>
      <c r="D14" s="6">
        <v>60</v>
      </c>
    </row>
    <row r="15" spans="1:4">
      <c r="A15" s="19">
        <v>100000</v>
      </c>
      <c r="B15" s="6">
        <v>0</v>
      </c>
      <c r="C15">
        <v>0</v>
      </c>
      <c r="D15" s="6">
        <v>2</v>
      </c>
    </row>
    <row r="16" ht="13.5" spans="1:4">
      <c r="A16" s="20" t="s">
        <v>237</v>
      </c>
      <c r="B16" s="21">
        <f>SUM(B10:B15)</f>
        <v>3300</v>
      </c>
      <c r="C16" s="21">
        <f>SUM(C10:C15)</f>
        <v>1300</v>
      </c>
      <c r="D16" s="21">
        <f>SUM(D10:D15)</f>
        <v>407</v>
      </c>
    </row>
    <row r="18" ht="13.5" spans="1:1">
      <c r="A18" t="s">
        <v>238</v>
      </c>
    </row>
    <row r="19" spans="1:5">
      <c r="A19" s="18" t="s">
        <v>24</v>
      </c>
      <c r="B19" s="18" t="s">
        <v>239</v>
      </c>
      <c r="C19" s="18"/>
      <c r="D19" s="18" t="s">
        <v>240</v>
      </c>
      <c r="E19" s="18" t="s">
        <v>241</v>
      </c>
    </row>
    <row r="20" spans="1:5">
      <c r="A20" s="6">
        <v>100</v>
      </c>
      <c r="B20" s="22">
        <v>352.46</v>
      </c>
      <c r="C20" s="6"/>
      <c r="D20" s="23">
        <f>A20*B20</f>
        <v>35246</v>
      </c>
      <c r="E20" s="24">
        <f>0.07406812*POWER(D20,0.6877308)</f>
        <v>99.270179534776</v>
      </c>
    </row>
    <row r="21" spans="1:5">
      <c r="A21" s="6">
        <v>1000</v>
      </c>
      <c r="B21" s="22">
        <v>1035.46</v>
      </c>
      <c r="C21" s="6"/>
      <c r="D21" s="23">
        <f>A21*B21</f>
        <v>1035460</v>
      </c>
      <c r="E21" s="24">
        <f>0.07406812*POWER(D21,0.6877308)</f>
        <v>1014.90122422822</v>
      </c>
    </row>
    <row r="22" ht="13.5" spans="1:5">
      <c r="A22" s="25">
        <v>10000</v>
      </c>
      <c r="B22" s="26">
        <v>2851.9</v>
      </c>
      <c r="C22" s="25"/>
      <c r="D22" s="27">
        <f>A22*B22</f>
        <v>28519000</v>
      </c>
      <c r="E22" s="28">
        <f>0.07406812*POWER(D22,0.6877308)</f>
        <v>9925.60054528253</v>
      </c>
    </row>
    <row r="24" ht="13.5" spans="1:1">
      <c r="A24" t="s">
        <v>242</v>
      </c>
    </row>
    <row r="25" spans="1:5">
      <c r="A25" s="18" t="s">
        <v>24</v>
      </c>
      <c r="B25" s="18" t="s">
        <v>239</v>
      </c>
      <c r="C25" s="18"/>
      <c r="D25" s="18" t="s">
        <v>240</v>
      </c>
      <c r="E25" s="18" t="s">
        <v>241</v>
      </c>
    </row>
    <row r="26" spans="1:5">
      <c r="A26" s="6">
        <v>100</v>
      </c>
      <c r="B26" s="22">
        <v>459.21</v>
      </c>
      <c r="C26" s="6"/>
      <c r="D26" s="23">
        <f>A26*B26</f>
        <v>45921</v>
      </c>
      <c r="E26" s="24">
        <f>0.04744419*POWER(D26,0.7139649)</f>
        <v>101.087043391396</v>
      </c>
    </row>
    <row r="27" spans="1:5">
      <c r="A27" s="6">
        <v>1000</v>
      </c>
      <c r="B27" s="22">
        <v>1104.31</v>
      </c>
      <c r="C27" s="6"/>
      <c r="D27" s="23">
        <f>A27*B27</f>
        <v>1104310</v>
      </c>
      <c r="E27" s="24">
        <f>0.04744419*POWER(D27,0.7139649)</f>
        <v>978.899037453691</v>
      </c>
    </row>
    <row r="28" ht="13.5" spans="1:5">
      <c r="A28" s="25">
        <v>10000</v>
      </c>
      <c r="B28" s="26">
        <v>2904.62</v>
      </c>
      <c r="C28" s="25"/>
      <c r="D28" s="27">
        <f>A28*B28</f>
        <v>29046200</v>
      </c>
      <c r="E28" s="28">
        <f>0.04744419*POWER(D28,0.7139649)</f>
        <v>10105.7106433943</v>
      </c>
    </row>
    <row r="29" spans="2:5">
      <c r="B29" s="22"/>
      <c r="C29" s="6"/>
      <c r="D29" s="23"/>
      <c r="E29" s="24"/>
    </row>
    <row r="30" ht="13.5" spans="1:1">
      <c r="A30" s="6" t="s">
        <v>243</v>
      </c>
    </row>
    <row r="31" spans="1:5">
      <c r="A31" s="18" t="s">
        <v>24</v>
      </c>
      <c r="B31" s="18" t="s">
        <v>239</v>
      </c>
      <c r="C31" s="18"/>
      <c r="D31" s="18" t="s">
        <v>240</v>
      </c>
      <c r="E31" s="18" t="s">
        <v>241</v>
      </c>
    </row>
    <row r="32" spans="1:5">
      <c r="A32" s="6">
        <v>1000</v>
      </c>
      <c r="B32" s="22">
        <v>1949.84</v>
      </c>
      <c r="C32" s="6"/>
      <c r="D32" s="23">
        <f>A32*B32</f>
        <v>1949840</v>
      </c>
      <c r="E32" s="24">
        <f>0.05190356*POWER(D32,0.680408)</f>
        <v>988.46835318003</v>
      </c>
    </row>
    <row r="33" ht="13.5" spans="1:5">
      <c r="A33" s="25">
        <v>10000</v>
      </c>
      <c r="B33" s="22">
        <v>6055.47</v>
      </c>
      <c r="C33" s="6"/>
      <c r="D33" s="23">
        <f>A33*B33</f>
        <v>60554700</v>
      </c>
      <c r="E33" s="24">
        <f>0.05190356*POWER(D33,0.680408)</f>
        <v>10238.4168033953</v>
      </c>
    </row>
    <row r="34" ht="13.5" spans="1:5">
      <c r="A34" s="25">
        <v>100000</v>
      </c>
      <c r="B34" s="26">
        <v>16950.45</v>
      </c>
      <c r="C34" s="25"/>
      <c r="D34" s="27">
        <f>A34*B34</f>
        <v>1695045000</v>
      </c>
      <c r="E34" s="28">
        <f>0.05190356*POWER(D34,0.680408)</f>
        <v>98811.1355998144</v>
      </c>
    </row>
    <row r="36" ht="13.5" spans="1:1">
      <c r="A36" t="s">
        <v>244</v>
      </c>
    </row>
    <row r="37" spans="1:4">
      <c r="A37" s="18" t="s">
        <v>245</v>
      </c>
      <c r="B37" s="18" t="s">
        <v>77</v>
      </c>
      <c r="C37" s="18" t="s">
        <v>235</v>
      </c>
      <c r="D37" s="18" t="s">
        <v>236</v>
      </c>
    </row>
    <row r="38" spans="1:5">
      <c r="A38" s="6">
        <v>1</v>
      </c>
      <c r="B38" s="29">
        <v>0.01</v>
      </c>
      <c r="C38" s="30">
        <v>0.01</v>
      </c>
      <c r="D38" s="30">
        <f>0.34066666*(1-EXP(-0.01631659*POWER(A38,0.47035413)))</f>
        <v>0.00551341582543634</v>
      </c>
      <c r="E38" s="31"/>
    </row>
    <row r="39" spans="1:5">
      <c r="A39" s="6">
        <v>10</v>
      </c>
      <c r="B39" s="30">
        <f>0.480552258*(1-EXP(-0.007488657*POWER(A39,0.587382996)))</f>
        <v>0.0137168477173501</v>
      </c>
      <c r="C39" s="30">
        <f>0.33007791*(1-EXP(-0.003296691*POWER(A39,0.67842865)))</f>
        <v>0.00514889273291675</v>
      </c>
      <c r="D39" s="30">
        <f>0.34066666*(1-EXP(-0.01631659*POWER(A39,0.47035413)))</f>
        <v>0.0160284019225951</v>
      </c>
      <c r="E39" s="31"/>
    </row>
    <row r="40" spans="1:5">
      <c r="A40" s="6">
        <v>100</v>
      </c>
      <c r="B40" s="30">
        <f>0.480552258*(1-EXP(-0.007488657*POWER(A40,0.587382996)))</f>
        <v>0.0509119431145637</v>
      </c>
      <c r="C40" s="30">
        <f>0.33007791*(1-EXP(-0.003296691*POWER(A40,0.67842865)))</f>
        <v>0.0238436313272558</v>
      </c>
      <c r="D40" s="30">
        <v>0.06</v>
      </c>
      <c r="E40" s="31"/>
    </row>
    <row r="41" spans="1:5">
      <c r="A41" s="6">
        <v>1000</v>
      </c>
      <c r="B41" s="30">
        <f>0.480552258*(1-EXP(-0.007488657*POWER(A41,0.587382996)))</f>
        <v>0.168905257649204</v>
      </c>
      <c r="C41" s="30">
        <f>0.33007791*(1-EXP(-0.003296691*POWER(A41,0.67842865)))</f>
        <v>0.0992306798608484</v>
      </c>
      <c r="D41" s="30">
        <v>0.1</v>
      </c>
      <c r="E41" s="31"/>
    </row>
    <row r="42" spans="1:5">
      <c r="A42" s="6">
        <v>10000</v>
      </c>
      <c r="B42" s="30">
        <f>0.480552258*(1-EXP(-0.007488657*POWER(A42,0.587382996)))</f>
        <v>0.390513501033738</v>
      </c>
      <c r="C42" s="30">
        <f>0.33007791*(1-EXP(-0.003296691*POWER(A42,0.67842865)))</f>
        <v>0.270094985381346</v>
      </c>
      <c r="D42" s="30">
        <v>0.25</v>
      </c>
      <c r="E42" s="31"/>
    </row>
    <row r="43" ht="13.5" spans="1:5">
      <c r="A43" s="25">
        <v>100000</v>
      </c>
      <c r="B43" s="32">
        <f>0.480552258*(1-EXP(-0.007488657*POWER(A43,0.587382996)))</f>
        <v>0.47981236088859</v>
      </c>
      <c r="C43" s="32">
        <f>0.33007791*(1-EXP(-0.003296691*POWER(A43,0.67842865)))</f>
        <v>0.329980917631608</v>
      </c>
      <c r="D43" s="32">
        <f>0.34066666*(1-EXP(-0.01631659*POWER(A43,0.47035413)))</f>
        <v>0.331968150253805</v>
      </c>
      <c r="E43" s="31"/>
    </row>
    <row r="44" spans="1:1">
      <c r="A44" t="s">
        <v>246</v>
      </c>
    </row>
    <row r="45" spans="1:1">
      <c r="A45" t="s">
        <v>247</v>
      </c>
    </row>
    <row r="46" spans="1:1">
      <c r="A46" t="s">
        <v>248</v>
      </c>
    </row>
    <row r="47" spans="1:1">
      <c r="A47" s="33" t="s">
        <v>249</v>
      </c>
    </row>
    <row r="49" spans="1:1">
      <c r="A49" t="s">
        <v>250</v>
      </c>
    </row>
    <row r="50" spans="1:1">
      <c r="A50" t="s">
        <v>251</v>
      </c>
    </row>
    <row r="52" spans="1:1">
      <c r="A52" t="s">
        <v>252</v>
      </c>
    </row>
    <row r="53" ht="13.5" spans="1:2">
      <c r="A53" t="s">
        <v>253</v>
      </c>
      <c r="B53" s="33" t="s">
        <v>254</v>
      </c>
    </row>
    <row r="54" spans="1:2">
      <c r="A54" s="18"/>
      <c r="B54" s="18">
        <v>1999</v>
      </c>
    </row>
    <row r="55" ht="13.5" spans="1:2">
      <c r="A55" s="25" t="s">
        <v>255</v>
      </c>
      <c r="B55" s="25">
        <v>1.0658</v>
      </c>
    </row>
    <row r="56" spans="1:1">
      <c r="A56" s="34" t="s">
        <v>256</v>
      </c>
    </row>
    <row r="57" spans="1:1">
      <c r="A57" t="s">
        <v>257</v>
      </c>
    </row>
    <row r="59" spans="1:1">
      <c r="A59" t="s">
        <v>258</v>
      </c>
    </row>
    <row r="60" ht="13.5" spans="1:2">
      <c r="A60" t="s">
        <v>253</v>
      </c>
      <c r="B60" s="33" t="s">
        <v>259</v>
      </c>
    </row>
    <row r="61" spans="1:4">
      <c r="A61" s="35" t="s">
        <v>260</v>
      </c>
      <c r="B61" s="35" t="s">
        <v>261</v>
      </c>
      <c r="C61" s="35"/>
      <c r="D61" s="35" t="s">
        <v>262</v>
      </c>
    </row>
    <row r="62" spans="1:4">
      <c r="A62" s="36" t="s">
        <v>263</v>
      </c>
      <c r="B62" s="36" t="s">
        <v>264</v>
      </c>
      <c r="C62" s="37"/>
      <c r="D62" s="38">
        <v>1</v>
      </c>
    </row>
    <row r="63" spans="1:4">
      <c r="A63" s="6">
        <v>1999</v>
      </c>
      <c r="B63" s="6">
        <v>1.7</v>
      </c>
      <c r="C63" s="6"/>
      <c r="D63" s="6">
        <v>1.017</v>
      </c>
    </row>
    <row r="64" spans="1:4">
      <c r="A64" s="6">
        <v>2000</v>
      </c>
      <c r="B64" s="6">
        <v>2.2</v>
      </c>
      <c r="D64" s="6">
        <v>1.039374</v>
      </c>
    </row>
    <row r="65" spans="1:4">
      <c r="A65" s="6">
        <v>2001</v>
      </c>
      <c r="B65" s="6">
        <v>3.6</v>
      </c>
      <c r="D65" s="6">
        <v>1.076791464</v>
      </c>
    </row>
    <row r="66" spans="1:4">
      <c r="A66" s="6">
        <v>2002</v>
      </c>
      <c r="B66" s="6">
        <v>3.4</v>
      </c>
      <c r="D66" s="6">
        <v>1.113402373776</v>
      </c>
    </row>
    <row r="67" spans="1:4">
      <c r="A67" s="6">
        <v>2003</v>
      </c>
      <c r="B67" s="6">
        <v>1.9</v>
      </c>
      <c r="D67" s="6">
        <v>1.13455701887774</v>
      </c>
    </row>
    <row r="68" spans="1:4">
      <c r="A68" s="6">
        <v>2004</v>
      </c>
      <c r="B68" s="6">
        <v>0.9</v>
      </c>
      <c r="D68" s="6">
        <v>1.14476803204764</v>
      </c>
    </row>
    <row r="69" spans="1:4">
      <c r="A69" s="6">
        <v>2005</v>
      </c>
      <c r="B69" s="6">
        <v>1.4</v>
      </c>
      <c r="D69" s="6">
        <v>1.16079478449631</v>
      </c>
    </row>
    <row r="70" ht="13.5" spans="1:4">
      <c r="A70" s="25">
        <v>2006</v>
      </c>
      <c r="B70" s="25">
        <v>1.5</v>
      </c>
      <c r="C70" s="25"/>
      <c r="D70" s="25">
        <v>1.17820670626376</v>
      </c>
    </row>
    <row r="71" spans="1:1">
      <c r="A71" s="39" t="s">
        <v>261</v>
      </c>
    </row>
    <row r="72" spans="1:1">
      <c r="A72" s="39" t="s">
        <v>265</v>
      </c>
    </row>
    <row r="73" spans="1:1">
      <c r="A73" s="39" t="s">
        <v>266</v>
      </c>
    </row>
    <row r="74" spans="1:1">
      <c r="A74" s="39" t="s">
        <v>267</v>
      </c>
    </row>
    <row r="75" spans="1:1">
      <c r="A75" s="39" t="s">
        <v>268</v>
      </c>
    </row>
    <row r="76" spans="1:1">
      <c r="A76" t="s">
        <v>269</v>
      </c>
    </row>
  </sheetData>
  <hyperlinks>
    <hyperlink ref="A47" r:id="rId1" display="http://www.cs.vu.nl/~x/ipm/ipm.pdf"/>
    <hyperlink ref="A2" r:id="rId2" display="http://www.minbzk.nl/aspx/download.aspx?file=/contents/pages/90083/bijlageinventarisatiegroteict-projecten.pdf"/>
    <hyperlink ref="B53" r:id="rId3" display="http://www.statistics.dnb.nl/index.cgi?lang=nl&amp;todo=Koersen"/>
    <hyperlink ref="B60" r:id="rId4" display="http://statline.cbs.nl/"/>
  </hyperlinks>
  <pageMargins left="0.75" right="0.75" top="1" bottom="1" header="0.5" footer="0.5"/>
  <pageSetup paperSize="9" scale="70" orientation="portrait" horizontalDpi="3600" verticalDpi="36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G16"/>
  <sheetViews>
    <sheetView showGridLines="0" zoomScaleSheetLayoutView="60" workbookViewId="0">
      <selection activeCell="A1" sqref="A1"/>
    </sheetView>
  </sheetViews>
  <sheetFormatPr defaultColWidth="9.14285714285714" defaultRowHeight="12.75" outlineLevelCol="6"/>
  <cols>
    <col min="3" max="3" width="19.4285714285714"/>
    <col min="4" max="7" width="13.2857142857143" outlineLevel="1"/>
  </cols>
  <sheetData>
    <row r="1" ht="13.5"/>
    <row r="2" ht="15" spans="2:7">
      <c r="B2" s="1" t="s">
        <v>270</v>
      </c>
      <c r="C2" s="1"/>
      <c r="D2" s="2"/>
      <c r="E2" s="2"/>
      <c r="F2" s="2"/>
      <c r="G2" s="2"/>
    </row>
    <row r="3" ht="15" collapsed="1" spans="2:7">
      <c r="B3" s="3"/>
      <c r="C3" s="3"/>
      <c r="D3" s="4" t="s">
        <v>271</v>
      </c>
      <c r="E3" s="4" t="s">
        <v>272</v>
      </c>
      <c r="F3" s="4" t="s">
        <v>273</v>
      </c>
      <c r="G3" s="4" t="s">
        <v>274</v>
      </c>
    </row>
    <row r="4" ht="33.75" hidden="1" outlineLevel="1" spans="2:7">
      <c r="B4" s="5"/>
      <c r="C4" s="5"/>
      <c r="D4" s="6"/>
      <c r="E4" s="7" t="s">
        <v>275</v>
      </c>
      <c r="F4" s="7" t="s">
        <v>275</v>
      </c>
      <c r="G4" s="7" t="s">
        <v>275</v>
      </c>
    </row>
    <row r="5" spans="2:7">
      <c r="B5" s="8" t="s">
        <v>276</v>
      </c>
      <c r="C5" s="8"/>
      <c r="D5" s="9"/>
      <c r="E5" s="9"/>
      <c r="F5" s="9"/>
      <c r="G5" s="9"/>
    </row>
    <row r="6" outlineLevel="1" spans="2:7">
      <c r="B6" s="5"/>
      <c r="C6" s="5" t="s">
        <v>277</v>
      </c>
      <c r="D6" s="6">
        <v>50</v>
      </c>
      <c r="E6" s="10">
        <v>20</v>
      </c>
      <c r="F6" s="10">
        <v>50</v>
      </c>
      <c r="G6" s="10">
        <v>100</v>
      </c>
    </row>
    <row r="7" outlineLevel="1" spans="2:7">
      <c r="B7" s="5"/>
      <c r="C7" s="5" t="s">
        <v>278</v>
      </c>
      <c r="D7" s="6">
        <v>75</v>
      </c>
      <c r="E7" s="10">
        <v>20</v>
      </c>
      <c r="F7" s="10">
        <v>75</v>
      </c>
      <c r="G7" s="10">
        <v>100</v>
      </c>
    </row>
    <row r="8" spans="2:7">
      <c r="B8" s="8" t="s">
        <v>279</v>
      </c>
      <c r="C8" s="8"/>
      <c r="D8" s="9"/>
      <c r="E8" s="9"/>
      <c r="F8" s="9"/>
      <c r="G8" s="9"/>
    </row>
    <row r="9" outlineLevel="1" spans="2:7">
      <c r="B9" s="5"/>
      <c r="C9" s="5" t="s">
        <v>280</v>
      </c>
      <c r="D9" s="11">
        <v>1637.83085097422</v>
      </c>
      <c r="E9" s="11">
        <v>377.998425698977</v>
      </c>
      <c r="F9" s="11">
        <v>1637.83085097422</v>
      </c>
      <c r="G9" s="11">
        <v>2362.49504520301</v>
      </c>
    </row>
    <row r="10" outlineLevel="1" spans="2:7">
      <c r="B10" s="5"/>
      <c r="C10" s="5" t="s">
        <v>281</v>
      </c>
      <c r="D10" s="12">
        <v>0.373859084389878</v>
      </c>
      <c r="E10" s="12">
        <v>0.323563965523155</v>
      </c>
      <c r="F10" s="12">
        <v>0.373859084389878</v>
      </c>
      <c r="G10" s="12">
        <v>0.40445579313785</v>
      </c>
    </row>
    <row r="11" outlineLevel="1" spans="2:7">
      <c r="B11" s="5"/>
      <c r="C11" s="5" t="s">
        <v>282</v>
      </c>
      <c r="D11" s="12">
        <v>0.195101084389878</v>
      </c>
      <c r="E11" s="12">
        <v>0.144805965523155</v>
      </c>
      <c r="F11" s="12">
        <v>0.195101084389878</v>
      </c>
      <c r="G11" s="12">
        <v>0.22569779313785</v>
      </c>
    </row>
    <row r="12" outlineLevel="1" spans="2:7">
      <c r="B12" s="5"/>
      <c r="C12" s="5" t="s">
        <v>283</v>
      </c>
      <c r="D12" s="11">
        <v>780.314868495</v>
      </c>
      <c r="E12" s="11">
        <v>208.083964932</v>
      </c>
      <c r="F12" s="11">
        <v>780.314868495</v>
      </c>
      <c r="G12" s="11">
        <v>1040.41982466</v>
      </c>
    </row>
    <row r="13" ht="13.5" outlineLevel="1" spans="2:7">
      <c r="B13" s="13"/>
      <c r="C13" s="13" t="s">
        <v>284</v>
      </c>
      <c r="D13" s="14">
        <v>854.713950829218</v>
      </c>
      <c r="E13" s="14">
        <v>169.167252326977</v>
      </c>
      <c r="F13" s="14">
        <v>854.713950829218</v>
      </c>
      <c r="G13" s="14">
        <v>1318.33917834301</v>
      </c>
    </row>
    <row r="14" spans="2:2">
      <c r="B14" t="s">
        <v>285</v>
      </c>
    </row>
    <row r="15" spans="2:2">
      <c r="B15" t="s">
        <v>286</v>
      </c>
    </row>
    <row r="16" spans="2:2">
      <c r="B16" t="s">
        <v>287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VU</Company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ICT</vt:lpstr>
      <vt:lpstr>Explanation</vt:lpstr>
      <vt:lpstr>Scenario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 Dutch Federal IT 2007</dc:title>
  <dc:creator>pkampst</dc:creator>
  <cp:lastModifiedBy>Narea</cp:lastModifiedBy>
  <dcterms:created xsi:type="dcterms:W3CDTF">2007-10-24T19:38:54Z</dcterms:created>
  <cp:lastPrinted>2009-07-27T14:43:40Z</cp:lastPrinted>
  <dcterms:modified xsi:type="dcterms:W3CDTF">2024-10-12T21:55:01Z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A14A569E1A194EB69998602B9349B66D_13</vt:lpwstr>
  </property>
  <property fmtid="{D5CDD505-2E9C-101B-9397-08002B2CF9AE}" pid="3" name="KSOProductBuildVer">
    <vt:lpwstr>1033-12.2.0.18283</vt:lpwstr>
  </property>
</Properties>
</file>