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max_speed" sheetId="2" r:id="rId1"/>
    <sheet name="cavitation_check" sheetId="3" r:id="rId2"/>
    <sheet name="Strength_check" sheetId="4" r:id="rId3"/>
  </sheets>
  <externalReferences>
    <externalReference r:id="rId4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D24" i="4"/>
  <c r="H10" i="4"/>
  <c r="H9" i="4" s="1"/>
  <c r="E4" i="4"/>
  <c r="E20" i="4" s="1"/>
  <c r="E22" i="4" s="1"/>
  <c r="D4" i="4"/>
  <c r="D20" i="4" s="1"/>
  <c r="H39" i="3"/>
  <c r="G39" i="3"/>
  <c r="F39" i="3"/>
  <c r="H38" i="3"/>
  <c r="H37" i="3"/>
  <c r="H36" i="3"/>
  <c r="H35" i="3"/>
  <c r="D8" i="3"/>
  <c r="E8" i="3"/>
  <c r="F8" i="3"/>
  <c r="G8" i="3"/>
  <c r="H8" i="3"/>
  <c r="I8" i="3"/>
  <c r="D10" i="3"/>
  <c r="E10" i="3"/>
  <c r="F10" i="3"/>
  <c r="G10" i="3"/>
  <c r="H10" i="3"/>
  <c r="I10" i="3"/>
  <c r="D7" i="3"/>
  <c r="D14" i="3" s="1"/>
  <c r="E7" i="3"/>
  <c r="E14" i="3" s="1"/>
  <c r="F7" i="3"/>
  <c r="G7" i="3"/>
  <c r="H7" i="3"/>
  <c r="H14" i="3" s="1"/>
  <c r="I7" i="3"/>
  <c r="I14" i="3" s="1"/>
  <c r="D5" i="3"/>
  <c r="E5" i="3"/>
  <c r="F5" i="3"/>
  <c r="G5" i="3"/>
  <c r="H5" i="3"/>
  <c r="I5" i="3"/>
  <c r="C10" i="3"/>
  <c r="C8" i="3"/>
  <c r="C7" i="3"/>
  <c r="C5" i="3"/>
  <c r="D14" i="4" l="1"/>
  <c r="D15" i="4" s="1"/>
  <c r="H7" i="4"/>
  <c r="H2" i="4"/>
  <c r="H4" i="4"/>
  <c r="H6" i="4"/>
  <c r="H3" i="4"/>
  <c r="H5" i="4"/>
  <c r="D22" i="4"/>
  <c r="H8" i="4"/>
  <c r="E14" i="4"/>
  <c r="E15" i="4" s="1"/>
  <c r="E23" i="4" s="1"/>
  <c r="E9" i="3"/>
  <c r="E12" i="3" s="1"/>
  <c r="D9" i="3"/>
  <c r="D12" i="3" s="1"/>
  <c r="I9" i="3"/>
  <c r="I12" i="3" s="1"/>
  <c r="H9" i="3"/>
  <c r="H12" i="3" s="1"/>
  <c r="G14" i="3"/>
  <c r="C9" i="3"/>
  <c r="C12" i="3" s="1"/>
  <c r="I15" i="3"/>
  <c r="I17" i="3" s="1"/>
  <c r="I18" i="3" s="1"/>
  <c r="F14" i="3"/>
  <c r="G9" i="3"/>
  <c r="G12" i="3" s="1"/>
  <c r="F9" i="3"/>
  <c r="F12" i="3" s="1"/>
  <c r="C14" i="3"/>
  <c r="D23" i="4" l="1"/>
  <c r="C15" i="3"/>
  <c r="C17" i="3" s="1"/>
  <c r="C18" i="3" s="1"/>
  <c r="E15" i="3"/>
  <c r="E17" i="3" s="1"/>
  <c r="E18" i="3" s="1"/>
  <c r="D15" i="3"/>
  <c r="D17" i="3" s="1"/>
  <c r="D18" i="3" s="1"/>
  <c r="H15" i="3"/>
  <c r="H17" i="3" s="1"/>
  <c r="H18" i="3" s="1"/>
  <c r="F15" i="3"/>
  <c r="F17" i="3" s="1"/>
  <c r="F18" i="3" s="1"/>
  <c r="G15" i="3"/>
  <c r="G17" i="3" s="1"/>
  <c r="G18" i="3" s="1"/>
</calcChain>
</file>

<file path=xl/sharedStrings.xml><?xml version="1.0" encoding="utf-8"?>
<sst xmlns="http://schemas.openxmlformats.org/spreadsheetml/2006/main" count="152" uniqueCount="141">
  <si>
    <t>Open Water Efficiency</t>
  </si>
  <si>
    <t>Torque Coefficient</t>
    <phoneticPr fontId="1" type="noConversion"/>
  </si>
  <si>
    <t>Thrust Coefficient</t>
    <phoneticPr fontId="1" type="noConversion"/>
  </si>
  <si>
    <t>Advance Coefficient</t>
    <phoneticPr fontId="1" type="noConversion"/>
  </si>
  <si>
    <t>EAR</t>
    <phoneticPr fontId="1" type="noConversion"/>
  </si>
  <si>
    <t>D</t>
    <phoneticPr fontId="1" type="noConversion"/>
  </si>
  <si>
    <t>Speed</t>
    <phoneticPr fontId="1" type="noConversion"/>
  </si>
  <si>
    <t>pitch ratio</t>
    <phoneticPr fontId="1" type="noConversion"/>
  </si>
  <si>
    <t>项目</t>
    <phoneticPr fontId="2" type="noConversion"/>
  </si>
  <si>
    <t>单位</t>
    <phoneticPr fontId="2" type="noConversion"/>
  </si>
  <si>
    <t>MAU5-50</t>
    <phoneticPr fontId="2" type="noConversion"/>
  </si>
  <si>
    <t>MAU5-60</t>
    <phoneticPr fontId="2" type="noConversion"/>
  </si>
  <si>
    <t>MAU5-70</t>
    <phoneticPr fontId="2" type="noConversion"/>
  </si>
  <si>
    <t>MAU5-80</t>
    <phoneticPr fontId="2" type="noConversion"/>
  </si>
  <si>
    <t>最大船速</t>
    <phoneticPr fontId="2" type="noConversion"/>
  </si>
  <si>
    <t>螺旋桨直径</t>
    <phoneticPr fontId="2" type="noConversion"/>
  </si>
  <si>
    <t>m</t>
    <phoneticPr fontId="2" type="noConversion"/>
  </si>
  <si>
    <r>
      <t>敞水效率</t>
    </r>
    <r>
      <rPr>
        <sz val="11"/>
        <color theme="1"/>
        <rFont val="宋体"/>
        <family val="3"/>
        <charset val="134"/>
      </rPr>
      <t>η</t>
    </r>
    <r>
      <rPr>
        <vertAlign val="subscript"/>
        <sz val="11"/>
        <color theme="1"/>
        <rFont val="宋体"/>
        <family val="3"/>
        <charset val="134"/>
      </rPr>
      <t>0</t>
    </r>
    <phoneticPr fontId="2" type="noConversion"/>
  </si>
  <si>
    <t>转速</t>
    <phoneticPr fontId="2" type="noConversion"/>
  </si>
  <si>
    <t>r/s</t>
    <phoneticPr fontId="2" type="noConversion"/>
  </si>
  <si>
    <t>伴流分数</t>
    <phoneticPr fontId="2" type="noConversion"/>
  </si>
  <si>
    <t>螺旋桨收到功率</t>
    <phoneticPr fontId="2" type="noConversion"/>
  </si>
  <si>
    <t>kw</t>
    <phoneticPr fontId="2" type="noConversion"/>
  </si>
  <si>
    <t>螺旋桨进速</t>
    <phoneticPr fontId="2" type="noConversion"/>
  </si>
  <si>
    <t>m/s</t>
    <phoneticPr fontId="2" type="noConversion"/>
  </si>
  <si>
    <r>
      <t>V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vertAlign val="subscript"/>
        <sz val="11"/>
        <color theme="1"/>
        <rFont val="等线"/>
        <family val="3"/>
        <charset val="134"/>
        <scheme val="minor"/>
      </rPr>
      <t>0.7R</t>
    </r>
    <phoneticPr fontId="2" type="noConversion"/>
  </si>
  <si>
    <t>m/s^2</t>
    <phoneticPr fontId="2" type="noConversion"/>
  </si>
  <si>
    <t>桨轴深沉</t>
    <phoneticPr fontId="2" type="noConversion"/>
  </si>
  <si>
    <r>
      <t>压力差p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-p</t>
    </r>
    <r>
      <rPr>
        <vertAlign val="subscript"/>
        <sz val="11"/>
        <color theme="1"/>
        <rFont val="等线"/>
        <family val="3"/>
        <charset val="134"/>
        <scheme val="minor"/>
      </rPr>
      <t>v</t>
    </r>
    <phoneticPr fontId="2" type="noConversion"/>
  </si>
  <si>
    <t>kgf/m^2</t>
    <phoneticPr fontId="2" type="noConversion"/>
  </si>
  <si>
    <r>
      <t>空泡数</t>
    </r>
    <r>
      <rPr>
        <sz val="11"/>
        <color theme="1"/>
        <rFont val="宋体"/>
        <family val="3"/>
        <charset val="134"/>
      </rPr>
      <t>σ</t>
    </r>
    <phoneticPr fontId="2" type="noConversion"/>
  </si>
  <si>
    <r>
      <t>单位面积平均推力系数</t>
    </r>
    <r>
      <rPr>
        <sz val="11"/>
        <color theme="1"/>
        <rFont val="宋体"/>
        <family val="3"/>
        <charset val="134"/>
      </rPr>
      <t>τc</t>
    </r>
    <phoneticPr fontId="2" type="noConversion"/>
  </si>
  <si>
    <t>推力T</t>
    <phoneticPr fontId="2" type="noConversion"/>
  </si>
  <si>
    <t>kgf</t>
    <phoneticPr fontId="2" type="noConversion"/>
  </si>
  <si>
    <r>
      <rPr>
        <sz val="11"/>
        <color theme="1"/>
        <rFont val="等线"/>
        <family val="3"/>
        <charset val="134"/>
        <scheme val="minor"/>
      </rPr>
      <t>投射面积</t>
    </r>
    <r>
      <rPr>
        <sz val="11"/>
        <color theme="1"/>
        <rFont val="等线"/>
        <family val="2"/>
        <scheme val="minor"/>
      </rPr>
      <t>A</t>
    </r>
    <r>
      <rPr>
        <vertAlign val="subscript"/>
        <sz val="11"/>
        <color theme="1"/>
        <rFont val="等线"/>
        <family val="3"/>
        <charset val="134"/>
        <scheme val="minor"/>
      </rPr>
      <t>P</t>
    </r>
    <phoneticPr fontId="2" type="noConversion"/>
  </si>
  <si>
    <t>m^2</t>
    <phoneticPr fontId="2" type="noConversion"/>
  </si>
  <si>
    <t>螺距比P/D</t>
    <phoneticPr fontId="2" type="noConversion"/>
  </si>
  <si>
    <r>
      <t>展开面积A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2" type="noConversion"/>
  </si>
  <si>
    <r>
      <t>盘面比A</t>
    </r>
    <r>
      <rPr>
        <vertAlign val="subscript"/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/A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2" type="noConversion"/>
  </si>
  <si>
    <t>MAU5-55</t>
  </si>
  <si>
    <t>MAU5-55</t>
    <phoneticPr fontId="1" type="noConversion"/>
  </si>
  <si>
    <t>MAU5-65</t>
  </si>
  <si>
    <t>MAU5-65</t>
    <phoneticPr fontId="1" type="noConversion"/>
  </si>
  <si>
    <t>MAU5-75</t>
  </si>
  <si>
    <t>MAU5-75</t>
    <phoneticPr fontId="1" type="noConversion"/>
  </si>
  <si>
    <t>kn</t>
  </si>
  <si>
    <t>kn</t>
    <phoneticPr fontId="2" type="noConversion"/>
  </si>
  <si>
    <t>-</t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</si>
  <si>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</si>
  <si>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</si>
  <si>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</si>
  <si>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</si>
  <si>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项目</t>
  </si>
  <si>
    <t>单位</t>
  </si>
  <si>
    <t>MAU5-50</t>
  </si>
  <si>
    <t>MAU5-60</t>
  </si>
  <si>
    <t>MAU5-70</t>
  </si>
  <si>
    <t>MAU5-80</t>
  </si>
  <si>
    <t>螺旋桨直径</t>
  </si>
  <si>
    <t>m</t>
  </si>
  <si>
    <t>敞水效率η0</t>
  </si>
  <si>
    <t>V20.7R</t>
  </si>
  <si>
    <t>m/s^2</t>
  </si>
  <si>
    <t>空泡数σ</t>
  </si>
  <si>
    <t>单位面积平均推力系数τc</t>
  </si>
  <si>
    <t>螺距比P/D</t>
  </si>
  <si>
    <t>盘面比AE/A0</t>
  </si>
  <si>
    <t>Vmax</t>
    <phoneticPr fontId="1" type="noConversion"/>
  </si>
  <si>
    <t>项目</t>
    <phoneticPr fontId="2" type="noConversion"/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</si>
  <si>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0.3</t>
    </r>
    <r>
      <rPr>
        <sz val="11"/>
        <color theme="1"/>
        <rFont val="等线"/>
        <family val="2"/>
        <scheme val="minor"/>
      </rPr>
      <t/>
    </r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</si>
  <si>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0.4</t>
    </r>
    <r>
      <rPr>
        <sz val="11"/>
        <color theme="1"/>
        <rFont val="等线"/>
        <family val="2"/>
        <scheme val="minor"/>
      </rPr>
      <t/>
    </r>
  </si>
  <si>
    <t>密度</t>
    <phoneticPr fontId="2" type="noConversion"/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</si>
  <si>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0.5</t>
    </r>
    <r>
      <rPr>
        <sz val="11"/>
        <color theme="1"/>
        <rFont val="等线"/>
        <family val="2"/>
        <scheme val="minor"/>
      </rPr>
      <t/>
    </r>
  </si>
  <si>
    <t>m</t>
    <phoneticPr fontId="2" type="noConversion"/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</si>
  <si>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0.6</t>
    </r>
    <r>
      <rPr>
        <sz val="11"/>
        <color theme="1"/>
        <rFont val="等线"/>
        <family val="2"/>
        <scheme val="minor"/>
      </rPr>
      <t/>
    </r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</si>
  <si>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0.7</t>
    </r>
    <r>
      <rPr>
        <sz val="11"/>
        <color theme="1"/>
        <rFont val="等线"/>
        <family val="2"/>
        <scheme val="minor"/>
      </rPr>
      <t/>
    </r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</si>
  <si>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0.8</t>
    </r>
    <r>
      <rPr>
        <sz val="11"/>
        <color theme="1"/>
        <rFont val="等线"/>
        <family val="2"/>
        <scheme val="minor"/>
      </rPr>
      <t/>
    </r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</si>
  <si>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0.9</t>
    </r>
    <r>
      <rPr>
        <sz val="11"/>
        <color theme="1"/>
        <rFont val="等线"/>
        <family val="2"/>
        <scheme val="minor"/>
      </rPr>
      <t/>
    </r>
  </si>
  <si>
    <t>t0.2</t>
  </si>
  <si>
    <t>t0.3</t>
  </si>
  <si>
    <t>t0.4</t>
  </si>
  <si>
    <t>t0.5</t>
  </si>
  <si>
    <t>t0.6</t>
  </si>
  <si>
    <t>t0.7</t>
  </si>
  <si>
    <t>t0.8</t>
  </si>
  <si>
    <t>K8</t>
    <phoneticPr fontId="2" type="noConversion"/>
  </si>
  <si>
    <t>t0.9</t>
  </si>
  <si>
    <t>t1.0</t>
  </si>
  <si>
    <t>序号</t>
    <phoneticPr fontId="2" type="noConversion"/>
  </si>
  <si>
    <t>单位</t>
    <phoneticPr fontId="2" type="noConversion"/>
  </si>
  <si>
    <t>0.25R</t>
    <phoneticPr fontId="2" type="noConversion"/>
  </si>
  <si>
    <t>0.6R</t>
    <phoneticPr fontId="2" type="noConversion"/>
  </si>
  <si>
    <t>位置</t>
    <phoneticPr fontId="2" type="noConversion"/>
  </si>
  <si>
    <t>厚度</t>
    <phoneticPr fontId="2" type="noConversion"/>
  </si>
  <si>
    <t>直径</t>
    <phoneticPr fontId="2" type="noConversion"/>
  </si>
  <si>
    <t>m</t>
    <phoneticPr fontId="2" type="noConversion"/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</si>
  <si>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0.2</t>
    </r>
    <phoneticPr fontId="2" type="noConversion"/>
  </si>
  <si>
    <t>盘面比</t>
    <phoneticPr fontId="2" type="noConversion"/>
  </si>
  <si>
    <t>螺距比</t>
    <phoneticPr fontId="2" type="noConversion"/>
  </si>
  <si>
    <t>g/cm^3</t>
    <phoneticPr fontId="2" type="noConversion"/>
  </si>
  <si>
    <r>
      <t>最大弦长b</t>
    </r>
    <r>
      <rPr>
        <vertAlign val="subscript"/>
        <sz val="11"/>
        <color theme="1"/>
        <rFont val="等线"/>
        <family val="3"/>
        <charset val="134"/>
        <scheme val="minor"/>
      </rPr>
      <t>0.66R</t>
    </r>
    <phoneticPr fontId="2" type="noConversion"/>
  </si>
  <si>
    <t>弦长b</t>
    <phoneticPr fontId="2" type="noConversion"/>
  </si>
  <si>
    <t>m</t>
    <phoneticPr fontId="2" type="noConversion"/>
  </si>
  <si>
    <t>额定功率</t>
    <phoneticPr fontId="2" type="noConversion"/>
  </si>
  <si>
    <t>KW</t>
    <phoneticPr fontId="2" type="noConversion"/>
  </si>
  <si>
    <t>转速</t>
    <phoneticPr fontId="2" type="noConversion"/>
  </si>
  <si>
    <t>r/min</t>
    <phoneticPr fontId="2" type="noConversion"/>
  </si>
  <si>
    <t>K1</t>
    <phoneticPr fontId="2" type="noConversion"/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</si>
  <si>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1.0</t>
    </r>
    <r>
      <rPr>
        <sz val="11"/>
        <color theme="1"/>
        <rFont val="等线"/>
        <family val="2"/>
        <scheme val="minor"/>
      </rPr>
      <t/>
    </r>
    <phoneticPr fontId="2" type="noConversion"/>
  </si>
  <si>
    <t>K2</t>
    <phoneticPr fontId="2" type="noConversion"/>
  </si>
  <si>
    <t>K3</t>
    <phoneticPr fontId="2" type="noConversion"/>
  </si>
  <si>
    <t>K4</t>
    <phoneticPr fontId="2" type="noConversion"/>
  </si>
  <si>
    <t>A1</t>
    <phoneticPr fontId="2" type="noConversion"/>
  </si>
  <si>
    <t>Y</t>
    <phoneticPr fontId="2" type="noConversion"/>
  </si>
  <si>
    <t>K5</t>
    <phoneticPr fontId="2" type="noConversion"/>
  </si>
  <si>
    <t>K6</t>
    <phoneticPr fontId="2" type="noConversion"/>
  </si>
  <si>
    <t>K7</t>
    <phoneticPr fontId="2" type="noConversion"/>
  </si>
  <si>
    <t>A2</t>
    <phoneticPr fontId="2" type="noConversion"/>
  </si>
  <si>
    <t>材料系数K</t>
    <phoneticPr fontId="2" type="noConversion"/>
  </si>
  <si>
    <t>X</t>
    <phoneticPr fontId="2" type="noConversion"/>
  </si>
  <si>
    <t>t</t>
    <phoneticPr fontId="2" type="noConversion"/>
  </si>
  <si>
    <t>mm</t>
    <phoneticPr fontId="2" type="noConversion"/>
  </si>
  <si>
    <t>MAU标准桨叶切面厚度</t>
    <phoneticPr fontId="2" type="noConversion"/>
  </si>
  <si>
    <t>mm</t>
    <phoneticPr fontId="2" type="noConversion"/>
  </si>
  <si>
    <t>校核结果</t>
    <phoneticPr fontId="2" type="noConversion"/>
  </si>
  <si>
    <t>满足要求</t>
    <phoneticPr fontId="2" type="noConversion"/>
  </si>
  <si>
    <t>桨叶厚度</t>
    <phoneticPr fontId="2" type="noConversion"/>
  </si>
  <si>
    <t>满足要求</t>
  </si>
  <si>
    <t>满足要求</t>
    <phoneticPr fontId="2" type="noConversion"/>
  </si>
  <si>
    <t>0.25R</t>
  </si>
  <si>
    <t>0.6R</t>
  </si>
  <si>
    <t>弦长b</t>
  </si>
  <si>
    <t>A1</t>
  </si>
  <si>
    <t>Y</t>
  </si>
  <si>
    <t>A2</t>
  </si>
  <si>
    <t>X</t>
  </si>
  <si>
    <t>t</t>
  </si>
  <si>
    <t>mm</t>
  </si>
  <si>
    <t>MAU标准桨叶切面厚度</t>
  </si>
  <si>
    <t>校核结果</t>
  </si>
  <si>
    <t>桨叶厚度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</si>
</sst>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_ "/>
    <numFmt numFmtId="177" formatCode="0.00_ "/>
    <numFmt numFmtId="178" formatCode="0.0000_);[Red]\(0.0000\)"/>
    <numFmt numFmtId="179" formatCode="0.00_);[Red]\(0.00\)"/>
    <numFmt numFmtId="184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vertAlign val="subscript"/>
      <sz val="11"/>
      <color theme="1"/>
      <name val="宋体"/>
      <family val="3"/>
      <charset val="134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/>
    <xf numFmtId="179" fontId="0" fillId="0" borderId="0" xfId="0" applyNumberFormat="1"/>
    <xf numFmtId="184" fontId="0" fillId="0" borderId="0" xfId="0" applyNumberFormat="1" applyAlignment="1">
      <alignment vertical="center"/>
    </xf>
    <xf numFmtId="18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 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cavitation_check!$C$31:$I$31</c:f>
              <c:numCache>
                <c:formatCode>0.00_);[Red]\(0.00\)</c:formatCode>
                <c:ptCount val="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</c:numCache>
            </c:numRef>
          </c:xVal>
          <c:yVal>
            <c:numRef>
              <c:f>cavitation_check!$C$32:$I$32</c:f>
              <c:numCache>
                <c:formatCode>0.00_);[Red]\(0.00\)</c:formatCode>
                <c:ptCount val="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8-4DF0-AC29-BCB88282E68D}"/>
            </c:ext>
          </c:extLst>
        </c:ser>
        <c:ser>
          <c:idx val="1"/>
          <c:order val="1"/>
          <c:tx>
            <c:v>Required 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cavitation_check!$C$32:$I$32</c:f>
              <c:numCache>
                <c:formatCode>0.00_);[Red]\(0.00\)</c:formatCode>
                <c:ptCount val="7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</c:numCache>
            </c:numRef>
          </c:xVal>
          <c:yVal>
            <c:numRef>
              <c:f>cavitation_check!$C$33:$I$33</c:f>
              <c:numCache>
                <c:formatCode>0.0000_);[Red]\(0.0000\)</c:formatCode>
                <c:ptCount val="7"/>
                <c:pt idx="0">
                  <c:v>0.74220887902739008</c:v>
                </c:pt>
                <c:pt idx="1">
                  <c:v>0.69678492916453327</c:v>
                </c:pt>
                <c:pt idx="2">
                  <c:v>0.76777574548860605</c:v>
                </c:pt>
                <c:pt idx="3">
                  <c:v>0.65915725412052761</c:v>
                </c:pt>
                <c:pt idx="4">
                  <c:v>0.71396306010560884</c:v>
                </c:pt>
                <c:pt idx="5">
                  <c:v>0.71531066541471455</c:v>
                </c:pt>
                <c:pt idx="6">
                  <c:v>0.59300726194374365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8-4DF0-AC29-BCB88282E68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39428368"/>
        <c:axId val="1739428784"/>
      </c:scatterChart>
      <c:valAx>
        <c:axId val="173942836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428784"/>
        <c:crossesAt val="0.5"/>
        <c:crossBetween val="midCat"/>
      </c:valAx>
      <c:valAx>
        <c:axId val="17394287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428368"/>
        <c:crossesAt val="0.5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2883000000000002"/>
          <c:y val="5.2916666666666667E-2"/>
          <c:w val="0.28139388888888889"/>
          <c:h val="0.148829166666666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85723</xdr:colOff>
      <xdr:row>19</xdr:row>
      <xdr:rowOff>161925</xdr:rowOff>
    </xdr:from>
    <xdr:to>
      <xdr:col>12</xdr:col>
      <xdr:colOff>726623</xdr:colOff>
      <xdr:row>36</xdr:row>
      <xdr:rowOff>19325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urse\&#33337;&#33334;&#21407;&#29702;\&#33337;&#33334;&#25512;&#36827;\&#34746;&#26059;&#26728;&#35838;&#31243;&#35774;&#35745;\&#21016;&#23376;&#24179;\&#33337;&#33334;&#21407;&#29702;&#22823;&#20316;&#1999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标准阻力"/>
      <sheetName val="计算螺距比"/>
      <sheetName val="计算最大速度"/>
      <sheetName val="计算最佳半径"/>
      <sheetName val="空泡校核"/>
      <sheetName val="强度校核"/>
      <sheetName val="螺距修正"/>
      <sheetName val="重量与惯性矩"/>
      <sheetName val="系柱特性计算"/>
      <sheetName val="航行特性计算"/>
      <sheetName val="Sheet1"/>
    </sheetNames>
    <sheetDataSet>
      <sheetData sheetId="0"/>
      <sheetData sheetId="1"/>
      <sheetData sheetId="2"/>
      <sheetData sheetId="3"/>
      <sheetData sheetId="4"/>
      <sheetData sheetId="5">
        <row r="18">
          <cell r="D18">
            <v>41</v>
          </cell>
          <cell r="E18">
            <v>65</v>
          </cell>
        </row>
        <row r="19">
          <cell r="D19">
            <v>380</v>
          </cell>
          <cell r="E19">
            <v>330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14" sqref="F14"/>
    </sheetView>
  </sheetViews>
  <sheetFormatPr defaultRowHeight="14" x14ac:dyDescent="0.3"/>
  <cols>
    <col min="5" max="5" width="20" customWidth="1"/>
    <col min="6" max="6" width="19.5" customWidth="1"/>
    <col min="7" max="7" width="15" customWidth="1"/>
    <col min="8" max="8" width="20.25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7</v>
      </c>
      <c r="E1" t="s">
        <v>3</v>
      </c>
      <c r="F1" t="s">
        <v>2</v>
      </c>
      <c r="G1" t="s">
        <v>1</v>
      </c>
      <c r="H1" t="s">
        <v>0</v>
      </c>
    </row>
    <row r="2" spans="1:8" x14ac:dyDescent="0.3">
      <c r="A2" s="2">
        <v>0.5</v>
      </c>
      <c r="B2" s="1">
        <v>7.7405678383437904</v>
      </c>
      <c r="C2" s="1">
        <v>23.963227521876799</v>
      </c>
      <c r="D2" s="1">
        <v>0.93796839234214002</v>
      </c>
      <c r="E2" s="1">
        <v>0.64574611847286201</v>
      </c>
      <c r="F2" s="1">
        <v>0.18647394358219599</v>
      </c>
      <c r="G2" s="1">
        <v>3.0912025576040301E-2</v>
      </c>
      <c r="H2" s="1">
        <v>0.70201416082952095</v>
      </c>
    </row>
    <row r="3" spans="1:8" x14ac:dyDescent="0.3">
      <c r="A3" s="2">
        <v>0.55000000000000004</v>
      </c>
      <c r="B3" s="1">
        <v>7.89247799719372</v>
      </c>
      <c r="C3" s="1">
        <v>23.986057715627801</v>
      </c>
      <c r="D3" s="1">
        <v>0.90868969618940598</v>
      </c>
      <c r="E3" s="1">
        <v>0.86431808647799402</v>
      </c>
      <c r="F3" s="1">
        <v>0.17360628958299601</v>
      </c>
      <c r="G3" s="1">
        <v>2.8025853534827401E-2</v>
      </c>
      <c r="H3" s="1">
        <v>0.68912060646567797</v>
      </c>
    </row>
    <row r="4" spans="1:8" x14ac:dyDescent="0.3">
      <c r="A4" s="2">
        <v>0.6</v>
      </c>
      <c r="B4" s="1">
        <v>7.6945086169394603</v>
      </c>
      <c r="C4" s="1">
        <v>24.003030705705601</v>
      </c>
      <c r="D4" s="1">
        <v>0.96754361135734401</v>
      </c>
      <c r="E4" s="1">
        <v>0.73646429805467495</v>
      </c>
      <c r="F4" s="1">
        <v>0.19232656634980499</v>
      </c>
      <c r="G4" s="1">
        <v>3.16211761038089E-2</v>
      </c>
      <c r="H4" s="1">
        <v>0.70703140089184002</v>
      </c>
    </row>
    <row r="5" spans="1:8" x14ac:dyDescent="0.3">
      <c r="A5" s="2">
        <v>0.65</v>
      </c>
      <c r="B5" s="1">
        <v>8.0147445866607896</v>
      </c>
      <c r="C5" s="1">
        <v>24.005559697698299</v>
      </c>
      <c r="D5" s="1">
        <v>0.89480245171647899</v>
      </c>
      <c r="E5" s="1">
        <v>0.70615823341093298</v>
      </c>
      <c r="F5" s="1">
        <v>0.16379759338442701</v>
      </c>
      <c r="G5" s="1">
        <v>2.5853285459244299E-2</v>
      </c>
      <c r="H5" s="1">
        <v>0.67899595577428096</v>
      </c>
    </row>
    <row r="6" spans="1:8" x14ac:dyDescent="0.3">
      <c r="A6" s="2">
        <v>0.7</v>
      </c>
      <c r="B6" s="1">
        <v>7.8519599944358802</v>
      </c>
      <c r="C6" s="1">
        <v>23.9854717007006</v>
      </c>
      <c r="D6" s="1">
        <v>0.93808534729260695</v>
      </c>
      <c r="E6" s="1">
        <v>0.71661716748183402</v>
      </c>
      <c r="F6" s="1">
        <v>0.17729277550245301</v>
      </c>
      <c r="G6" s="1">
        <v>2.87825927261386E-2</v>
      </c>
      <c r="H6" s="1">
        <v>0.69270058571586002</v>
      </c>
    </row>
    <row r="7" spans="1:8" x14ac:dyDescent="0.3">
      <c r="A7" s="2">
        <v>0.75</v>
      </c>
      <c r="B7" s="1">
        <v>7.8476226013199497</v>
      </c>
      <c r="C7" s="1">
        <v>23.9347190797392</v>
      </c>
      <c r="D7" s="1">
        <v>0.93921250911451304</v>
      </c>
      <c r="E7" s="1">
        <v>0.71670204485279798</v>
      </c>
      <c r="F7" s="1">
        <v>0.174907093432391</v>
      </c>
      <c r="G7" s="1">
        <v>2.8830260345899101E-2</v>
      </c>
      <c r="H7" s="1">
        <v>0.69156722074677202</v>
      </c>
    </row>
    <row r="8" spans="1:8" x14ac:dyDescent="0.3">
      <c r="A8" s="2">
        <v>0.8</v>
      </c>
      <c r="B8" s="1">
        <v>8.1914746094677895</v>
      </c>
      <c r="C8" s="1">
        <v>23.8449210499898</v>
      </c>
      <c r="D8" s="1">
        <v>0.84739070978911302</v>
      </c>
      <c r="E8" s="1">
        <v>0.82974140792943996</v>
      </c>
      <c r="F8" s="1">
        <v>0.13626767110333901</v>
      </c>
      <c r="G8" s="1">
        <v>2.1408629872506801E-2</v>
      </c>
      <c r="H8" s="1">
        <v>0.65711988746209005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0" workbookViewId="0">
      <selection activeCell="H39" sqref="H39"/>
    </sheetView>
  </sheetViews>
  <sheetFormatPr defaultRowHeight="14" x14ac:dyDescent="0.3"/>
  <cols>
    <col min="1" max="1" width="21.5" customWidth="1"/>
    <col min="12" max="12" width="21.5" customWidth="1"/>
    <col min="13" max="13" width="10.1640625" customWidth="1"/>
  </cols>
  <sheetData>
    <row r="1" spans="1:9" x14ac:dyDescent="0.3">
      <c r="A1" s="3" t="s">
        <v>8</v>
      </c>
      <c r="B1" s="3" t="s">
        <v>9</v>
      </c>
      <c r="C1" s="3" t="s">
        <v>10</v>
      </c>
      <c r="D1" s="3" t="s">
        <v>40</v>
      </c>
      <c r="E1" s="3" t="s">
        <v>11</v>
      </c>
      <c r="F1" s="3" t="s">
        <v>42</v>
      </c>
      <c r="G1" s="3" t="s">
        <v>12</v>
      </c>
      <c r="H1" s="3" t="s">
        <v>44</v>
      </c>
      <c r="I1" s="3" t="s">
        <v>13</v>
      </c>
    </row>
    <row r="2" spans="1:9" x14ac:dyDescent="0.3">
      <c r="A2" s="3" t="s">
        <v>14</v>
      </c>
      <c r="B2" s="6" t="s">
        <v>46</v>
      </c>
      <c r="C2" s="1">
        <v>23.963227521876799</v>
      </c>
      <c r="D2" s="1">
        <v>23.986057715627801</v>
      </c>
      <c r="E2" s="1">
        <v>24.003030705705601</v>
      </c>
      <c r="F2" s="1">
        <v>24.005559697698299</v>
      </c>
      <c r="G2" s="1">
        <v>23.9854717007006</v>
      </c>
      <c r="H2" s="1">
        <v>23.9347190797392</v>
      </c>
      <c r="I2" s="1">
        <v>23.8449210499898</v>
      </c>
    </row>
    <row r="3" spans="1:9" x14ac:dyDescent="0.3">
      <c r="A3" s="3" t="s">
        <v>15</v>
      </c>
      <c r="B3" s="6" t="s">
        <v>16</v>
      </c>
      <c r="C3" s="1">
        <v>7.7405678383437904</v>
      </c>
      <c r="D3" s="1">
        <v>7.89247799719372</v>
      </c>
      <c r="E3" s="1">
        <v>7.6945086169394603</v>
      </c>
      <c r="F3" s="1">
        <v>8.0147445866607896</v>
      </c>
      <c r="G3" s="1">
        <v>7.8519599944358802</v>
      </c>
      <c r="H3" s="1">
        <v>7.8476226013199497</v>
      </c>
      <c r="I3" s="1">
        <v>8.1914746094677895</v>
      </c>
    </row>
    <row r="4" spans="1:9" ht="17" x14ac:dyDescent="0.3">
      <c r="A4" s="3" t="s">
        <v>17</v>
      </c>
      <c r="B4" s="6" t="s">
        <v>48</v>
      </c>
      <c r="C4" s="1">
        <v>0.70201416082952095</v>
      </c>
      <c r="D4" s="1">
        <v>0.68912060646567797</v>
      </c>
      <c r="E4" s="1">
        <v>0.70703140089184002</v>
      </c>
      <c r="F4" s="1">
        <v>0.67899595577428096</v>
      </c>
      <c r="G4" s="1">
        <v>0.69270058571586002</v>
      </c>
      <c r="H4" s="1">
        <v>0.69156722074677202</v>
      </c>
      <c r="I4" s="1">
        <v>0.65711988746209005</v>
      </c>
    </row>
    <row r="5" spans="1:9" x14ac:dyDescent="0.3">
      <c r="A5" s="3" t="s">
        <v>18</v>
      </c>
      <c r="B5" s="6" t="s">
        <v>19</v>
      </c>
      <c r="C5" s="3">
        <f>102/60</f>
        <v>1.7</v>
      </c>
      <c r="D5" s="3">
        <f t="shared" ref="D5:I5" si="0">102/60</f>
        <v>1.7</v>
      </c>
      <c r="E5" s="3">
        <f t="shared" si="0"/>
        <v>1.7</v>
      </c>
      <c r="F5" s="3">
        <f t="shared" si="0"/>
        <v>1.7</v>
      </c>
      <c r="G5" s="3">
        <f t="shared" si="0"/>
        <v>1.7</v>
      </c>
      <c r="H5" s="3">
        <f t="shared" si="0"/>
        <v>1.7</v>
      </c>
      <c r="I5" s="3">
        <f t="shared" si="0"/>
        <v>1.7</v>
      </c>
    </row>
    <row r="6" spans="1:9" x14ac:dyDescent="0.3">
      <c r="A6" s="3" t="s">
        <v>20</v>
      </c>
      <c r="B6" s="6" t="s">
        <v>49</v>
      </c>
      <c r="C6" s="3">
        <v>0.25</v>
      </c>
      <c r="D6" s="3">
        <v>0.25</v>
      </c>
      <c r="E6" s="3">
        <v>0.25</v>
      </c>
      <c r="F6" s="3">
        <v>0.25</v>
      </c>
      <c r="G6" s="3">
        <v>0.25</v>
      </c>
      <c r="H6" s="3">
        <v>0.25</v>
      </c>
      <c r="I6" s="3">
        <v>0.25</v>
      </c>
    </row>
    <row r="7" spans="1:9" x14ac:dyDescent="0.3">
      <c r="A7" s="3" t="s">
        <v>21</v>
      </c>
      <c r="B7" s="6" t="s">
        <v>22</v>
      </c>
      <c r="C7" s="3">
        <f>0.85*33000*0.98</f>
        <v>27489</v>
      </c>
      <c r="D7" s="3">
        <f t="shared" ref="D7:I7" si="1">0.85*33000*0.98</f>
        <v>27489</v>
      </c>
      <c r="E7" s="3">
        <f t="shared" si="1"/>
        <v>27489</v>
      </c>
      <c r="F7" s="3">
        <f t="shared" si="1"/>
        <v>27489</v>
      </c>
      <c r="G7" s="3">
        <f t="shared" si="1"/>
        <v>27489</v>
      </c>
      <c r="H7" s="3">
        <f t="shared" si="1"/>
        <v>27489</v>
      </c>
      <c r="I7" s="3">
        <f t="shared" si="1"/>
        <v>27489</v>
      </c>
    </row>
    <row r="8" spans="1:9" x14ac:dyDescent="0.3">
      <c r="A8" s="3" t="s">
        <v>23</v>
      </c>
      <c r="B8" s="6" t="s">
        <v>24</v>
      </c>
      <c r="C8" s="3">
        <f>C2*(1-C6)*0.514443</f>
        <v>9.2457859920276491</v>
      </c>
      <c r="D8" s="3">
        <f t="shared" ref="D8:I8" si="2">D2*(1-D6)*0.514443</f>
        <v>9.254594617050536</v>
      </c>
      <c r="E8" s="3">
        <f t="shared" si="2"/>
        <v>9.2611433440014803</v>
      </c>
      <c r="F8" s="3">
        <f t="shared" si="2"/>
        <v>9.2621191106722538</v>
      </c>
      <c r="G8" s="3">
        <f t="shared" si="2"/>
        <v>9.2543685135926381</v>
      </c>
      <c r="H8" s="3">
        <f t="shared" si="2"/>
        <v>9.2347865156537043</v>
      </c>
      <c r="I8" s="3">
        <f t="shared" si="2"/>
        <v>9.2001395397899266</v>
      </c>
    </row>
    <row r="9" spans="1:9" ht="16.5" x14ac:dyDescent="0.3">
      <c r="A9" s="3" t="s">
        <v>25</v>
      </c>
      <c r="B9" s="6" t="s">
        <v>26</v>
      </c>
      <c r="C9" s="4">
        <f>C8^2+(0.7*PI()*C5*C3)^2</f>
        <v>922.89681022717298</v>
      </c>
      <c r="D9" s="4">
        <f t="shared" ref="D9:I9" si="3">D8^2+(0.7*PI()*D5*D3)^2</f>
        <v>956.25105973485449</v>
      </c>
      <c r="E9" s="4">
        <f t="shared" si="3"/>
        <v>913.24485691930272</v>
      </c>
      <c r="F9" s="4">
        <f t="shared" si="3"/>
        <v>983.57329093390035</v>
      </c>
      <c r="G9" s="4">
        <f t="shared" si="3"/>
        <v>947.3308994127708</v>
      </c>
      <c r="H9" s="4">
        <f t="shared" si="3"/>
        <v>946.01712182781955</v>
      </c>
      <c r="I9" s="4">
        <f t="shared" si="3"/>
        <v>1022.4590191444714</v>
      </c>
    </row>
    <row r="10" spans="1:9" x14ac:dyDescent="0.3">
      <c r="A10" s="3" t="s">
        <v>27</v>
      </c>
      <c r="B10" s="6" t="s">
        <v>16</v>
      </c>
      <c r="C10" s="4">
        <f>8</f>
        <v>8</v>
      </c>
      <c r="D10" s="4">
        <f>8</f>
        <v>8</v>
      </c>
      <c r="E10" s="4">
        <f>8</f>
        <v>8</v>
      </c>
      <c r="F10" s="4">
        <f>8</f>
        <v>8</v>
      </c>
      <c r="G10" s="4">
        <f>8</f>
        <v>8</v>
      </c>
      <c r="H10" s="4">
        <f>8</f>
        <v>8</v>
      </c>
      <c r="I10" s="4">
        <f>8</f>
        <v>8</v>
      </c>
    </row>
    <row r="11" spans="1:9" ht="16" x14ac:dyDescent="0.3">
      <c r="A11" s="3" t="s">
        <v>28</v>
      </c>
      <c r="B11" s="6" t="s">
        <v>29</v>
      </c>
      <c r="C11" s="4">
        <v>18363.28</v>
      </c>
      <c r="D11" s="4">
        <v>18363.28</v>
      </c>
      <c r="E11" s="4">
        <v>18363.28</v>
      </c>
      <c r="F11" s="4">
        <v>18363.28</v>
      </c>
      <c r="G11" s="4">
        <v>18363.28</v>
      </c>
      <c r="H11" s="4">
        <v>18363.28</v>
      </c>
      <c r="I11" s="4">
        <v>18363.28</v>
      </c>
    </row>
    <row r="12" spans="1:9" x14ac:dyDescent="0.3">
      <c r="A12" s="3" t="s">
        <v>30</v>
      </c>
      <c r="B12" s="6" t="s">
        <v>48</v>
      </c>
      <c r="C12" s="3">
        <f>C11/0.5/104.63/C9</f>
        <v>0.380339018748862</v>
      </c>
      <c r="D12" s="3">
        <f t="shared" ref="D12:I12" si="4">D11/0.5/104.63/D9</f>
        <v>0.36707270923766128</v>
      </c>
      <c r="E12" s="3">
        <f t="shared" si="4"/>
        <v>0.38435876703686095</v>
      </c>
      <c r="F12" s="3">
        <f t="shared" si="4"/>
        <v>0.35687596485562462</v>
      </c>
      <c r="G12" s="3">
        <f t="shared" si="4"/>
        <v>0.37052910173820275</v>
      </c>
      <c r="H12" s="3">
        <f t="shared" si="4"/>
        <v>0.37104367258179938</v>
      </c>
      <c r="I12" s="3">
        <f t="shared" si="4"/>
        <v>0.34330340936496756</v>
      </c>
    </row>
    <row r="13" spans="1:9" x14ac:dyDescent="0.3">
      <c r="A13" s="3" t="s">
        <v>31</v>
      </c>
      <c r="B13" s="6" t="s">
        <v>51</v>
      </c>
      <c r="C13" s="3">
        <v>0.14810000000000001</v>
      </c>
      <c r="D13" s="3">
        <v>0.14249999999999999</v>
      </c>
      <c r="E13" s="3">
        <v>0.1484</v>
      </c>
      <c r="F13" s="3">
        <v>0.13930000000000001</v>
      </c>
      <c r="G13" s="3">
        <v>0.14369999999999999</v>
      </c>
      <c r="H13" s="3">
        <v>0.1439</v>
      </c>
      <c r="I13" s="3">
        <v>0.13719999999999999</v>
      </c>
    </row>
    <row r="14" spans="1:9" x14ac:dyDescent="0.3">
      <c r="A14" s="3" t="s">
        <v>32</v>
      </c>
      <c r="B14" s="6" t="s">
        <v>33</v>
      </c>
      <c r="C14" s="3">
        <f>C7*C4/C8*0.1019716213*1000</f>
        <v>212833.65418852097</v>
      </c>
      <c r="D14" s="3">
        <f t="shared" ref="D14:I14" si="5">D7*D4/D8*0.1019716213*1000</f>
        <v>208725.78468595998</v>
      </c>
      <c r="E14" s="3">
        <f t="shared" si="5"/>
        <v>213999.30440381193</v>
      </c>
      <c r="F14" s="3">
        <f t="shared" si="5"/>
        <v>205492.0816264482</v>
      </c>
      <c r="G14" s="3">
        <f t="shared" si="5"/>
        <v>209815.2405378237</v>
      </c>
      <c r="H14" s="3">
        <f t="shared" si="5"/>
        <v>209916.12740118188</v>
      </c>
      <c r="I14" s="3">
        <f t="shared" si="5"/>
        <v>200211.24323790905</v>
      </c>
    </row>
    <row r="15" spans="1:9" ht="16" x14ac:dyDescent="0.3">
      <c r="A15" s="5" t="s">
        <v>34</v>
      </c>
      <c r="B15" s="6" t="s">
        <v>35</v>
      </c>
      <c r="C15" s="3">
        <f>C14/0.5/104.63/C9/C13</f>
        <v>29.764998737416867</v>
      </c>
      <c r="D15" s="3">
        <f t="shared" ref="D15:I15" si="6">D14/0.5/104.63/D9/D13</f>
        <v>29.279461090975104</v>
      </c>
      <c r="E15" s="3">
        <f t="shared" si="6"/>
        <v>30.183180161403964</v>
      </c>
      <c r="F15" s="3">
        <f t="shared" si="6"/>
        <v>28.668899260495504</v>
      </c>
      <c r="G15" s="3">
        <f t="shared" si="6"/>
        <v>29.461328757189641</v>
      </c>
      <c r="H15" s="3">
        <f t="shared" si="6"/>
        <v>29.475405294461201</v>
      </c>
      <c r="I15" s="3">
        <f t="shared" si="6"/>
        <v>27.281120962608011</v>
      </c>
    </row>
    <row r="16" spans="1:9" x14ac:dyDescent="0.3">
      <c r="A16" s="5" t="s">
        <v>36</v>
      </c>
      <c r="B16" s="6" t="s">
        <v>50</v>
      </c>
      <c r="C16" s="1">
        <v>0.93796839234214002</v>
      </c>
      <c r="D16" s="1">
        <v>0.90868969618940598</v>
      </c>
      <c r="E16" s="1">
        <v>0.96754361135734401</v>
      </c>
      <c r="F16" s="1">
        <v>0.89480245171647899</v>
      </c>
      <c r="G16" s="1">
        <v>0.93808534729260695</v>
      </c>
      <c r="H16" s="1">
        <v>0.93921250911451304</v>
      </c>
      <c r="I16" s="1">
        <v>0.84739070978911302</v>
      </c>
    </row>
    <row r="17" spans="1:9" ht="16" x14ac:dyDescent="0.3">
      <c r="A17" s="5" t="s">
        <v>37</v>
      </c>
      <c r="B17" s="6" t="s">
        <v>35</v>
      </c>
      <c r="C17" s="3">
        <f>C15/(1.067-0.229*C16)</f>
        <v>34.927030960176204</v>
      </c>
      <c r="D17" s="3">
        <f t="shared" ref="D17:I17" si="7">D15/(1.067-0.229*D16)</f>
        <v>34.089088565971501</v>
      </c>
      <c r="E17" s="3">
        <f t="shared" si="7"/>
        <v>35.701466051180432</v>
      </c>
      <c r="F17" s="3">
        <f t="shared" si="7"/>
        <v>33.255102515120775</v>
      </c>
      <c r="G17" s="3">
        <f t="shared" si="7"/>
        <v>34.571783137771476</v>
      </c>
      <c r="H17" s="3">
        <f t="shared" si="7"/>
        <v>34.598781211367182</v>
      </c>
      <c r="I17" s="3">
        <f t="shared" si="7"/>
        <v>31.251730607497969</v>
      </c>
    </row>
    <row r="18" spans="1:9" ht="16" x14ac:dyDescent="0.3">
      <c r="A18" s="5" t="s">
        <v>38</v>
      </c>
      <c r="B18" s="6" t="s">
        <v>50</v>
      </c>
      <c r="C18" s="3">
        <f>C17/(PI()*0.25*C3^2)</f>
        <v>0.74220887902739008</v>
      </c>
      <c r="D18" s="3">
        <f t="shared" ref="D18:I18" si="8">D17/(PI()*0.25*D3^2)</f>
        <v>0.69678492916453327</v>
      </c>
      <c r="E18" s="3">
        <f t="shared" si="8"/>
        <v>0.76777574548860605</v>
      </c>
      <c r="F18" s="3">
        <f t="shared" si="8"/>
        <v>0.65915725412052761</v>
      </c>
      <c r="G18" s="3">
        <f t="shared" si="8"/>
        <v>0.71396306010560884</v>
      </c>
      <c r="H18" s="3">
        <f t="shared" si="8"/>
        <v>0.71531066541471455</v>
      </c>
      <c r="I18" s="3">
        <f t="shared" si="8"/>
        <v>0.59300726194374365</v>
      </c>
    </row>
    <row r="21" spans="1:9" x14ac:dyDescent="0.3">
      <c r="C21" t="s">
        <v>54</v>
      </c>
      <c r="D21" t="s">
        <v>39</v>
      </c>
      <c r="E21" t="s">
        <v>55</v>
      </c>
      <c r="F21" t="s">
        <v>41</v>
      </c>
      <c r="G21" t="s">
        <v>56</v>
      </c>
      <c r="H21" t="s">
        <v>43</v>
      </c>
      <c r="I21" t="s">
        <v>57</v>
      </c>
    </row>
    <row r="22" spans="1:9" x14ac:dyDescent="0.3">
      <c r="A22" t="s">
        <v>67</v>
      </c>
      <c r="B22" s="1" t="s">
        <v>45</v>
      </c>
      <c r="C22" s="7">
        <v>23.963227521876799</v>
      </c>
      <c r="D22" s="7">
        <v>23.986057715627801</v>
      </c>
      <c r="E22" s="7">
        <v>24.003030705705601</v>
      </c>
      <c r="F22" s="7">
        <v>24.005559697698299</v>
      </c>
      <c r="G22" s="7">
        <v>23.9854717007006</v>
      </c>
      <c r="H22" s="7">
        <v>23.9347190797392</v>
      </c>
      <c r="I22" s="7">
        <v>23.8449210499898</v>
      </c>
    </row>
    <row r="23" spans="1:9" x14ac:dyDescent="0.3">
      <c r="A23" t="s">
        <v>58</v>
      </c>
      <c r="B23" s="1" t="s">
        <v>59</v>
      </c>
      <c r="C23" s="7">
        <v>7.7405678383437904</v>
      </c>
      <c r="D23" s="7">
        <v>7.89247799719372</v>
      </c>
      <c r="E23" s="7">
        <v>7.6945086169394603</v>
      </c>
      <c r="F23" s="7">
        <v>8.0147445866607896</v>
      </c>
      <c r="G23" s="7">
        <v>7.8519599944358802</v>
      </c>
      <c r="H23" s="7">
        <v>7.8476226013199497</v>
      </c>
      <c r="I23" s="7">
        <v>8.1914746094677895</v>
      </c>
    </row>
    <row r="24" spans="1:9" x14ac:dyDescent="0.3">
      <c r="A24" t="s">
        <v>60</v>
      </c>
      <c r="B24" t="s">
        <v>47</v>
      </c>
      <c r="C24" s="7">
        <v>0.70201416082952095</v>
      </c>
      <c r="D24" s="7">
        <v>0.68912060646567797</v>
      </c>
      <c r="E24" s="7">
        <v>0.70703140089184002</v>
      </c>
      <c r="F24" s="7">
        <v>0.67899595577428096</v>
      </c>
      <c r="G24" s="7">
        <v>0.69270058571586002</v>
      </c>
      <c r="H24" s="7">
        <v>0.69156722074677202</v>
      </c>
      <c r="I24" s="7">
        <v>0.65711988746209005</v>
      </c>
    </row>
    <row r="25" spans="1:9" x14ac:dyDescent="0.3">
      <c r="A25" t="s">
        <v>61</v>
      </c>
      <c r="B25" t="s">
        <v>62</v>
      </c>
      <c r="C25">
        <v>922.89681022717298</v>
      </c>
      <c r="D25">
        <v>956.25105973485449</v>
      </c>
      <c r="E25">
        <v>913.24485691930272</v>
      </c>
      <c r="F25">
        <v>983.57329093390035</v>
      </c>
      <c r="G25">
        <v>947.3308994127708</v>
      </c>
      <c r="H25">
        <v>946.01712182781955</v>
      </c>
      <c r="I25">
        <v>1022.4590191444714</v>
      </c>
    </row>
    <row r="26" spans="1:9" x14ac:dyDescent="0.3">
      <c r="A26" t="s">
        <v>63</v>
      </c>
      <c r="B26" t="s">
        <v>47</v>
      </c>
      <c r="C26" s="7">
        <v>0.380339018748862</v>
      </c>
      <c r="D26" s="7">
        <v>0.36707270923766128</v>
      </c>
      <c r="E26" s="7">
        <v>0.38435876703686095</v>
      </c>
      <c r="F26" s="7">
        <v>0.35687596485562462</v>
      </c>
      <c r="G26" s="7">
        <v>0.37052910173820275</v>
      </c>
      <c r="H26" s="7">
        <v>0.37104367258179938</v>
      </c>
      <c r="I26" s="7">
        <v>0.34330340936496756</v>
      </c>
    </row>
    <row r="27" spans="1:9" x14ac:dyDescent="0.3">
      <c r="A27" t="s">
        <v>64</v>
      </c>
      <c r="B27" t="s">
        <v>47</v>
      </c>
      <c r="C27">
        <v>0.14810000000000001</v>
      </c>
      <c r="D27">
        <v>0.14249999999999999</v>
      </c>
      <c r="E27">
        <v>0.1484</v>
      </c>
      <c r="F27">
        <v>0.13930000000000001</v>
      </c>
      <c r="G27">
        <v>0.14369999999999999</v>
      </c>
      <c r="H27">
        <v>0.1439</v>
      </c>
      <c r="I27">
        <v>0.13719999999999999</v>
      </c>
    </row>
    <row r="28" spans="1:9" x14ac:dyDescent="0.3">
      <c r="A28" t="s">
        <v>65</v>
      </c>
      <c r="B28" t="s">
        <v>47</v>
      </c>
      <c r="C28" s="7">
        <v>0.93796839234214002</v>
      </c>
      <c r="D28" s="7">
        <v>0.90868969618940598</v>
      </c>
      <c r="E28" s="7">
        <v>0.96754361135734401</v>
      </c>
      <c r="F28" s="7">
        <v>0.89480245171647899</v>
      </c>
      <c r="G28" s="7">
        <v>0.93808534729260695</v>
      </c>
      <c r="H28" s="7">
        <v>0.93921250911451304</v>
      </c>
      <c r="I28" s="7">
        <v>0.84739070978911302</v>
      </c>
    </row>
    <row r="29" spans="1:9" x14ac:dyDescent="0.3">
      <c r="A29" t="s">
        <v>66</v>
      </c>
      <c r="B29" t="s">
        <v>47</v>
      </c>
      <c r="C29" s="7">
        <v>0.74220887902739008</v>
      </c>
      <c r="D29" s="7">
        <v>0.69678492916453327</v>
      </c>
      <c r="E29" s="7">
        <v>0.76777574548860605</v>
      </c>
      <c r="F29" s="7">
        <v>0.65915725412052761</v>
      </c>
      <c r="G29" s="7">
        <v>0.71396306010560884</v>
      </c>
      <c r="H29" s="7">
        <v>0.71531066541471455</v>
      </c>
      <c r="I29" s="7">
        <v>0.59300726194374365</v>
      </c>
    </row>
    <row r="31" spans="1:9" x14ac:dyDescent="0.3">
      <c r="C31" s="8">
        <v>0.5</v>
      </c>
      <c r="D31" s="8">
        <v>0.55000000000000004</v>
      </c>
      <c r="E31" s="8">
        <v>0.6</v>
      </c>
      <c r="F31" s="8">
        <v>0.65</v>
      </c>
      <c r="G31" s="8">
        <v>0.7</v>
      </c>
      <c r="H31" s="8">
        <v>0.75</v>
      </c>
      <c r="I31" s="8">
        <v>0.8</v>
      </c>
    </row>
    <row r="32" spans="1:9" x14ac:dyDescent="0.3">
      <c r="C32" s="8">
        <v>0.5</v>
      </c>
      <c r="D32" s="8">
        <v>0.55000000000000004</v>
      </c>
      <c r="E32" s="8">
        <v>0.6</v>
      </c>
      <c r="F32" s="8">
        <v>0.65</v>
      </c>
      <c r="G32" s="8">
        <v>0.7</v>
      </c>
      <c r="H32" s="8">
        <v>0.75</v>
      </c>
      <c r="I32" s="8">
        <v>0.8</v>
      </c>
    </row>
    <row r="33" spans="3:9" x14ac:dyDescent="0.3">
      <c r="C33" s="7">
        <v>0.74220887902739008</v>
      </c>
      <c r="D33" s="7">
        <v>0.69678492916453327</v>
      </c>
      <c r="E33" s="7">
        <v>0.76777574548860605</v>
      </c>
      <c r="F33" s="7">
        <v>0.65915725412052761</v>
      </c>
      <c r="G33" s="7">
        <v>0.71396306010560884</v>
      </c>
      <c r="H33" s="7">
        <v>0.71531066541471455</v>
      </c>
      <c r="I33" s="7">
        <v>0.59300726194374365</v>
      </c>
    </row>
    <row r="35" spans="3:9" x14ac:dyDescent="0.3">
      <c r="F35" s="7">
        <v>23.9854717007006</v>
      </c>
      <c r="G35" s="7">
        <v>23.9347190797392</v>
      </c>
      <c r="H35" s="7">
        <f>SUM(F35:G35)/2</f>
        <v>23.960095390219898</v>
      </c>
    </row>
    <row r="36" spans="3:9" x14ac:dyDescent="0.3">
      <c r="F36" s="7">
        <v>7.8519599944358802</v>
      </c>
      <c r="G36" s="7">
        <v>7.8476226013199497</v>
      </c>
      <c r="H36" s="7">
        <f>SUM(F36:G36)/2</f>
        <v>7.849791297877915</v>
      </c>
    </row>
    <row r="37" spans="3:9" x14ac:dyDescent="0.3">
      <c r="F37" s="7">
        <v>0.93808534729260695</v>
      </c>
      <c r="G37" s="7">
        <v>0.93921250911451304</v>
      </c>
      <c r="H37" s="7">
        <f>SUM(F37:G37)/2</f>
        <v>0.93864892820355994</v>
      </c>
    </row>
    <row r="38" spans="3:9" x14ac:dyDescent="0.3">
      <c r="F38" s="7">
        <v>0.69270058571586002</v>
      </c>
      <c r="G38" s="7">
        <v>0.69156722074677202</v>
      </c>
      <c r="H38" s="7">
        <f>SUM(F38:G38)/2</f>
        <v>0.69213390323131607</v>
      </c>
    </row>
    <row r="39" spans="3:9" x14ac:dyDescent="0.3">
      <c r="F39">
        <f>0.266*7.8498*0.7145*10/5</f>
        <v>2.9838188772000005</v>
      </c>
      <c r="G39">
        <f>F39*0.7212</f>
        <v>2.1519301742366403</v>
      </c>
      <c r="H39" s="7">
        <f>F39*0.9911</f>
        <v>2.9572628891929202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J17" sqref="J17"/>
    </sheetView>
  </sheetViews>
  <sheetFormatPr defaultRowHeight="14" x14ac:dyDescent="0.3"/>
  <cols>
    <col min="2" max="2" width="19.83203125" customWidth="1"/>
    <col min="4" max="4" width="11.6640625" customWidth="1"/>
    <col min="10" max="10" width="14.33203125" customWidth="1"/>
  </cols>
  <sheetData>
    <row r="1" spans="1:24" x14ac:dyDescent="0.3">
      <c r="A1" s="3" t="s">
        <v>88</v>
      </c>
      <c r="B1" s="3" t="s">
        <v>68</v>
      </c>
      <c r="C1" s="3" t="s">
        <v>89</v>
      </c>
      <c r="D1" s="3" t="s">
        <v>90</v>
      </c>
      <c r="E1" s="3" t="s">
        <v>91</v>
      </c>
      <c r="F1" s="3"/>
      <c r="G1" s="3" t="s">
        <v>92</v>
      </c>
      <c r="H1" s="3" t="s">
        <v>93</v>
      </c>
      <c r="J1" s="3" t="s">
        <v>52</v>
      </c>
      <c r="K1" s="3" t="s">
        <v>53</v>
      </c>
      <c r="L1" s="3" t="s">
        <v>129</v>
      </c>
      <c r="M1" s="3" t="s">
        <v>130</v>
      </c>
      <c r="P1" s="10">
        <v>324.56837999999999</v>
      </c>
      <c r="Q1" s="10">
        <v>287.43162000000001</v>
      </c>
      <c r="R1" s="10">
        <v>250.29486</v>
      </c>
      <c r="S1" s="10">
        <v>213.15809999999999</v>
      </c>
      <c r="T1" s="10">
        <v>176.02133999999998</v>
      </c>
      <c r="U1" s="10">
        <v>138.88457999999997</v>
      </c>
      <c r="V1" s="10">
        <v>101.74781999999996</v>
      </c>
      <c r="W1" s="10">
        <v>64.611059999999981</v>
      </c>
      <c r="X1" s="10">
        <v>27.474299999999999</v>
      </c>
    </row>
    <row r="2" spans="1:24" ht="16" x14ac:dyDescent="0.3">
      <c r="A2" s="3">
        <v>1</v>
      </c>
      <c r="B2" s="3" t="s">
        <v>94</v>
      </c>
      <c r="C2" s="3" t="s">
        <v>95</v>
      </c>
      <c r="D2" s="3">
        <v>7.8498000000000001</v>
      </c>
      <c r="E2" s="3">
        <v>7.8498000000000001</v>
      </c>
      <c r="F2" s="3"/>
      <c r="G2" s="3" t="s">
        <v>96</v>
      </c>
      <c r="H2" s="9">
        <f>306+(D26-H10)/0.75*0.05</f>
        <v>324.56837999999999</v>
      </c>
      <c r="J2" s="3" t="s">
        <v>131</v>
      </c>
      <c r="K2" s="3" t="s">
        <v>59</v>
      </c>
      <c r="L2" s="3">
        <v>2.1518999999999999</v>
      </c>
      <c r="M2" s="3">
        <v>2.9573</v>
      </c>
    </row>
    <row r="3" spans="1:24" ht="16" x14ac:dyDescent="0.3">
      <c r="A3" s="3">
        <v>2</v>
      </c>
      <c r="B3" s="3" t="s">
        <v>97</v>
      </c>
      <c r="C3" s="3"/>
      <c r="D3" s="3">
        <v>0.71450000000000002</v>
      </c>
      <c r="E3" s="3">
        <v>0.71450000000000002</v>
      </c>
      <c r="F3" s="3"/>
      <c r="G3" s="3" t="s">
        <v>69</v>
      </c>
      <c r="H3" s="9">
        <f>306-(D26-H10)/0.75*0.05</f>
        <v>287.43162000000001</v>
      </c>
      <c r="J3" s="3" t="s">
        <v>132</v>
      </c>
      <c r="K3" s="3"/>
      <c r="L3" s="3">
        <v>1925.0333246056171</v>
      </c>
      <c r="M3" s="3">
        <v>703.7262161681781</v>
      </c>
    </row>
    <row r="4" spans="1:24" ht="16" x14ac:dyDescent="0.3">
      <c r="A4" s="3">
        <v>3</v>
      </c>
      <c r="B4" s="3" t="s">
        <v>98</v>
      </c>
      <c r="C4" s="3"/>
      <c r="D4" s="3">
        <f>1.6938-2.49914*D3+1.97907*D3*D3</f>
        <v>0.91849999046749997</v>
      </c>
      <c r="E4" s="3">
        <f>1.6938-2.49914*E3+1.97907*E3*E3</f>
        <v>0.91849999046749997</v>
      </c>
      <c r="F4" s="3"/>
      <c r="G4" s="3" t="s">
        <v>70</v>
      </c>
      <c r="H4" s="9">
        <f>306-(D26-H10)/0.75*0.15</f>
        <v>250.29486</v>
      </c>
      <c r="J4" s="3" t="s">
        <v>133</v>
      </c>
      <c r="K4" s="3"/>
      <c r="L4" s="3">
        <v>76360.818155274654</v>
      </c>
      <c r="M4" s="3">
        <v>20312.470771350789</v>
      </c>
    </row>
    <row r="5" spans="1:24" ht="16" x14ac:dyDescent="0.3">
      <c r="A5" s="3">
        <v>4</v>
      </c>
      <c r="B5" s="3" t="s">
        <v>71</v>
      </c>
      <c r="C5" s="3" t="s">
        <v>99</v>
      </c>
      <c r="D5" s="3">
        <v>7.6</v>
      </c>
      <c r="E5" s="3">
        <v>7.6</v>
      </c>
      <c r="F5" s="3"/>
      <c r="G5" s="3" t="s">
        <v>72</v>
      </c>
      <c r="H5" s="9">
        <f>306-(D26-H10)/0.75*0.25</f>
        <v>213.15809999999999</v>
      </c>
      <c r="J5" s="3" t="s">
        <v>134</v>
      </c>
      <c r="K5" s="3"/>
      <c r="L5" s="3">
        <v>1249.4447516381679</v>
      </c>
      <c r="M5" s="3">
        <v>1135.6886243702797</v>
      </c>
    </row>
    <row r="6" spans="1:24" ht="16" x14ac:dyDescent="0.3">
      <c r="A6" s="3">
        <v>5</v>
      </c>
      <c r="B6" s="3" t="s">
        <v>100</v>
      </c>
      <c r="C6" s="3" t="s">
        <v>73</v>
      </c>
      <c r="D6" s="3">
        <v>2.9838</v>
      </c>
      <c r="E6" s="3">
        <v>2.9838</v>
      </c>
      <c r="F6" s="3"/>
      <c r="G6" s="3" t="s">
        <v>74</v>
      </c>
      <c r="H6" s="9">
        <f>306-(D26-H10)/0.75*0.35</f>
        <v>176.02133999999998</v>
      </c>
      <c r="J6" s="3" t="s">
        <v>135</v>
      </c>
      <c r="K6" s="3"/>
      <c r="L6" s="3">
        <v>0.3173342231766727</v>
      </c>
      <c r="M6" s="3">
        <v>0.20988714126097124</v>
      </c>
    </row>
    <row r="7" spans="1:24" ht="16" x14ac:dyDescent="0.3">
      <c r="A7" s="3">
        <v>6</v>
      </c>
      <c r="B7" s="3" t="s">
        <v>101</v>
      </c>
      <c r="C7" s="3" t="s">
        <v>102</v>
      </c>
      <c r="D7" s="3">
        <v>2.1518999999999999</v>
      </c>
      <c r="E7" s="3">
        <v>2.9573</v>
      </c>
      <c r="F7" s="3"/>
      <c r="G7" s="3" t="s">
        <v>75</v>
      </c>
      <c r="H7" s="9">
        <f>306-(D26-H10)/0.75*0.45</f>
        <v>138.88457999999997</v>
      </c>
      <c r="J7" s="3" t="s">
        <v>136</v>
      </c>
      <c r="K7" s="3" t="s">
        <v>137</v>
      </c>
      <c r="L7" s="3">
        <v>268.06304051978253</v>
      </c>
      <c r="M7" s="3">
        <v>131.7551199480155</v>
      </c>
    </row>
    <row r="8" spans="1:24" ht="16" x14ac:dyDescent="0.3">
      <c r="A8" s="3">
        <v>7</v>
      </c>
      <c r="B8" s="3" t="s">
        <v>103</v>
      </c>
      <c r="C8" s="3" t="s">
        <v>104</v>
      </c>
      <c r="D8" s="3">
        <v>32010</v>
      </c>
      <c r="E8" s="3">
        <v>32010</v>
      </c>
      <c r="F8" s="3"/>
      <c r="G8" s="3" t="s">
        <v>76</v>
      </c>
      <c r="H8" s="9">
        <f>306-(D26-H10)/0.75*0.55</f>
        <v>101.74781999999996</v>
      </c>
      <c r="J8" s="3" t="s">
        <v>138</v>
      </c>
      <c r="K8" s="3" t="s">
        <v>137</v>
      </c>
      <c r="L8" s="3">
        <v>300.25484999999998</v>
      </c>
      <c r="M8" s="3">
        <v>171.12564</v>
      </c>
    </row>
    <row r="9" spans="1:24" ht="16" x14ac:dyDescent="0.3">
      <c r="A9" s="3">
        <v>8</v>
      </c>
      <c r="B9" s="3" t="s">
        <v>105</v>
      </c>
      <c r="C9" s="3" t="s">
        <v>106</v>
      </c>
      <c r="D9" s="3">
        <v>102</v>
      </c>
      <c r="E9" s="3">
        <v>102</v>
      </c>
      <c r="F9" s="3"/>
      <c r="G9" s="3" t="s">
        <v>77</v>
      </c>
      <c r="H9" s="9">
        <f>306-(D26-H10)/0.75*0.65</f>
        <v>64.611059999999981</v>
      </c>
      <c r="J9" s="3" t="s">
        <v>139</v>
      </c>
      <c r="K9" s="3"/>
      <c r="L9" s="3" t="s">
        <v>127</v>
      </c>
      <c r="M9" s="3" t="s">
        <v>127</v>
      </c>
    </row>
    <row r="10" spans="1:24" ht="16" x14ac:dyDescent="0.3">
      <c r="A10" s="3">
        <v>9</v>
      </c>
      <c r="B10" s="3" t="s">
        <v>107</v>
      </c>
      <c r="C10" s="3"/>
      <c r="D10" s="3">
        <v>634</v>
      </c>
      <c r="E10" s="3">
        <v>207</v>
      </c>
      <c r="F10" s="3"/>
      <c r="G10" s="3" t="s">
        <v>108</v>
      </c>
      <c r="H10" s="9">
        <f>0.0035*D2*1000</f>
        <v>27.474299999999999</v>
      </c>
      <c r="J10" s="3" t="s">
        <v>140</v>
      </c>
      <c r="K10" s="3"/>
      <c r="L10" s="3">
        <v>306</v>
      </c>
      <c r="M10" s="3">
        <v>176.11064919666669</v>
      </c>
    </row>
    <row r="11" spans="1:24" x14ac:dyDescent="0.3">
      <c r="A11" s="3">
        <v>10</v>
      </c>
      <c r="B11" s="3" t="s">
        <v>109</v>
      </c>
      <c r="C11" s="3"/>
      <c r="D11" s="3">
        <v>250</v>
      </c>
      <c r="E11" s="3">
        <v>151</v>
      </c>
      <c r="F11" s="3"/>
      <c r="G11" s="3"/>
      <c r="H11" s="3"/>
    </row>
    <row r="12" spans="1:24" x14ac:dyDescent="0.3">
      <c r="A12" s="3">
        <v>11</v>
      </c>
      <c r="B12" s="3" t="s">
        <v>110</v>
      </c>
      <c r="C12" s="3"/>
      <c r="D12" s="3">
        <v>1410</v>
      </c>
      <c r="E12" s="3">
        <v>635</v>
      </c>
      <c r="F12" s="3"/>
      <c r="G12" s="3" t="s">
        <v>78</v>
      </c>
      <c r="H12" s="3">
        <v>324.55768782666667</v>
      </c>
    </row>
    <row r="13" spans="1:24" x14ac:dyDescent="0.3">
      <c r="A13" s="3">
        <v>12</v>
      </c>
      <c r="B13" s="3" t="s">
        <v>111</v>
      </c>
      <c r="C13" s="3"/>
      <c r="D13" s="3">
        <v>4</v>
      </c>
      <c r="E13" s="3">
        <v>34</v>
      </c>
      <c r="F13" s="3"/>
      <c r="G13" s="3" t="s">
        <v>79</v>
      </c>
      <c r="H13" s="3">
        <v>287.44231217333333</v>
      </c>
    </row>
    <row r="14" spans="1:24" x14ac:dyDescent="0.3">
      <c r="A14" s="3">
        <v>13</v>
      </c>
      <c r="B14" s="3" t="s">
        <v>112</v>
      </c>
      <c r="C14" s="3"/>
      <c r="D14" s="3">
        <f>1/D4*(D10-D11*1/D4)+D12*1/D4-D13</f>
        <v>1925.0333246056171</v>
      </c>
      <c r="E14" s="3">
        <f>1/E4*(E10-E11*1/E4)+E12*1/E4-E13</f>
        <v>703.7262161681781</v>
      </c>
      <c r="F14" s="3"/>
      <c r="G14" s="3" t="s">
        <v>80</v>
      </c>
      <c r="H14" s="3">
        <v>250.32693652</v>
      </c>
    </row>
    <row r="15" spans="1:24" x14ac:dyDescent="0.3">
      <c r="A15" s="3">
        <v>14</v>
      </c>
      <c r="B15" s="3" t="s">
        <v>113</v>
      </c>
      <c r="C15" s="3"/>
      <c r="D15" s="3">
        <f>1.36*D14*D8/(5*D7*D9)</f>
        <v>76360.818155274654</v>
      </c>
      <c r="E15" s="3">
        <f>1.36*E14*E8/(5*E7*E9)</f>
        <v>20312.470771350789</v>
      </c>
      <c r="F15" s="3"/>
      <c r="G15" s="3" t="s">
        <v>81</v>
      </c>
      <c r="H15" s="3">
        <v>213.21156086666667</v>
      </c>
    </row>
    <row r="16" spans="1:24" x14ac:dyDescent="0.3">
      <c r="A16" s="3">
        <v>15</v>
      </c>
      <c r="B16" s="3" t="s">
        <v>114</v>
      </c>
      <c r="C16" s="3"/>
      <c r="D16" s="3">
        <v>82</v>
      </c>
      <c r="E16" s="3">
        <v>23</v>
      </c>
      <c r="F16" s="3"/>
      <c r="G16" s="3" t="s">
        <v>82</v>
      </c>
      <c r="H16" s="3">
        <v>176.09618521333334</v>
      </c>
    </row>
    <row r="17" spans="1:8" x14ac:dyDescent="0.3">
      <c r="A17" s="3">
        <v>16</v>
      </c>
      <c r="B17" s="3" t="s">
        <v>115</v>
      </c>
      <c r="C17" s="3"/>
      <c r="D17" s="3">
        <v>34</v>
      </c>
      <c r="E17" s="3">
        <v>12</v>
      </c>
      <c r="F17" s="3"/>
      <c r="G17" s="3" t="s">
        <v>83</v>
      </c>
      <c r="H17" s="3">
        <v>138.98080956000001</v>
      </c>
    </row>
    <row r="18" spans="1:8" x14ac:dyDescent="0.3">
      <c r="A18" s="3">
        <v>17</v>
      </c>
      <c r="B18" s="3" t="s">
        <v>116</v>
      </c>
      <c r="C18" s="3"/>
      <c r="D18" s="3">
        <v>41</v>
      </c>
      <c r="E18" s="3">
        <v>65</v>
      </c>
      <c r="F18" s="3"/>
      <c r="G18" s="3" t="s">
        <v>84</v>
      </c>
      <c r="H18" s="3">
        <v>101.86543390666665</v>
      </c>
    </row>
    <row r="19" spans="1:8" x14ac:dyDescent="0.3">
      <c r="A19" s="3">
        <v>18</v>
      </c>
      <c r="B19" s="3" t="s">
        <v>85</v>
      </c>
      <c r="C19" s="3"/>
      <c r="D19" s="3">
        <v>380</v>
      </c>
      <c r="E19" s="3">
        <v>330</v>
      </c>
      <c r="F19" s="3"/>
      <c r="G19" s="3" t="s">
        <v>86</v>
      </c>
      <c r="H19" s="3">
        <v>64.75005825333335</v>
      </c>
    </row>
    <row r="20" spans="1:8" x14ac:dyDescent="0.3">
      <c r="A20" s="3">
        <v>19</v>
      </c>
      <c r="B20" s="3" t="s">
        <v>117</v>
      </c>
      <c r="C20" s="3"/>
      <c r="D20" s="3">
        <f>1/D4*(D16+D17*10)+[1]强度校核!D18*10+[1]强度校核!D19</f>
        <v>1249.4447516381679</v>
      </c>
      <c r="E20" s="3">
        <f>1/E4*(E16+E17*10)+[1]强度校核!E18*10+[1]强度校核!E19</f>
        <v>1135.6886243702797</v>
      </c>
      <c r="F20" s="3"/>
      <c r="G20" s="3" t="s">
        <v>87</v>
      </c>
      <c r="H20" s="3">
        <v>27.634682600000001</v>
      </c>
    </row>
    <row r="21" spans="1:8" x14ac:dyDescent="0.3">
      <c r="A21" s="3">
        <v>20</v>
      </c>
      <c r="B21" s="3" t="s">
        <v>118</v>
      </c>
      <c r="C21" s="3"/>
      <c r="D21" s="3">
        <v>1.38</v>
      </c>
      <c r="E21" s="3">
        <v>1.38</v>
      </c>
      <c r="F21" s="3"/>
      <c r="G21" s="3"/>
      <c r="H21" s="3"/>
    </row>
    <row r="22" spans="1:8" x14ac:dyDescent="0.3">
      <c r="A22" s="3">
        <v>21</v>
      </c>
      <c r="B22" s="3" t="s">
        <v>119</v>
      </c>
      <c r="C22" s="3"/>
      <c r="D22" s="3">
        <f>D20*D5*D3*D9*D9*D2*D2*D2/10000000000/5/D7</f>
        <v>0.3173342231766727</v>
      </c>
      <c r="E22" s="3">
        <f>E20*E5*E3*E9*E9*E2*E2*E2/10000000000/5/E7</f>
        <v>0.20988714126097124</v>
      </c>
      <c r="F22" s="3"/>
      <c r="G22" s="3"/>
      <c r="H22" s="3"/>
    </row>
    <row r="23" spans="1:8" x14ac:dyDescent="0.3">
      <c r="A23" s="3">
        <v>22</v>
      </c>
      <c r="B23" s="3" t="s">
        <v>120</v>
      </c>
      <c r="C23" s="3" t="s">
        <v>121</v>
      </c>
      <c r="D23" s="3">
        <f>(D15/(D21-D22))^0.5</f>
        <v>268.06304051978253</v>
      </c>
      <c r="E23" s="3">
        <f>(E15/(E21-E22))^0.5</f>
        <v>131.7551199480155</v>
      </c>
      <c r="F23" s="3"/>
      <c r="G23" s="3"/>
      <c r="H23" s="3"/>
    </row>
    <row r="24" spans="1:8" x14ac:dyDescent="0.3">
      <c r="A24" s="3">
        <v>23</v>
      </c>
      <c r="B24" s="3" t="s">
        <v>122</v>
      </c>
      <c r="C24" s="3" t="s">
        <v>123</v>
      </c>
      <c r="D24" s="3">
        <f>D2*(4.06+3.59)/2*10</f>
        <v>300.25484999999998</v>
      </c>
      <c r="E24" s="3">
        <f>2.18/100*E2*1000</f>
        <v>171.12564</v>
      </c>
      <c r="F24" s="3"/>
      <c r="G24" s="3"/>
      <c r="H24" s="3"/>
    </row>
    <row r="25" spans="1:8" x14ac:dyDescent="0.3">
      <c r="A25" s="3">
        <v>24</v>
      </c>
      <c r="B25" s="3" t="s">
        <v>124</v>
      </c>
      <c r="C25" s="3"/>
      <c r="D25" s="3" t="s">
        <v>128</v>
      </c>
      <c r="E25" s="3" t="s">
        <v>125</v>
      </c>
      <c r="F25" s="3"/>
      <c r="G25" s="3"/>
      <c r="H25" s="3"/>
    </row>
    <row r="26" spans="1:8" x14ac:dyDescent="0.3">
      <c r="A26" s="3">
        <v>25</v>
      </c>
      <c r="B26" s="3" t="s">
        <v>126</v>
      </c>
      <c r="C26" s="3"/>
      <c r="D26" s="3">
        <v>306</v>
      </c>
      <c r="E26" s="3">
        <v>176.110649196667</v>
      </c>
      <c r="F26" s="3"/>
      <c r="G26" s="3"/>
      <c r="H2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max_speed</vt:lpstr>
      <vt:lpstr>cavitation_check</vt:lpstr>
      <vt:lpstr>Strength_check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2018-05-24T02:59:08Z</dcterms:modified>
</cp:coreProperties>
</file>