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K19" i="1"/>
  <c r="K20" i="1"/>
  <c r="K21" i="1"/>
  <c r="K22" i="1"/>
  <c r="K23" i="1"/>
  <c r="K24" i="1"/>
  <c r="K25" i="1"/>
  <c r="K26" i="1"/>
  <c r="K27" i="1"/>
  <c r="K18" i="1"/>
  <c r="A19" i="1"/>
  <c r="A20" i="1"/>
  <c r="A21" i="1"/>
  <c r="A22" i="1"/>
  <c r="A23" i="1"/>
  <c r="A24" i="1"/>
  <c r="A25" i="1"/>
  <c r="A26" i="1"/>
  <c r="A18" i="1"/>
  <c r="C18" i="1" l="1"/>
  <c r="B44" i="1" l="1"/>
  <c r="B45" i="1"/>
  <c r="B46" i="1"/>
  <c r="B47" i="1"/>
  <c r="B48" i="1"/>
  <c r="B49" i="1"/>
  <c r="B50" i="1"/>
  <c r="B51" i="1"/>
  <c r="B52" i="1"/>
  <c r="B43" i="1"/>
  <c r="Q19" i="1"/>
  <c r="Q20" i="1"/>
  <c r="Q21" i="1"/>
  <c r="Q22" i="1"/>
  <c r="Q23" i="1"/>
  <c r="Q24" i="1"/>
  <c r="Q25" i="1"/>
  <c r="Q26" i="1"/>
  <c r="Q27" i="1"/>
  <c r="Q18" i="1"/>
  <c r="B32" i="1"/>
  <c r="B33" i="1"/>
  <c r="B34" i="1"/>
  <c r="B35" i="1"/>
  <c r="B36" i="1"/>
  <c r="B37" i="1"/>
  <c r="B38" i="1"/>
  <c r="B39" i="1"/>
  <c r="B31" i="1"/>
  <c r="G19" i="1"/>
  <c r="G20" i="1"/>
  <c r="G21" i="1"/>
  <c r="G22" i="1"/>
  <c r="G23" i="1"/>
  <c r="G24" i="1"/>
  <c r="G25" i="1"/>
  <c r="G26" i="1"/>
  <c r="G18" i="1"/>
  <c r="N44" i="1"/>
  <c r="N45" i="1"/>
  <c r="N46" i="1"/>
  <c r="N47" i="1"/>
  <c r="N48" i="1"/>
  <c r="N49" i="1"/>
  <c r="N50" i="1"/>
  <c r="N51" i="1"/>
  <c r="N52" i="1"/>
  <c r="O52" i="1" s="1"/>
  <c r="N43" i="1"/>
  <c r="O43" i="1" s="1"/>
  <c r="O51" i="1"/>
  <c r="O50" i="1"/>
  <c r="O49" i="1"/>
  <c r="O48" i="1"/>
  <c r="O47" i="1"/>
  <c r="O46" i="1"/>
  <c r="O45" i="1"/>
  <c r="O44" i="1"/>
  <c r="R37" i="1"/>
  <c r="R36" i="1"/>
  <c r="R35" i="1"/>
  <c r="O32" i="1" l="1"/>
  <c r="O33" i="1"/>
  <c r="O34" i="1"/>
  <c r="O35" i="1"/>
  <c r="O36" i="1"/>
  <c r="O37" i="1"/>
  <c r="O38" i="1"/>
  <c r="O39" i="1"/>
  <c r="O31" i="1"/>
  <c r="N32" i="1"/>
  <c r="N33" i="1"/>
  <c r="N34" i="1"/>
  <c r="N35" i="1"/>
  <c r="N36" i="1"/>
  <c r="N37" i="1"/>
  <c r="N38" i="1"/>
  <c r="N39" i="1"/>
  <c r="N31" i="1"/>
  <c r="Q33" i="1"/>
  <c r="B3" i="2"/>
  <c r="B4" i="2"/>
  <c r="J44" i="1"/>
  <c r="J45" i="1"/>
  <c r="J46" i="1"/>
  <c r="J47" i="1"/>
  <c r="J48" i="1"/>
  <c r="J49" i="1"/>
  <c r="J50" i="1"/>
  <c r="J51" i="1"/>
  <c r="J52" i="1"/>
  <c r="J43" i="1"/>
  <c r="J32" i="1"/>
  <c r="J33" i="1"/>
  <c r="J34" i="1"/>
  <c r="J35" i="1"/>
  <c r="J36" i="1"/>
  <c r="J37" i="1"/>
  <c r="J38" i="1"/>
  <c r="J39" i="1"/>
  <c r="J31" i="1"/>
  <c r="R33" i="1"/>
  <c r="Q30" i="1"/>
  <c r="G9" i="2" l="1"/>
  <c r="G8" i="2"/>
  <c r="E9" i="2"/>
  <c r="E8" i="2"/>
  <c r="C31" i="1" l="1"/>
  <c r="C32" i="1"/>
  <c r="C33" i="1"/>
  <c r="C34" i="1"/>
  <c r="C35" i="1"/>
  <c r="C36" i="1"/>
  <c r="C37" i="1"/>
  <c r="C38" i="1"/>
  <c r="C39" i="1"/>
  <c r="C44" i="1"/>
  <c r="C45" i="1"/>
  <c r="C46" i="1"/>
  <c r="C47" i="1"/>
  <c r="C48" i="1"/>
  <c r="C49" i="1"/>
  <c r="C50" i="1"/>
  <c r="C51" i="1"/>
  <c r="C52" i="1"/>
  <c r="C43" i="1"/>
  <c r="O19" i="1"/>
  <c r="O20" i="1"/>
  <c r="O21" i="1"/>
  <c r="O22" i="1"/>
  <c r="O23" i="1"/>
  <c r="O24" i="1"/>
  <c r="O25" i="1"/>
  <c r="O26" i="1"/>
  <c r="O27" i="1"/>
  <c r="O18" i="1"/>
  <c r="E19" i="1"/>
  <c r="E20" i="1"/>
  <c r="E21" i="1"/>
  <c r="E22" i="1"/>
  <c r="E23" i="1"/>
  <c r="E24" i="1"/>
  <c r="E25" i="1"/>
  <c r="E26" i="1"/>
  <c r="E18" i="1"/>
  <c r="G4" i="2" l="1"/>
  <c r="G3" i="2"/>
  <c r="L27" i="1" l="1"/>
  <c r="L26" i="1"/>
  <c r="L25" i="1"/>
  <c r="L24" i="1"/>
  <c r="L23" i="1"/>
  <c r="L22" i="1"/>
  <c r="L21" i="1"/>
  <c r="L20" i="1"/>
  <c r="L19" i="1"/>
  <c r="L18" i="1"/>
  <c r="P13" i="1"/>
  <c r="P27" i="1" s="1"/>
  <c r="K13" i="1"/>
  <c r="O13" i="1" s="1"/>
  <c r="P12" i="1"/>
  <c r="P26" i="1" s="1"/>
  <c r="K12" i="1"/>
  <c r="O12" i="1" s="1"/>
  <c r="P11" i="1"/>
  <c r="P25" i="1" s="1"/>
  <c r="K11" i="1"/>
  <c r="O11" i="1" s="1"/>
  <c r="P10" i="1"/>
  <c r="P24" i="1" s="1"/>
  <c r="K10" i="1"/>
  <c r="O10" i="1" s="1"/>
  <c r="P9" i="1"/>
  <c r="P23" i="1" s="1"/>
  <c r="K9" i="1"/>
  <c r="O9" i="1" s="1"/>
  <c r="P8" i="1"/>
  <c r="P22" i="1" s="1"/>
  <c r="K8" i="1"/>
  <c r="O8" i="1" s="1"/>
  <c r="P7" i="1"/>
  <c r="P21" i="1" s="1"/>
  <c r="K7" i="1"/>
  <c r="O7" i="1" s="1"/>
  <c r="P6" i="1"/>
  <c r="P20" i="1" s="1"/>
  <c r="K6" i="1"/>
  <c r="O6" i="1" s="1"/>
  <c r="P5" i="1"/>
  <c r="P19" i="1" s="1"/>
  <c r="K5" i="1"/>
  <c r="O5" i="1" s="1"/>
  <c r="P4" i="1"/>
  <c r="P18" i="1" s="1"/>
  <c r="K4" i="1"/>
  <c r="O4" i="1" s="1"/>
  <c r="R31" i="1"/>
  <c r="B26" i="1"/>
  <c r="B25" i="1"/>
  <c r="B24" i="1"/>
  <c r="B23" i="1"/>
  <c r="B22" i="1"/>
  <c r="B21" i="1"/>
  <c r="B20" i="1"/>
  <c r="B19" i="1"/>
  <c r="B18" i="1"/>
  <c r="F12" i="1"/>
  <c r="F26" i="1" s="1"/>
  <c r="A12" i="1"/>
  <c r="E12" i="1" s="1"/>
  <c r="F11" i="1"/>
  <c r="F25" i="1" s="1"/>
  <c r="A11" i="1"/>
  <c r="E11" i="1" s="1"/>
  <c r="F10" i="1"/>
  <c r="F24" i="1" s="1"/>
  <c r="A10" i="1"/>
  <c r="E10" i="1" s="1"/>
  <c r="F9" i="1"/>
  <c r="F23" i="1" s="1"/>
  <c r="A9" i="1"/>
  <c r="E9" i="1" s="1"/>
  <c r="F8" i="1"/>
  <c r="F22" i="1" s="1"/>
  <c r="A8" i="1"/>
  <c r="E8" i="1" s="1"/>
  <c r="F7" i="1"/>
  <c r="F21" i="1" s="1"/>
  <c r="A7" i="1"/>
  <c r="E7" i="1" s="1"/>
  <c r="F6" i="1"/>
  <c r="F20" i="1" s="1"/>
  <c r="A6" i="1"/>
  <c r="E6" i="1" s="1"/>
  <c r="F5" i="1"/>
  <c r="F19" i="1" s="1"/>
  <c r="A5" i="1"/>
  <c r="E5" i="1" s="1"/>
  <c r="F4" i="1"/>
  <c r="F18" i="1" s="1"/>
  <c r="A4" i="1"/>
  <c r="E4" i="1" s="1"/>
  <c r="R5" i="1" l="1"/>
  <c r="R19" i="1"/>
  <c r="F44" i="1" s="1"/>
  <c r="R9" i="1"/>
  <c r="R23" i="1"/>
  <c r="F48" i="1" s="1"/>
  <c r="R11" i="1"/>
  <c r="R25" i="1"/>
  <c r="F50" i="1" s="1"/>
  <c r="R13" i="1"/>
  <c r="R27" i="1"/>
  <c r="F52" i="1" s="1"/>
  <c r="M24" i="1"/>
  <c r="M23" i="1"/>
  <c r="M27" i="1"/>
  <c r="R4" i="1"/>
  <c r="R18" i="1"/>
  <c r="F43" i="1" s="1"/>
  <c r="R6" i="1"/>
  <c r="R20" i="1"/>
  <c r="F45" i="1" s="1"/>
  <c r="R8" i="1"/>
  <c r="R22" i="1"/>
  <c r="F47" i="1" s="1"/>
  <c r="R12" i="1"/>
  <c r="R26" i="1"/>
  <c r="F51" i="1" s="1"/>
  <c r="M22" i="1"/>
  <c r="R7" i="1"/>
  <c r="R21" i="1"/>
  <c r="F46" i="1" s="1"/>
  <c r="R10" i="1"/>
  <c r="R24" i="1"/>
  <c r="F49" i="1" s="1"/>
  <c r="M21" i="1"/>
  <c r="Q31" i="1"/>
  <c r="H4" i="1"/>
  <c r="H18" i="1"/>
  <c r="F31" i="1" s="1"/>
  <c r="H7" i="1"/>
  <c r="H21" i="1"/>
  <c r="F34" i="1" s="1"/>
  <c r="H11" i="1"/>
  <c r="H25" i="1"/>
  <c r="F38" i="1" s="1"/>
  <c r="H5" i="1"/>
  <c r="H19" i="1"/>
  <c r="F32" i="1" s="1"/>
  <c r="H9" i="1"/>
  <c r="H23" i="1"/>
  <c r="F36" i="1" s="1"/>
  <c r="C19" i="1"/>
  <c r="C23" i="1"/>
  <c r="C25" i="1"/>
  <c r="H6" i="1"/>
  <c r="H20" i="1"/>
  <c r="F33" i="1" s="1"/>
  <c r="H8" i="1"/>
  <c r="H22" i="1"/>
  <c r="F35" i="1" s="1"/>
  <c r="H10" i="1"/>
  <c r="H24" i="1"/>
  <c r="F37" i="1" s="1"/>
  <c r="H12" i="1"/>
  <c r="H26" i="1"/>
  <c r="F39" i="1" s="1"/>
  <c r="N27" i="1" l="1"/>
  <c r="G52" i="1" s="1"/>
  <c r="E52" i="1"/>
  <c r="K52" i="1" s="1"/>
  <c r="D100" i="1" s="1"/>
  <c r="N23" i="1"/>
  <c r="G48" i="1" s="1"/>
  <c r="E48" i="1"/>
  <c r="K48" i="1" s="1"/>
  <c r="D96" i="1" s="1"/>
  <c r="N22" i="1"/>
  <c r="G47" i="1" s="1"/>
  <c r="E47" i="1"/>
  <c r="K47" i="1" s="1"/>
  <c r="D95" i="1" s="1"/>
  <c r="N21" i="1"/>
  <c r="G46" i="1" s="1"/>
  <c r="E46" i="1"/>
  <c r="K46" i="1" s="1"/>
  <c r="D94" i="1" s="1"/>
  <c r="N24" i="1"/>
  <c r="G49" i="1" s="1"/>
  <c r="E49" i="1"/>
  <c r="K49" i="1" s="1"/>
  <c r="D97" i="1" s="1"/>
  <c r="D19" i="1"/>
  <c r="G32" i="1" s="1"/>
  <c r="E32" i="1"/>
  <c r="K32" i="1" s="1"/>
  <c r="D80" i="1" s="1"/>
  <c r="D25" i="1"/>
  <c r="G38" i="1" s="1"/>
  <c r="E38" i="1"/>
  <c r="K38" i="1" s="1"/>
  <c r="D86" i="1" s="1"/>
  <c r="D23" i="1"/>
  <c r="G36" i="1" s="1"/>
  <c r="E36" i="1"/>
  <c r="K36" i="1" s="1"/>
  <c r="D84" i="1" s="1"/>
  <c r="D18" i="1"/>
  <c r="G31" i="1" s="1"/>
  <c r="H31" i="1" s="1"/>
  <c r="G55" i="1" s="1"/>
  <c r="E31" i="1"/>
  <c r="K31" i="1" s="1"/>
  <c r="D79" i="1" s="1"/>
  <c r="M26" i="1"/>
  <c r="M20" i="1"/>
  <c r="M25" i="1"/>
  <c r="M19" i="1"/>
  <c r="M18" i="1"/>
  <c r="C21" i="1"/>
  <c r="C22" i="1"/>
  <c r="C24" i="1"/>
  <c r="C20" i="1"/>
  <c r="C26" i="1"/>
  <c r="H48" i="1" l="1"/>
  <c r="G71" i="1" s="1"/>
  <c r="H46" i="1"/>
  <c r="G69" i="1" s="1"/>
  <c r="H49" i="1"/>
  <c r="G72" i="1" s="1"/>
  <c r="H47" i="1"/>
  <c r="G70" i="1" s="1"/>
  <c r="H52" i="1"/>
  <c r="G75" i="1" s="1"/>
  <c r="H36" i="1"/>
  <c r="G60" i="1" s="1"/>
  <c r="H32" i="1"/>
  <c r="G56" i="1" s="1"/>
  <c r="H38" i="1"/>
  <c r="G62" i="1" s="1"/>
  <c r="N26" i="1"/>
  <c r="G51" i="1" s="1"/>
  <c r="E51" i="1"/>
  <c r="K51" i="1" s="1"/>
  <c r="D99" i="1" s="1"/>
  <c r="L46" i="1"/>
  <c r="E94" i="1" s="1"/>
  <c r="L48" i="1"/>
  <c r="E96" i="1" s="1"/>
  <c r="N20" i="1"/>
  <c r="G45" i="1" s="1"/>
  <c r="E45" i="1"/>
  <c r="K45" i="1" s="1"/>
  <c r="D93" i="1" s="1"/>
  <c r="N19" i="1"/>
  <c r="G44" i="1" s="1"/>
  <c r="E44" i="1"/>
  <c r="K44" i="1" s="1"/>
  <c r="D92" i="1" s="1"/>
  <c r="N25" i="1"/>
  <c r="G50" i="1" s="1"/>
  <c r="E50" i="1"/>
  <c r="K50" i="1" s="1"/>
  <c r="D98" i="1" s="1"/>
  <c r="L49" i="1"/>
  <c r="E97" i="1" s="1"/>
  <c r="L47" i="1"/>
  <c r="E95" i="1" s="1"/>
  <c r="L52" i="1"/>
  <c r="E100" i="1" s="1"/>
  <c r="N18" i="1"/>
  <c r="G43" i="1" s="1"/>
  <c r="E43" i="1"/>
  <c r="K43" i="1" s="1"/>
  <c r="D91" i="1" s="1"/>
  <c r="D22" i="1"/>
  <c r="G35" i="1" s="1"/>
  <c r="E35" i="1"/>
  <c r="K35" i="1" s="1"/>
  <c r="D83" i="1" s="1"/>
  <c r="D26" i="1"/>
  <c r="G39" i="1" s="1"/>
  <c r="H39" i="1" s="1"/>
  <c r="G63" i="1" s="1"/>
  <c r="E39" i="1"/>
  <c r="K39" i="1" s="1"/>
  <c r="D87" i="1" s="1"/>
  <c r="D21" i="1"/>
  <c r="G34" i="1" s="1"/>
  <c r="E34" i="1"/>
  <c r="K34" i="1" s="1"/>
  <c r="D82" i="1" s="1"/>
  <c r="D20" i="1"/>
  <c r="G33" i="1" s="1"/>
  <c r="H33" i="1" s="1"/>
  <c r="G57" i="1" s="1"/>
  <c r="E33" i="1"/>
  <c r="K33" i="1" s="1"/>
  <c r="D81" i="1" s="1"/>
  <c r="D24" i="1"/>
  <c r="G37" i="1" s="1"/>
  <c r="H37" i="1" s="1"/>
  <c r="G61" i="1" s="1"/>
  <c r="E37" i="1"/>
  <c r="K37" i="1" s="1"/>
  <c r="D85" i="1" s="1"/>
  <c r="L31" i="1"/>
  <c r="E79" i="1" s="1"/>
  <c r="H44" i="1" l="1"/>
  <c r="G67" i="1" s="1"/>
  <c r="H50" i="1"/>
  <c r="G73" i="1" s="1"/>
  <c r="H45" i="1"/>
  <c r="G68" i="1" s="1"/>
  <c r="H51" i="1"/>
  <c r="G74" i="1" s="1"/>
  <c r="H43" i="1"/>
  <c r="G66" i="1" s="1"/>
  <c r="L32" i="1"/>
  <c r="E80" i="1" s="1"/>
  <c r="L36" i="1"/>
  <c r="E84" i="1" s="1"/>
  <c r="H34" i="1"/>
  <c r="G58" i="1" s="1"/>
  <c r="H35" i="1"/>
  <c r="G59" i="1" s="1"/>
  <c r="L38" i="1"/>
  <c r="E86" i="1" s="1"/>
  <c r="L44" i="1"/>
  <c r="E92" i="1" s="1"/>
  <c r="L50" i="1"/>
  <c r="E98" i="1" s="1"/>
  <c r="L43" i="1"/>
  <c r="E91" i="1" s="1"/>
  <c r="L34" i="1"/>
  <c r="E82" i="1" s="1"/>
  <c r="L35" i="1"/>
  <c r="E83" i="1" s="1"/>
  <c r="L37" i="1"/>
  <c r="E85" i="1" s="1"/>
  <c r="L33" i="1"/>
  <c r="E81" i="1" s="1"/>
  <c r="L39" i="1"/>
  <c r="E87" i="1" s="1"/>
  <c r="L51" i="1" l="1"/>
  <c r="E99" i="1" s="1"/>
  <c r="L45" i="1"/>
  <c r="E93" i="1" s="1"/>
</calcChain>
</file>

<file path=xl/sharedStrings.xml><?xml version="1.0" encoding="utf-8"?>
<sst xmlns="http://schemas.openxmlformats.org/spreadsheetml/2006/main" count="126" uniqueCount="79">
  <si>
    <t>正车</t>
    <phoneticPr fontId="1" type="noConversion"/>
  </si>
  <si>
    <t>NACA0015 λ=1</t>
    <phoneticPr fontId="1" type="noConversion"/>
  </si>
  <si>
    <t>弧度</t>
    <phoneticPr fontId="1" type="noConversion"/>
  </si>
  <si>
    <t>cy</t>
    <phoneticPr fontId="1" type="noConversion"/>
  </si>
  <si>
    <t>cn</t>
    <phoneticPr fontId="1" type="noConversion"/>
  </si>
  <si>
    <t>cm0.25</t>
    <phoneticPr fontId="1" type="noConversion"/>
  </si>
  <si>
    <t>cp</t>
    <phoneticPr fontId="1" type="noConversion"/>
  </si>
  <si>
    <t>角度</t>
    <phoneticPr fontId="1" type="noConversion"/>
  </si>
  <si>
    <t>ct</t>
    <phoneticPr fontId="1" type="noConversion"/>
  </si>
  <si>
    <t>弧度</t>
    <phoneticPr fontId="1" type="noConversion"/>
  </si>
  <si>
    <t>cn</t>
    <phoneticPr fontId="1" type="noConversion"/>
  </si>
  <si>
    <t>cm0.25</t>
    <phoneticPr fontId="1" type="noConversion"/>
  </si>
  <si>
    <t>cx2</t>
    <phoneticPr fontId="1" type="noConversion"/>
  </si>
  <si>
    <t>cp2</t>
    <phoneticPr fontId="1" type="noConversion"/>
  </si>
  <si>
    <t>角度</t>
    <phoneticPr fontId="1" type="noConversion"/>
  </si>
  <si>
    <t>ct</t>
    <phoneticPr fontId="1" type="noConversion"/>
  </si>
  <si>
    <t>正车</t>
    <phoneticPr fontId="1" type="noConversion"/>
  </si>
  <si>
    <t>角度</t>
    <phoneticPr fontId="1" type="noConversion"/>
  </si>
  <si>
    <t>转化角度</t>
    <phoneticPr fontId="1" type="noConversion"/>
  </si>
  <si>
    <t>Cx</t>
    <phoneticPr fontId="1" type="noConversion"/>
  </si>
  <si>
    <t>Cy</t>
    <phoneticPr fontId="1" type="noConversion"/>
  </si>
  <si>
    <t>Cn</t>
    <phoneticPr fontId="1" type="noConversion"/>
  </si>
  <si>
    <t>Ct</t>
    <phoneticPr fontId="1" type="noConversion"/>
  </si>
  <si>
    <t>Cm0.25</t>
    <phoneticPr fontId="1" type="noConversion"/>
  </si>
  <si>
    <t>Cm0</t>
    <phoneticPr fontId="1" type="noConversion"/>
  </si>
  <si>
    <t>Cp</t>
    <phoneticPr fontId="1" type="noConversion"/>
  </si>
  <si>
    <t>bh</t>
    <phoneticPr fontId="1" type="noConversion"/>
  </si>
  <si>
    <t>法向力N</t>
    <phoneticPr fontId="1" type="noConversion"/>
  </si>
  <si>
    <t>扭矩M</t>
    <phoneticPr fontId="1" type="noConversion"/>
  </si>
  <si>
    <t>N的参数</t>
  </si>
  <si>
    <t>M的参数</t>
  </si>
  <si>
    <t>倒车</t>
    <phoneticPr fontId="1" type="noConversion"/>
  </si>
  <si>
    <t>NACA0015 λ=1</t>
    <phoneticPr fontId="1" type="noConversion"/>
  </si>
  <si>
    <t>cy</t>
    <phoneticPr fontId="1" type="noConversion"/>
  </si>
  <si>
    <t>cn</t>
    <phoneticPr fontId="1" type="noConversion"/>
  </si>
  <si>
    <t>cx</t>
    <phoneticPr fontId="1" type="noConversion"/>
  </si>
  <si>
    <t>cp</t>
    <phoneticPr fontId="1" type="noConversion"/>
  </si>
  <si>
    <t>角度</t>
    <phoneticPr fontId="1" type="noConversion"/>
  </si>
  <si>
    <t>ct</t>
    <phoneticPr fontId="1" type="noConversion"/>
  </si>
  <si>
    <t>cm0.25</t>
    <phoneticPr fontId="1" type="noConversion"/>
  </si>
  <si>
    <t>cx2</t>
    <phoneticPr fontId="1" type="noConversion"/>
  </si>
  <si>
    <t>cp2</t>
    <phoneticPr fontId="1" type="noConversion"/>
  </si>
  <si>
    <t>倒车</t>
    <phoneticPr fontId="1" type="noConversion"/>
  </si>
  <si>
    <t>Cx</t>
    <phoneticPr fontId="1" type="noConversion"/>
  </si>
  <si>
    <t>Cm0.25</t>
    <phoneticPr fontId="1" type="noConversion"/>
  </si>
  <si>
    <t>Cp</t>
    <phoneticPr fontId="1" type="noConversion"/>
  </si>
  <si>
    <t>法向力N</t>
    <phoneticPr fontId="1" type="noConversion"/>
  </si>
  <si>
    <t>舵力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</si>
  <si>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</si>
  <si>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</si>
  <si>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</si>
  <si>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A</t>
    <phoneticPr fontId="1" type="noConversion"/>
  </si>
  <si>
    <t>Vd</t>
    <phoneticPr fontId="1" type="noConversion"/>
  </si>
  <si>
    <t>正车</t>
    <phoneticPr fontId="1" type="noConversion"/>
  </si>
  <si>
    <t>倒车</t>
    <phoneticPr fontId="1" type="noConversion"/>
  </si>
  <si>
    <t>cx1</t>
    <phoneticPr fontId="1" type="noConversion"/>
  </si>
  <si>
    <t>cy2</t>
    <phoneticPr fontId="1" type="noConversion"/>
  </si>
  <si>
    <t>λ=1.839080</t>
    <phoneticPr fontId="1" type="noConversion"/>
  </si>
  <si>
    <t>舵杆扭矩</t>
    <phoneticPr fontId="1" type="noConversion"/>
  </si>
  <si>
    <t>c</t>
    <phoneticPr fontId="1" type="noConversion"/>
  </si>
  <si>
    <t>alpha</t>
    <phoneticPr fontId="1" type="noConversion"/>
  </si>
  <si>
    <t>beta</t>
    <phoneticPr fontId="1" type="noConversion"/>
  </si>
  <si>
    <t>R</t>
    <phoneticPr fontId="1" type="noConversion"/>
  </si>
  <si>
    <t>F</t>
    <phoneticPr fontId="1" type="noConversion"/>
  </si>
  <si>
    <t>T</t>
    <phoneticPr fontId="1" type="noConversion"/>
  </si>
  <si>
    <t>bh</t>
  </si>
  <si>
    <t>法向力N</t>
  </si>
  <si>
    <t>扭矩M</t>
  </si>
  <si>
    <t>正车</t>
    <phoneticPr fontId="1" type="noConversion"/>
  </si>
  <si>
    <t>角度</t>
  </si>
  <si>
    <t>转化角度</t>
  </si>
  <si>
    <t>倒车</t>
    <phoneticPr fontId="1" type="noConversion"/>
  </si>
  <si>
    <t>sigma_p</t>
    <phoneticPr fontId="1" type="noConversion"/>
  </si>
  <si>
    <t>v_x</t>
    <phoneticPr fontId="1" type="noConversion"/>
  </si>
  <si>
    <t>k_s</t>
    <phoneticPr fontId="1" type="noConversion"/>
  </si>
  <si>
    <t>λ=1.839080</t>
    <phoneticPr fontId="1" type="noConversion"/>
  </si>
  <si>
    <t>Cm0</t>
    <phoneticPr fontId="1" type="noConversion"/>
  </si>
  <si>
    <t>,</t>
    <phoneticPr fontId="1" type="noConversion"/>
  </si>
  <si>
    <t>N_e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</si>
</sst>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2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K25" workbookViewId="0">
      <selection activeCell="R39" sqref="R39"/>
    </sheetView>
  </sheetViews>
  <sheetFormatPr defaultRowHeight="14" x14ac:dyDescent="0.3"/>
  <sheetData>
    <row r="1" spans="1:18" x14ac:dyDescent="0.3">
      <c r="A1" t="s">
        <v>0</v>
      </c>
      <c r="K1" s="1" t="s">
        <v>31</v>
      </c>
      <c r="L1" s="1"/>
      <c r="M1" s="1"/>
      <c r="N1" s="1"/>
      <c r="O1" s="1"/>
      <c r="P1" s="1"/>
      <c r="Q1" s="1"/>
      <c r="R1" s="1"/>
    </row>
    <row r="2" spans="1:18" x14ac:dyDescent="0.3">
      <c r="A2" s="4" t="s">
        <v>1</v>
      </c>
      <c r="B2" s="4"/>
      <c r="C2" s="4"/>
      <c r="D2" s="4"/>
      <c r="K2" s="4" t="s">
        <v>32</v>
      </c>
      <c r="L2" s="4"/>
      <c r="M2" s="4"/>
      <c r="N2" s="4"/>
    </row>
    <row r="3" spans="1:18" x14ac:dyDescent="0.3">
      <c r="A3" t="s">
        <v>2</v>
      </c>
      <c r="B3" t="s">
        <v>3</v>
      </c>
      <c r="C3" t="s">
        <v>4</v>
      </c>
      <c r="D3" t="s">
        <v>5</v>
      </c>
      <c r="E3" t="s">
        <v>55</v>
      </c>
      <c r="F3" t="s">
        <v>6</v>
      </c>
      <c r="G3" t="s">
        <v>7</v>
      </c>
      <c r="H3" t="s">
        <v>8</v>
      </c>
      <c r="K3" t="s">
        <v>9</v>
      </c>
      <c r="L3" t="s">
        <v>33</v>
      </c>
      <c r="M3" t="s">
        <v>34</v>
      </c>
      <c r="N3" t="s">
        <v>11</v>
      </c>
      <c r="O3" t="s">
        <v>35</v>
      </c>
      <c r="P3" t="s">
        <v>36</v>
      </c>
      <c r="Q3" t="s">
        <v>37</v>
      </c>
      <c r="R3" t="s">
        <v>38</v>
      </c>
    </row>
    <row r="4" spans="1:18" x14ac:dyDescent="0.3">
      <c r="A4">
        <f>G4/180*3.1416</f>
        <v>8.7266666666666659E-2</v>
      </c>
      <c r="B4">
        <v>0.14099999999999999</v>
      </c>
      <c r="C4">
        <v>0.14299999999999999</v>
      </c>
      <c r="D4">
        <v>-1.4E-2</v>
      </c>
      <c r="E4">
        <f>(C4-B4*COS(A4))/SIN(A4)</f>
        <v>2.910358033093189E-2</v>
      </c>
      <c r="F4">
        <f>D4/C4+0.25</f>
        <v>0.15209790209790208</v>
      </c>
      <c r="G4">
        <v>5</v>
      </c>
      <c r="H4">
        <f>E4*COS(A4)-B4*SIN(A4)</f>
        <v>1.6703843512168227E-2</v>
      </c>
      <c r="K4">
        <f>Q4/180*3.1416</f>
        <v>8.7266666666666659E-2</v>
      </c>
      <c r="L4">
        <v>0.24099999999999999</v>
      </c>
      <c r="M4">
        <v>0.24299999999999999</v>
      </c>
      <c r="N4">
        <v>-7.6999999999999999E-2</v>
      </c>
      <c r="O4">
        <f>(M4-L4*COS(K4))/SIN(K4)</f>
        <v>3.3469684844581245E-2</v>
      </c>
      <c r="P4">
        <f>N4/M4+0.25</f>
        <v>-6.6872427983539096E-2</v>
      </c>
      <c r="Q4">
        <v>5</v>
      </c>
      <c r="R4">
        <f>O4*COS(K4)-L4*SIN(K4)</f>
        <v>1.233773899851923E-2</v>
      </c>
    </row>
    <row r="5" spans="1:18" x14ac:dyDescent="0.3">
      <c r="A5">
        <f t="shared" ref="A5:A12" si="0">G5/180*3.1416</f>
        <v>0.17453333333333332</v>
      </c>
      <c r="B5">
        <v>0.28899999999999998</v>
      </c>
      <c r="C5">
        <v>0.29199999999999998</v>
      </c>
      <c r="D5">
        <v>-2.1000000000000001E-2</v>
      </c>
      <c r="E5">
        <f t="shared" ref="E5:E12" si="1">(C5-B5*COS(A5))/SIN(A5)</f>
        <v>4.2560554646796971E-2</v>
      </c>
      <c r="F5">
        <f t="shared" ref="F5:F12" si="2">D5/C5+0.25</f>
        <v>0.17808219178082191</v>
      </c>
      <c r="G5">
        <v>10</v>
      </c>
      <c r="H5">
        <f t="shared" ref="H5:H12" si="3">E5*COS(A5)-B5*SIN(A5)</f>
        <v>-8.2704783321770406E-3</v>
      </c>
      <c r="K5">
        <f t="shared" ref="K5:K13" si="4">Q5/180*3.1416</f>
        <v>0.17453333333333332</v>
      </c>
      <c r="L5">
        <v>0.38500000000000001</v>
      </c>
      <c r="M5">
        <v>0.246</v>
      </c>
      <c r="N5">
        <v>-0.157</v>
      </c>
      <c r="O5">
        <f t="shared" ref="O5:O13" si="5">(M5-L5*COS(K5))/SIN(K5)</f>
        <v>-0.76678402973701154</v>
      </c>
      <c r="P5">
        <f t="shared" ref="P5:P13" si="6">N5/M5+0.25</f>
        <v>-0.38821138211382111</v>
      </c>
      <c r="Q5">
        <v>10</v>
      </c>
      <c r="R5">
        <f t="shared" ref="R5:R13" si="7">O5*COS(K5)-L5*SIN(K5)</f>
        <v>-0.82198950617372868</v>
      </c>
    </row>
    <row r="6" spans="1:18" x14ac:dyDescent="0.3">
      <c r="A6">
        <f t="shared" si="0"/>
        <v>0.26179999999999998</v>
      </c>
      <c r="B6">
        <v>0.441</v>
      </c>
      <c r="C6">
        <v>0.44400000000000001</v>
      </c>
      <c r="D6">
        <v>-1.9E-2</v>
      </c>
      <c r="E6">
        <f t="shared" si="1"/>
        <v>6.9649972198610521E-2</v>
      </c>
      <c r="F6">
        <f t="shared" si="2"/>
        <v>0.2072072072072072</v>
      </c>
      <c r="G6">
        <v>15</v>
      </c>
      <c r="H6">
        <f t="shared" si="3"/>
        <v>-4.6862763760444584E-2</v>
      </c>
      <c r="K6">
        <f t="shared" si="4"/>
        <v>0.26179999999999998</v>
      </c>
      <c r="L6">
        <v>0.53200000000000003</v>
      </c>
      <c r="M6">
        <v>0.39700000000000002</v>
      </c>
      <c r="N6">
        <v>-0.222</v>
      </c>
      <c r="O6">
        <f t="shared" si="5"/>
        <v>-0.4515594600813575</v>
      </c>
      <c r="P6">
        <f t="shared" si="6"/>
        <v>-0.30919395465994959</v>
      </c>
      <c r="Q6">
        <v>15</v>
      </c>
      <c r="R6">
        <f t="shared" si="7"/>
        <v>-0.57386491963611708</v>
      </c>
    </row>
    <row r="7" spans="1:18" x14ac:dyDescent="0.3">
      <c r="A7">
        <f t="shared" si="0"/>
        <v>0.34906666666666664</v>
      </c>
      <c r="B7">
        <v>0.622</v>
      </c>
      <c r="C7">
        <v>0.63</v>
      </c>
      <c r="D7">
        <v>-6.0000000000000001E-3</v>
      </c>
      <c r="E7">
        <f t="shared" si="1"/>
        <v>0.13306602649699173</v>
      </c>
      <c r="F7">
        <f t="shared" si="2"/>
        <v>0.24047619047619048</v>
      </c>
      <c r="G7">
        <v>20</v>
      </c>
      <c r="H7">
        <f t="shared" si="3"/>
        <v>-8.7695880220784311E-2</v>
      </c>
      <c r="K7">
        <f t="shared" si="4"/>
        <v>0.34906666666666664</v>
      </c>
      <c r="L7">
        <v>0.64300000000000002</v>
      </c>
      <c r="M7">
        <v>0.56100000000000005</v>
      </c>
      <c r="N7">
        <v>-0.28699999999999998</v>
      </c>
      <c r="O7">
        <f t="shared" si="5"/>
        <v>-0.1263729039434382</v>
      </c>
      <c r="P7">
        <f t="shared" si="6"/>
        <v>-0.26158645276292325</v>
      </c>
      <c r="Q7">
        <v>20</v>
      </c>
      <c r="R7">
        <f t="shared" si="7"/>
        <v>-0.3386710953876893</v>
      </c>
    </row>
    <row r="8" spans="1:18" x14ac:dyDescent="0.3">
      <c r="A8">
        <f t="shared" si="0"/>
        <v>0.43633333333333335</v>
      </c>
      <c r="B8">
        <v>0.77500000000000002</v>
      </c>
      <c r="C8">
        <v>0.79500000000000004</v>
      </c>
      <c r="D8">
        <v>4.0000000000000001E-3</v>
      </c>
      <c r="E8">
        <f t="shared" si="1"/>
        <v>0.21913770647325118</v>
      </c>
      <c r="F8">
        <f t="shared" si="2"/>
        <v>0.2550314465408805</v>
      </c>
      <c r="G8">
        <v>25</v>
      </c>
      <c r="H8">
        <f t="shared" si="3"/>
        <v>-0.12892375420517693</v>
      </c>
      <c r="K8">
        <f t="shared" si="4"/>
        <v>0.43633333333333335</v>
      </c>
      <c r="L8">
        <v>0.77100000000000002</v>
      </c>
      <c r="M8">
        <v>0.69199999999999995</v>
      </c>
      <c r="N8">
        <v>-0.33900000000000002</v>
      </c>
      <c r="O8">
        <f t="shared" si="5"/>
        <v>-1.6002518477046E-2</v>
      </c>
      <c r="P8">
        <f t="shared" si="6"/>
        <v>-0.23988439306358389</v>
      </c>
      <c r="Q8">
        <v>25</v>
      </c>
      <c r="R8">
        <f t="shared" si="7"/>
        <v>-0.34034259298184877</v>
      </c>
    </row>
    <row r="9" spans="1:18" x14ac:dyDescent="0.3">
      <c r="A9">
        <f t="shared" si="0"/>
        <v>0.52359999999999995</v>
      </c>
      <c r="B9">
        <v>0.92600000000000005</v>
      </c>
      <c r="C9">
        <v>0.96199999999999997</v>
      </c>
      <c r="D9">
        <v>2.5999999999999999E-2</v>
      </c>
      <c r="E9">
        <f t="shared" si="1"/>
        <v>0.32012140709885994</v>
      </c>
      <c r="F9">
        <f t="shared" si="2"/>
        <v>0.27702702702702703</v>
      </c>
      <c r="G9">
        <v>30</v>
      </c>
      <c r="H9">
        <f t="shared" si="3"/>
        <v>-0.1857679070317429</v>
      </c>
      <c r="K9">
        <f t="shared" si="4"/>
        <v>0.52359999999999995</v>
      </c>
      <c r="L9">
        <v>0.91800000000000004</v>
      </c>
      <c r="M9">
        <v>0.85699999999999998</v>
      </c>
      <c r="N9">
        <v>-0.41799999999999998</v>
      </c>
      <c r="O9">
        <f t="shared" si="5"/>
        <v>0.12397821972998849</v>
      </c>
      <c r="P9">
        <f t="shared" si="6"/>
        <v>-0.2377479579929988</v>
      </c>
      <c r="Q9">
        <v>30</v>
      </c>
      <c r="R9">
        <f t="shared" si="7"/>
        <v>-0.35163276151038236</v>
      </c>
    </row>
    <row r="10" spans="1:18" x14ac:dyDescent="0.3">
      <c r="A10">
        <f t="shared" si="0"/>
        <v>0.61086666666666667</v>
      </c>
      <c r="B10">
        <v>0.71299999999999997</v>
      </c>
      <c r="C10">
        <v>0.88700000000000001</v>
      </c>
      <c r="D10">
        <v>0.126</v>
      </c>
      <c r="E10">
        <f t="shared" si="1"/>
        <v>0.52816771991221412</v>
      </c>
      <c r="F10">
        <f t="shared" si="2"/>
        <v>0.39205186020293126</v>
      </c>
      <c r="G10">
        <v>35</v>
      </c>
      <c r="H10">
        <f t="shared" si="3"/>
        <v>2.3688401323580466E-2</v>
      </c>
      <c r="K10">
        <f t="shared" si="4"/>
        <v>0.61086666666666667</v>
      </c>
      <c r="L10">
        <v>1.022</v>
      </c>
      <c r="M10">
        <v>1.0609999999999999</v>
      </c>
      <c r="N10">
        <v>-0.45800000000000002</v>
      </c>
      <c r="O10">
        <f t="shared" si="5"/>
        <v>0.39023045106504151</v>
      </c>
      <c r="P10">
        <f t="shared" si="6"/>
        <v>-0.18166823751178141</v>
      </c>
      <c r="Q10">
        <v>35</v>
      </c>
      <c r="R10">
        <f t="shared" si="7"/>
        <v>-0.26653856182253588</v>
      </c>
    </row>
    <row r="11" spans="1:18" x14ac:dyDescent="0.3">
      <c r="A11">
        <f t="shared" si="0"/>
        <v>0.69813333333333327</v>
      </c>
      <c r="B11">
        <v>0.68600000000000005</v>
      </c>
      <c r="C11">
        <v>0.91400000000000003</v>
      </c>
      <c r="D11">
        <v>0.13700000000000001</v>
      </c>
      <c r="E11">
        <f t="shared" si="1"/>
        <v>0.6043885572657155</v>
      </c>
      <c r="F11">
        <f t="shared" si="2"/>
        <v>0.39989059080962802</v>
      </c>
      <c r="G11">
        <v>40</v>
      </c>
      <c r="H11">
        <f t="shared" si="3"/>
        <v>2.2034703395621247E-2</v>
      </c>
      <c r="K11">
        <f t="shared" si="4"/>
        <v>0.69813333333333327</v>
      </c>
      <c r="L11">
        <v>1.0589999999999999</v>
      </c>
      <c r="M11">
        <v>1.2490000000000001</v>
      </c>
      <c r="N11">
        <v>-0.48899999999999999</v>
      </c>
      <c r="O11">
        <f t="shared" si="5"/>
        <v>0.68103240904602935</v>
      </c>
      <c r="P11">
        <f t="shared" si="6"/>
        <v>-0.14151321056845473</v>
      </c>
      <c r="Q11">
        <v>40</v>
      </c>
      <c r="R11">
        <f t="shared" si="7"/>
        <v>-0.15901302516158167</v>
      </c>
    </row>
    <row r="12" spans="1:18" x14ac:dyDescent="0.3">
      <c r="A12">
        <f t="shared" si="0"/>
        <v>0.78539999999999999</v>
      </c>
      <c r="B12">
        <v>0.63100000000000001</v>
      </c>
      <c r="C12">
        <v>0.90200000000000002</v>
      </c>
      <c r="D12">
        <v>0.14099999999999999</v>
      </c>
      <c r="E12">
        <f t="shared" si="1"/>
        <v>0.64462060824703937</v>
      </c>
      <c r="F12">
        <f t="shared" si="2"/>
        <v>0.40631929046563192</v>
      </c>
      <c r="G12">
        <v>45</v>
      </c>
      <c r="H12">
        <f t="shared" si="3"/>
        <v>9.6295678398815587E-3</v>
      </c>
      <c r="K12">
        <f t="shared" si="4"/>
        <v>0.78539999999999999</v>
      </c>
      <c r="L12">
        <v>1.01</v>
      </c>
      <c r="M12">
        <v>1.38</v>
      </c>
      <c r="N12">
        <v>-0.49199999999999999</v>
      </c>
      <c r="O12">
        <f t="shared" si="5"/>
        <v>0.94161484167451881</v>
      </c>
      <c r="P12">
        <f t="shared" si="6"/>
        <v>-0.10652173913043478</v>
      </c>
      <c r="Q12">
        <v>45</v>
      </c>
      <c r="R12">
        <f t="shared" si="7"/>
        <v>-4.835814369606628E-2</v>
      </c>
    </row>
    <row r="13" spans="1:18" x14ac:dyDescent="0.3">
      <c r="K13">
        <f t="shared" si="4"/>
        <v>0.8726666666666667</v>
      </c>
      <c r="L13">
        <v>0.57199999999999995</v>
      </c>
      <c r="M13">
        <v>1.45</v>
      </c>
      <c r="N13">
        <v>-0.34699999999999998</v>
      </c>
      <c r="O13">
        <f t="shared" si="5"/>
        <v>1.4128743284652243</v>
      </c>
      <c r="P13">
        <f t="shared" si="6"/>
        <v>1.0689655172413798E-2</v>
      </c>
      <c r="Q13">
        <v>50</v>
      </c>
      <c r="R13">
        <f t="shared" si="7"/>
        <v>0.46999773194778138</v>
      </c>
    </row>
    <row r="16" spans="1:18" x14ac:dyDescent="0.3">
      <c r="A16" s="4" t="s">
        <v>57</v>
      </c>
      <c r="B16" s="4"/>
      <c r="C16" s="4"/>
      <c r="D16" s="4"/>
      <c r="K16" s="4" t="s">
        <v>75</v>
      </c>
      <c r="L16" s="4"/>
      <c r="M16" s="4"/>
      <c r="N16" s="4"/>
    </row>
    <row r="17" spans="1:18" x14ac:dyDescent="0.3">
      <c r="A17" t="s">
        <v>9</v>
      </c>
      <c r="B17" t="s">
        <v>56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K17" t="s">
        <v>9</v>
      </c>
      <c r="L17" t="s">
        <v>33</v>
      </c>
      <c r="M17" t="s">
        <v>34</v>
      </c>
      <c r="N17" t="s">
        <v>39</v>
      </c>
      <c r="O17" t="s">
        <v>40</v>
      </c>
      <c r="P17" t="s">
        <v>41</v>
      </c>
      <c r="Q17" t="s">
        <v>14</v>
      </c>
      <c r="R17" t="s">
        <v>15</v>
      </c>
    </row>
    <row r="18" spans="1:18" x14ac:dyDescent="0.3">
      <c r="A18">
        <f>G18/180*PI()</f>
        <v>6.6787687451272684E-2</v>
      </c>
      <c r="B18">
        <f>B4</f>
        <v>0.14099999999999999</v>
      </c>
      <c r="C18">
        <f>B18*COS(A18)+E18*SIN(A18)</f>
        <v>0.14243526860792716</v>
      </c>
      <c r="D18">
        <f>(F18-0.25)*C18</f>
        <v>-1.3944711611964899E-2</v>
      </c>
      <c r="E18">
        <f>E4+B4*B4/PI()*(1/1.83908-1/1)</f>
        <v>2.621628571714385E-2</v>
      </c>
      <c r="F18">
        <f t="shared" ref="F18:F26" si="8">F4</f>
        <v>0.15209790209790208</v>
      </c>
      <c r="G18">
        <f>G4+57.3*B4/PI()*(1/1.83908-1/1)</f>
        <v>3.8266526143967754</v>
      </c>
      <c r="H18">
        <f>E18*COS(A18)-B18*SIN(A18)</f>
        <v>1.6747772788957969E-2</v>
      </c>
      <c r="K18">
        <f>Q18/180*PI()</f>
        <v>5.2263733445284191E-2</v>
      </c>
      <c r="L18">
        <f t="shared" ref="L18:L27" si="9">L4</f>
        <v>0.24099999999999999</v>
      </c>
      <c r="M18">
        <f>L18*COS(K18)+O18*SIN(K18)</f>
        <v>0.24197873805045933</v>
      </c>
      <c r="N18">
        <f>(P18-0.25)*M18</f>
        <v>-7.667639024644185E-2</v>
      </c>
      <c r="O18">
        <f>O4+L4*L4/PI()*(1/1.83908-1/1)</f>
        <v>2.5034648454891433E-2</v>
      </c>
      <c r="P18">
        <f t="shared" ref="P18:P27" si="10">P4</f>
        <v>-6.6872427983539096E-2</v>
      </c>
      <c r="Q18">
        <f>Q4+57.3*L4/PI()*(1/1.83908-1/1)</f>
        <v>2.9944913480115094</v>
      </c>
      <c r="R18">
        <f>O18*COS(K18)-L18*SIN(K18)</f>
        <v>1.2410638773536041E-2</v>
      </c>
    </row>
    <row r="19" spans="1:18" x14ac:dyDescent="0.3">
      <c r="A19">
        <f t="shared" ref="A19:A26" si="11">G19/180*PI()</f>
        <v>0.13255869812212617</v>
      </c>
      <c r="B19">
        <f t="shared" ref="B19:B26" si="12">B5</f>
        <v>0.28899999999999998</v>
      </c>
      <c r="C19">
        <f t="shared" ref="C19:C26" si="13">B19*COS(A19)+E19*SIN(A19)</f>
        <v>0.29048666622681896</v>
      </c>
      <c r="D19">
        <f t="shared" ref="D19:D25" si="14">(F19-0.25)*C19</f>
        <v>-2.0891164351928764E-2</v>
      </c>
      <c r="E19">
        <f t="shared" ref="E19:E26" si="15">E5+B5*B5/PI()*(1/1.83908-1/1)</f>
        <v>3.0430896508967339E-2</v>
      </c>
      <c r="F19">
        <f t="shared" si="8"/>
        <v>0.17808219178082191</v>
      </c>
      <c r="G19">
        <f t="shared" ref="G19:G26" si="16">G5+57.3*B5/PI()*(1/1.83908-1/1)</f>
        <v>7.5950539401465811</v>
      </c>
      <c r="H19">
        <f t="shared" ref="H19:H26" si="17">E19*COS(A19)-B19*SIN(A19)</f>
        <v>-8.0334430207825679E-3</v>
      </c>
      <c r="K19">
        <f t="shared" ref="K19:K27" si="18">Q19/180*PI()</f>
        <v>0.11861570227637722</v>
      </c>
      <c r="L19">
        <f t="shared" si="9"/>
        <v>0.38500000000000001</v>
      </c>
      <c r="M19">
        <f t="shared" ref="M19:M27" si="19">L19*COS(K19)+O19*SIN(K19)</f>
        <v>0.28900785976294568</v>
      </c>
      <c r="N19">
        <f t="shared" ref="N19:N25" si="20">(P19-0.25)*M19</f>
        <v>-0.18444810562106695</v>
      </c>
      <c r="O19">
        <f t="shared" ref="O19:O27" si="21">O5+L5*L5/PI()*(1/1.83908-1/1)</f>
        <v>-0.78831057488709111</v>
      </c>
      <c r="P19">
        <f t="shared" si="10"/>
        <v>-0.38821138211382111</v>
      </c>
      <c r="Q19">
        <f t="shared" ref="Q19:Q27" si="22">Q5+57.3*L5/PI()*(1/1.83908-1/1)</f>
        <v>6.7961791244167262</v>
      </c>
      <c r="R19">
        <f t="shared" ref="R19:R27" si="23">O19*COS(K19)-L19*SIN(K19)</f>
        <v>-0.8283314671519233</v>
      </c>
    </row>
    <row r="20" spans="1:18" x14ac:dyDescent="0.3">
      <c r="A20">
        <f t="shared" si="11"/>
        <v>0.19774875063274014</v>
      </c>
      <c r="B20">
        <f t="shared" si="12"/>
        <v>0.441</v>
      </c>
      <c r="C20">
        <f t="shared" si="13"/>
        <v>0.44054017425922626</v>
      </c>
      <c r="D20">
        <f t="shared" si="14"/>
        <v>-1.8851944393975903E-2</v>
      </c>
      <c r="E20">
        <f t="shared" si="15"/>
        <v>4.1405721719051547E-2</v>
      </c>
      <c r="F20">
        <f t="shared" si="8"/>
        <v>0.2072072072072072</v>
      </c>
      <c r="G20">
        <f t="shared" si="16"/>
        <v>11.330168815240977</v>
      </c>
      <c r="H20">
        <f t="shared" si="17"/>
        <v>-4.6041162612667226E-2</v>
      </c>
      <c r="K20">
        <f t="shared" si="18"/>
        <v>0.1845319524872906</v>
      </c>
      <c r="L20">
        <f t="shared" si="9"/>
        <v>0.53200000000000003</v>
      </c>
      <c r="M20">
        <f t="shared" si="19"/>
        <v>0.43257089840325841</v>
      </c>
      <c r="N20">
        <f t="shared" si="20"/>
        <v>-0.24189103134892534</v>
      </c>
      <c r="O20">
        <f t="shared" si="21"/>
        <v>-0.49266270794478217</v>
      </c>
      <c r="P20">
        <f t="shared" si="10"/>
        <v>-0.30919395465994959</v>
      </c>
      <c r="Q20">
        <f t="shared" si="22"/>
        <v>10.572902062830385</v>
      </c>
      <c r="R20">
        <f t="shared" si="23"/>
        <v>-0.58191319082323922</v>
      </c>
    </row>
    <row r="21" spans="1:18" x14ac:dyDescent="0.3">
      <c r="A21">
        <f t="shared" si="11"/>
        <v>0.25872685648161742</v>
      </c>
      <c r="B21">
        <f t="shared" si="12"/>
        <v>0.622</v>
      </c>
      <c r="C21">
        <f t="shared" si="13"/>
        <v>0.62096723108768981</v>
      </c>
      <c r="D21">
        <f t="shared" si="14"/>
        <v>-5.9139736294065662E-3</v>
      </c>
      <c r="E21">
        <f t="shared" si="15"/>
        <v>7.6879311072175466E-2</v>
      </c>
      <c r="F21">
        <f t="shared" si="8"/>
        <v>0.24047619047619048</v>
      </c>
      <c r="G21">
        <f t="shared" si="16"/>
        <v>14.823956923083646</v>
      </c>
      <c r="H21">
        <f t="shared" si="17"/>
        <v>-8.481819607973265E-2</v>
      </c>
      <c r="K21">
        <f t="shared" si="18"/>
        <v>0.25567682614035986</v>
      </c>
      <c r="L21">
        <f t="shared" si="9"/>
        <v>0.64300000000000002</v>
      </c>
      <c r="M21">
        <f t="shared" si="19"/>
        <v>0.57495250844298795</v>
      </c>
      <c r="N21">
        <f t="shared" si="20"/>
        <v>-0.29413791430149289</v>
      </c>
      <c r="O21">
        <f t="shared" si="21"/>
        <v>-0.186417623563983</v>
      </c>
      <c r="P21">
        <f t="shared" si="10"/>
        <v>-0.26158645276292325</v>
      </c>
      <c r="Q21">
        <f t="shared" si="22"/>
        <v>14.64920305714274</v>
      </c>
      <c r="R21">
        <f t="shared" si="23"/>
        <v>-0.34297251115848754</v>
      </c>
    </row>
    <row r="22" spans="1:18" x14ac:dyDescent="0.3">
      <c r="A22">
        <f t="shared" si="11"/>
        <v>0.32377166945217151</v>
      </c>
      <c r="B22">
        <f t="shared" si="12"/>
        <v>0.77500000000000002</v>
      </c>
      <c r="C22">
        <f t="shared" si="13"/>
        <v>0.77669905330339495</v>
      </c>
      <c r="D22">
        <f t="shared" si="14"/>
        <v>3.9079197650485273E-3</v>
      </c>
      <c r="E22">
        <f t="shared" si="15"/>
        <v>0.13190963306615686</v>
      </c>
      <c r="F22">
        <f t="shared" si="8"/>
        <v>0.2550314465408805</v>
      </c>
      <c r="G22">
        <f t="shared" si="16"/>
        <v>18.55075018551419</v>
      </c>
      <c r="H22">
        <f t="shared" si="17"/>
        <v>-0.12150609817312971</v>
      </c>
      <c r="K22">
        <f t="shared" si="18"/>
        <v>0.32435262761241107</v>
      </c>
      <c r="L22">
        <f t="shared" si="9"/>
        <v>0.77100000000000002</v>
      </c>
      <c r="M22">
        <f t="shared" si="19"/>
        <v>0.69818505246488693</v>
      </c>
      <c r="N22">
        <f t="shared" si="20"/>
        <v>-0.34202996067282759</v>
      </c>
      <c r="O22">
        <f t="shared" si="21"/>
        <v>-0.10233249672335035</v>
      </c>
      <c r="P22">
        <f t="shared" si="10"/>
        <v>-0.23988439306358389</v>
      </c>
      <c r="Q22">
        <f t="shared" si="22"/>
        <v>18.5840366361696</v>
      </c>
      <c r="R22">
        <f t="shared" si="23"/>
        <v>-0.34271062487211801</v>
      </c>
    </row>
    <row r="23" spans="1:18" x14ac:dyDescent="0.3">
      <c r="A23">
        <f t="shared" si="11"/>
        <v>0.38910696150284529</v>
      </c>
      <c r="B23">
        <f t="shared" si="12"/>
        <v>0.92600000000000005</v>
      </c>
      <c r="C23">
        <f t="shared" si="13"/>
        <v>0.93097975541362454</v>
      </c>
      <c r="D23">
        <f t="shared" si="14"/>
        <v>2.5161615011179042E-2</v>
      </c>
      <c r="E23">
        <f t="shared" si="15"/>
        <v>0.19559116031788745</v>
      </c>
      <c r="F23">
        <f t="shared" si="8"/>
        <v>0.27702702702702703</v>
      </c>
      <c r="G23">
        <f t="shared" si="16"/>
        <v>22.294186673272435</v>
      </c>
      <c r="H23">
        <f t="shared" si="17"/>
        <v>-0.17031910346313284</v>
      </c>
      <c r="K23">
        <f t="shared" si="18"/>
        <v>0.39026887782332442</v>
      </c>
      <c r="L23">
        <f t="shared" si="9"/>
        <v>0.91800000000000004</v>
      </c>
      <c r="M23">
        <f t="shared" si="19"/>
        <v>0.84957768730899597</v>
      </c>
      <c r="N23">
        <f t="shared" si="20"/>
        <v>-0.41437978214137722</v>
      </c>
      <c r="O23">
        <f t="shared" si="21"/>
        <v>1.5903888306417341E-3</v>
      </c>
      <c r="P23">
        <f t="shared" si="10"/>
        <v>-0.2377479579929988</v>
      </c>
      <c r="Q23">
        <f t="shared" si="22"/>
        <v>22.360759574583259</v>
      </c>
      <c r="R23">
        <f t="shared" si="23"/>
        <v>-0.34777044521254347</v>
      </c>
    </row>
    <row r="24" spans="1:18" x14ac:dyDescent="0.3">
      <c r="A24">
        <f t="shared" si="11"/>
        <v>0.50730944613531737</v>
      </c>
      <c r="B24">
        <f t="shared" si="12"/>
        <v>0.71299999999999997</v>
      </c>
      <c r="C24">
        <f t="shared" si="13"/>
        <v>0.8439308349962783</v>
      </c>
      <c r="D24">
        <f t="shared" si="14"/>
        <v>0.11988194499383437</v>
      </c>
      <c r="E24">
        <f t="shared" si="15"/>
        <v>0.45433787858044949</v>
      </c>
      <c r="F24">
        <f t="shared" si="8"/>
        <v>0.39205186020293126</v>
      </c>
      <c r="G24">
        <f t="shared" si="16"/>
        <v>29.066690170673056</v>
      </c>
      <c r="H24">
        <f t="shared" si="17"/>
        <v>5.0721333336849084E-2</v>
      </c>
      <c r="K24">
        <f t="shared" si="18"/>
        <v>0.46243042825681285</v>
      </c>
      <c r="L24">
        <f t="shared" si="9"/>
        <v>1.022</v>
      </c>
      <c r="M24">
        <f t="shared" si="19"/>
        <v>1.0210793428550087</v>
      </c>
      <c r="N24">
        <f t="shared" si="20"/>
        <v>-0.44076752028990956</v>
      </c>
      <c r="O24">
        <f t="shared" si="21"/>
        <v>0.23854124894302614</v>
      </c>
      <c r="P24">
        <f t="shared" si="10"/>
        <v>-0.18166823751178141</v>
      </c>
      <c r="Q24">
        <f t="shared" si="22"/>
        <v>26.495311857542582</v>
      </c>
      <c r="R24">
        <f t="shared" si="23"/>
        <v>-0.24245185716360762</v>
      </c>
    </row>
    <row r="25" spans="1:18" x14ac:dyDescent="0.3">
      <c r="A25">
        <f t="shared" si="11"/>
        <v>0.59849737631665079</v>
      </c>
      <c r="B25">
        <f t="shared" si="12"/>
        <v>0.68600000000000005</v>
      </c>
      <c r="C25">
        <f t="shared" si="13"/>
        <v>0.86876996000438755</v>
      </c>
      <c r="D25">
        <f t="shared" si="14"/>
        <v>0.13022044258271456</v>
      </c>
      <c r="E25">
        <f t="shared" si="15"/>
        <v>0.53604444499419013</v>
      </c>
      <c r="F25">
        <f t="shared" si="8"/>
        <v>0.39989059080962802</v>
      </c>
      <c r="G25">
        <f t="shared" si="16"/>
        <v>34.291373712597078</v>
      </c>
      <c r="H25">
        <f t="shared" si="17"/>
        <v>5.6377332351791321E-2</v>
      </c>
      <c r="K25">
        <f t="shared" si="18"/>
        <v>0.54432302787431353</v>
      </c>
      <c r="L25">
        <f t="shared" si="9"/>
        <v>1.0589999999999999</v>
      </c>
      <c r="M25">
        <f t="shared" si="19"/>
        <v>1.1742752782195436</v>
      </c>
      <c r="N25">
        <f t="shared" si="20"/>
        <v>-0.45974428426689895</v>
      </c>
      <c r="O25">
        <f t="shared" si="21"/>
        <v>0.51816102175335665</v>
      </c>
      <c r="P25">
        <f t="shared" si="10"/>
        <v>-0.14151321056845473</v>
      </c>
      <c r="Q25">
        <f t="shared" si="22"/>
        <v>31.187412188980034</v>
      </c>
      <c r="R25">
        <f t="shared" si="23"/>
        <v>-0.10511619964066327</v>
      </c>
    </row>
    <row r="26" spans="1:18" x14ac:dyDescent="0.3">
      <c r="A26">
        <f t="shared" si="11"/>
        <v>0.69375201361966088</v>
      </c>
      <c r="B26">
        <f t="shared" si="12"/>
        <v>0.63100000000000001</v>
      </c>
      <c r="C26">
        <f t="shared" si="13"/>
        <v>0.86035875860219246</v>
      </c>
      <c r="D26">
        <f>(F26-0.25)*C26</f>
        <v>0.13449067069058662</v>
      </c>
      <c r="E26">
        <f t="shared" si="15"/>
        <v>0.58679614716759365</v>
      </c>
      <c r="F26">
        <f t="shared" si="8"/>
        <v>0.40631929046563192</v>
      </c>
      <c r="G26">
        <f t="shared" si="16"/>
        <v>39.749062409108973</v>
      </c>
      <c r="H26">
        <f t="shared" si="17"/>
        <v>4.768149355071083E-2</v>
      </c>
      <c r="K26">
        <f t="shared" si="18"/>
        <v>0.63870622793696441</v>
      </c>
      <c r="L26">
        <f t="shared" si="9"/>
        <v>1.01</v>
      </c>
      <c r="M26">
        <f t="shared" si="19"/>
        <v>1.2839274136762346</v>
      </c>
      <c r="N26">
        <f>(P26-0.25)*M26</f>
        <v>-0.45774803444109236</v>
      </c>
      <c r="O26">
        <f t="shared" si="21"/>
        <v>0.7934668996431733</v>
      </c>
      <c r="P26">
        <f t="shared" si="10"/>
        <v>-0.10652173913043478</v>
      </c>
      <c r="Q26">
        <f t="shared" si="22"/>
        <v>36.595171209508813</v>
      </c>
      <c r="R26">
        <f t="shared" si="23"/>
        <v>3.4930176638614752E-2</v>
      </c>
    </row>
    <row r="27" spans="1:18" x14ac:dyDescent="0.3">
      <c r="K27">
        <f t="shared" si="18"/>
        <v>0.78958760908291059</v>
      </c>
      <c r="L27">
        <f t="shared" si="9"/>
        <v>0.57199999999999995</v>
      </c>
      <c r="M27">
        <f t="shared" si="19"/>
        <v>1.3722570228746707</v>
      </c>
      <c r="N27">
        <f>(P27-0.25)*M27</f>
        <v>-0.32839530133621431</v>
      </c>
      <c r="O27">
        <f t="shared" si="21"/>
        <v>1.3653577749257833</v>
      </c>
      <c r="P27">
        <f t="shared" si="10"/>
        <v>1.0689655172413798E-2</v>
      </c>
      <c r="Q27">
        <f t="shared" si="22"/>
        <v>45.240037556276278</v>
      </c>
      <c r="R27">
        <f t="shared" si="23"/>
        <v>0.55524455577829068</v>
      </c>
    </row>
    <row r="29" spans="1:18" x14ac:dyDescent="0.3">
      <c r="A29" t="s">
        <v>16</v>
      </c>
    </row>
    <row r="30" spans="1:18" x14ac:dyDescent="0.3">
      <c r="A30" t="s">
        <v>17</v>
      </c>
      <c r="B30" t="s">
        <v>18</v>
      </c>
      <c r="C30" t="s">
        <v>19</v>
      </c>
      <c r="D30" t="s">
        <v>20</v>
      </c>
      <c r="E30" t="s">
        <v>21</v>
      </c>
      <c r="F30" t="s">
        <v>22</v>
      </c>
      <c r="G30" t="s">
        <v>23</v>
      </c>
      <c r="H30" t="s">
        <v>24</v>
      </c>
      <c r="I30" t="s">
        <v>25</v>
      </c>
      <c r="J30" t="s">
        <v>26</v>
      </c>
      <c r="K30" t="s">
        <v>27</v>
      </c>
      <c r="L30" t="s">
        <v>28</v>
      </c>
      <c r="N30" t="s">
        <v>29</v>
      </c>
      <c r="O30" t="s">
        <v>30</v>
      </c>
      <c r="Q30">
        <f>0.3515*5.442*1000*(10.38*0.5144)*(10.38*0.5144)/2</f>
        <v>27267.824992552036</v>
      </c>
    </row>
    <row r="31" spans="1:18" x14ac:dyDescent="0.3">
      <c r="A31">
        <v>5</v>
      </c>
      <c r="B31">
        <f>G18</f>
        <v>3.8266526143967754</v>
      </c>
      <c r="C31">
        <f>E18</f>
        <v>2.621628571714385E-2</v>
      </c>
      <c r="D31">
        <v>0.14099999999999999</v>
      </c>
      <c r="E31">
        <f>C18</f>
        <v>0.14243526860792716</v>
      </c>
      <c r="F31">
        <f>H18</f>
        <v>1.6747772788957969E-2</v>
      </c>
      <c r="G31">
        <f>D18</f>
        <v>-1.3944711611964899E-2</v>
      </c>
      <c r="H31">
        <f>G31+0.25*E31</f>
        <v>2.1664105540016888E-2</v>
      </c>
      <c r="I31">
        <v>0.15209790209790208</v>
      </c>
      <c r="J31">
        <f>(I31-0.25)*1.74</f>
        <v>-0.17034965034965038</v>
      </c>
      <c r="K31">
        <f t="shared" ref="K31:K39" si="24">N31*E31</f>
        <v>21032.558886667863</v>
      </c>
      <c r="L31">
        <f t="shared" ref="L31:L39" si="25">H31*O31</f>
        <v>5566.2740633982175</v>
      </c>
      <c r="N31">
        <f>0.345087*5.54135*1000*5.33*5.33*5.436332/2</f>
        <v>147663.98162636883</v>
      </c>
      <c r="O31">
        <f>N31*1.74</f>
        <v>256935.32802988176</v>
      </c>
      <c r="Q31">
        <f>Q30*4.58</f>
        <v>124886.63846588833</v>
      </c>
      <c r="R31">
        <f>Q30*4.58*1.5</f>
        <v>187329.9576988325</v>
      </c>
    </row>
    <row r="32" spans="1:18" x14ac:dyDescent="0.3">
      <c r="A32">
        <v>10</v>
      </c>
      <c r="B32">
        <f t="shared" ref="B32:B39" si="26">G19</f>
        <v>7.5950539401465811</v>
      </c>
      <c r="C32">
        <f t="shared" ref="C32:C39" si="27">E19</f>
        <v>3.0430896508967339E-2</v>
      </c>
      <c r="D32">
        <v>0.28899999999999998</v>
      </c>
      <c r="E32">
        <f t="shared" ref="E32:E39" si="28">C19</f>
        <v>0.29048666622681896</v>
      </c>
      <c r="F32">
        <f t="shared" ref="F32:F39" si="29">H19</f>
        <v>-8.0334430207825679E-3</v>
      </c>
      <c r="G32">
        <f t="shared" ref="G32:G39" si="30">D19</f>
        <v>-2.0891164351928764E-2</v>
      </c>
      <c r="H32">
        <f t="shared" ref="H32:H39" si="31">G32+0.25*E32</f>
        <v>5.1730502204775972E-2</v>
      </c>
      <c r="I32">
        <v>0.17808219178082191</v>
      </c>
      <c r="J32">
        <f t="shared" ref="J32:J39" si="32">(I32-0.25)*1.74</f>
        <v>-0.12513698630136988</v>
      </c>
      <c r="K32">
        <f t="shared" si="24"/>
        <v>42894.417744422128</v>
      </c>
      <c r="L32">
        <f t="shared" si="25"/>
        <v>13291.393553134636</v>
      </c>
      <c r="N32">
        <f t="shared" ref="N32:N39" si="33">0.345087*5.54135*1000*5.33*5.33*5.436332/2</f>
        <v>147663.98162636883</v>
      </c>
      <c r="O32">
        <f t="shared" ref="O32:O39" si="34">N32*1.74</f>
        <v>256935.32802988176</v>
      </c>
    </row>
    <row r="33" spans="1:18" x14ac:dyDescent="0.3">
      <c r="A33">
        <v>15</v>
      </c>
      <c r="B33">
        <f t="shared" si="26"/>
        <v>11.330168815240977</v>
      </c>
      <c r="C33">
        <f t="shared" si="27"/>
        <v>4.1405721719051547E-2</v>
      </c>
      <c r="D33">
        <v>0.441</v>
      </c>
      <c r="E33">
        <f t="shared" si="28"/>
        <v>0.44054017425922626</v>
      </c>
      <c r="F33">
        <f t="shared" si="29"/>
        <v>-4.6041162612667226E-2</v>
      </c>
      <c r="G33">
        <f t="shared" si="30"/>
        <v>-1.8851944393975903E-2</v>
      </c>
      <c r="H33">
        <f t="shared" si="31"/>
        <v>9.1283099170830662E-2</v>
      </c>
      <c r="I33">
        <v>0.2072072072072072</v>
      </c>
      <c r="J33">
        <f t="shared" si="32"/>
        <v>-7.4459459459459476E-2</v>
      </c>
      <c r="K33">
        <f t="shared" si="24"/>
        <v>65051.916197491708</v>
      </c>
      <c r="L33">
        <f t="shared" si="25"/>
        <v>23453.853029041602</v>
      </c>
      <c r="N33">
        <f t="shared" si="33"/>
        <v>147663.98162636883</v>
      </c>
      <c r="O33">
        <f t="shared" si="34"/>
        <v>256935.32802988176</v>
      </c>
      <c r="Q33">
        <f>0.345087*5.54135*1000*5.33*5.33*5.436332/2</f>
        <v>147663.98162636883</v>
      </c>
      <c r="R33">
        <f>Q33*1.74</f>
        <v>256935.32802988176</v>
      </c>
    </row>
    <row r="34" spans="1:18" x14ac:dyDescent="0.3">
      <c r="A34">
        <v>20</v>
      </c>
      <c r="B34">
        <f t="shared" si="26"/>
        <v>14.823956923083646</v>
      </c>
      <c r="C34">
        <f t="shared" si="27"/>
        <v>7.6879311072175466E-2</v>
      </c>
      <c r="D34">
        <v>0.622</v>
      </c>
      <c r="E34">
        <f t="shared" si="28"/>
        <v>0.62096723108768981</v>
      </c>
      <c r="F34">
        <f t="shared" si="29"/>
        <v>-8.481819607973265E-2</v>
      </c>
      <c r="G34">
        <f t="shared" si="30"/>
        <v>-5.9139736294065662E-3</v>
      </c>
      <c r="H34">
        <f t="shared" si="31"/>
        <v>0.14932783414251588</v>
      </c>
      <c r="I34">
        <v>0.24047619047619048</v>
      </c>
      <c r="J34">
        <f t="shared" si="32"/>
        <v>-1.657142857142856E-2</v>
      </c>
      <c r="K34">
        <f t="shared" si="24"/>
        <v>91694.493801909746</v>
      </c>
      <c r="L34">
        <f t="shared" si="25"/>
        <v>38367.596049399093</v>
      </c>
      <c r="N34">
        <f t="shared" si="33"/>
        <v>147663.98162636883</v>
      </c>
      <c r="O34">
        <f t="shared" si="34"/>
        <v>256935.32802988176</v>
      </c>
    </row>
    <row r="35" spans="1:18" x14ac:dyDescent="0.3">
      <c r="A35">
        <v>25</v>
      </c>
      <c r="B35">
        <f t="shared" si="26"/>
        <v>18.55075018551419</v>
      </c>
      <c r="C35">
        <f t="shared" si="27"/>
        <v>0.13190963306615686</v>
      </c>
      <c r="D35">
        <v>0.77500000000000002</v>
      </c>
      <c r="E35">
        <f t="shared" si="28"/>
        <v>0.77669905330339495</v>
      </c>
      <c r="F35">
        <f t="shared" si="29"/>
        <v>-0.12150609817312971</v>
      </c>
      <c r="G35">
        <f t="shared" si="30"/>
        <v>3.9079197650485273E-3</v>
      </c>
      <c r="H35">
        <f t="shared" si="31"/>
        <v>0.19808268309089727</v>
      </c>
      <c r="I35">
        <v>0.2550314465408805</v>
      </c>
      <c r="J35">
        <f t="shared" si="32"/>
        <v>8.7547169811320741E-3</v>
      </c>
      <c r="K35">
        <f t="shared" si="24"/>
        <v>114690.47473621057</v>
      </c>
      <c r="L35">
        <f t="shared" si="25"/>
        <v>50894.4391569988</v>
      </c>
      <c r="N35">
        <f t="shared" si="33"/>
        <v>147663.98162636883</v>
      </c>
      <c r="O35">
        <f t="shared" si="34"/>
        <v>256935.32802988176</v>
      </c>
      <c r="Q35" t="s">
        <v>72</v>
      </c>
      <c r="R35">
        <f>8*112611.8/(PI( )*1000*3.733333*3.733333*2.19*2.19)</f>
        <v>4.2898521712546263</v>
      </c>
    </row>
    <row r="36" spans="1:18" x14ac:dyDescent="0.3">
      <c r="A36">
        <v>30</v>
      </c>
      <c r="B36">
        <f t="shared" si="26"/>
        <v>22.294186673272435</v>
      </c>
      <c r="C36">
        <f t="shared" si="27"/>
        <v>0.19559116031788745</v>
      </c>
      <c r="D36">
        <v>0.92600000000000005</v>
      </c>
      <c r="E36">
        <f t="shared" si="28"/>
        <v>0.93097975541362454</v>
      </c>
      <c r="F36">
        <f t="shared" si="29"/>
        <v>-0.17031910346313284</v>
      </c>
      <c r="G36">
        <f t="shared" si="30"/>
        <v>2.5161615011179042E-2</v>
      </c>
      <c r="H36">
        <f t="shared" si="31"/>
        <v>0.25790655386458516</v>
      </c>
      <c r="I36">
        <v>0.27702702702702703</v>
      </c>
      <c r="J36">
        <f t="shared" si="32"/>
        <v>4.7027027027027032E-2</v>
      </c>
      <c r="K36">
        <f t="shared" si="24"/>
        <v>137472.1774979188</v>
      </c>
      <c r="L36">
        <f t="shared" si="25"/>
        <v>66265.305018253552</v>
      </c>
      <c r="N36">
        <f t="shared" si="33"/>
        <v>147663.98162636883</v>
      </c>
      <c r="O36">
        <f t="shared" si="34"/>
        <v>256935.32802988176</v>
      </c>
      <c r="Q36" t="s">
        <v>73</v>
      </c>
      <c r="R36">
        <f>3.733333*SQRT(1+R35)</f>
        <v>8.5865459222197451</v>
      </c>
    </row>
    <row r="37" spans="1:18" x14ac:dyDescent="0.3">
      <c r="A37">
        <v>35</v>
      </c>
      <c r="B37">
        <f t="shared" si="26"/>
        <v>29.066690170673056</v>
      </c>
      <c r="C37">
        <f t="shared" si="27"/>
        <v>0.45433787858044949</v>
      </c>
      <c r="D37">
        <v>0.71299999999999997</v>
      </c>
      <c r="E37">
        <f t="shared" si="28"/>
        <v>0.8439308349962783</v>
      </c>
      <c r="F37">
        <f t="shared" si="29"/>
        <v>5.0721333336849084E-2</v>
      </c>
      <c r="G37">
        <f t="shared" si="30"/>
        <v>0.11988194499383437</v>
      </c>
      <c r="H37">
        <f t="shared" si="31"/>
        <v>0.33086465374290397</v>
      </c>
      <c r="I37">
        <v>0.39205186020293126</v>
      </c>
      <c r="J37">
        <f t="shared" si="32"/>
        <v>0.24717023675310038</v>
      </c>
      <c r="K37">
        <f t="shared" si="24"/>
        <v>124618.18731281655</v>
      </c>
      <c r="L37">
        <f t="shared" si="25"/>
        <v>85010.818342926272</v>
      </c>
      <c r="N37">
        <f t="shared" si="33"/>
        <v>147663.98162636883</v>
      </c>
      <c r="O37">
        <f t="shared" si="34"/>
        <v>256935.32802988176</v>
      </c>
      <c r="Q37" t="s">
        <v>74</v>
      </c>
      <c r="R37">
        <f>1+3.791647/5.436332*((1+R35)*POWER((1-0.3)/(1-0.412559),2)-1)</f>
        <v>5.5413504376649358</v>
      </c>
    </row>
    <row r="38" spans="1:18" x14ac:dyDescent="0.3">
      <c r="A38">
        <v>40</v>
      </c>
      <c r="B38">
        <f t="shared" si="26"/>
        <v>34.291373712597078</v>
      </c>
      <c r="C38">
        <f t="shared" si="27"/>
        <v>0.53604444499419013</v>
      </c>
      <c r="D38">
        <v>0.68600000000000005</v>
      </c>
      <c r="E38">
        <f t="shared" si="28"/>
        <v>0.86876996000438755</v>
      </c>
      <c r="F38">
        <f t="shared" si="29"/>
        <v>5.6377332351791321E-2</v>
      </c>
      <c r="G38">
        <f t="shared" si="30"/>
        <v>0.13022044258271456</v>
      </c>
      <c r="H38">
        <f t="shared" si="31"/>
        <v>0.34741293258381145</v>
      </c>
      <c r="I38">
        <v>0.39989059080962802</v>
      </c>
      <c r="J38">
        <f t="shared" si="32"/>
        <v>0.26080962800875274</v>
      </c>
      <c r="K38">
        <f t="shared" si="24"/>
        <v>128286.03141162907</v>
      </c>
      <c r="L38">
        <f t="shared" si="25"/>
        <v>89262.655795244791</v>
      </c>
      <c r="N38">
        <f t="shared" si="33"/>
        <v>147663.98162636883</v>
      </c>
      <c r="O38">
        <f t="shared" si="34"/>
        <v>256935.32802988176</v>
      </c>
    </row>
    <row r="39" spans="1:18" x14ac:dyDescent="0.3">
      <c r="A39">
        <v>45</v>
      </c>
      <c r="B39">
        <f t="shared" si="26"/>
        <v>39.749062409108973</v>
      </c>
      <c r="C39">
        <f t="shared" si="27"/>
        <v>0.58679614716759365</v>
      </c>
      <c r="D39">
        <v>0.63100000000000001</v>
      </c>
      <c r="E39">
        <f t="shared" si="28"/>
        <v>0.86035875860219246</v>
      </c>
      <c r="F39">
        <f t="shared" si="29"/>
        <v>4.768149355071083E-2</v>
      </c>
      <c r="G39">
        <f t="shared" si="30"/>
        <v>0.13449067069058662</v>
      </c>
      <c r="H39">
        <f t="shared" si="31"/>
        <v>0.34958036034113471</v>
      </c>
      <c r="I39">
        <v>0.40631929046563192</v>
      </c>
      <c r="J39">
        <f t="shared" si="32"/>
        <v>0.27199556541019954</v>
      </c>
      <c r="K39">
        <f t="shared" si="24"/>
        <v>127043.99992231964</v>
      </c>
      <c r="L39">
        <f t="shared" si="25"/>
        <v>89819.544557053712</v>
      </c>
      <c r="N39">
        <f t="shared" si="33"/>
        <v>147663.98162636883</v>
      </c>
      <c r="O39">
        <f t="shared" si="34"/>
        <v>256935.32802988176</v>
      </c>
      <c r="Q39" t="s">
        <v>78</v>
      </c>
      <c r="R39">
        <f>1196648.359375*2*1.5/(57.3*12*0.85)</f>
        <v>6142.32809452315</v>
      </c>
    </row>
    <row r="41" spans="1:18" x14ac:dyDescent="0.3">
      <c r="A41" t="s">
        <v>42</v>
      </c>
    </row>
    <row r="42" spans="1:18" x14ac:dyDescent="0.3">
      <c r="A42" t="s">
        <v>14</v>
      </c>
      <c r="B42" t="s">
        <v>18</v>
      </c>
      <c r="C42" t="s">
        <v>43</v>
      </c>
      <c r="D42" t="s">
        <v>20</v>
      </c>
      <c r="E42" t="s">
        <v>21</v>
      </c>
      <c r="F42" t="s">
        <v>22</v>
      </c>
      <c r="G42" t="s">
        <v>44</v>
      </c>
      <c r="H42" t="s">
        <v>24</v>
      </c>
      <c r="I42" t="s">
        <v>45</v>
      </c>
      <c r="J42" t="s">
        <v>26</v>
      </c>
      <c r="K42" t="s">
        <v>46</v>
      </c>
      <c r="L42" t="s">
        <v>28</v>
      </c>
      <c r="N42" t="s">
        <v>29</v>
      </c>
      <c r="O42" t="s">
        <v>30</v>
      </c>
    </row>
    <row r="43" spans="1:18" x14ac:dyDescent="0.3">
      <c r="A43">
        <v>5</v>
      </c>
      <c r="B43">
        <f>Q18</f>
        <v>2.9944913480115094</v>
      </c>
      <c r="C43">
        <f>O18</f>
        <v>2.5034648454891433E-2</v>
      </c>
      <c r="D43">
        <v>0.24099999999999999</v>
      </c>
      <c r="E43">
        <f>M18</f>
        <v>0.24197873805045933</v>
      </c>
      <c r="F43">
        <f>R18</f>
        <v>1.2410638773536041E-2</v>
      </c>
      <c r="G43">
        <f>N18</f>
        <v>-7.667639024644185E-2</v>
      </c>
      <c r="H43">
        <f>G43+0.25*E43</f>
        <v>-1.6181705733827018E-2</v>
      </c>
      <c r="I43">
        <v>-6.6872427983539096E-2</v>
      </c>
      <c r="J43">
        <f>(I43-0.25)*1.74</f>
        <v>-0.55135802469135797</v>
      </c>
      <c r="K43">
        <f t="shared" ref="K43:K52" si="35">N43*E43</f>
        <v>8932.8859823637358</v>
      </c>
      <c r="L43">
        <f t="shared" ref="L43:L52" si="36">O43*H43</f>
        <v>-1039.4129677009657</v>
      </c>
      <c r="N43">
        <f>0.345087*5.54135*1000*5.33*5.33*5.436332/2/4</f>
        <v>36915.995406592207</v>
      </c>
      <c r="O43">
        <f>N43*1.74</f>
        <v>64233.832007470439</v>
      </c>
    </row>
    <row r="44" spans="1:18" x14ac:dyDescent="0.3">
      <c r="A44">
        <v>10</v>
      </c>
      <c r="B44">
        <f t="shared" ref="B44:B52" si="37">Q19</f>
        <v>6.7961791244167262</v>
      </c>
      <c r="C44">
        <f t="shared" ref="C44:C52" si="38">O19</f>
        <v>-0.78831057488709111</v>
      </c>
      <c r="D44">
        <v>0.38500000000000001</v>
      </c>
      <c r="E44">
        <f t="shared" ref="E44:E52" si="39">M19</f>
        <v>0.28900785976294568</v>
      </c>
      <c r="F44">
        <f t="shared" ref="F44:F52" si="40">R19</f>
        <v>-0.8283314671519233</v>
      </c>
      <c r="G44">
        <f t="shared" ref="G44:G52" si="41">N19</f>
        <v>-0.18444810562106695</v>
      </c>
      <c r="H44">
        <f t="shared" ref="H44:H52" si="42">G44+0.25*E44</f>
        <v>-0.11219614068033053</v>
      </c>
      <c r="I44">
        <v>-0.38821138211382111</v>
      </c>
      <c r="J44">
        <f t="shared" ref="J44:J52" si="43">(I44-0.25)*1.74</f>
        <v>-1.1104878048780487</v>
      </c>
      <c r="K44">
        <f t="shared" si="35"/>
        <v>10669.012823477948</v>
      </c>
      <c r="L44">
        <f t="shared" si="36"/>
        <v>-7206.7880523468712</v>
      </c>
      <c r="N44">
        <f t="shared" ref="N44:N52" si="44">0.345087*5.54135*1000*5.33*5.33*5.436332/2/4</f>
        <v>36915.995406592207</v>
      </c>
      <c r="O44">
        <f t="shared" ref="O44:O52" si="45">N44*1.74</f>
        <v>64233.832007470439</v>
      </c>
    </row>
    <row r="45" spans="1:18" x14ac:dyDescent="0.3">
      <c r="A45">
        <v>15</v>
      </c>
      <c r="B45">
        <f t="shared" si="37"/>
        <v>10.572902062830385</v>
      </c>
      <c r="C45">
        <f t="shared" si="38"/>
        <v>-0.49266270794478217</v>
      </c>
      <c r="D45">
        <v>0.53200000000000003</v>
      </c>
      <c r="E45">
        <f t="shared" si="39"/>
        <v>0.43257089840325841</v>
      </c>
      <c r="F45">
        <f t="shared" si="40"/>
        <v>-0.58191319082323922</v>
      </c>
      <c r="G45">
        <f t="shared" si="41"/>
        <v>-0.24189103134892534</v>
      </c>
      <c r="H45">
        <f t="shared" si="42"/>
        <v>-0.13374830674811072</v>
      </c>
      <c r="I45">
        <v>-0.30919395465994959</v>
      </c>
      <c r="J45">
        <f t="shared" si="43"/>
        <v>-0.9729974811083123</v>
      </c>
      <c r="K45">
        <f t="shared" si="35"/>
        <v>15968.785298480152</v>
      </c>
      <c r="L45">
        <f t="shared" si="36"/>
        <v>-8591.1662669417692</v>
      </c>
      <c r="N45">
        <f t="shared" si="44"/>
        <v>36915.995406592207</v>
      </c>
      <c r="O45">
        <f t="shared" si="45"/>
        <v>64233.832007470439</v>
      </c>
    </row>
    <row r="46" spans="1:18" x14ac:dyDescent="0.3">
      <c r="A46">
        <v>20</v>
      </c>
      <c r="B46">
        <f t="shared" si="37"/>
        <v>14.64920305714274</v>
      </c>
      <c r="C46">
        <f t="shared" si="38"/>
        <v>-0.186417623563983</v>
      </c>
      <c r="D46">
        <v>0.64300000000000002</v>
      </c>
      <c r="E46">
        <f t="shared" si="39"/>
        <v>0.57495250844298795</v>
      </c>
      <c r="F46">
        <f t="shared" si="40"/>
        <v>-0.34297251115848754</v>
      </c>
      <c r="G46">
        <f t="shared" si="41"/>
        <v>-0.29413791430149289</v>
      </c>
      <c r="H46">
        <f t="shared" si="42"/>
        <v>-0.1503997871907459</v>
      </c>
      <c r="I46">
        <v>-0.26158645276292325</v>
      </c>
      <c r="J46">
        <f t="shared" si="43"/>
        <v>-0.8901604278074865</v>
      </c>
      <c r="K46">
        <f t="shared" si="35"/>
        <v>21224.944160690011</v>
      </c>
      <c r="L46">
        <f t="shared" si="36"/>
        <v>-9660.7546643696769</v>
      </c>
      <c r="N46">
        <f t="shared" si="44"/>
        <v>36915.995406592207</v>
      </c>
      <c r="O46">
        <f t="shared" si="45"/>
        <v>64233.832007470439</v>
      </c>
    </row>
    <row r="47" spans="1:18" x14ac:dyDescent="0.3">
      <c r="A47">
        <v>25</v>
      </c>
      <c r="B47">
        <f t="shared" si="37"/>
        <v>18.5840366361696</v>
      </c>
      <c r="C47">
        <f t="shared" si="38"/>
        <v>-0.10233249672335035</v>
      </c>
      <c r="D47">
        <v>0.77100000000000002</v>
      </c>
      <c r="E47">
        <f t="shared" si="39"/>
        <v>0.69818505246488693</v>
      </c>
      <c r="F47">
        <f t="shared" si="40"/>
        <v>-0.34271062487211801</v>
      </c>
      <c r="G47">
        <f t="shared" si="41"/>
        <v>-0.34202996067282759</v>
      </c>
      <c r="H47">
        <f t="shared" si="42"/>
        <v>-0.16748369755660586</v>
      </c>
      <c r="I47">
        <v>-0.23988439306358389</v>
      </c>
      <c r="J47">
        <f t="shared" si="43"/>
        <v>-0.85239884393063592</v>
      </c>
      <c r="K47">
        <f t="shared" si="35"/>
        <v>25774.196189745104</v>
      </c>
      <c r="L47">
        <f t="shared" si="36"/>
        <v>-10758.119692841008</v>
      </c>
      <c r="N47">
        <f t="shared" si="44"/>
        <v>36915.995406592207</v>
      </c>
      <c r="O47">
        <f t="shared" si="45"/>
        <v>64233.832007470439</v>
      </c>
    </row>
    <row r="48" spans="1:18" x14ac:dyDescent="0.3">
      <c r="A48">
        <v>30</v>
      </c>
      <c r="B48">
        <f t="shared" si="37"/>
        <v>22.360759574583259</v>
      </c>
      <c r="C48">
        <f t="shared" si="38"/>
        <v>1.5903888306417341E-3</v>
      </c>
      <c r="D48">
        <v>0.91800000000000004</v>
      </c>
      <c r="E48">
        <f t="shared" si="39"/>
        <v>0.84957768730899597</v>
      </c>
      <c r="F48">
        <f t="shared" si="40"/>
        <v>-0.34777044521254347</v>
      </c>
      <c r="G48">
        <f t="shared" si="41"/>
        <v>-0.41437978214137722</v>
      </c>
      <c r="H48">
        <f t="shared" si="42"/>
        <v>-0.20198536031412823</v>
      </c>
      <c r="I48">
        <v>-0.2377479579929988</v>
      </c>
      <c r="J48">
        <f t="shared" si="43"/>
        <v>-0.84868144690781788</v>
      </c>
      <c r="K48">
        <f t="shared" si="35"/>
        <v>31363.006002242124</v>
      </c>
      <c r="L48">
        <f t="shared" si="36"/>
        <v>-12974.2937023861</v>
      </c>
      <c r="N48">
        <f t="shared" si="44"/>
        <v>36915.995406592207</v>
      </c>
      <c r="O48">
        <f t="shared" si="45"/>
        <v>64233.832007470439</v>
      </c>
    </row>
    <row r="49" spans="1:15" x14ac:dyDescent="0.3">
      <c r="A49">
        <v>35</v>
      </c>
      <c r="B49">
        <f t="shared" si="37"/>
        <v>26.495311857542582</v>
      </c>
      <c r="C49">
        <f t="shared" si="38"/>
        <v>0.23854124894302614</v>
      </c>
      <c r="D49">
        <v>1.022</v>
      </c>
      <c r="E49">
        <f t="shared" si="39"/>
        <v>1.0210793428550087</v>
      </c>
      <c r="F49">
        <f t="shared" si="40"/>
        <v>-0.24245185716360762</v>
      </c>
      <c r="G49">
        <f t="shared" si="41"/>
        <v>-0.44076752028990956</v>
      </c>
      <c r="H49">
        <f t="shared" si="42"/>
        <v>-0.1854976845761574</v>
      </c>
      <c r="I49">
        <v>-0.18166823751178141</v>
      </c>
      <c r="J49">
        <f t="shared" si="43"/>
        <v>-0.75110273327049959</v>
      </c>
      <c r="K49">
        <f t="shared" si="35"/>
        <v>37694.160330601691</v>
      </c>
      <c r="L49">
        <f t="shared" si="36"/>
        <v>-11915.227108839634</v>
      </c>
      <c r="N49">
        <f t="shared" si="44"/>
        <v>36915.995406592207</v>
      </c>
      <c r="O49">
        <f t="shared" si="45"/>
        <v>64233.832007470439</v>
      </c>
    </row>
    <row r="50" spans="1:15" x14ac:dyDescent="0.3">
      <c r="A50">
        <v>40</v>
      </c>
      <c r="B50">
        <f t="shared" si="37"/>
        <v>31.187412188980034</v>
      </c>
      <c r="C50">
        <f t="shared" si="38"/>
        <v>0.51816102175335665</v>
      </c>
      <c r="D50">
        <v>1.0589999999999999</v>
      </c>
      <c r="E50">
        <f t="shared" si="39"/>
        <v>1.1742752782195436</v>
      </c>
      <c r="F50">
        <f t="shared" si="40"/>
        <v>-0.10511619964066327</v>
      </c>
      <c r="G50">
        <f t="shared" si="41"/>
        <v>-0.45974428426689895</v>
      </c>
      <c r="H50">
        <f t="shared" si="42"/>
        <v>-0.16617546471201305</v>
      </c>
      <c r="I50">
        <v>-0.14151321056845473</v>
      </c>
      <c r="J50">
        <f t="shared" si="43"/>
        <v>-0.68123298638911123</v>
      </c>
      <c r="K50">
        <f t="shared" si="35"/>
        <v>43349.54077682746</v>
      </c>
      <c r="L50">
        <f t="shared" si="36"/>
        <v>-10674.086884074779</v>
      </c>
      <c r="N50">
        <f t="shared" si="44"/>
        <v>36915.995406592207</v>
      </c>
      <c r="O50">
        <f t="shared" si="45"/>
        <v>64233.832007470439</v>
      </c>
    </row>
    <row r="51" spans="1:15" x14ac:dyDescent="0.3">
      <c r="A51">
        <v>45</v>
      </c>
      <c r="B51">
        <f t="shared" si="37"/>
        <v>36.595171209508813</v>
      </c>
      <c r="C51">
        <f t="shared" si="38"/>
        <v>0.7934668996431733</v>
      </c>
      <c r="D51">
        <v>1.01</v>
      </c>
      <c r="E51">
        <f t="shared" si="39"/>
        <v>1.2839274136762346</v>
      </c>
      <c r="F51">
        <f t="shared" si="40"/>
        <v>3.4930176638614752E-2</v>
      </c>
      <c r="G51">
        <f t="shared" si="41"/>
        <v>-0.45774803444109236</v>
      </c>
      <c r="H51">
        <f t="shared" si="42"/>
        <v>-0.13676618102203369</v>
      </c>
      <c r="I51">
        <v>-0.10652173913043478</v>
      </c>
      <c r="J51">
        <f t="shared" si="43"/>
        <v>-0.62034782608695649</v>
      </c>
      <c r="K51">
        <f t="shared" si="35"/>
        <v>47397.458505669689</v>
      </c>
      <c r="L51">
        <f t="shared" si="36"/>
        <v>-8785.0158960726039</v>
      </c>
      <c r="N51">
        <f t="shared" si="44"/>
        <v>36915.995406592207</v>
      </c>
      <c r="O51">
        <f t="shared" si="45"/>
        <v>64233.832007470439</v>
      </c>
    </row>
    <row r="52" spans="1:15" x14ac:dyDescent="0.3">
      <c r="A52">
        <v>50</v>
      </c>
      <c r="B52">
        <f t="shared" si="37"/>
        <v>45.240037556276278</v>
      </c>
      <c r="C52">
        <f t="shared" si="38"/>
        <v>1.3653577749257833</v>
      </c>
      <c r="D52">
        <v>0.57199999999999995</v>
      </c>
      <c r="E52">
        <f t="shared" si="39"/>
        <v>1.3722570228746707</v>
      </c>
      <c r="F52">
        <f t="shared" si="40"/>
        <v>0.55524455577829068</v>
      </c>
      <c r="G52">
        <f t="shared" si="41"/>
        <v>-0.32839530133621431</v>
      </c>
      <c r="H52">
        <f t="shared" si="42"/>
        <v>1.4668954382453359E-2</v>
      </c>
      <c r="I52">
        <v>1.0689655172413798E-2</v>
      </c>
      <c r="J52">
        <f t="shared" si="43"/>
        <v>-0.41639999999999999</v>
      </c>
      <c r="K52">
        <f t="shared" si="35"/>
        <v>50658.233953105242</v>
      </c>
      <c r="L52">
        <f t="shared" si="36"/>
        <v>942.24315152775625</v>
      </c>
      <c r="N52">
        <f t="shared" si="44"/>
        <v>36915.995406592207</v>
      </c>
      <c r="O52">
        <f t="shared" si="45"/>
        <v>64233.832007470439</v>
      </c>
    </row>
    <row r="54" spans="1:15" x14ac:dyDescent="0.3">
      <c r="A54" t="s">
        <v>7</v>
      </c>
      <c r="B54" t="s">
        <v>18</v>
      </c>
      <c r="C54" t="s">
        <v>19</v>
      </c>
      <c r="D54" t="s">
        <v>20</v>
      </c>
      <c r="E54" t="s">
        <v>21</v>
      </c>
      <c r="F54" t="s">
        <v>22</v>
      </c>
      <c r="G54" t="s">
        <v>76</v>
      </c>
      <c r="H54" t="s">
        <v>25</v>
      </c>
    </row>
    <row r="55" spans="1:15" x14ac:dyDescent="0.3">
      <c r="A55">
        <v>5</v>
      </c>
      <c r="B55">
        <v>3.6356597175152534</v>
      </c>
      <c r="C55">
        <v>2.621628571714385E-2</v>
      </c>
      <c r="D55">
        <v>0.14099999999999999</v>
      </c>
      <c r="E55">
        <v>0.14237865195757607</v>
      </c>
      <c r="F55">
        <v>1.7222459276954028E-2</v>
      </c>
      <c r="G55">
        <f>H31</f>
        <v>2.1664105540016888E-2</v>
      </c>
      <c r="H55">
        <v>0.15209790209790208</v>
      </c>
    </row>
    <row r="56" spans="1:15" x14ac:dyDescent="0.3">
      <c r="A56">
        <v>10</v>
      </c>
      <c r="B56">
        <v>7.2035862295170787</v>
      </c>
      <c r="C56">
        <v>3.0430896508967339E-2</v>
      </c>
      <c r="D56">
        <v>0.28899999999999998</v>
      </c>
      <c r="E56">
        <v>0.2905347715425472</v>
      </c>
      <c r="F56">
        <v>-6.0486351402081681E-3</v>
      </c>
      <c r="G56">
        <f t="shared" ref="G56:G63" si="46">H32</f>
        <v>5.1730502204775972E-2</v>
      </c>
      <c r="H56">
        <v>0.17808219178082191</v>
      </c>
    </row>
    <row r="57" spans="1:15" x14ac:dyDescent="0.3">
      <c r="A57">
        <v>15</v>
      </c>
      <c r="B57">
        <v>10.732808052654089</v>
      </c>
      <c r="C57">
        <v>4.1405721719051547E-2</v>
      </c>
      <c r="D57">
        <v>0.441</v>
      </c>
      <c r="E57">
        <v>0.44099622546052669</v>
      </c>
      <c r="F57">
        <v>-4.1445903544787707E-2</v>
      </c>
      <c r="G57">
        <f t="shared" si="46"/>
        <v>9.1283099170830662E-2</v>
      </c>
      <c r="H57">
        <v>0.2072072072072072</v>
      </c>
    </row>
    <row r="58" spans="1:15" x14ac:dyDescent="0.3">
      <c r="A58">
        <v>20</v>
      </c>
      <c r="B58">
        <v>13.981420881521187</v>
      </c>
      <c r="C58">
        <v>7.6879311072175466E-2</v>
      </c>
      <c r="D58">
        <v>0.622</v>
      </c>
      <c r="E58">
        <v>0.62214725980185914</v>
      </c>
      <c r="F58">
        <v>-7.5678369379700211E-2</v>
      </c>
      <c r="G58">
        <f t="shared" si="46"/>
        <v>0.14932783414251588</v>
      </c>
      <c r="H58">
        <v>0.24047619047619048</v>
      </c>
    </row>
    <row r="59" spans="1:15" x14ac:dyDescent="0.3">
      <c r="A59">
        <v>25</v>
      </c>
      <c r="B59">
        <v>17.500966532441993</v>
      </c>
      <c r="C59">
        <v>0.13190963306615686</v>
      </c>
      <c r="D59">
        <v>0.77500000000000002</v>
      </c>
      <c r="E59">
        <v>0.77879474268938753</v>
      </c>
      <c r="F59">
        <v>-0.10725623550646698</v>
      </c>
      <c r="G59">
        <f t="shared" si="46"/>
        <v>0.19808268309089727</v>
      </c>
      <c r="H59">
        <v>0.2550314465408805</v>
      </c>
    </row>
    <row r="60" spans="1:15" x14ac:dyDescent="0.3">
      <c r="A60">
        <v>30</v>
      </c>
      <c r="B60">
        <v>21.039864527795206</v>
      </c>
      <c r="C60">
        <v>0.19559116031788745</v>
      </c>
      <c r="D60">
        <v>0.92600000000000005</v>
      </c>
      <c r="E60">
        <v>0.93448488076408653</v>
      </c>
      <c r="F60">
        <v>-0.14989966516916742</v>
      </c>
      <c r="G60">
        <f t="shared" si="46"/>
        <v>0.25790655386458516</v>
      </c>
      <c r="H60">
        <v>0.27702702702702703</v>
      </c>
    </row>
    <row r="61" spans="1:15" x14ac:dyDescent="0.3">
      <c r="A61">
        <v>35</v>
      </c>
      <c r="B61">
        <v>28.100889209846635</v>
      </c>
      <c r="C61">
        <v>0.45433787858044949</v>
      </c>
      <c r="D61">
        <v>0.71299999999999997</v>
      </c>
      <c r="E61">
        <v>0.84295607678048978</v>
      </c>
      <c r="F61">
        <v>6.4938128490341307E-2</v>
      </c>
      <c r="G61">
        <f t="shared" si="46"/>
        <v>0.33086465374290397</v>
      </c>
      <c r="H61">
        <v>0.39205186020293126</v>
      </c>
    </row>
    <row r="62" spans="1:15" x14ac:dyDescent="0.3">
      <c r="A62">
        <v>40</v>
      </c>
      <c r="B62">
        <v>33.362145859684141</v>
      </c>
      <c r="C62">
        <v>0.53604444499419013</v>
      </c>
      <c r="D62">
        <v>0.68600000000000005</v>
      </c>
      <c r="E62">
        <v>0.86774151145660561</v>
      </c>
      <c r="F62">
        <v>7.0457904482996325E-2</v>
      </c>
      <c r="G62">
        <f t="shared" si="46"/>
        <v>0.34741293258381145</v>
      </c>
      <c r="H62">
        <v>0.39989059080962802</v>
      </c>
    </row>
    <row r="63" spans="1:15" x14ac:dyDescent="0.3">
      <c r="A63">
        <v>45</v>
      </c>
      <c r="B63">
        <v>38.894335331575348</v>
      </c>
      <c r="C63">
        <v>0.58679614716759365</v>
      </c>
      <c r="D63">
        <v>0.63100000000000001</v>
      </c>
      <c r="E63">
        <v>0.85955184728069267</v>
      </c>
      <c r="F63">
        <v>6.0509008974541201E-2</v>
      </c>
      <c r="G63">
        <f t="shared" si="46"/>
        <v>0.34958036034113471</v>
      </c>
      <c r="H63">
        <v>0.40631929046563192</v>
      </c>
    </row>
    <row r="65" spans="1:8" x14ac:dyDescent="0.3">
      <c r="A65" t="s">
        <v>14</v>
      </c>
      <c r="B65" t="s">
        <v>18</v>
      </c>
      <c r="C65" t="s">
        <v>43</v>
      </c>
      <c r="D65" t="s">
        <v>20</v>
      </c>
      <c r="E65" t="s">
        <v>21</v>
      </c>
      <c r="F65" t="s">
        <v>22</v>
      </c>
      <c r="G65" t="s">
        <v>76</v>
      </c>
      <c r="H65" t="s">
        <v>25</v>
      </c>
    </row>
    <row r="66" spans="1:8" x14ac:dyDescent="0.3">
      <c r="A66">
        <v>5</v>
      </c>
      <c r="B66">
        <v>2.6680424958948654</v>
      </c>
      <c r="C66">
        <v>2.5034648454891433E-2</v>
      </c>
      <c r="D66">
        <v>0.24099999999999999</v>
      </c>
      <c r="E66">
        <v>0.24190410135389787</v>
      </c>
      <c r="F66">
        <v>1.3789103358199271E-2</v>
      </c>
      <c r="G66">
        <f>H43</f>
        <v>-1.6181705733827018E-2</v>
      </c>
      <c r="H66">
        <v>-6.6872427983539096E-2</v>
      </c>
    </row>
    <row r="67" spans="1:8" x14ac:dyDescent="0.3">
      <c r="A67">
        <v>10</v>
      </c>
      <c r="B67">
        <v>6.3702401250355214</v>
      </c>
      <c r="C67">
        <v>-0.78831057488709111</v>
      </c>
      <c r="D67">
        <v>0.38500000000000001</v>
      </c>
      <c r="E67">
        <v>0.29515744985213288</v>
      </c>
      <c r="F67">
        <v>-0.82616017955091592</v>
      </c>
      <c r="G67">
        <f t="shared" ref="G67:G75" si="47">H44</f>
        <v>-0.11219614068033053</v>
      </c>
      <c r="H67">
        <v>-0.38821138211382111</v>
      </c>
    </row>
    <row r="68" spans="1:8" x14ac:dyDescent="0.3">
      <c r="A68">
        <v>15</v>
      </c>
      <c r="B68">
        <v>9.9843318091399933</v>
      </c>
      <c r="C68">
        <v>-0.49266270794478217</v>
      </c>
      <c r="D68">
        <v>0.53200000000000003</v>
      </c>
      <c r="E68">
        <v>0.43852543159702084</v>
      </c>
      <c r="F68">
        <v>-0.57743916531712014</v>
      </c>
      <c r="G68">
        <f t="shared" si="47"/>
        <v>-0.13374830674811072</v>
      </c>
      <c r="H68">
        <v>-0.30919395465994959</v>
      </c>
    </row>
    <row r="69" spans="1:8" x14ac:dyDescent="0.3">
      <c r="A69">
        <v>20</v>
      </c>
      <c r="B69">
        <v>13.937829611422963</v>
      </c>
      <c r="C69">
        <v>-0.186417623563983</v>
      </c>
      <c r="D69">
        <v>0.64300000000000002</v>
      </c>
      <c r="E69">
        <v>0.57916617459195074</v>
      </c>
      <c r="F69">
        <v>-0.33580808891950309</v>
      </c>
      <c r="G69">
        <f t="shared" si="47"/>
        <v>-0.1503997871907459</v>
      </c>
      <c r="H69">
        <v>-0.26158645276292325</v>
      </c>
    </row>
    <row r="70" spans="1:8" x14ac:dyDescent="0.3">
      <c r="A70">
        <v>25</v>
      </c>
      <c r="B70">
        <v>17.731052302343862</v>
      </c>
      <c r="C70">
        <v>-0.10233249672335035</v>
      </c>
      <c r="D70">
        <v>0.77100000000000002</v>
      </c>
      <c r="E70">
        <v>0.70320931916505436</v>
      </c>
      <c r="F70">
        <v>-0.33227939046088217</v>
      </c>
      <c r="G70">
        <f t="shared" si="47"/>
        <v>-0.16748369755660586</v>
      </c>
      <c r="H70">
        <v>-0.23988439306358389</v>
      </c>
    </row>
    <row r="71" spans="1:8" x14ac:dyDescent="0.3">
      <c r="A71">
        <v>30</v>
      </c>
      <c r="B71">
        <v>21.345143986448335</v>
      </c>
      <c r="C71">
        <v>1.5903888306417341E-3</v>
      </c>
      <c r="D71">
        <v>0.91800000000000004</v>
      </c>
      <c r="E71">
        <v>0.85560812915762985</v>
      </c>
      <c r="F71">
        <v>-0.33265787027517224</v>
      </c>
      <c r="G71">
        <f t="shared" si="47"/>
        <v>-0.20198536031412823</v>
      </c>
      <c r="H71">
        <v>-0.2377479579929988</v>
      </c>
    </row>
    <row r="72" spans="1:8" x14ac:dyDescent="0.3">
      <c r="A72">
        <v>35</v>
      </c>
      <c r="B72">
        <v>25.364637422821566</v>
      </c>
      <c r="C72">
        <v>0.23854124894302614</v>
      </c>
      <c r="D72">
        <v>1.022</v>
      </c>
      <c r="E72">
        <v>1.0256645319321109</v>
      </c>
      <c r="F72">
        <v>-0.22225704799574394</v>
      </c>
      <c r="G72">
        <f t="shared" si="47"/>
        <v>-0.1854976845761574</v>
      </c>
      <c r="H72">
        <v>-0.18166823751178141</v>
      </c>
    </row>
    <row r="73" spans="1:8" x14ac:dyDescent="0.3">
      <c r="A73">
        <v>40</v>
      </c>
      <c r="B73">
        <v>30.015803356915889</v>
      </c>
      <c r="C73">
        <v>0.51816102175335665</v>
      </c>
      <c r="D73">
        <v>1.0589999999999999</v>
      </c>
      <c r="E73">
        <v>1.1761789943065788</v>
      </c>
      <c r="F73">
        <v>-8.108525030144148E-2</v>
      </c>
      <c r="G73">
        <f t="shared" si="47"/>
        <v>-0.16617546471201305</v>
      </c>
      <c r="H73">
        <v>-0.14151321056845473</v>
      </c>
    </row>
    <row r="74" spans="1:8" x14ac:dyDescent="0.3">
      <c r="A74">
        <v>45</v>
      </c>
      <c r="B74">
        <v>35.477772795547736</v>
      </c>
      <c r="C74">
        <v>0.7934668996431733</v>
      </c>
      <c r="D74">
        <v>1.01</v>
      </c>
      <c r="E74">
        <v>1.2830021694630103</v>
      </c>
      <c r="F74">
        <v>5.9959602921955679E-2</v>
      </c>
      <c r="G74">
        <f t="shared" si="47"/>
        <v>-0.13676618102203369</v>
      </c>
      <c r="H74">
        <v>-0.10652173913043478</v>
      </c>
    </row>
    <row r="75" spans="1:8" x14ac:dyDescent="0.3">
      <c r="A75">
        <v>50</v>
      </c>
      <c r="B75">
        <v>44.607213900052777</v>
      </c>
      <c r="C75">
        <v>1.3653577749257833</v>
      </c>
      <c r="D75">
        <v>0.57199999999999995</v>
      </c>
      <c r="E75">
        <v>1.366041890393495</v>
      </c>
      <c r="F75">
        <v>0.57036427591535965</v>
      </c>
      <c r="G75">
        <f t="shared" si="47"/>
        <v>1.4668954382453359E-2</v>
      </c>
      <c r="H75">
        <v>1.0689655172413798E-2</v>
      </c>
    </row>
    <row r="77" spans="1:8" x14ac:dyDescent="0.3">
      <c r="A77" t="s">
        <v>68</v>
      </c>
    </row>
    <row r="78" spans="1:8" x14ac:dyDescent="0.3">
      <c r="A78" t="s">
        <v>69</v>
      </c>
      <c r="B78" t="s">
        <v>70</v>
      </c>
      <c r="C78" t="s">
        <v>65</v>
      </c>
      <c r="D78" t="s">
        <v>66</v>
      </c>
      <c r="E78" t="s">
        <v>67</v>
      </c>
    </row>
    <row r="79" spans="1:8" x14ac:dyDescent="0.3">
      <c r="A79">
        <v>5</v>
      </c>
      <c r="B79">
        <v>3.6356597175152534</v>
      </c>
      <c r="C79">
        <v>-0.17034965034965038</v>
      </c>
      <c r="D79">
        <f>K31</f>
        <v>21032.558886667863</v>
      </c>
      <c r="E79">
        <f>L31</f>
        <v>5566.2740633982175</v>
      </c>
      <c r="F79" t="s">
        <v>77</v>
      </c>
    </row>
    <row r="80" spans="1:8" x14ac:dyDescent="0.3">
      <c r="A80">
        <v>10</v>
      </c>
      <c r="B80">
        <v>7.2035862295170787</v>
      </c>
      <c r="C80">
        <v>-0.12513698630136988</v>
      </c>
      <c r="D80">
        <f t="shared" ref="D80:D87" si="48">K32</f>
        <v>42894.417744422128</v>
      </c>
      <c r="E80">
        <f t="shared" ref="E80:E87" si="49">L32</f>
        <v>13291.393553134636</v>
      </c>
      <c r="F80" t="s">
        <v>77</v>
      </c>
    </row>
    <row r="81" spans="1:6" x14ac:dyDescent="0.3">
      <c r="A81">
        <v>15</v>
      </c>
      <c r="B81">
        <v>10.732808052654089</v>
      </c>
      <c r="C81">
        <v>-7.4459459459459476E-2</v>
      </c>
      <c r="D81">
        <f t="shared" si="48"/>
        <v>65051.916197491708</v>
      </c>
      <c r="E81">
        <f t="shared" si="49"/>
        <v>23453.853029041602</v>
      </c>
      <c r="F81" t="s">
        <v>77</v>
      </c>
    </row>
    <row r="82" spans="1:6" x14ac:dyDescent="0.3">
      <c r="A82">
        <v>20</v>
      </c>
      <c r="B82">
        <v>13.981420881521187</v>
      </c>
      <c r="C82">
        <v>-1.657142857142856E-2</v>
      </c>
      <c r="D82">
        <f t="shared" si="48"/>
        <v>91694.493801909746</v>
      </c>
      <c r="E82">
        <f t="shared" si="49"/>
        <v>38367.596049399093</v>
      </c>
      <c r="F82" t="s">
        <v>77</v>
      </c>
    </row>
    <row r="83" spans="1:6" x14ac:dyDescent="0.3">
      <c r="A83">
        <v>25</v>
      </c>
      <c r="B83">
        <v>17.500966532441993</v>
      </c>
      <c r="C83">
        <v>8.7547169811320741E-3</v>
      </c>
      <c r="D83">
        <f t="shared" si="48"/>
        <v>114690.47473621057</v>
      </c>
      <c r="E83">
        <f t="shared" si="49"/>
        <v>50894.4391569988</v>
      </c>
      <c r="F83" t="s">
        <v>77</v>
      </c>
    </row>
    <row r="84" spans="1:6" x14ac:dyDescent="0.3">
      <c r="A84">
        <v>30</v>
      </c>
      <c r="B84">
        <v>21.039864527795206</v>
      </c>
      <c r="C84">
        <v>4.7027027027027032E-2</v>
      </c>
      <c r="D84">
        <f t="shared" si="48"/>
        <v>137472.1774979188</v>
      </c>
      <c r="E84">
        <f t="shared" si="49"/>
        <v>66265.305018253552</v>
      </c>
      <c r="F84" t="s">
        <v>77</v>
      </c>
    </row>
    <row r="85" spans="1:6" x14ac:dyDescent="0.3">
      <c r="A85">
        <v>35</v>
      </c>
      <c r="B85">
        <v>28.100889209846635</v>
      </c>
      <c r="C85">
        <v>0.24717023675310038</v>
      </c>
      <c r="D85">
        <f t="shared" si="48"/>
        <v>124618.18731281655</v>
      </c>
      <c r="E85">
        <f t="shared" si="49"/>
        <v>85010.818342926272</v>
      </c>
      <c r="F85" t="s">
        <v>77</v>
      </c>
    </row>
    <row r="86" spans="1:6" x14ac:dyDescent="0.3">
      <c r="A86">
        <v>40</v>
      </c>
      <c r="B86">
        <v>33.362145859684141</v>
      </c>
      <c r="C86">
        <v>0.26080962800875274</v>
      </c>
      <c r="D86">
        <f t="shared" si="48"/>
        <v>128286.03141162907</v>
      </c>
      <c r="E86">
        <f t="shared" si="49"/>
        <v>89262.655795244791</v>
      </c>
      <c r="F86" t="s">
        <v>77</v>
      </c>
    </row>
    <row r="87" spans="1:6" x14ac:dyDescent="0.3">
      <c r="A87">
        <v>45</v>
      </c>
      <c r="B87">
        <v>38.894335331575348</v>
      </c>
      <c r="C87">
        <v>0.27199556541019954</v>
      </c>
      <c r="D87">
        <f t="shared" si="48"/>
        <v>127043.99992231964</v>
      </c>
      <c r="E87">
        <f t="shared" si="49"/>
        <v>89819.544557053712</v>
      </c>
      <c r="F87" t="s">
        <v>77</v>
      </c>
    </row>
    <row r="89" spans="1:6" x14ac:dyDescent="0.3">
      <c r="A89" t="s">
        <v>71</v>
      </c>
    </row>
    <row r="90" spans="1:6" x14ac:dyDescent="0.3">
      <c r="A90" t="s">
        <v>14</v>
      </c>
      <c r="B90" t="s">
        <v>18</v>
      </c>
      <c r="C90" t="s">
        <v>65</v>
      </c>
      <c r="D90" t="s">
        <v>66</v>
      </c>
      <c r="E90" t="s">
        <v>67</v>
      </c>
    </row>
    <row r="91" spans="1:6" x14ac:dyDescent="0.3">
      <c r="A91">
        <v>5</v>
      </c>
      <c r="B91">
        <v>2.6680424958948654</v>
      </c>
      <c r="C91">
        <v>-0.55135802469135797</v>
      </c>
      <c r="D91">
        <f>K43</f>
        <v>8932.8859823637358</v>
      </c>
      <c r="E91">
        <f>L43</f>
        <v>-1039.4129677009657</v>
      </c>
    </row>
    <row r="92" spans="1:6" x14ac:dyDescent="0.3">
      <c r="A92">
        <v>10</v>
      </c>
      <c r="B92">
        <v>6.3702401250355214</v>
      </c>
      <c r="C92">
        <v>-1.1104878048780487</v>
      </c>
      <c r="D92">
        <f t="shared" ref="D92:D100" si="50">K44</f>
        <v>10669.012823477948</v>
      </c>
      <c r="E92">
        <f t="shared" ref="E92:E100" si="51">L44</f>
        <v>-7206.7880523468712</v>
      </c>
    </row>
    <row r="93" spans="1:6" x14ac:dyDescent="0.3">
      <c r="A93">
        <v>15</v>
      </c>
      <c r="B93">
        <v>9.9843318091399933</v>
      </c>
      <c r="C93">
        <v>-0.9729974811083123</v>
      </c>
      <c r="D93">
        <f t="shared" si="50"/>
        <v>15968.785298480152</v>
      </c>
      <c r="E93">
        <f t="shared" si="51"/>
        <v>-8591.1662669417692</v>
      </c>
    </row>
    <row r="94" spans="1:6" x14ac:dyDescent="0.3">
      <c r="A94">
        <v>20</v>
      </c>
      <c r="B94">
        <v>13.937829611422963</v>
      </c>
      <c r="C94">
        <v>-0.8901604278074865</v>
      </c>
      <c r="D94">
        <f t="shared" si="50"/>
        <v>21224.944160690011</v>
      </c>
      <c r="E94">
        <f t="shared" si="51"/>
        <v>-9660.7546643696769</v>
      </c>
    </row>
    <row r="95" spans="1:6" x14ac:dyDescent="0.3">
      <c r="A95">
        <v>25</v>
      </c>
      <c r="B95">
        <v>17.731052302343862</v>
      </c>
      <c r="C95">
        <v>-0.85239884393063592</v>
      </c>
      <c r="D95">
        <f t="shared" si="50"/>
        <v>25774.196189745104</v>
      </c>
      <c r="E95">
        <f t="shared" si="51"/>
        <v>-10758.119692841008</v>
      </c>
    </row>
    <row r="96" spans="1:6" x14ac:dyDescent="0.3">
      <c r="A96">
        <v>30</v>
      </c>
      <c r="B96">
        <v>21.345143986448335</v>
      </c>
      <c r="C96">
        <v>-0.84868144690781788</v>
      </c>
      <c r="D96">
        <f t="shared" si="50"/>
        <v>31363.006002242124</v>
      </c>
      <c r="E96">
        <f t="shared" si="51"/>
        <v>-12974.2937023861</v>
      </c>
    </row>
    <row r="97" spans="1:5" x14ac:dyDescent="0.3">
      <c r="A97">
        <v>35</v>
      </c>
      <c r="B97">
        <v>25.364637422821566</v>
      </c>
      <c r="C97">
        <v>-0.75110273327049959</v>
      </c>
      <c r="D97">
        <f t="shared" si="50"/>
        <v>37694.160330601691</v>
      </c>
      <c r="E97">
        <f t="shared" si="51"/>
        <v>-11915.227108839634</v>
      </c>
    </row>
    <row r="98" spans="1:5" x14ac:dyDescent="0.3">
      <c r="A98">
        <v>40</v>
      </c>
      <c r="B98">
        <v>30.015803356915889</v>
      </c>
      <c r="C98">
        <v>-0.68123298638911123</v>
      </c>
      <c r="D98">
        <f t="shared" si="50"/>
        <v>43349.54077682746</v>
      </c>
      <c r="E98">
        <f t="shared" si="51"/>
        <v>-10674.086884074779</v>
      </c>
    </row>
    <row r="99" spans="1:5" x14ac:dyDescent="0.3">
      <c r="A99">
        <v>45</v>
      </c>
      <c r="B99">
        <v>35.477772795547736</v>
      </c>
      <c r="C99">
        <v>-0.62034782608695649</v>
      </c>
      <c r="D99">
        <f t="shared" si="50"/>
        <v>47397.458505669689</v>
      </c>
      <c r="E99">
        <f t="shared" si="51"/>
        <v>-8785.0158960726039</v>
      </c>
    </row>
    <row r="100" spans="1:5" x14ac:dyDescent="0.3">
      <c r="A100">
        <v>50</v>
      </c>
      <c r="B100">
        <v>44.607213900052777</v>
      </c>
      <c r="C100">
        <v>-0.41639999999999999</v>
      </c>
      <c r="D100">
        <f t="shared" si="50"/>
        <v>50658.233953105242</v>
      </c>
      <c r="E100">
        <f t="shared" si="51"/>
        <v>942.24315152775625</v>
      </c>
    </row>
  </sheetData>
  <mergeCells count="4">
    <mergeCell ref="A2:D2"/>
    <mergeCell ref="A16:D16"/>
    <mergeCell ref="K2:N2"/>
    <mergeCell ref="K16:N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8" sqref="G8"/>
    </sheetView>
  </sheetViews>
  <sheetFormatPr defaultRowHeight="14" x14ac:dyDescent="0.3"/>
  <cols>
    <col min="2" max="2" width="9.25" customWidth="1"/>
    <col min="7" max="7" width="20.4140625" customWidth="1"/>
  </cols>
  <sheetData>
    <row r="1" spans="1:7" x14ac:dyDescent="0.3">
      <c r="B1" t="s">
        <v>47</v>
      </c>
    </row>
    <row r="2" spans="1:7" x14ac:dyDescent="0.3"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7" x14ac:dyDescent="0.3">
      <c r="A3" t="s">
        <v>53</v>
      </c>
      <c r="B3" s="2">
        <f>(1.82522+2)/3</f>
        <v>1.2750733333333333</v>
      </c>
      <c r="C3">
        <v>1.1000000000000001</v>
      </c>
      <c r="D3">
        <v>1</v>
      </c>
      <c r="E3">
        <v>5.4363320000000002</v>
      </c>
      <c r="F3">
        <v>10.38</v>
      </c>
      <c r="G3" s="3">
        <f>132*B3*C3*D3*E3*F3^2</f>
        <v>108443.23332702927</v>
      </c>
    </row>
    <row r="4" spans="1:7" x14ac:dyDescent="0.3">
      <c r="A4" t="s">
        <v>54</v>
      </c>
      <c r="B4" s="2">
        <f>(1.82522+2)/3</f>
        <v>1.2750733333333333</v>
      </c>
      <c r="C4">
        <v>0.8</v>
      </c>
      <c r="D4">
        <v>1</v>
      </c>
      <c r="E4">
        <v>5.4363320000000002</v>
      </c>
      <c r="F4">
        <v>5.19</v>
      </c>
      <c r="G4" s="3">
        <f>132*B4*C4*D4*E4*F4^2</f>
        <v>19716.951514005319</v>
      </c>
    </row>
    <row r="6" spans="1:7" x14ac:dyDescent="0.3">
      <c r="B6" t="s">
        <v>58</v>
      </c>
    </row>
    <row r="7" spans="1:7" x14ac:dyDescent="0.3"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</row>
    <row r="8" spans="1:7" x14ac:dyDescent="0.3">
      <c r="A8" t="s">
        <v>0</v>
      </c>
      <c r="B8">
        <v>1.74</v>
      </c>
      <c r="C8">
        <v>0.33</v>
      </c>
      <c r="D8">
        <v>0.25</v>
      </c>
      <c r="E8">
        <f>B8*(C8-D8)</f>
        <v>0.13920000000000002</v>
      </c>
      <c r="F8">
        <v>108443.23330000001</v>
      </c>
      <c r="G8">
        <f>E8*F8</f>
        <v>15095.298075360002</v>
      </c>
    </row>
    <row r="9" spans="1:7" x14ac:dyDescent="0.3">
      <c r="A9" t="s">
        <v>31</v>
      </c>
      <c r="B9">
        <v>1.74</v>
      </c>
      <c r="C9">
        <v>0.66</v>
      </c>
      <c r="D9">
        <v>0.25</v>
      </c>
      <c r="E9">
        <f>B9*(C9-D9)</f>
        <v>0.71340000000000003</v>
      </c>
      <c r="F9">
        <v>19716.951509999999</v>
      </c>
      <c r="G9">
        <f>E9*F9</f>
        <v>14066.073207234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2018-04-08T16:17:03Z</dcterms:modified>
</cp:coreProperties>
</file>