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hke/Experiments/PREX-2/acceptance/ryan/"/>
    </mc:Choice>
  </mc:AlternateContent>
  <xr:revisionPtr revIDLastSave="0" documentId="8_{54B92719-8D87-F04D-BFAC-C77D7DCA3F6B}" xr6:coauthVersionLast="45" xr6:coauthVersionMax="45" xr10:uidLastSave="{00000000-0000-0000-0000-000000000000}"/>
  <bookViews>
    <workbookView xWindow="-560" yWindow="460" windowWidth="26440" windowHeight="15040" xr2:uid="{C7CB20EA-7217-0148-AC65-1DCD3316A6B4}"/>
  </bookViews>
  <sheets>
    <sheet name="Sieves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4" i="1" l="1"/>
  <c r="P22" i="1"/>
  <c r="E22" i="1"/>
  <c r="E24" i="1" s="1"/>
  <c r="D22" i="1"/>
  <c r="D24" i="1" s="1"/>
  <c r="C22" i="1"/>
  <c r="C24" i="1" s="1"/>
  <c r="P21" i="1"/>
  <c r="F21" i="1"/>
  <c r="F24" i="1" s="1"/>
  <c r="F16" i="1"/>
  <c r="F8" i="1" s="1"/>
  <c r="K12" i="1"/>
  <c r="J12" i="1"/>
  <c r="F12" i="1"/>
  <c r="K11" i="1"/>
  <c r="J11" i="1"/>
  <c r="K10" i="1"/>
  <c r="J10" i="1"/>
  <c r="F10" i="1"/>
  <c r="K8" i="1"/>
  <c r="J8" i="1"/>
  <c r="K7" i="1"/>
  <c r="J7" i="1"/>
  <c r="K6" i="1"/>
  <c r="J6" i="1"/>
  <c r="D32" i="1" l="1"/>
  <c r="G32" i="1" s="1"/>
  <c r="D30" i="1"/>
  <c r="G30" i="1" s="1"/>
  <c r="F6" i="1"/>
  <c r="C27" i="1" s="1"/>
  <c r="F27" i="1" s="1"/>
  <c r="K24" i="1"/>
  <c r="J24" i="1"/>
  <c r="J29" i="1"/>
  <c r="M29" i="1" s="1"/>
  <c r="D29" i="1"/>
  <c r="G29" i="1" s="1"/>
  <c r="C29" i="1"/>
  <c r="F29" i="1" s="1"/>
  <c r="I29" i="1"/>
  <c r="L29" i="1" s="1"/>
  <c r="I30" i="1"/>
  <c r="L30" i="1" s="1"/>
  <c r="D27" i="1"/>
  <c r="G27" i="1" s="1"/>
  <c r="F11" i="1"/>
  <c r="I27" i="1"/>
  <c r="L27" i="1" s="1"/>
  <c r="I32" i="1"/>
  <c r="L32" i="1" s="1"/>
  <c r="J30" i="1"/>
  <c r="M30" i="1" s="1"/>
  <c r="J27" i="1"/>
  <c r="M27" i="1" s="1"/>
  <c r="C30" i="1"/>
  <c r="F30" i="1" s="1"/>
  <c r="J32" i="1"/>
  <c r="M32" i="1" s="1"/>
  <c r="C32" i="1"/>
  <c r="F32" i="1" s="1"/>
  <c r="F7" i="1"/>
  <c r="D28" i="1" l="1"/>
  <c r="G28" i="1" s="1"/>
  <c r="J28" i="1"/>
  <c r="M28" i="1" s="1"/>
  <c r="C28" i="1"/>
  <c r="I28" i="1"/>
  <c r="L28" i="1" s="1"/>
  <c r="H24" i="1"/>
  <c r="D31" i="1"/>
  <c r="G31" i="1" s="1"/>
  <c r="J31" i="1"/>
  <c r="M31" i="1" s="1"/>
  <c r="N31" i="1" s="1"/>
  <c r="C31" i="1"/>
  <c r="F31" i="1" s="1"/>
  <c r="I31" i="1"/>
  <c r="L31" i="1" s="1"/>
  <c r="N28" i="1" l="1"/>
  <c r="Q28" i="1"/>
  <c r="Q29" i="1" s="1"/>
  <c r="D37" i="1"/>
  <c r="D36" i="1"/>
  <c r="P31" i="1"/>
  <c r="P32" i="1" s="1"/>
  <c r="Q31" i="1"/>
  <c r="Q32" i="1" s="1"/>
  <c r="F28" i="1"/>
  <c r="P28" i="1" l="1"/>
  <c r="P29" i="1" s="1"/>
</calcChain>
</file>

<file path=xl/sharedStrings.xml><?xml version="1.0" encoding="utf-8"?>
<sst xmlns="http://schemas.openxmlformats.org/spreadsheetml/2006/main" count="63" uniqueCount="58">
  <si>
    <t>x</t>
  </si>
  <si>
    <t>y</t>
  </si>
  <si>
    <t>z</t>
  </si>
  <si>
    <t>z(abs)</t>
  </si>
  <si>
    <t>Collimator</t>
  </si>
  <si>
    <t>PREX_Collimator_Survey.xlsx</t>
  </si>
  <si>
    <t>Docdb:368</t>
  </si>
  <si>
    <t>SIEVES ALIGNED 4/19/19  THESE ARE THE FINAL VALUES USED FOR ALIGNMENT AND REPORTING</t>
  </si>
  <si>
    <t>x(abs)</t>
  </si>
  <si>
    <t>y(abs)</t>
  </si>
  <si>
    <t>Final (4/19)</t>
  </si>
  <si>
    <t>Ry from z</t>
  </si>
  <si>
    <t>BL SEIVE HOLE A</t>
  </si>
  <si>
    <t>BL SIEVE HOLE B</t>
  </si>
  <si>
    <t>BL SIEVE HOLE C</t>
  </si>
  <si>
    <t>BL ANGLE</t>
  </si>
  <si>
    <t>BR SIEVE HOLE A</t>
  </si>
  <si>
    <t>BR SIEVE HOLE B</t>
  </si>
  <si>
    <t>BR SIEVE HOLE C</t>
  </si>
  <si>
    <t>BR ANGLE</t>
  </si>
  <si>
    <t>Collimator(ideal)</t>
  </si>
  <si>
    <t>DT-A1928.pdf</t>
  </si>
  <si>
    <t>Docdb:391</t>
  </si>
  <si>
    <t>Z ideal</t>
  </si>
  <si>
    <t>min dz error</t>
  </si>
  <si>
    <t>tgt13</t>
  </si>
  <si>
    <t>tgt1</t>
  </si>
  <si>
    <t>C12</t>
  </si>
  <si>
    <t>CREX water</t>
  </si>
  <si>
    <t>dZ(C12)/dZ(H20)</t>
  </si>
  <si>
    <t>dZ13/dZ(H2O)</t>
  </si>
  <si>
    <t>dZ1/dZ(H2O)</t>
  </si>
  <si>
    <t>Targets  (z off, frame front)</t>
  </si>
  <si>
    <t>min ang frac</t>
  </si>
  <si>
    <t>Assume offset</t>
  </si>
  <si>
    <t>min ang err</t>
  </si>
  <si>
    <t>half thickness</t>
  </si>
  <si>
    <t>Z</t>
  </si>
  <si>
    <t>dZ(Pb10)</t>
  </si>
  <si>
    <t>dZ(Pb1)</t>
  </si>
  <si>
    <t>Angle(Pb10)</t>
  </si>
  <si>
    <t>Angle(Pb1)</t>
  </si>
  <si>
    <t>dZ(H20)</t>
  </si>
  <si>
    <t>dZ(C12)</t>
  </si>
  <si>
    <t>Angle (H20)</t>
  </si>
  <si>
    <t>Angle(C12)</t>
  </si>
  <si>
    <t>Delta Angle</t>
  </si>
  <si>
    <t>dT(Pb10-C12)</t>
  </si>
  <si>
    <t>dT(Pb1-C12)</t>
  </si>
  <si>
    <t>L</t>
  </si>
  <si>
    <t>Z to Sieve A</t>
  </si>
  <si>
    <t>Z to Sieve B</t>
  </si>
  <si>
    <t>Z to Sieve C</t>
  </si>
  <si>
    <t>R</t>
  </si>
  <si>
    <t>D2R</t>
  </si>
  <si>
    <t>H20 Pointing results</t>
  </si>
  <si>
    <t>CREX H2O</t>
  </si>
  <si>
    <t>PREX-C12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</si>
</sst>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%"/>
    <numFmt numFmtId="167" formatCode="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4" xfId="0" applyFont="1" applyBorder="1"/>
    <xf numFmtId="0" fontId="4" fillId="0" borderId="0" xfId="0" applyFont="1"/>
    <xf numFmtId="2" fontId="5" fillId="0" borderId="4" xfId="0" applyNumberFormat="1" applyFont="1" applyBorder="1"/>
    <xf numFmtId="2" fontId="6" fillId="0" borderId="4" xfId="0" applyNumberFormat="1" applyFont="1" applyBorder="1"/>
    <xf numFmtId="2" fontId="0" fillId="0" borderId="0" xfId="0" applyNumberFormat="1"/>
    <xf numFmtId="164" fontId="0" fillId="0" borderId="0" xfId="0" applyNumberFormat="1"/>
    <xf numFmtId="2" fontId="0" fillId="0" borderId="5" xfId="0" applyNumberFormat="1" applyBorder="1"/>
    <xf numFmtId="2" fontId="7" fillId="0" borderId="4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6" fillId="0" borderId="1" xfId="0" applyNumberFormat="1" applyFont="1" applyBorder="1"/>
    <xf numFmtId="0" fontId="3" fillId="0" borderId="0" xfId="0" applyFont="1"/>
    <xf numFmtId="165" fontId="0" fillId="0" borderId="0" xfId="0" applyNumberFormat="1"/>
    <xf numFmtId="2" fontId="0" fillId="0" borderId="7" xfId="0" applyNumberFormat="1" applyBorder="1"/>
    <xf numFmtId="165" fontId="2" fillId="0" borderId="0" xfId="0" applyNumberFormat="1" applyFont="1"/>
    <xf numFmtId="2" fontId="2" fillId="0" borderId="0" xfId="0" applyNumberFormat="1" applyFont="1"/>
    <xf numFmtId="165" fontId="4" fillId="0" borderId="0" xfId="0" applyNumberFormat="1" applyFont="1"/>
    <xf numFmtId="2" fontId="0" fillId="0" borderId="0" xfId="1" applyNumberFormat="1" applyFont="1"/>
    <xf numFmtId="166" fontId="0" fillId="0" borderId="0" xfId="1" applyNumberFormat="1" applyFont="1"/>
    <xf numFmtId="165" fontId="8" fillId="0" borderId="9" xfId="0" applyNumberFormat="1" applyFont="1" applyBorder="1"/>
    <xf numFmtId="165" fontId="8" fillId="0" borderId="10" xfId="0" applyNumberFormat="1" applyFont="1" applyBorder="1"/>
    <xf numFmtId="167" fontId="3" fillId="0" borderId="0" xfId="0" applyNumberFormat="1" applyFont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schke/Experiments/PREX-2/acceptance/Alignment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inting"/>
      <sheetName val="Q1 Col"/>
      <sheetName val="Sieves (2)"/>
      <sheetName val="Sieves"/>
      <sheetName val="Simulation "/>
      <sheetName val="CREX targets"/>
    </sheetNames>
    <sheetDataSet>
      <sheetData sheetId="0"/>
      <sheetData sheetId="1"/>
      <sheetData sheetId="2"/>
      <sheetData sheetId="3"/>
      <sheetData sheetId="4"/>
      <sheetData sheetId="5">
        <row r="22">
          <cell r="E22">
            <v>0.93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0F20-61F1-9A4C-9CCC-3C9022BFE689}">
  <dimension ref="A1:R46"/>
  <sheetViews>
    <sheetView tabSelected="1" zoomScale="130" zoomScaleNormal="130" workbookViewId="0">
      <selection activeCell="I39" sqref="I39"/>
    </sheetView>
  </sheetViews>
  <sheetFormatPr baseColWidth="10" defaultRowHeight="16" x14ac:dyDescent="0.2"/>
  <cols>
    <col min="2" max="2" width="18.1640625" customWidth="1"/>
    <col min="3" max="3" width="11.33203125" bestFit="1" customWidth="1"/>
    <col min="9" max="9" width="12.6640625" bestFit="1" customWidth="1"/>
    <col min="10" max="10" width="12.1640625" bestFit="1" customWidth="1"/>
  </cols>
  <sheetData>
    <row r="1" spans="2:11" x14ac:dyDescent="0.2">
      <c r="B1" s="1"/>
      <c r="C1" s="2" t="s">
        <v>0</v>
      </c>
      <c r="D1" s="2" t="s">
        <v>1</v>
      </c>
      <c r="E1" s="2" t="s">
        <v>2</v>
      </c>
      <c r="F1" s="2" t="s">
        <v>3</v>
      </c>
      <c r="G1" s="2"/>
      <c r="H1" s="2"/>
      <c r="I1" s="2"/>
      <c r="J1" s="2"/>
      <c r="K1" s="3"/>
    </row>
    <row r="2" spans="2:11" x14ac:dyDescent="0.2">
      <c r="B2" s="4" t="s">
        <v>4</v>
      </c>
      <c r="C2">
        <v>0</v>
      </c>
      <c r="D2">
        <v>0</v>
      </c>
      <c r="E2">
        <v>0</v>
      </c>
      <c r="K2" s="5"/>
    </row>
    <row r="3" spans="2:11" x14ac:dyDescent="0.2">
      <c r="B3" s="6" t="s">
        <v>5</v>
      </c>
      <c r="D3" s="7" t="s">
        <v>6</v>
      </c>
      <c r="K3" s="5"/>
    </row>
    <row r="4" spans="2:11" x14ac:dyDescent="0.2">
      <c r="B4" s="8" t="s">
        <v>7</v>
      </c>
      <c r="J4" t="s">
        <v>8</v>
      </c>
      <c r="K4" s="5" t="s">
        <v>9</v>
      </c>
    </row>
    <row r="5" spans="2:11" x14ac:dyDescent="0.2">
      <c r="B5" s="4" t="s">
        <v>10</v>
      </c>
      <c r="G5" t="s">
        <v>11</v>
      </c>
      <c r="K5" s="5"/>
    </row>
    <row r="6" spans="2:11" x14ac:dyDescent="0.2">
      <c r="B6" s="9" t="s">
        <v>12</v>
      </c>
      <c r="C6" s="10">
        <v>88.54</v>
      </c>
      <c r="D6" s="10">
        <v>26.02</v>
      </c>
      <c r="E6" s="10">
        <v>86.88</v>
      </c>
      <c r="F6" s="10">
        <f>E6+F$16</f>
        <v>-157.33000000000001</v>
      </c>
      <c r="G6" s="11"/>
      <c r="H6" s="11"/>
      <c r="J6" s="10">
        <f t="shared" ref="J6:K8" si="0">C6+C$17</f>
        <v>88.600000000000009</v>
      </c>
      <c r="K6" s="12">
        <f t="shared" si="0"/>
        <v>25.99</v>
      </c>
    </row>
    <row r="7" spans="2:11" x14ac:dyDescent="0.2">
      <c r="B7" s="13" t="s">
        <v>13</v>
      </c>
      <c r="C7" s="10">
        <v>82.46</v>
      </c>
      <c r="D7" s="10">
        <v>-0.6</v>
      </c>
      <c r="E7" s="10">
        <v>87.42</v>
      </c>
      <c r="F7" s="10">
        <f>E7+F$16</f>
        <v>-156.79000000000002</v>
      </c>
      <c r="G7" s="11"/>
      <c r="H7" s="11"/>
      <c r="J7" s="10">
        <f t="shared" si="0"/>
        <v>82.52</v>
      </c>
      <c r="K7" s="12">
        <f t="shared" si="0"/>
        <v>-0.63</v>
      </c>
    </row>
    <row r="8" spans="2:11" x14ac:dyDescent="0.2">
      <c r="B8" s="9" t="s">
        <v>14</v>
      </c>
      <c r="C8" s="10">
        <v>73.97</v>
      </c>
      <c r="D8" s="10">
        <v>-20.58</v>
      </c>
      <c r="E8" s="10">
        <v>88.16</v>
      </c>
      <c r="F8" s="10">
        <f>E8+F$16</f>
        <v>-156.05000000000001</v>
      </c>
      <c r="G8" s="11"/>
      <c r="H8" s="11"/>
      <c r="J8" s="10">
        <f t="shared" si="0"/>
        <v>74.03</v>
      </c>
      <c r="K8" s="12">
        <f t="shared" si="0"/>
        <v>-20.61</v>
      </c>
    </row>
    <row r="9" spans="2:11" x14ac:dyDescent="0.2">
      <c r="B9" s="9" t="s">
        <v>15</v>
      </c>
      <c r="C9" s="10"/>
      <c r="D9" s="10"/>
      <c r="E9" s="10"/>
      <c r="F9" s="10"/>
      <c r="G9" s="11">
        <v>4.9127000000000001</v>
      </c>
      <c r="H9" s="11">
        <v>89.976900000000001</v>
      </c>
      <c r="K9" s="5"/>
    </row>
    <row r="10" spans="2:11" x14ac:dyDescent="0.2">
      <c r="B10" s="9" t="s">
        <v>16</v>
      </c>
      <c r="C10" s="10">
        <v>-88.74</v>
      </c>
      <c r="D10" s="10">
        <v>26.14</v>
      </c>
      <c r="E10" s="10">
        <v>87.12</v>
      </c>
      <c r="F10" s="10">
        <f>E10+F$16</f>
        <v>-157.09</v>
      </c>
      <c r="G10" s="11"/>
      <c r="H10" s="11"/>
      <c r="J10" s="10">
        <f t="shared" ref="J10:K12" si="1">C10+C$17</f>
        <v>-88.679999999999993</v>
      </c>
      <c r="K10" s="12">
        <f t="shared" si="1"/>
        <v>26.11</v>
      </c>
    </row>
    <row r="11" spans="2:11" x14ac:dyDescent="0.2">
      <c r="B11" s="13" t="s">
        <v>17</v>
      </c>
      <c r="C11" s="10">
        <v>-82.66</v>
      </c>
      <c r="D11" s="10">
        <v>-0.49</v>
      </c>
      <c r="E11" s="10">
        <v>87.65</v>
      </c>
      <c r="F11" s="10">
        <f>E11+F$16</f>
        <v>-156.56</v>
      </c>
      <c r="G11" s="11"/>
      <c r="H11" s="11"/>
      <c r="J11" s="10">
        <f t="shared" si="1"/>
        <v>-82.6</v>
      </c>
      <c r="K11" s="12">
        <f t="shared" si="1"/>
        <v>-0.52</v>
      </c>
    </row>
    <row r="12" spans="2:11" x14ac:dyDescent="0.2">
      <c r="B12" s="9" t="s">
        <v>18</v>
      </c>
      <c r="C12" s="10">
        <v>-74.180000000000007</v>
      </c>
      <c r="D12" s="10">
        <v>-20.47</v>
      </c>
      <c r="E12" s="10">
        <v>88.39</v>
      </c>
      <c r="F12" s="10">
        <f>E12+F$16</f>
        <v>-155.82</v>
      </c>
      <c r="G12" s="11"/>
      <c r="H12" s="11"/>
      <c r="J12" s="10">
        <f t="shared" si="1"/>
        <v>-74.12</v>
      </c>
      <c r="K12" s="12">
        <f t="shared" si="1"/>
        <v>-20.5</v>
      </c>
    </row>
    <row r="13" spans="2:11" x14ac:dyDescent="0.2">
      <c r="B13" s="9" t="s">
        <v>19</v>
      </c>
      <c r="C13" s="10"/>
      <c r="D13" s="10"/>
      <c r="E13" s="10"/>
      <c r="F13" s="10"/>
      <c r="G13" s="11">
        <v>-5.0640000000000001</v>
      </c>
      <c r="H13" s="11">
        <v>90.031000000000006</v>
      </c>
      <c r="K13" s="5"/>
    </row>
    <row r="14" spans="2:11" x14ac:dyDescent="0.2">
      <c r="B14" s="14"/>
      <c r="C14" s="15"/>
      <c r="D14" s="15"/>
      <c r="E14" s="15"/>
      <c r="F14" s="15"/>
      <c r="G14" s="15"/>
      <c r="H14" s="15"/>
      <c r="I14" s="15"/>
      <c r="J14" s="15"/>
      <c r="K14" s="16"/>
    </row>
    <row r="16" spans="2:11" x14ac:dyDescent="0.2">
      <c r="B16" s="17" t="s">
        <v>20</v>
      </c>
      <c r="C16" s="2">
        <v>0</v>
      </c>
      <c r="D16" s="2">
        <v>0</v>
      </c>
      <c r="E16" s="2">
        <v>-245.59</v>
      </c>
      <c r="F16" s="2">
        <f>E16+E17</f>
        <v>-244.21</v>
      </c>
      <c r="G16" s="2"/>
      <c r="H16" s="2"/>
    </row>
    <row r="17" spans="1:17" x14ac:dyDescent="0.2">
      <c r="B17" s="4"/>
      <c r="C17">
        <v>0.06</v>
      </c>
      <c r="D17">
        <v>-0.03</v>
      </c>
      <c r="E17">
        <v>1.38</v>
      </c>
    </row>
    <row r="18" spans="1:17" x14ac:dyDescent="0.2">
      <c r="B18" s="7" t="s">
        <v>21</v>
      </c>
    </row>
    <row r="19" spans="1:17" x14ac:dyDescent="0.2">
      <c r="B19" s="7" t="s">
        <v>22</v>
      </c>
      <c r="D19" s="18" t="s">
        <v>23</v>
      </c>
      <c r="E19">
        <v>-1151.2</v>
      </c>
      <c r="O19" t="s">
        <v>24</v>
      </c>
      <c r="P19">
        <v>5</v>
      </c>
    </row>
    <row r="20" spans="1:17" x14ac:dyDescent="0.2">
      <c r="B20" s="4"/>
      <c r="C20" s="18" t="s">
        <v>25</v>
      </c>
      <c r="D20" s="18" t="s">
        <v>26</v>
      </c>
      <c r="E20" s="18" t="s">
        <v>27</v>
      </c>
      <c r="F20" s="18" t="s">
        <v>28</v>
      </c>
      <c r="H20" s="18" t="s">
        <v>29</v>
      </c>
      <c r="J20" s="18" t="s">
        <v>30</v>
      </c>
      <c r="K20" s="18" t="s">
        <v>31</v>
      </c>
      <c r="P20">
        <v>1000</v>
      </c>
    </row>
    <row r="21" spans="1:17" x14ac:dyDescent="0.2">
      <c r="B21" s="4" t="s">
        <v>32</v>
      </c>
      <c r="C21">
        <v>-16.11</v>
      </c>
      <c r="D21">
        <v>-14.8</v>
      </c>
      <c r="E21">
        <v>5.2</v>
      </c>
      <c r="F21">
        <f>'[1]CREX targets'!E22</f>
        <v>0.93</v>
      </c>
      <c r="O21" t="s">
        <v>33</v>
      </c>
      <c r="P21" s="19">
        <f>P19/P20</f>
        <v>5.0000000000000001E-3</v>
      </c>
    </row>
    <row r="22" spans="1:17" x14ac:dyDescent="0.2">
      <c r="B22" s="4" t="s">
        <v>34</v>
      </c>
      <c r="C22" s="10">
        <f>0.69*25.4</f>
        <v>17.525999999999996</v>
      </c>
      <c r="D22" s="10">
        <f>0.69*25.4</f>
        <v>17.525999999999996</v>
      </c>
      <c r="E22">
        <f>0.4*25.4</f>
        <v>10.16</v>
      </c>
      <c r="F22">
        <v>6.35</v>
      </c>
      <c r="O22" t="s">
        <v>35</v>
      </c>
      <c r="P22">
        <f>P21*4.8</f>
        <v>2.4E-2</v>
      </c>
    </row>
    <row r="23" spans="1:17" x14ac:dyDescent="0.2">
      <c r="B23" t="s">
        <v>36</v>
      </c>
      <c r="C23">
        <v>-0.5</v>
      </c>
      <c r="D23">
        <v>-0.5</v>
      </c>
      <c r="E23">
        <v>0.05</v>
      </c>
      <c r="F23">
        <v>5</v>
      </c>
      <c r="J23" s="10"/>
    </row>
    <row r="24" spans="1:17" x14ac:dyDescent="0.2">
      <c r="B24" s="14" t="s">
        <v>37</v>
      </c>
      <c r="C24" s="20">
        <f>$E$19+C21+C22+C23</f>
        <v>-1150.2839999999999</v>
      </c>
      <c r="D24" s="20">
        <f>$E$19+D21+D22+D23</f>
        <v>-1148.9739999999999</v>
      </c>
      <c r="E24" s="20">
        <f>$E$19+E21+E22+E23</f>
        <v>-1135.79</v>
      </c>
      <c r="F24" s="20">
        <f>$E$19+F21+F22+F23</f>
        <v>-1138.92</v>
      </c>
      <c r="H24" s="11">
        <f>(E24-(F7+F11)/2)/(F24-(F7+F11)/2)</f>
        <v>0.99681342231317027</v>
      </c>
      <c r="J24" s="19">
        <f>C24/$F$24</f>
        <v>1.0099778737751552</v>
      </c>
      <c r="K24" s="19">
        <f>D24/$F$24</f>
        <v>1.0088276612931548</v>
      </c>
    </row>
    <row r="26" spans="1:17" x14ac:dyDescent="0.2">
      <c r="C26" s="18" t="s">
        <v>38</v>
      </c>
      <c r="D26" s="18" t="s">
        <v>39</v>
      </c>
      <c r="F26" s="18" t="s">
        <v>40</v>
      </c>
      <c r="G26" s="18" t="s">
        <v>41</v>
      </c>
      <c r="I26" s="18" t="s">
        <v>42</v>
      </c>
      <c r="J26" s="18" t="s">
        <v>43</v>
      </c>
      <c r="L26" s="18" t="s">
        <v>44</v>
      </c>
      <c r="M26" s="18" t="s">
        <v>45</v>
      </c>
      <c r="N26" s="18" t="s">
        <v>46</v>
      </c>
      <c r="P26" s="18" t="s">
        <v>47</v>
      </c>
      <c r="Q26" s="18" t="s">
        <v>48</v>
      </c>
    </row>
    <row r="27" spans="1:17" x14ac:dyDescent="0.2">
      <c r="A27" t="s">
        <v>49</v>
      </c>
      <c r="B27" t="s">
        <v>50</v>
      </c>
      <c r="C27" s="10">
        <f t="shared" ref="C27:D29" si="2">$F6-C$24</f>
        <v>992.95399999999984</v>
      </c>
      <c r="D27" s="10">
        <f t="shared" si="2"/>
        <v>991.64399999999989</v>
      </c>
      <c r="F27" s="19">
        <f t="shared" ref="F27:G29" si="3">ATAN(($C6+$C$17)/C27)/3.14159*180</f>
        <v>5.0989290110150707</v>
      </c>
      <c r="G27" s="19">
        <f t="shared" si="3"/>
        <v>5.1056293150210657</v>
      </c>
      <c r="I27" s="10">
        <f>$F6-$F$24</f>
        <v>981.59</v>
      </c>
      <c r="J27" s="10">
        <f>$F6-$E$24</f>
        <v>978.45999999999992</v>
      </c>
      <c r="L27" s="19">
        <f t="shared" ref="L27:M29" si="4">ATAN(($C6+$C$17)/I27)/3.14159*180</f>
        <v>5.1576434302331693</v>
      </c>
      <c r="M27" s="19">
        <f t="shared" si="4"/>
        <v>5.1740528294022425</v>
      </c>
      <c r="N27" s="19"/>
    </row>
    <row r="28" spans="1:17" x14ac:dyDescent="0.2">
      <c r="B28" s="7" t="s">
        <v>51</v>
      </c>
      <c r="C28" s="10">
        <f t="shared" si="2"/>
        <v>993.49399999999991</v>
      </c>
      <c r="D28" s="10">
        <f t="shared" si="2"/>
        <v>992.18399999999997</v>
      </c>
      <c r="F28" s="21">
        <f>ATAN(($C7+$C$17)/C28)/3.14159*180</f>
        <v>4.7481147529278953</v>
      </c>
      <c r="G28" s="21">
        <f t="shared" si="3"/>
        <v>4.7543550633474769</v>
      </c>
      <c r="I28" s="22">
        <f>$F7-$F$24</f>
        <v>982.13000000000011</v>
      </c>
      <c r="J28" s="22">
        <f>$F7-$E$24</f>
        <v>979</v>
      </c>
      <c r="L28" s="21">
        <f t="shared" si="4"/>
        <v>4.8027985590116877</v>
      </c>
      <c r="M28" s="21">
        <f t="shared" si="4"/>
        <v>4.8180816066505603</v>
      </c>
      <c r="N28" s="23">
        <f t="shared" ref="N28:N31" si="5">M28-L28</f>
        <v>1.528304763887256E-2</v>
      </c>
      <c r="O28" s="19"/>
      <c r="P28" s="24">
        <f>F28-$L28</f>
        <v>-5.4683806083792419E-2</v>
      </c>
      <c r="Q28" s="24">
        <f>G28-$L28</f>
        <v>-4.8443495664210801E-2</v>
      </c>
    </row>
    <row r="29" spans="1:17" x14ac:dyDescent="0.2">
      <c r="B29" t="s">
        <v>52</v>
      </c>
      <c r="C29" s="10">
        <f t="shared" si="2"/>
        <v>994.23399999999992</v>
      </c>
      <c r="D29" s="10">
        <f t="shared" si="2"/>
        <v>992.92399999999998</v>
      </c>
      <c r="F29" s="19">
        <f t="shared" si="3"/>
        <v>4.2583509976177076</v>
      </c>
      <c r="G29" s="19">
        <f t="shared" si="3"/>
        <v>4.2639484847371047</v>
      </c>
      <c r="I29" s="10">
        <f>$F8-$F$24</f>
        <v>982.87000000000012</v>
      </c>
      <c r="J29" s="10">
        <f>$F8-$E$24</f>
        <v>979.74</v>
      </c>
      <c r="L29" s="19">
        <f t="shared" si="4"/>
        <v>4.3074020501277941</v>
      </c>
      <c r="M29" s="19">
        <f t="shared" si="4"/>
        <v>4.3211109777124737</v>
      </c>
      <c r="N29" s="19"/>
      <c r="P29" s="25">
        <f>P28/F28</f>
        <v>-1.1516951238398776E-2</v>
      </c>
      <c r="Q29" s="25">
        <f>Q28/G28</f>
        <v>-1.0189288561486275E-2</v>
      </c>
    </row>
    <row r="30" spans="1:17" x14ac:dyDescent="0.2">
      <c r="A30" t="s">
        <v>53</v>
      </c>
      <c r="B30" t="s">
        <v>50</v>
      </c>
      <c r="C30" s="10">
        <f t="shared" ref="C30:D32" si="6">$F10-C$24</f>
        <v>993.19399999999985</v>
      </c>
      <c r="D30" s="10">
        <f t="shared" si="6"/>
        <v>991.8839999999999</v>
      </c>
      <c r="F30" s="19">
        <f t="shared" ref="F30:G32" si="7">ATAN(($C10+$C$17)/C30)/3.14159*180</f>
        <v>-5.1022819823572991</v>
      </c>
      <c r="G30" s="19">
        <f t="shared" si="7"/>
        <v>-5.1089850233413125</v>
      </c>
      <c r="I30" s="10">
        <f>$F10-$F$24</f>
        <v>981.83</v>
      </c>
      <c r="J30" s="10">
        <f>$F10-$E$24</f>
        <v>978.69999999999993</v>
      </c>
      <c r="L30" s="19">
        <f t="shared" ref="L30:M32" si="8">ATAN(($C10+$C$17)/I30)/3.14159*180</f>
        <v>-5.1610202349067089</v>
      </c>
      <c r="M30" s="19">
        <f t="shared" si="8"/>
        <v>-5.1774362341488249</v>
      </c>
      <c r="N30" s="19"/>
    </row>
    <row r="31" spans="1:17" x14ac:dyDescent="0.2">
      <c r="B31" s="7" t="s">
        <v>51</v>
      </c>
      <c r="C31" s="10">
        <f t="shared" si="6"/>
        <v>993.72399999999993</v>
      </c>
      <c r="D31" s="10">
        <f t="shared" si="6"/>
        <v>992.41399999999999</v>
      </c>
      <c r="F31" s="21">
        <f t="shared" si="7"/>
        <v>-4.751601806779493</v>
      </c>
      <c r="G31" s="21">
        <f t="shared" si="7"/>
        <v>-4.7578452106813245</v>
      </c>
      <c r="I31" s="10">
        <f>$F11-$F$24</f>
        <v>982.36000000000013</v>
      </c>
      <c r="J31" s="10">
        <f>$F11-$E$24</f>
        <v>979.23</v>
      </c>
      <c r="L31" s="21">
        <f t="shared" si="8"/>
        <v>-4.806312586483668</v>
      </c>
      <c r="M31" s="21">
        <f t="shared" si="8"/>
        <v>-4.8216031184014074</v>
      </c>
      <c r="N31" s="23">
        <f t="shared" si="5"/>
        <v>-1.5290531917739436E-2</v>
      </c>
      <c r="P31" s="24">
        <f>F31-$L31</f>
        <v>5.4710779704175039E-2</v>
      </c>
      <c r="Q31" s="24">
        <f>G31-$L31</f>
        <v>4.8467375802343504E-2</v>
      </c>
    </row>
    <row r="32" spans="1:17" x14ac:dyDescent="0.2">
      <c r="B32" t="s">
        <v>52</v>
      </c>
      <c r="C32" s="10">
        <f t="shared" si="6"/>
        <v>994.46399999999994</v>
      </c>
      <c r="D32" s="10">
        <f t="shared" si="6"/>
        <v>993.154</v>
      </c>
      <c r="F32" s="19">
        <f t="shared" si="7"/>
        <v>-4.2625264653217831</v>
      </c>
      <c r="G32" s="19">
        <f t="shared" si="7"/>
        <v>-4.2681281028094133</v>
      </c>
      <c r="I32" s="10">
        <f>$F12-$F$24</f>
        <v>983.10000000000014</v>
      </c>
      <c r="J32" s="10">
        <f>$F12-$E$24</f>
        <v>979.97</v>
      </c>
      <c r="L32" s="19">
        <f t="shared" si="8"/>
        <v>-4.3116137666306207</v>
      </c>
      <c r="M32" s="19">
        <f t="shared" si="8"/>
        <v>-4.3253327762504208</v>
      </c>
      <c r="N32" s="19"/>
      <c r="P32" s="25">
        <f>P31/F31</f>
        <v>-1.1514176046089291E-2</v>
      </c>
      <c r="Q32" s="25">
        <f>Q31/G31</f>
        <v>-1.0186833252484682E-2</v>
      </c>
    </row>
    <row r="34" spans="2:18" x14ac:dyDescent="0.2">
      <c r="Q34" t="s">
        <v>54</v>
      </c>
      <c r="R34">
        <f>3.14159/180</f>
        <v>1.7453277777777776E-2</v>
      </c>
    </row>
    <row r="35" spans="2:18" x14ac:dyDescent="0.2">
      <c r="B35" s="18" t="s">
        <v>55</v>
      </c>
      <c r="C35" s="18" t="s">
        <v>56</v>
      </c>
      <c r="D35" s="18" t="s">
        <v>57</v>
      </c>
    </row>
    <row r="36" spans="2:18" x14ac:dyDescent="0.2">
      <c r="B36" t="s">
        <v>49</v>
      </c>
      <c r="C36">
        <v>4.7910000000000004</v>
      </c>
      <c r="D36" s="26">
        <f>C36/$H$24</f>
        <v>4.8063156983602546</v>
      </c>
    </row>
    <row r="37" spans="2:18" x14ac:dyDescent="0.2">
      <c r="B37" t="s">
        <v>53</v>
      </c>
      <c r="C37">
        <v>4.7489999999999997</v>
      </c>
      <c r="D37" s="27">
        <f>C37/$H$24</f>
        <v>4.7641814342544029</v>
      </c>
    </row>
    <row r="40" spans="2:18" x14ac:dyDescent="0.2">
      <c r="B40" s="29"/>
      <c r="C40" s="19"/>
    </row>
    <row r="42" spans="2:18" x14ac:dyDescent="0.2">
      <c r="B42" s="1"/>
      <c r="C42" s="2"/>
      <c r="D42" s="3"/>
    </row>
    <row r="43" spans="2:18" x14ac:dyDescent="0.2">
      <c r="B43" s="4"/>
      <c r="C43" s="19"/>
      <c r="D43" s="5"/>
      <c r="E43" s="10"/>
      <c r="J43" s="28"/>
      <c r="L43" s="10"/>
    </row>
    <row r="44" spans="2:18" x14ac:dyDescent="0.2">
      <c r="B44" s="4"/>
      <c r="C44" s="19"/>
      <c r="D44" s="5"/>
      <c r="E44" s="10"/>
      <c r="J44" s="28"/>
      <c r="L44" s="10"/>
    </row>
    <row r="45" spans="2:18" x14ac:dyDescent="0.2">
      <c r="B45" s="14"/>
      <c r="C45" s="15"/>
      <c r="D45" s="16"/>
    </row>
    <row r="46" spans="2:18" x14ac:dyDescent="0.2">
      <c r="B46" s="30"/>
      <c r="C46" s="30"/>
      <c r="D46" s="30"/>
      <c r="E46" s="30"/>
      <c r="F46" s="30"/>
      <c r="G46" s="30"/>
      <c r="H46" s="30"/>
    </row>
  </sheetData>
  <mergeCells count="1">
    <mergeCell ref="B46:H4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2020-10-17T04:10:14Z</dcterms:created>
  <dcterms:modified xsi:type="dcterms:W3CDTF">2020-10-17T04:11:13Z</dcterms:modified>
</cp:coreProperties>
</file>