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jiao/Desktop/"/>
    </mc:Choice>
  </mc:AlternateContent>
  <xr:revisionPtr revIDLastSave="0" documentId="13_ncr:1_{9627BE78-D03A-5B40-94FF-F189091B7076}" xr6:coauthVersionLast="47" xr6:coauthVersionMax="47" xr10:uidLastSave="{00000000-0000-0000-0000-000000000000}"/>
  <bookViews>
    <workbookView xWindow="0" yWindow="500" windowWidth="38400" windowHeight="19240" xr2:uid="{48A6DEA3-2AA3-8E4B-9688-69F5A6B3D937}"/>
  </bookViews>
  <sheets>
    <sheet name="DCF" sheetId="2" r:id="rId1"/>
    <sheet name="Financials + KPIs" sheetId="1" r:id="rId2"/>
    <sheet name="WACC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" l="1"/>
  <c r="P17" i="2"/>
  <c r="D22" i="2"/>
  <c r="U60" i="2"/>
  <c r="U62" i="2"/>
  <c r="U61" i="2"/>
  <c r="D103" i="2"/>
  <c r="D105" i="2"/>
  <c r="F11" i="4"/>
  <c r="T10" i="2"/>
  <c r="F10" i="4" s="1"/>
  <c r="T9" i="2"/>
  <c r="G5" i="2" a="1"/>
  <c r="G5" i="2" s="1"/>
  <c r="L45" i="2"/>
  <c r="M45" i="2" s="1"/>
  <c r="N45" i="2" s="1"/>
  <c r="O45" i="2" s="1"/>
  <c r="P45" i="2" s="1"/>
  <c r="Q45" i="2" s="1"/>
  <c r="R45" i="2" s="1"/>
  <c r="S45" i="2" s="1"/>
  <c r="T45" i="2" s="1"/>
  <c r="U45" i="2" s="1"/>
  <c r="L47" i="2"/>
  <c r="M47" i="2" s="1"/>
  <c r="N47" i="2" s="1"/>
  <c r="O47" i="2" s="1"/>
  <c r="P47" i="2" s="1"/>
  <c r="Q47" i="2" s="1"/>
  <c r="R47" i="2" s="1"/>
  <c r="S47" i="2" s="1"/>
  <c r="T47" i="2" s="1"/>
  <c r="U47" i="2" s="1"/>
  <c r="L46" i="2"/>
  <c r="M46" i="2" s="1"/>
  <c r="N46" i="2" s="1"/>
  <c r="K79" i="2"/>
  <c r="K75" i="2"/>
  <c r="K70" i="2"/>
  <c r="F79" i="2"/>
  <c r="G79" i="2"/>
  <c r="G140" i="2" s="1"/>
  <c r="H79" i="2"/>
  <c r="H140" i="2" s="1"/>
  <c r="I79" i="2"/>
  <c r="J79" i="2"/>
  <c r="J140" i="2" s="1"/>
  <c r="E79" i="2"/>
  <c r="E140" i="2" s="1"/>
  <c r="F75" i="2"/>
  <c r="G75" i="2"/>
  <c r="G139" i="2" s="1"/>
  <c r="H75" i="2"/>
  <c r="H77" i="2" s="1"/>
  <c r="I75" i="2"/>
  <c r="J75" i="2"/>
  <c r="J139" i="2" s="1"/>
  <c r="E75" i="2"/>
  <c r="E139" i="2" s="1"/>
  <c r="F70" i="2"/>
  <c r="G70" i="2"/>
  <c r="G131" i="2" s="1"/>
  <c r="G138" i="2" s="1"/>
  <c r="H70" i="2"/>
  <c r="H131" i="2" s="1"/>
  <c r="H138" i="2" s="1"/>
  <c r="I70" i="2"/>
  <c r="J70" i="2"/>
  <c r="J131" i="2" s="1"/>
  <c r="J138" i="2" s="1"/>
  <c r="E70" i="2"/>
  <c r="K66" i="2"/>
  <c r="F65" i="2"/>
  <c r="F135" i="2" s="1"/>
  <c r="G65" i="2"/>
  <c r="H65" i="2"/>
  <c r="H135" i="2" s="1"/>
  <c r="I65" i="2"/>
  <c r="J65" i="2"/>
  <c r="J135" i="2" s="1"/>
  <c r="E65" i="2"/>
  <c r="E135" i="2" s="1"/>
  <c r="K61" i="2"/>
  <c r="F58" i="2"/>
  <c r="G58" i="2"/>
  <c r="H58" i="2"/>
  <c r="H133" i="2" s="1"/>
  <c r="I58" i="2"/>
  <c r="J58" i="2"/>
  <c r="E58" i="2"/>
  <c r="S13" i="1"/>
  <c r="S12" i="1"/>
  <c r="K46" i="2"/>
  <c r="K47" i="2" s="1"/>
  <c r="L36" i="2"/>
  <c r="M36" i="2" s="1"/>
  <c r="N36" i="2" s="1"/>
  <c r="O36" i="2" s="1"/>
  <c r="P36" i="2" s="1"/>
  <c r="Q36" i="2" s="1"/>
  <c r="R36" i="2" s="1"/>
  <c r="S36" i="2" s="1"/>
  <c r="T36" i="2" s="1"/>
  <c r="U36" i="2" s="1"/>
  <c r="L38" i="2"/>
  <c r="M38" i="2" s="1"/>
  <c r="N38" i="2" s="1"/>
  <c r="O38" i="2" s="1"/>
  <c r="P38" i="2" s="1"/>
  <c r="Q38" i="2" s="1"/>
  <c r="R38" i="2" s="1"/>
  <c r="S38" i="2" s="1"/>
  <c r="T38" i="2" s="1"/>
  <c r="U38" i="2" s="1"/>
  <c r="L37" i="2"/>
  <c r="M37" i="2" s="1"/>
  <c r="N37" i="2" s="1"/>
  <c r="O37" i="2" s="1"/>
  <c r="P37" i="2" s="1"/>
  <c r="Q37" i="2" s="1"/>
  <c r="R37" i="2" s="1"/>
  <c r="S37" i="2" s="1"/>
  <c r="T37" i="2" s="1"/>
  <c r="U37" i="2" s="1"/>
  <c r="L30" i="2"/>
  <c r="M30" i="2" s="1"/>
  <c r="N30" i="2" s="1"/>
  <c r="O30" i="2" s="1"/>
  <c r="P30" i="2" s="1"/>
  <c r="Q30" i="2" s="1"/>
  <c r="R30" i="2" s="1"/>
  <c r="S30" i="2" s="1"/>
  <c r="T30" i="2" s="1"/>
  <c r="U30" i="2" s="1"/>
  <c r="U28" i="2" s="1"/>
  <c r="L31" i="2"/>
  <c r="M31" i="2" s="1"/>
  <c r="N31" i="2" s="1"/>
  <c r="O31" i="2" s="1"/>
  <c r="P31" i="2" s="1"/>
  <c r="Q31" i="2" s="1"/>
  <c r="R31" i="2" s="1"/>
  <c r="S31" i="2" s="1"/>
  <c r="T31" i="2" s="1"/>
  <c r="U31" i="2" s="1"/>
  <c r="L29" i="2"/>
  <c r="M29" i="2" s="1"/>
  <c r="N29" i="2" s="1"/>
  <c r="O29" i="2" s="1"/>
  <c r="P29" i="2" s="1"/>
  <c r="Q29" i="2" s="1"/>
  <c r="R29" i="2" s="1"/>
  <c r="S29" i="2" s="1"/>
  <c r="T29" i="2" s="1"/>
  <c r="U29" i="2" s="1"/>
  <c r="K37" i="2"/>
  <c r="K36" i="2" s="1"/>
  <c r="K30" i="2"/>
  <c r="K28" i="2" s="1"/>
  <c r="F43" i="2"/>
  <c r="G43" i="2"/>
  <c r="H43" i="2"/>
  <c r="I43" i="2"/>
  <c r="J43" i="2"/>
  <c r="E43" i="2"/>
  <c r="F34" i="2"/>
  <c r="G34" i="2"/>
  <c r="H34" i="2"/>
  <c r="I34" i="2"/>
  <c r="J34" i="2"/>
  <c r="E34" i="2"/>
  <c r="F26" i="2"/>
  <c r="G26" i="2"/>
  <c r="H26" i="2"/>
  <c r="I26" i="2"/>
  <c r="J26" i="2"/>
  <c r="E26" i="2"/>
  <c r="S41" i="1"/>
  <c r="S38" i="1"/>
  <c r="S39" i="1"/>
  <c r="S51" i="1"/>
  <c r="S43" i="1"/>
  <c r="S44" i="1" s="1"/>
  <c r="S45" i="1"/>
  <c r="S46" i="1" s="1"/>
  <c r="S47" i="1"/>
  <c r="S48" i="1"/>
  <c r="S49" i="1"/>
  <c r="S50" i="1"/>
  <c r="S37" i="1"/>
  <c r="T29" i="1"/>
  <c r="U29" i="1"/>
  <c r="V29" i="1"/>
  <c r="W29" i="1"/>
  <c r="X29" i="1"/>
  <c r="Y29" i="1"/>
  <c r="Z29" i="1"/>
  <c r="AA29" i="1"/>
  <c r="AB29" i="1"/>
  <c r="T30" i="1"/>
  <c r="U30" i="1"/>
  <c r="V30" i="1"/>
  <c r="W30" i="1"/>
  <c r="X30" i="1"/>
  <c r="Y30" i="1"/>
  <c r="Z30" i="1"/>
  <c r="AA30" i="1"/>
  <c r="AB30" i="1"/>
  <c r="T31" i="1"/>
  <c r="U31" i="1"/>
  <c r="V31" i="1"/>
  <c r="W31" i="1"/>
  <c r="X31" i="1"/>
  <c r="Y31" i="1"/>
  <c r="Z31" i="1"/>
  <c r="AA31" i="1"/>
  <c r="AB31" i="1"/>
  <c r="T32" i="1"/>
  <c r="U32" i="1"/>
  <c r="V32" i="1"/>
  <c r="W32" i="1"/>
  <c r="X32" i="1"/>
  <c r="Y32" i="1"/>
  <c r="Z32" i="1"/>
  <c r="AA32" i="1"/>
  <c r="AB32" i="1"/>
  <c r="T33" i="1"/>
  <c r="U33" i="1"/>
  <c r="V33" i="1"/>
  <c r="W33" i="1"/>
  <c r="X33" i="1"/>
  <c r="Y33" i="1"/>
  <c r="Z33" i="1"/>
  <c r="AA33" i="1"/>
  <c r="AB33" i="1"/>
  <c r="T34" i="1"/>
  <c r="U34" i="1"/>
  <c r="V34" i="1"/>
  <c r="W34" i="1"/>
  <c r="X34" i="1"/>
  <c r="Y34" i="1"/>
  <c r="Z34" i="1"/>
  <c r="AA34" i="1"/>
  <c r="AB34" i="1"/>
  <c r="T35" i="1"/>
  <c r="U35" i="1"/>
  <c r="V35" i="1"/>
  <c r="W35" i="1"/>
  <c r="X35" i="1"/>
  <c r="Y35" i="1"/>
  <c r="Z35" i="1"/>
  <c r="AA35" i="1"/>
  <c r="AB35" i="1"/>
  <c r="S29" i="1"/>
  <c r="S30" i="1"/>
  <c r="S31" i="1"/>
  <c r="S32" i="1"/>
  <c r="S33" i="1"/>
  <c r="S34" i="1"/>
  <c r="S35" i="1"/>
  <c r="S28" i="1"/>
  <c r="T28" i="1"/>
  <c r="U28" i="1"/>
  <c r="V28" i="1"/>
  <c r="W28" i="1"/>
  <c r="X28" i="1"/>
  <c r="Y28" i="1"/>
  <c r="Z28" i="1"/>
  <c r="AA28" i="1"/>
  <c r="AB28" i="1"/>
  <c r="S26" i="1"/>
  <c r="J26" i="1"/>
  <c r="S23" i="1"/>
  <c r="S21" i="1"/>
  <c r="S19" i="1"/>
  <c r="S18" i="1"/>
  <c r="S17" i="1"/>
  <c r="S15" i="1"/>
  <c r="S8" i="1"/>
  <c r="S9" i="1" s="1"/>
  <c r="T9" i="1"/>
  <c r="U9" i="1"/>
  <c r="V9" i="1"/>
  <c r="W9" i="1"/>
  <c r="X9" i="1"/>
  <c r="Y9" i="1"/>
  <c r="Z9" i="1"/>
  <c r="AA9" i="1"/>
  <c r="AB9" i="1"/>
  <c r="S10" i="1"/>
  <c r="T10" i="1"/>
  <c r="U10" i="1"/>
  <c r="V10" i="1"/>
  <c r="W10" i="1"/>
  <c r="X10" i="1"/>
  <c r="X15" i="1" s="1"/>
  <c r="X16" i="1" s="1"/>
  <c r="Y10" i="1"/>
  <c r="Z10" i="1"/>
  <c r="AA10" i="1"/>
  <c r="AB10" i="1"/>
  <c r="S6" i="1"/>
  <c r="T6" i="1"/>
  <c r="U6" i="1"/>
  <c r="V6" i="1"/>
  <c r="W6" i="1"/>
  <c r="X6" i="1"/>
  <c r="Y6" i="1"/>
  <c r="Z6" i="1"/>
  <c r="AA6" i="1"/>
  <c r="AB6" i="1"/>
  <c r="T4" i="1"/>
  <c r="U4" i="1"/>
  <c r="V4" i="1"/>
  <c r="W4" i="1"/>
  <c r="X4" i="1"/>
  <c r="Y4" i="1"/>
  <c r="Z4" i="1"/>
  <c r="AA4" i="1"/>
  <c r="AB4" i="1"/>
  <c r="S5" i="1"/>
  <c r="T5" i="1"/>
  <c r="U5" i="1"/>
  <c r="V5" i="1"/>
  <c r="W5" i="1"/>
  <c r="X5" i="1"/>
  <c r="Y5" i="1"/>
  <c r="Z5" i="1"/>
  <c r="AA5" i="1"/>
  <c r="AB5" i="1"/>
  <c r="S4" i="1"/>
  <c r="J21" i="1"/>
  <c r="J3" i="1"/>
  <c r="S3" i="1" s="1"/>
  <c r="C43" i="1"/>
  <c r="C47" i="1"/>
  <c r="C49" i="1"/>
  <c r="E43" i="1"/>
  <c r="G43" i="1"/>
  <c r="G44" i="1" s="1"/>
  <c r="H43" i="1"/>
  <c r="I43" i="1"/>
  <c r="E45" i="1"/>
  <c r="E47" i="1"/>
  <c r="G47" i="1"/>
  <c r="G48" i="1" s="1"/>
  <c r="H47" i="1"/>
  <c r="I47" i="1"/>
  <c r="I48" i="1" s="1"/>
  <c r="E49" i="1"/>
  <c r="G49" i="1"/>
  <c r="G50" i="1" s="1"/>
  <c r="H49" i="1"/>
  <c r="H50" i="1" s="1"/>
  <c r="I49" i="1"/>
  <c r="D49" i="1"/>
  <c r="D47" i="1"/>
  <c r="D43" i="1"/>
  <c r="E35" i="1"/>
  <c r="H35" i="1"/>
  <c r="I35" i="1"/>
  <c r="D35" i="1"/>
  <c r="C30" i="1"/>
  <c r="D30" i="1"/>
  <c r="E30" i="1"/>
  <c r="G30" i="1"/>
  <c r="H30" i="1"/>
  <c r="C31" i="1"/>
  <c r="D31" i="1"/>
  <c r="E31" i="1"/>
  <c r="G31" i="1"/>
  <c r="H31" i="1"/>
  <c r="E32" i="1"/>
  <c r="I31" i="1"/>
  <c r="I30" i="1"/>
  <c r="C29" i="1"/>
  <c r="D29" i="1"/>
  <c r="E29" i="1"/>
  <c r="G29" i="1"/>
  <c r="H29" i="1"/>
  <c r="I29" i="1"/>
  <c r="H28" i="1"/>
  <c r="I28" i="1"/>
  <c r="G28" i="1"/>
  <c r="H9" i="1"/>
  <c r="I9" i="1"/>
  <c r="G9" i="1"/>
  <c r="H4" i="1"/>
  <c r="I4" i="1"/>
  <c r="G4" i="1"/>
  <c r="F26" i="1"/>
  <c r="F35" i="1" s="1"/>
  <c r="F23" i="1"/>
  <c r="F21" i="1"/>
  <c r="F19" i="1"/>
  <c r="F18" i="1"/>
  <c r="F17" i="1"/>
  <c r="F8" i="1"/>
  <c r="C10" i="1"/>
  <c r="D10" i="1"/>
  <c r="E10" i="1"/>
  <c r="C12" i="1"/>
  <c r="D12" i="1"/>
  <c r="E12" i="1"/>
  <c r="C20" i="1"/>
  <c r="C22" i="1" s="1"/>
  <c r="C24" i="1" s="1"/>
  <c r="C25" i="1" s="1"/>
  <c r="D20" i="1"/>
  <c r="D22" i="1" s="1"/>
  <c r="D24" i="1" s="1"/>
  <c r="D25" i="1" s="1"/>
  <c r="E22" i="1"/>
  <c r="E33" i="1" s="1"/>
  <c r="C16" i="1"/>
  <c r="C45" i="1" s="1"/>
  <c r="D16" i="1"/>
  <c r="D45" i="1" s="1"/>
  <c r="D5" i="1"/>
  <c r="E5" i="1"/>
  <c r="H5" i="1"/>
  <c r="H6" i="1" s="1"/>
  <c r="I5" i="1"/>
  <c r="I6" i="1" s="1"/>
  <c r="F3" i="1"/>
  <c r="F5" i="1" s="1"/>
  <c r="G10" i="1"/>
  <c r="H10" i="1"/>
  <c r="I10" i="1"/>
  <c r="G12" i="1"/>
  <c r="G13" i="1" s="1"/>
  <c r="H12" i="1"/>
  <c r="I12" i="1"/>
  <c r="I13" i="1" s="1"/>
  <c r="G20" i="1"/>
  <c r="G22" i="1" s="1"/>
  <c r="G24" i="1" s="1"/>
  <c r="G25" i="1" s="1"/>
  <c r="H20" i="1"/>
  <c r="H22" i="1" s="1"/>
  <c r="H24" i="1" s="1"/>
  <c r="H25" i="1" s="1"/>
  <c r="I20" i="1"/>
  <c r="I22" i="1" s="1"/>
  <c r="I24" i="1" s="1"/>
  <c r="I25" i="1" s="1"/>
  <c r="G16" i="1"/>
  <c r="G45" i="1" s="1"/>
  <c r="G46" i="1" s="1"/>
  <c r="H16" i="1"/>
  <c r="H45" i="1" s="1"/>
  <c r="H46" i="1" s="1"/>
  <c r="I16" i="1"/>
  <c r="I45" i="1" s="1"/>
  <c r="I46" i="1" s="1"/>
  <c r="N38" i="1"/>
  <c r="O38" i="1"/>
  <c r="P38" i="1"/>
  <c r="Q38" i="1"/>
  <c r="R38" i="1"/>
  <c r="M38" i="1"/>
  <c r="N51" i="1"/>
  <c r="O51" i="1"/>
  <c r="P51" i="1"/>
  <c r="Q51" i="1"/>
  <c r="R51" i="1"/>
  <c r="M51" i="1"/>
  <c r="M47" i="1"/>
  <c r="N47" i="1"/>
  <c r="O47" i="1"/>
  <c r="M49" i="1"/>
  <c r="N49" i="1"/>
  <c r="O49" i="1"/>
  <c r="N35" i="1"/>
  <c r="O35" i="1"/>
  <c r="P35" i="1"/>
  <c r="AB20" i="1"/>
  <c r="AB22" i="1" s="1"/>
  <c r="AB24" i="1" s="1"/>
  <c r="AB25" i="1" s="1"/>
  <c r="T20" i="1"/>
  <c r="T22" i="1" s="1"/>
  <c r="T24" i="1" s="1"/>
  <c r="T25" i="1" s="1"/>
  <c r="U20" i="1"/>
  <c r="U22" i="1" s="1"/>
  <c r="U24" i="1" s="1"/>
  <c r="U25" i="1" s="1"/>
  <c r="V20" i="1"/>
  <c r="V22" i="1" s="1"/>
  <c r="V24" i="1" s="1"/>
  <c r="V25" i="1" s="1"/>
  <c r="W20" i="1"/>
  <c r="W22" i="1" s="1"/>
  <c r="W24" i="1" s="1"/>
  <c r="W25" i="1" s="1"/>
  <c r="X20" i="1"/>
  <c r="X22" i="1" s="1"/>
  <c r="X24" i="1" s="1"/>
  <c r="X25" i="1" s="1"/>
  <c r="Y20" i="1"/>
  <c r="Y22" i="1" s="1"/>
  <c r="Y24" i="1" s="1"/>
  <c r="Y25" i="1" s="1"/>
  <c r="Z20" i="1"/>
  <c r="Z22" i="1" s="1"/>
  <c r="Z24" i="1" s="1"/>
  <c r="Z25" i="1" s="1"/>
  <c r="AA20" i="1"/>
  <c r="AA22" i="1" s="1"/>
  <c r="AA24" i="1" s="1"/>
  <c r="AA25" i="1" s="1"/>
  <c r="T15" i="1"/>
  <c r="T16" i="1" s="1"/>
  <c r="U15" i="1"/>
  <c r="U16" i="1" s="1"/>
  <c r="V15" i="1"/>
  <c r="V16" i="1" s="1"/>
  <c r="W15" i="1"/>
  <c r="W16" i="1" s="1"/>
  <c r="Y15" i="1"/>
  <c r="Y16" i="1" s="1"/>
  <c r="Z15" i="1"/>
  <c r="Z16" i="1" s="1"/>
  <c r="AA15" i="1"/>
  <c r="AA16" i="1" s="1"/>
  <c r="AB15" i="1"/>
  <c r="AB16" i="1" s="1"/>
  <c r="M20" i="1"/>
  <c r="M37" i="1" s="1"/>
  <c r="N20" i="1"/>
  <c r="N22" i="1" s="1"/>
  <c r="O20" i="1"/>
  <c r="O22" i="1" s="1"/>
  <c r="N13" i="1"/>
  <c r="O13" i="1"/>
  <c r="P13" i="1"/>
  <c r="N4" i="1"/>
  <c r="O4" i="1"/>
  <c r="P4" i="1"/>
  <c r="N5" i="1"/>
  <c r="O5" i="1"/>
  <c r="P5" i="1"/>
  <c r="M10" i="1"/>
  <c r="M15" i="1" s="1"/>
  <c r="M16" i="1" s="1"/>
  <c r="M45" i="1" s="1"/>
  <c r="N10" i="1"/>
  <c r="N15" i="1" s="1"/>
  <c r="N43" i="1" s="1"/>
  <c r="O10" i="1"/>
  <c r="O15" i="1" s="1"/>
  <c r="O43" i="1" s="1"/>
  <c r="N9" i="1"/>
  <c r="O9" i="1"/>
  <c r="P9" i="1"/>
  <c r="L126" i="2"/>
  <c r="M126" i="2" s="1"/>
  <c r="N126" i="2" s="1"/>
  <c r="O126" i="2" s="1"/>
  <c r="P126" i="2" s="1"/>
  <c r="Q126" i="2" s="1"/>
  <c r="R126" i="2" s="1"/>
  <c r="S126" i="2" s="1"/>
  <c r="T126" i="2" s="1"/>
  <c r="U126" i="2" s="1"/>
  <c r="J126" i="2"/>
  <c r="I126" i="2" s="1"/>
  <c r="H126" i="2" s="1"/>
  <c r="G126" i="2" s="1"/>
  <c r="F126" i="2" s="1"/>
  <c r="E126" i="2" s="1"/>
  <c r="L125" i="2"/>
  <c r="M125" i="2" s="1"/>
  <c r="N125" i="2" s="1"/>
  <c r="O125" i="2" s="1"/>
  <c r="P125" i="2" s="1"/>
  <c r="Q125" i="2" s="1"/>
  <c r="R125" i="2" s="1"/>
  <c r="S125" i="2" s="1"/>
  <c r="T125" i="2" s="1"/>
  <c r="U125" i="2" s="1"/>
  <c r="F125" i="2"/>
  <c r="G125" i="2" s="1"/>
  <c r="H125" i="2" s="1"/>
  <c r="I125" i="2" s="1"/>
  <c r="J125" i="2" s="1"/>
  <c r="L54" i="2"/>
  <c r="M54" i="2" s="1"/>
  <c r="N54" i="2" s="1"/>
  <c r="O54" i="2" s="1"/>
  <c r="P54" i="2" s="1"/>
  <c r="Q54" i="2" s="1"/>
  <c r="R54" i="2" s="1"/>
  <c r="S54" i="2" s="1"/>
  <c r="T54" i="2" s="1"/>
  <c r="U54" i="2" s="1"/>
  <c r="J54" i="2"/>
  <c r="I54" i="2" s="1"/>
  <c r="H54" i="2" s="1"/>
  <c r="G54" i="2" s="1"/>
  <c r="F54" i="2" s="1"/>
  <c r="E54" i="2" s="1"/>
  <c r="L53" i="2"/>
  <c r="M53" i="2" s="1"/>
  <c r="N53" i="2" s="1"/>
  <c r="O53" i="2" s="1"/>
  <c r="P53" i="2" s="1"/>
  <c r="Q53" i="2" s="1"/>
  <c r="R53" i="2" s="1"/>
  <c r="S53" i="2" s="1"/>
  <c r="T53" i="2" s="1"/>
  <c r="U53" i="2" s="1"/>
  <c r="F53" i="2"/>
  <c r="G53" i="2" s="1"/>
  <c r="H53" i="2" s="1"/>
  <c r="I53" i="2" s="1"/>
  <c r="J53" i="2" s="1"/>
  <c r="Q49" i="1"/>
  <c r="R49" i="1"/>
  <c r="P49" i="1"/>
  <c r="Q47" i="1"/>
  <c r="R47" i="1"/>
  <c r="P47" i="1"/>
  <c r="R35" i="1"/>
  <c r="Q35" i="1"/>
  <c r="F17" i="4"/>
  <c r="N118" i="2"/>
  <c r="O118" i="2" s="1"/>
  <c r="P118" i="2" s="1"/>
  <c r="D108" i="2"/>
  <c r="D102" i="2"/>
  <c r="L88" i="2"/>
  <c r="M88" i="2" s="1"/>
  <c r="N88" i="2" s="1"/>
  <c r="O88" i="2" s="1"/>
  <c r="P88" i="2" s="1"/>
  <c r="Q88" i="2" s="1"/>
  <c r="R88" i="2" s="1"/>
  <c r="S88" i="2" s="1"/>
  <c r="T88" i="2" s="1"/>
  <c r="L87" i="2"/>
  <c r="M87" i="2" s="1"/>
  <c r="N87" i="2" s="1"/>
  <c r="O87" i="2" s="1"/>
  <c r="P87" i="2" s="1"/>
  <c r="Q87" i="2" s="1"/>
  <c r="R87" i="2" s="1"/>
  <c r="S87" i="2" s="1"/>
  <c r="T87" i="2" s="1"/>
  <c r="L66" i="2"/>
  <c r="L136" i="2" s="1"/>
  <c r="L25" i="2"/>
  <c r="M25" i="2" s="1"/>
  <c r="N25" i="2" s="1"/>
  <c r="O25" i="2" s="1"/>
  <c r="P25" i="2" s="1"/>
  <c r="Q25" i="2" s="1"/>
  <c r="R25" i="2" s="1"/>
  <c r="S25" i="2" s="1"/>
  <c r="T25" i="2" s="1"/>
  <c r="U25" i="2" s="1"/>
  <c r="J25" i="2"/>
  <c r="I25" i="2" s="1"/>
  <c r="H25" i="2" s="1"/>
  <c r="G25" i="2" s="1"/>
  <c r="F25" i="2" s="1"/>
  <c r="E25" i="2" s="1"/>
  <c r="L24" i="2"/>
  <c r="M24" i="2" s="1"/>
  <c r="N24" i="2" s="1"/>
  <c r="O24" i="2" s="1"/>
  <c r="P24" i="2" s="1"/>
  <c r="Q24" i="2" s="1"/>
  <c r="R24" i="2" s="1"/>
  <c r="S24" i="2" s="1"/>
  <c r="T24" i="2" s="1"/>
  <c r="U24" i="2" s="1"/>
  <c r="F24" i="2"/>
  <c r="G24" i="2" s="1"/>
  <c r="H24" i="2" s="1"/>
  <c r="I24" i="2" s="1"/>
  <c r="J24" i="2" s="1"/>
  <c r="L113" i="2"/>
  <c r="P16" i="2"/>
  <c r="H16" i="2"/>
  <c r="F118" i="2" s="1"/>
  <c r="E118" i="2" s="1"/>
  <c r="D118" i="2" s="1"/>
  <c r="J12" i="2"/>
  <c r="N12" i="2" s="1"/>
  <c r="N10" i="2"/>
  <c r="L61" i="2" l="1"/>
  <c r="M61" i="2" s="1"/>
  <c r="N61" i="2" s="1"/>
  <c r="O61" i="2" s="1"/>
  <c r="D21" i="2"/>
  <c r="D113" i="2" s="1"/>
  <c r="P61" i="2"/>
  <c r="Q61" i="2" s="1"/>
  <c r="R61" i="2" s="1"/>
  <c r="S61" i="2" s="1"/>
  <c r="T61" i="2" s="1"/>
  <c r="O59" i="2"/>
  <c r="O134" i="2" s="1"/>
  <c r="O46" i="2"/>
  <c r="P46" i="2" s="1"/>
  <c r="Q46" i="2" s="1"/>
  <c r="R46" i="2" s="1"/>
  <c r="S46" i="2" s="1"/>
  <c r="T46" i="2" s="1"/>
  <c r="U46" i="2" s="1"/>
  <c r="U44" i="2" s="1"/>
  <c r="N44" i="2"/>
  <c r="F77" i="2"/>
  <c r="D104" i="2"/>
  <c r="F73" i="2"/>
  <c r="F9" i="4"/>
  <c r="F13" i="4" s="1"/>
  <c r="F19" i="4" s="1"/>
  <c r="I73" i="2"/>
  <c r="I77" i="2"/>
  <c r="J73" i="2"/>
  <c r="E77" i="2"/>
  <c r="E73" i="2"/>
  <c r="J77" i="2"/>
  <c r="G77" i="2"/>
  <c r="H73" i="2"/>
  <c r="G73" i="2"/>
  <c r="J27" i="2"/>
  <c r="H28" i="2"/>
  <c r="K45" i="2"/>
  <c r="M28" i="2"/>
  <c r="L28" i="2"/>
  <c r="K29" i="2"/>
  <c r="L35" i="2"/>
  <c r="K35" i="2"/>
  <c r="K38" i="2"/>
  <c r="I27" i="2"/>
  <c r="K26" i="2"/>
  <c r="K73" i="2" s="1"/>
  <c r="K31" i="2"/>
  <c r="F28" i="2"/>
  <c r="I41" i="2"/>
  <c r="J28" i="2"/>
  <c r="I28" i="2"/>
  <c r="G41" i="2"/>
  <c r="G28" i="2"/>
  <c r="E41" i="2"/>
  <c r="F41" i="2"/>
  <c r="J50" i="2"/>
  <c r="J41" i="2"/>
  <c r="I50" i="2"/>
  <c r="H50" i="2"/>
  <c r="G50" i="2"/>
  <c r="G55" i="2" s="1"/>
  <c r="F50" i="2"/>
  <c r="H41" i="2"/>
  <c r="E50" i="2"/>
  <c r="E55" i="2" s="1"/>
  <c r="E80" i="2" s="1"/>
  <c r="G44" i="2"/>
  <c r="E68" i="2"/>
  <c r="E137" i="2" s="1"/>
  <c r="M66" i="2"/>
  <c r="I44" i="2"/>
  <c r="J72" i="2"/>
  <c r="J132" i="2" s="1"/>
  <c r="E133" i="2"/>
  <c r="G27" i="2"/>
  <c r="F68" i="2"/>
  <c r="F83" i="2" s="1"/>
  <c r="E66" i="2"/>
  <c r="E136" i="2" s="1"/>
  <c r="F66" i="2"/>
  <c r="F136" i="2" s="1"/>
  <c r="F20" i="4"/>
  <c r="F27" i="2"/>
  <c r="H66" i="2"/>
  <c r="H136" i="2" s="1"/>
  <c r="H129" i="2"/>
  <c r="I129" i="2"/>
  <c r="H27" i="2"/>
  <c r="G72" i="2"/>
  <c r="G132" i="2" s="1"/>
  <c r="S20" i="1"/>
  <c r="S22" i="1" s="1"/>
  <c r="S24" i="1" s="1"/>
  <c r="S25" i="1" s="1"/>
  <c r="S16" i="1"/>
  <c r="F10" i="1"/>
  <c r="E24" i="1"/>
  <c r="E25" i="1" s="1"/>
  <c r="G32" i="1"/>
  <c r="H48" i="1"/>
  <c r="H13" i="1"/>
  <c r="I50" i="1"/>
  <c r="M41" i="1"/>
  <c r="I44" i="1"/>
  <c r="H44" i="1"/>
  <c r="I33" i="1"/>
  <c r="H34" i="1"/>
  <c r="F47" i="1"/>
  <c r="F20" i="1"/>
  <c r="F22" i="1" s="1"/>
  <c r="F24" i="1" s="1"/>
  <c r="H33" i="1"/>
  <c r="G34" i="1"/>
  <c r="G35" i="1"/>
  <c r="J4" i="1"/>
  <c r="D32" i="1"/>
  <c r="G33" i="1"/>
  <c r="J5" i="1"/>
  <c r="J6" i="1" s="1"/>
  <c r="I34" i="1"/>
  <c r="G5" i="1"/>
  <c r="G6" i="1" s="1"/>
  <c r="C32" i="1"/>
  <c r="E34" i="1"/>
  <c r="F49" i="1"/>
  <c r="J49" i="1" s="1"/>
  <c r="J19" i="1" s="1"/>
  <c r="D34" i="1"/>
  <c r="J8" i="1"/>
  <c r="J10" i="1" s="1"/>
  <c r="I32" i="1"/>
  <c r="D33" i="1"/>
  <c r="C34" i="1"/>
  <c r="H32" i="1"/>
  <c r="C33" i="1"/>
  <c r="N52" i="1"/>
  <c r="R52" i="1"/>
  <c r="Q52" i="1"/>
  <c r="P52" i="1"/>
  <c r="O52" i="1"/>
  <c r="O37" i="1"/>
  <c r="O41" i="1" s="1"/>
  <c r="N37" i="1"/>
  <c r="N41" i="1" s="1"/>
  <c r="P50" i="1"/>
  <c r="N50" i="1"/>
  <c r="R48" i="1"/>
  <c r="R50" i="1"/>
  <c r="O48" i="1"/>
  <c r="O44" i="1"/>
  <c r="P48" i="1"/>
  <c r="M43" i="1"/>
  <c r="N44" i="1" s="1"/>
  <c r="Q48" i="1"/>
  <c r="O50" i="1"/>
  <c r="Q50" i="1"/>
  <c r="N48" i="1"/>
  <c r="M32" i="1"/>
  <c r="O6" i="1"/>
  <c r="M29" i="1"/>
  <c r="M22" i="1"/>
  <c r="M33" i="1" s="1"/>
  <c r="O24" i="1"/>
  <c r="O33" i="1"/>
  <c r="N33" i="1"/>
  <c r="N24" i="1"/>
  <c r="O29" i="1"/>
  <c r="O16" i="1"/>
  <c r="O45" i="1" s="1"/>
  <c r="O30" i="1"/>
  <c r="O28" i="1"/>
  <c r="O31" i="1"/>
  <c r="N29" i="1"/>
  <c r="N32" i="1"/>
  <c r="N30" i="1"/>
  <c r="N28" i="1"/>
  <c r="N31" i="1"/>
  <c r="N16" i="1"/>
  <c r="N45" i="1" s="1"/>
  <c r="N46" i="1" s="1"/>
  <c r="M31" i="1"/>
  <c r="P6" i="1"/>
  <c r="O32" i="1"/>
  <c r="M30" i="1"/>
  <c r="I72" i="2"/>
  <c r="I132" i="2" s="1"/>
  <c r="H139" i="2"/>
  <c r="I131" i="2"/>
  <c r="I138" i="2" s="1"/>
  <c r="G133" i="2"/>
  <c r="I135" i="2"/>
  <c r="I66" i="2"/>
  <c r="I136" i="2" s="1"/>
  <c r="I139" i="2"/>
  <c r="I35" i="2"/>
  <c r="G68" i="2"/>
  <c r="F140" i="2"/>
  <c r="J133" i="2"/>
  <c r="J66" i="2"/>
  <c r="J136" i="2" s="1"/>
  <c r="J129" i="2"/>
  <c r="J68" i="2"/>
  <c r="F129" i="2"/>
  <c r="F131" i="2"/>
  <c r="F138" i="2" s="1"/>
  <c r="F72" i="2"/>
  <c r="F132" i="2" s="1"/>
  <c r="H35" i="2"/>
  <c r="G135" i="2"/>
  <c r="G66" i="2"/>
  <c r="G136" i="2" s="1"/>
  <c r="F44" i="2"/>
  <c r="I133" i="2"/>
  <c r="I68" i="2"/>
  <c r="F35" i="2"/>
  <c r="H44" i="2"/>
  <c r="G35" i="2"/>
  <c r="I140" i="2"/>
  <c r="F133" i="2"/>
  <c r="E131" i="2"/>
  <c r="E138" i="2" s="1"/>
  <c r="E129" i="2"/>
  <c r="G118" i="2"/>
  <c r="H118" i="2" s="1"/>
  <c r="F139" i="2"/>
  <c r="H68" i="2"/>
  <c r="G129" i="2"/>
  <c r="E72" i="2"/>
  <c r="E132" i="2" s="1"/>
  <c r="H72" i="2"/>
  <c r="H132" i="2" s="1"/>
  <c r="M118" i="2"/>
  <c r="L118" i="2" s="1"/>
  <c r="K27" i="2" l="1"/>
  <c r="K77" i="2"/>
  <c r="L26" i="2"/>
  <c r="M26" i="2" s="1"/>
  <c r="E83" i="2"/>
  <c r="E84" i="2" s="1"/>
  <c r="E142" i="2"/>
  <c r="F137" i="2"/>
  <c r="F142" i="2" s="1"/>
  <c r="H51" i="2"/>
  <c r="H56" i="2" s="1"/>
  <c r="H128" i="2" s="1"/>
  <c r="H55" i="2"/>
  <c r="H76" i="2" s="1"/>
  <c r="P59" i="2"/>
  <c r="P134" i="2" s="1"/>
  <c r="E59" i="2"/>
  <c r="E134" i="2" s="1"/>
  <c r="E76" i="2"/>
  <c r="E127" i="2"/>
  <c r="E130" i="2" s="1"/>
  <c r="M136" i="2"/>
  <c r="N66" i="2"/>
  <c r="G80" i="2"/>
  <c r="G59" i="2"/>
  <c r="G134" i="2" s="1"/>
  <c r="E71" i="2"/>
  <c r="F33" i="1"/>
  <c r="J33" i="1" s="1"/>
  <c r="F25" i="1"/>
  <c r="M24" i="1"/>
  <c r="M25" i="1" s="1"/>
  <c r="O46" i="1"/>
  <c r="N34" i="1"/>
  <c r="N25" i="1"/>
  <c r="O34" i="1"/>
  <c r="O25" i="1"/>
  <c r="K44" i="2"/>
  <c r="F55" i="2"/>
  <c r="F84" i="2" s="1"/>
  <c r="F51" i="2"/>
  <c r="F56" i="2" s="1"/>
  <c r="F128" i="2" s="1"/>
  <c r="I137" i="2"/>
  <c r="I142" i="2" s="1"/>
  <c r="I83" i="2"/>
  <c r="J137" i="2"/>
  <c r="J142" i="2" s="1"/>
  <c r="J83" i="2"/>
  <c r="O44" i="2"/>
  <c r="G51" i="2"/>
  <c r="G56" i="2" s="1"/>
  <c r="G128" i="2" s="1"/>
  <c r="H137" i="2"/>
  <c r="H142" i="2" s="1"/>
  <c r="H83" i="2"/>
  <c r="G127" i="2"/>
  <c r="G130" i="2" s="1"/>
  <c r="G71" i="2"/>
  <c r="G76" i="2"/>
  <c r="G137" i="2"/>
  <c r="G142" i="2" s="1"/>
  <c r="G83" i="2"/>
  <c r="G84" i="2" s="1"/>
  <c r="N28" i="2"/>
  <c r="N26" i="2" l="1"/>
  <c r="H80" i="2"/>
  <c r="H84" i="2"/>
  <c r="H59" i="2"/>
  <c r="H134" i="2" s="1"/>
  <c r="H71" i="2"/>
  <c r="H127" i="2"/>
  <c r="H130" i="2" s="1"/>
  <c r="H81" i="2"/>
  <c r="N136" i="2"/>
  <c r="O66" i="2"/>
  <c r="Q59" i="2"/>
  <c r="Q134" i="2" s="1"/>
  <c r="M34" i="1"/>
  <c r="J35" i="2"/>
  <c r="K34" i="2"/>
  <c r="P44" i="2"/>
  <c r="M44" i="2"/>
  <c r="L44" i="2"/>
  <c r="O28" i="2"/>
  <c r="F127" i="2"/>
  <c r="F130" i="2" s="1"/>
  <c r="F59" i="2"/>
  <c r="F134" i="2" s="1"/>
  <c r="F76" i="2"/>
  <c r="F71" i="2"/>
  <c r="F81" i="2"/>
  <c r="F80" i="2"/>
  <c r="G81" i="2"/>
  <c r="K43" i="2"/>
  <c r="J44" i="2"/>
  <c r="O26" i="2" l="1"/>
  <c r="R59" i="2"/>
  <c r="R134" i="2" s="1"/>
  <c r="O136" i="2"/>
  <c r="P66" i="2"/>
  <c r="L34" i="2"/>
  <c r="P28" i="2"/>
  <c r="L43" i="2"/>
  <c r="Q44" i="2"/>
  <c r="R44" i="2"/>
  <c r="J51" i="2"/>
  <c r="J56" i="2" s="1"/>
  <c r="J128" i="2" s="1"/>
  <c r="J55" i="2"/>
  <c r="I55" i="2"/>
  <c r="I51" i="2"/>
  <c r="I56" i="2" s="1"/>
  <c r="I128" i="2" s="1"/>
  <c r="P26" i="2" l="1"/>
  <c r="M43" i="2"/>
  <c r="K50" i="2"/>
  <c r="K55" i="2" s="1"/>
  <c r="K71" i="2" s="1"/>
  <c r="K41" i="2"/>
  <c r="Q66" i="2"/>
  <c r="P136" i="2"/>
  <c r="S59" i="2"/>
  <c r="S134" i="2" s="1"/>
  <c r="I127" i="2"/>
  <c r="I130" i="2" s="1"/>
  <c r="I81" i="2"/>
  <c r="I80" i="2"/>
  <c r="I71" i="2"/>
  <c r="I76" i="2"/>
  <c r="I59" i="2"/>
  <c r="I134" i="2" s="1"/>
  <c r="I84" i="2"/>
  <c r="J80" i="2"/>
  <c r="J127" i="2"/>
  <c r="J130" i="2" s="1"/>
  <c r="J76" i="2"/>
  <c r="J71" i="2"/>
  <c r="J59" i="2"/>
  <c r="J134" i="2" s="1"/>
  <c r="J81" i="2"/>
  <c r="J84" i="2"/>
  <c r="Q28" i="2"/>
  <c r="K80" i="2" l="1"/>
  <c r="K76" i="2"/>
  <c r="Q26" i="2"/>
  <c r="N43" i="2"/>
  <c r="U59" i="2"/>
  <c r="U134" i="2" s="1"/>
  <c r="T59" i="2"/>
  <c r="T134" i="2" s="1"/>
  <c r="R66" i="2"/>
  <c r="Q136" i="2"/>
  <c r="K51" i="2"/>
  <c r="K56" i="2" s="1"/>
  <c r="K128" i="2" s="1"/>
  <c r="S44" i="2"/>
  <c r="T44" i="2"/>
  <c r="K139" i="2"/>
  <c r="R28" i="2"/>
  <c r="K62" i="2"/>
  <c r="L62" i="2" s="1"/>
  <c r="M62" i="2" s="1"/>
  <c r="N62" i="2" s="1"/>
  <c r="O62" i="2" s="1"/>
  <c r="P62" i="2" s="1"/>
  <c r="Q62" i="2" s="1"/>
  <c r="R62" i="2" s="1"/>
  <c r="S62" i="2" s="1"/>
  <c r="T62" i="2" s="1"/>
  <c r="K59" i="2"/>
  <c r="K134" i="2" s="1"/>
  <c r="K60" i="2"/>
  <c r="L60" i="2" s="1"/>
  <c r="M60" i="2" s="1"/>
  <c r="N60" i="2" s="1"/>
  <c r="O60" i="2" s="1"/>
  <c r="P60" i="2" s="1"/>
  <c r="Q60" i="2" s="1"/>
  <c r="R60" i="2" s="1"/>
  <c r="S60" i="2" s="1"/>
  <c r="T60" i="2" s="1"/>
  <c r="K127" i="2"/>
  <c r="L80" i="2" l="1"/>
  <c r="M80" i="2" s="1"/>
  <c r="L71" i="2"/>
  <c r="M71" i="2" s="1"/>
  <c r="N71" i="2" s="1"/>
  <c r="R26" i="2"/>
  <c r="O43" i="2"/>
  <c r="R136" i="2"/>
  <c r="S66" i="2"/>
  <c r="K58" i="2"/>
  <c r="K133" i="2" s="1"/>
  <c r="K140" i="2"/>
  <c r="K81" i="2"/>
  <c r="L76" i="2"/>
  <c r="K131" i="2"/>
  <c r="K138" i="2" s="1"/>
  <c r="K72" i="2"/>
  <c r="K132" i="2" s="1"/>
  <c r="L59" i="2"/>
  <c r="L134" i="2" s="1"/>
  <c r="S28" i="2"/>
  <c r="N80" i="2" l="1"/>
  <c r="S26" i="2"/>
  <c r="P43" i="2"/>
  <c r="T66" i="2"/>
  <c r="S136" i="2"/>
  <c r="K129" i="2"/>
  <c r="K130" i="2" s="1"/>
  <c r="M76" i="2"/>
  <c r="T28" i="2"/>
  <c r="M59" i="2"/>
  <c r="M134" i="2" s="1"/>
  <c r="N59" i="2"/>
  <c r="N134" i="2" s="1"/>
  <c r="O71" i="2"/>
  <c r="O80" i="2" l="1"/>
  <c r="P80" i="2" s="1"/>
  <c r="T26" i="2"/>
  <c r="U26" i="2" s="1"/>
  <c r="Q43" i="2"/>
  <c r="T136" i="2"/>
  <c r="U66" i="2"/>
  <c r="U136" i="2" s="1"/>
  <c r="P71" i="2"/>
  <c r="Q71" i="2" s="1"/>
  <c r="F12" i="4"/>
  <c r="F14" i="4" s="1"/>
  <c r="F22" i="4" s="1"/>
  <c r="L15" i="2" s="1"/>
  <c r="K136" i="2"/>
  <c r="K65" i="2"/>
  <c r="N76" i="2"/>
  <c r="Q80" i="2" l="1"/>
  <c r="R80" i="2" s="1"/>
  <c r="R43" i="2"/>
  <c r="R71" i="2"/>
  <c r="S71" i="2" s="1"/>
  <c r="T71" i="2" s="1"/>
  <c r="H15" i="2"/>
  <c r="P15" i="2"/>
  <c r="D20" i="2"/>
  <c r="K135" i="2"/>
  <c r="K68" i="2"/>
  <c r="O76" i="2"/>
  <c r="C121" i="2" l="1"/>
  <c r="K121" i="2"/>
  <c r="K122" i="2" s="1"/>
  <c r="K123" i="2" s="1"/>
  <c r="S80" i="2"/>
  <c r="T80" i="2" s="1"/>
  <c r="U80" i="2" s="1"/>
  <c r="S43" i="2"/>
  <c r="U71" i="2"/>
  <c r="K137" i="2"/>
  <c r="K142" i="2" s="1"/>
  <c r="K83" i="2"/>
  <c r="C122" i="2"/>
  <c r="C123" i="2" s="1"/>
  <c r="C120" i="2"/>
  <c r="C119" i="2" s="1"/>
  <c r="L114" i="2"/>
  <c r="K94" i="2"/>
  <c r="T20" i="2" s="1"/>
  <c r="D114" i="2"/>
  <c r="P76" i="2"/>
  <c r="K120" i="2" l="1"/>
  <c r="K119" i="2" s="1"/>
  <c r="T43" i="2"/>
  <c r="K84" i="2"/>
  <c r="K95" i="2"/>
  <c r="T94" i="2"/>
  <c r="L94" i="2" s="1"/>
  <c r="M94" i="2" s="1"/>
  <c r="N94" i="2" s="1"/>
  <c r="O94" i="2" s="1"/>
  <c r="P94" i="2" s="1"/>
  <c r="Q94" i="2" s="1"/>
  <c r="R94" i="2" s="1"/>
  <c r="S94" i="2" s="1"/>
  <c r="Q76" i="2"/>
  <c r="R76" i="2" s="1"/>
  <c r="U43" i="2" l="1"/>
  <c r="S76" i="2"/>
  <c r="T76" i="2" s="1"/>
  <c r="L95" i="2"/>
  <c r="U76" i="2" l="1"/>
  <c r="M95" i="2"/>
  <c r="N95" i="2" l="1"/>
  <c r="O95" i="2" l="1"/>
  <c r="P95" i="2" l="1"/>
  <c r="Q95" i="2" l="1"/>
  <c r="R95" i="2" l="1"/>
  <c r="S95" i="2" l="1"/>
  <c r="T95" i="2" l="1"/>
  <c r="T2" i="1" l="1"/>
  <c r="U2" i="1" s="1"/>
  <c r="V2" i="1" s="1"/>
  <c r="W2" i="1" s="1"/>
  <c r="X2" i="1" s="1"/>
  <c r="Y2" i="1" s="1"/>
  <c r="Z2" i="1" s="1"/>
  <c r="AA2" i="1" s="1"/>
  <c r="AB2" i="1" s="1"/>
  <c r="Q10" i="1"/>
  <c r="Q15" i="1" s="1"/>
  <c r="Q43" i="1" s="1"/>
  <c r="R10" i="1"/>
  <c r="R15" i="1" s="1"/>
  <c r="P10" i="1"/>
  <c r="P15" i="1" s="1"/>
  <c r="R9" i="1"/>
  <c r="Q9" i="1"/>
  <c r="R13" i="1"/>
  <c r="Q13" i="1"/>
  <c r="Q4" i="1"/>
  <c r="R4" i="1"/>
  <c r="R5" i="1"/>
  <c r="Q5" i="1"/>
  <c r="Q6" i="1" s="1"/>
  <c r="R43" i="1" l="1"/>
  <c r="R44" i="1" s="1"/>
  <c r="F15" i="1"/>
  <c r="P28" i="1"/>
  <c r="P43" i="1"/>
  <c r="P44" i="1" s="1"/>
  <c r="R6" i="1"/>
  <c r="F12" i="1" l="1"/>
  <c r="J12" i="1" s="1"/>
  <c r="J15" i="1" s="1"/>
  <c r="F43" i="1"/>
  <c r="F29" i="1"/>
  <c r="F16" i="1"/>
  <c r="F45" i="1" s="1"/>
  <c r="J45" i="1" s="1"/>
  <c r="J16" i="1" s="1"/>
  <c r="F31" i="1"/>
  <c r="J31" i="1" s="1"/>
  <c r="F30" i="1"/>
  <c r="J30" i="1" s="1"/>
  <c r="F34" i="1"/>
  <c r="F32" i="1"/>
  <c r="Q44" i="1"/>
  <c r="Q31" i="1"/>
  <c r="R31" i="1"/>
  <c r="Q30" i="1"/>
  <c r="R30" i="1"/>
  <c r="P31" i="1"/>
  <c r="P30" i="1"/>
  <c r="Q29" i="1"/>
  <c r="R29" i="1"/>
  <c r="P29" i="1"/>
  <c r="R28" i="1"/>
  <c r="Q28" i="1"/>
  <c r="P20" i="1"/>
  <c r="Q20" i="1"/>
  <c r="R20" i="1"/>
  <c r="P16" i="1"/>
  <c r="P45" i="1" s="1"/>
  <c r="P46" i="1" s="1"/>
  <c r="Q16" i="1"/>
  <c r="Q45" i="1" s="1"/>
  <c r="R16" i="1"/>
  <c r="R45" i="1" s="1"/>
  <c r="Q2" i="1"/>
  <c r="P2" i="1" s="1"/>
  <c r="O2" i="1" s="1"/>
  <c r="N2" i="1" s="1"/>
  <c r="M2" i="1" s="1"/>
  <c r="J43" i="1" l="1"/>
  <c r="J44" i="1" s="1"/>
  <c r="J18" i="1"/>
  <c r="J47" i="1" s="1"/>
  <c r="J48" i="1" s="1"/>
  <c r="J28" i="1"/>
  <c r="R22" i="1"/>
  <c r="R24" i="1" s="1"/>
  <c r="R34" i="1" s="1"/>
  <c r="R37" i="1"/>
  <c r="R41" i="1" s="1"/>
  <c r="Q22" i="1"/>
  <c r="Q24" i="1" s="1"/>
  <c r="Q34" i="1" s="1"/>
  <c r="Q37" i="1"/>
  <c r="Q41" i="1" s="1"/>
  <c r="P22" i="1"/>
  <c r="P24" i="1" s="1"/>
  <c r="P34" i="1" s="1"/>
  <c r="P37" i="1"/>
  <c r="P41" i="1" s="1"/>
  <c r="Q46" i="1"/>
  <c r="R46" i="1"/>
  <c r="Q32" i="1"/>
  <c r="R32" i="1"/>
  <c r="P32" i="1"/>
  <c r="R33" i="1" l="1"/>
  <c r="P33" i="1"/>
  <c r="Q33" i="1"/>
  <c r="Q25" i="1"/>
  <c r="R25" i="1"/>
  <c r="P25" i="1"/>
  <c r="J17" i="1"/>
  <c r="J29" i="1" s="1"/>
  <c r="J20" i="1" l="1"/>
  <c r="J22" i="1" s="1"/>
  <c r="J23" i="1" s="1"/>
  <c r="J24" i="1" s="1"/>
  <c r="J32" i="1"/>
  <c r="J25" i="1" l="1"/>
  <c r="J34" i="1"/>
  <c r="R27" i="2"/>
  <c r="N27" i="2"/>
  <c r="L41" i="2"/>
  <c r="U27" i="2"/>
  <c r="T27" i="2"/>
  <c r="Q27" i="2"/>
  <c r="P27" i="2"/>
  <c r="O27" i="2"/>
  <c r="S27" i="2"/>
  <c r="M27" i="2"/>
  <c r="L50" i="2"/>
  <c r="L27" i="2"/>
  <c r="L51" i="2" l="1"/>
  <c r="L56" i="2" s="1"/>
  <c r="L128" i="2" s="1"/>
  <c r="L55" i="2"/>
  <c r="L79" i="2" s="1"/>
  <c r="L140" i="2" s="1"/>
  <c r="L81" i="2" l="1"/>
  <c r="L70" i="2"/>
  <c r="L75" i="2"/>
  <c r="L127" i="2"/>
  <c r="L58" i="2"/>
  <c r="L133" i="2" s="1"/>
  <c r="L131" i="2" l="1"/>
  <c r="L138" i="2" s="1"/>
  <c r="L73" i="2"/>
  <c r="L139" i="2"/>
  <c r="L77" i="2"/>
  <c r="L72" i="2"/>
  <c r="L132" i="2" s="1"/>
  <c r="L129" i="2"/>
  <c r="L130" i="2" s="1"/>
  <c r="L65" i="2"/>
  <c r="L135" i="2" s="1"/>
  <c r="L68" i="2" l="1"/>
  <c r="L137" i="2" l="1"/>
  <c r="L142" i="2" s="1"/>
  <c r="L83" i="2"/>
  <c r="L84" i="2" l="1"/>
  <c r="K89" i="2"/>
  <c r="K97" i="2" s="1"/>
  <c r="M35" i="2" l="1"/>
  <c r="M34" i="2" s="1"/>
  <c r="M41" i="2" s="1"/>
  <c r="M50" i="2" l="1"/>
  <c r="M55" i="2" l="1"/>
  <c r="M51" i="2"/>
  <c r="M56" i="2" s="1"/>
  <c r="M128" i="2" s="1"/>
  <c r="M58" i="2" l="1"/>
  <c r="M79" i="2"/>
  <c r="M70" i="2"/>
  <c r="M73" i="2" s="1"/>
  <c r="M127" i="2"/>
  <c r="M75" i="2"/>
  <c r="M139" i="2" l="1"/>
  <c r="M77" i="2"/>
  <c r="M129" i="2"/>
  <c r="M130" i="2" s="1"/>
  <c r="M72" i="2"/>
  <c r="M132" i="2" s="1"/>
  <c r="M131" i="2"/>
  <c r="M138" i="2" s="1"/>
  <c r="M140" i="2"/>
  <c r="M81" i="2"/>
  <c r="M65" i="2"/>
  <c r="M135" i="2" s="1"/>
  <c r="M133" i="2"/>
  <c r="M68" i="2" l="1"/>
  <c r="M137" i="2" s="1"/>
  <c r="M142" i="2" s="1"/>
  <c r="M83" i="2" l="1"/>
  <c r="L89" i="2" s="1"/>
  <c r="M84" i="2" l="1"/>
  <c r="L90" i="2"/>
  <c r="L97" i="2"/>
  <c r="O35" i="2"/>
  <c r="U35" i="2"/>
  <c r="T35" i="2"/>
  <c r="S35" i="2"/>
  <c r="R35" i="2"/>
  <c r="Q35" i="2"/>
  <c r="P35" i="2"/>
  <c r="N35" i="2"/>
  <c r="N34" i="2" s="1"/>
  <c r="N50" i="2" s="1"/>
  <c r="N55" i="2" l="1"/>
  <c r="N51" i="2"/>
  <c r="N56" i="2" s="1"/>
  <c r="N128" i="2" s="1"/>
  <c r="N41" i="2"/>
  <c r="O34" i="2"/>
  <c r="O41" i="2" l="1"/>
  <c r="O50" i="2"/>
  <c r="P34" i="2"/>
  <c r="N127" i="2"/>
  <c r="N58" i="2"/>
  <c r="N70" i="2"/>
  <c r="N73" i="2" s="1"/>
  <c r="N75" i="2"/>
  <c r="N79" i="2"/>
  <c r="N139" i="2" l="1"/>
  <c r="N77" i="2"/>
  <c r="N81" i="2"/>
  <c r="N140" i="2"/>
  <c r="O55" i="2"/>
  <c r="O51" i="2"/>
  <c r="O56" i="2" s="1"/>
  <c r="O128" i="2" s="1"/>
  <c r="N131" i="2"/>
  <c r="N138" i="2" s="1"/>
  <c r="N129" i="2"/>
  <c r="N130" i="2" s="1"/>
  <c r="N72" i="2"/>
  <c r="N132" i="2" s="1"/>
  <c r="N133" i="2"/>
  <c r="N65" i="2"/>
  <c r="N135" i="2" s="1"/>
  <c r="P50" i="2"/>
  <c r="Q34" i="2"/>
  <c r="P41" i="2"/>
  <c r="N68" i="2" l="1"/>
  <c r="N137" i="2" s="1"/>
  <c r="N142" i="2" s="1"/>
  <c r="P55" i="2"/>
  <c r="P51" i="2"/>
  <c r="P56" i="2" s="1"/>
  <c r="P128" i="2" s="1"/>
  <c r="R34" i="2"/>
  <c r="Q41" i="2"/>
  <c r="Q50" i="2"/>
  <c r="O79" i="2"/>
  <c r="O75" i="2"/>
  <c r="O70" i="2"/>
  <c r="O73" i="2" s="1"/>
  <c r="O58" i="2"/>
  <c r="O127" i="2"/>
  <c r="O139" i="2" l="1"/>
  <c r="O77" i="2"/>
  <c r="N83" i="2"/>
  <c r="M89" i="2" s="1"/>
  <c r="O129" i="2"/>
  <c r="O130" i="2" s="1"/>
  <c r="O131" i="2"/>
  <c r="O138" i="2" s="1"/>
  <c r="O72" i="2"/>
  <c r="O132" i="2" s="1"/>
  <c r="O81" i="2"/>
  <c r="O140" i="2"/>
  <c r="Q51" i="2"/>
  <c r="Q56" i="2" s="1"/>
  <c r="Q128" i="2" s="1"/>
  <c r="Q55" i="2"/>
  <c r="R50" i="2"/>
  <c r="R41" i="2"/>
  <c r="S34" i="2"/>
  <c r="O65" i="2"/>
  <c r="O135" i="2" s="1"/>
  <c r="O133" i="2"/>
  <c r="P75" i="2"/>
  <c r="P127" i="2"/>
  <c r="P58" i="2"/>
  <c r="P79" i="2"/>
  <c r="P70" i="2"/>
  <c r="P73" i="2" s="1"/>
  <c r="P139" i="2" l="1"/>
  <c r="P77" i="2"/>
  <c r="N84" i="2"/>
  <c r="O68" i="2"/>
  <c r="O83" i="2" s="1"/>
  <c r="P131" i="2"/>
  <c r="P138" i="2" s="1"/>
  <c r="P72" i="2"/>
  <c r="P132" i="2" s="1"/>
  <c r="P129" i="2"/>
  <c r="P130" i="2" s="1"/>
  <c r="P133" i="2"/>
  <c r="P65" i="2"/>
  <c r="P135" i="2" s="1"/>
  <c r="S50" i="2"/>
  <c r="S41" i="2"/>
  <c r="T34" i="2"/>
  <c r="R55" i="2"/>
  <c r="R51" i="2"/>
  <c r="R56" i="2" s="1"/>
  <c r="R128" i="2" s="1"/>
  <c r="Q75" i="2"/>
  <c r="Q58" i="2"/>
  <c r="Q127" i="2"/>
  <c r="Q70" i="2"/>
  <c r="Q73" i="2" s="1"/>
  <c r="Q79" i="2"/>
  <c r="P140" i="2"/>
  <c r="P81" i="2"/>
  <c r="M97" i="2"/>
  <c r="M90" i="2"/>
  <c r="Q139" i="2" l="1"/>
  <c r="Q77" i="2"/>
  <c r="O137" i="2"/>
  <c r="O142" i="2" s="1"/>
  <c r="P68" i="2"/>
  <c r="Q133" i="2"/>
  <c r="Q65" i="2"/>
  <c r="Q135" i="2" s="1"/>
  <c r="R58" i="2"/>
  <c r="R75" i="2"/>
  <c r="R127" i="2"/>
  <c r="R70" i="2"/>
  <c r="R73" i="2" s="1"/>
  <c r="R79" i="2"/>
  <c r="O84" i="2"/>
  <c r="N89" i="2"/>
  <c r="S51" i="2"/>
  <c r="S56" i="2" s="1"/>
  <c r="S128" i="2" s="1"/>
  <c r="S55" i="2"/>
  <c r="Q81" i="2"/>
  <c r="Q140" i="2"/>
  <c r="Q131" i="2"/>
  <c r="Q138" i="2" s="1"/>
  <c r="Q129" i="2"/>
  <c r="Q130" i="2" s="1"/>
  <c r="Q72" i="2"/>
  <c r="Q132" i="2" s="1"/>
  <c r="T41" i="2"/>
  <c r="U34" i="2"/>
  <c r="T50" i="2"/>
  <c r="R139" i="2" l="1"/>
  <c r="R77" i="2"/>
  <c r="R65" i="2"/>
  <c r="R135" i="2" s="1"/>
  <c r="R133" i="2"/>
  <c r="R131" i="2"/>
  <c r="R138" i="2" s="1"/>
  <c r="R72" i="2"/>
  <c r="R132" i="2" s="1"/>
  <c r="R129" i="2"/>
  <c r="R130" i="2" s="1"/>
  <c r="S79" i="2"/>
  <c r="S70" i="2"/>
  <c r="S73" i="2" s="1"/>
  <c r="S127" i="2"/>
  <c r="S75" i="2"/>
  <c r="S58" i="2"/>
  <c r="U41" i="2"/>
  <c r="U50" i="2"/>
  <c r="N90" i="2"/>
  <c r="N97" i="2"/>
  <c r="Q68" i="2"/>
  <c r="T55" i="2"/>
  <c r="T51" i="2"/>
  <c r="T56" i="2" s="1"/>
  <c r="T128" i="2" s="1"/>
  <c r="R81" i="2"/>
  <c r="R140" i="2"/>
  <c r="P137" i="2"/>
  <c r="P142" i="2" s="1"/>
  <c r="P83" i="2"/>
  <c r="S139" i="2" l="1"/>
  <c r="S77" i="2"/>
  <c r="R68" i="2"/>
  <c r="R137" i="2" s="1"/>
  <c r="R142" i="2" s="1"/>
  <c r="S131" i="2"/>
  <c r="S138" i="2" s="1"/>
  <c r="S72" i="2"/>
  <c r="S132" i="2" s="1"/>
  <c r="S129" i="2"/>
  <c r="S130" i="2" s="1"/>
  <c r="P84" i="2"/>
  <c r="O89" i="2"/>
  <c r="U55" i="2"/>
  <c r="U51" i="2"/>
  <c r="U56" i="2" s="1"/>
  <c r="U128" i="2" s="1"/>
  <c r="Q83" i="2"/>
  <c r="P89" i="2" s="1"/>
  <c r="Q137" i="2"/>
  <c r="Q142" i="2" s="1"/>
  <c r="S81" i="2"/>
  <c r="S140" i="2"/>
  <c r="S133" i="2"/>
  <c r="S65" i="2"/>
  <c r="S135" i="2" s="1"/>
  <c r="T127" i="2"/>
  <c r="T70" i="2"/>
  <c r="T73" i="2" s="1"/>
  <c r="T79" i="2"/>
  <c r="T75" i="2"/>
  <c r="T58" i="2"/>
  <c r="T92" i="2" l="1"/>
  <c r="T139" i="2"/>
  <c r="T77" i="2"/>
  <c r="R83" i="2"/>
  <c r="R84" i="2" s="1"/>
  <c r="S68" i="2"/>
  <c r="S137" i="2" s="1"/>
  <c r="S142" i="2" s="1"/>
  <c r="T133" i="2"/>
  <c r="T65" i="2"/>
  <c r="T135" i="2" s="1"/>
  <c r="O90" i="2"/>
  <c r="O97" i="2"/>
  <c r="P90" i="2"/>
  <c r="P97" i="2"/>
  <c r="U58" i="2"/>
  <c r="U70" i="2"/>
  <c r="U73" i="2" s="1"/>
  <c r="U127" i="2"/>
  <c r="U75" i="2"/>
  <c r="U79" i="2"/>
  <c r="T140" i="2"/>
  <c r="T81" i="2"/>
  <c r="T131" i="2"/>
  <c r="T138" i="2" s="1"/>
  <c r="T72" i="2"/>
  <c r="T132" i="2" s="1"/>
  <c r="T129" i="2"/>
  <c r="T130" i="2" s="1"/>
  <c r="Q84" i="2"/>
  <c r="U139" i="2" l="1"/>
  <c r="U77" i="2"/>
  <c r="Q89" i="2"/>
  <c r="Q97" i="2" s="1"/>
  <c r="S83" i="2"/>
  <c r="R89" i="2" s="1"/>
  <c r="U131" i="2"/>
  <c r="U138" i="2" s="1"/>
  <c r="U72" i="2"/>
  <c r="U132" i="2" s="1"/>
  <c r="U129" i="2"/>
  <c r="U130" i="2" s="1"/>
  <c r="T68" i="2"/>
  <c r="U81" i="2"/>
  <c r="U140" i="2"/>
  <c r="U133" i="2"/>
  <c r="U65" i="2"/>
  <c r="U135" i="2" s="1"/>
  <c r="Q90" i="2" l="1"/>
  <c r="R90" i="2"/>
  <c r="S84" i="2"/>
  <c r="R97" i="2"/>
  <c r="U68" i="2"/>
  <c r="T137" i="2"/>
  <c r="T142" i="2" s="1"/>
  <c r="T83" i="2"/>
  <c r="T84" i="2" l="1"/>
  <c r="S89" i="2"/>
  <c r="U83" i="2"/>
  <c r="U84" i="2" s="1"/>
  <c r="U137" i="2"/>
  <c r="U142" i="2" s="1"/>
  <c r="S97" i="2" l="1"/>
  <c r="S90" i="2"/>
  <c r="T89" i="2"/>
  <c r="T91" i="2" s="1"/>
  <c r="T93" i="2" l="1"/>
  <c r="T98" i="2" s="1"/>
  <c r="T97" i="2"/>
  <c r="T90" i="2"/>
  <c r="D100" i="2" l="1"/>
  <c r="D106" i="2" s="1"/>
  <c r="D109" i="2" s="1"/>
  <c r="G4" i="2" s="1"/>
  <c r="S4" i="2" s="1"/>
  <c r="K118" i="2" l="1"/>
  <c r="C118" i="2"/>
  <c r="O5" i="2"/>
  <c r="S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<sst xmlns="http://schemas.openxmlformats.org/spreadsheetml/2006/main" count="244" uniqueCount="139">
  <si>
    <t>Net sales</t>
  </si>
  <si>
    <t>COS</t>
  </si>
  <si>
    <t>Gross margin</t>
  </si>
  <si>
    <t>SG&amp;A</t>
  </si>
  <si>
    <t>D&amp;A</t>
  </si>
  <si>
    <t>OpInc</t>
  </si>
  <si>
    <t>Interest, net</t>
  </si>
  <si>
    <t>Pre-tax</t>
  </si>
  <si>
    <t>Taxes</t>
  </si>
  <si>
    <t>Net Earnings</t>
  </si>
  <si>
    <t>Net sales YoY</t>
  </si>
  <si>
    <t>SG&amp;A as % of sales</t>
  </si>
  <si>
    <t>D&amp;A as % of sales</t>
  </si>
  <si>
    <t xml:space="preserve">  D&amp;A per store</t>
  </si>
  <si>
    <t xml:space="preserve">  SG&amp;A per store</t>
  </si>
  <si>
    <t xml:space="preserve">  COS per store</t>
  </si>
  <si>
    <t>Shares</t>
  </si>
  <si>
    <t>EPS</t>
  </si>
  <si>
    <t>EBIT margin</t>
  </si>
  <si>
    <t>Net margin</t>
  </si>
  <si>
    <t>Shares YoY</t>
  </si>
  <si>
    <t>Average ticket size</t>
  </si>
  <si>
    <t>Transaction volume</t>
  </si>
  <si>
    <t># of stores</t>
  </si>
  <si>
    <t xml:space="preserve">  Net adds</t>
  </si>
  <si>
    <t xml:space="preserve">  YoY %</t>
  </si>
  <si>
    <t>Transaction volume (millions)</t>
  </si>
  <si>
    <t xml:space="preserve">  Average volume per store</t>
  </si>
  <si>
    <t>Ticker</t>
  </si>
  <si>
    <t>Implied Share Price</t>
  </si>
  <si>
    <t>Base Case</t>
  </si>
  <si>
    <t>Conservative Case</t>
  </si>
  <si>
    <t>10yr Price Target</t>
  </si>
  <si>
    <t>Date</t>
  </si>
  <si>
    <t>Current Share Price</t>
  </si>
  <si>
    <t>Optimistic Case</t>
  </si>
  <si>
    <t>Implied Upside (Downside)</t>
  </si>
  <si>
    <t>10yr CAGR</t>
  </si>
  <si>
    <t>x</t>
  </si>
  <si>
    <t>Assumptions</t>
  </si>
  <si>
    <t>1 = Conservative Case, 2 = Base / Street Case, 3 = Optimistic Case, 4 = Manual</t>
  </si>
  <si>
    <t>Revenue Build Switches</t>
  </si>
  <si>
    <t>Base / Street Case</t>
  </si>
  <si>
    <t>Financials</t>
  </si>
  <si>
    <t>Cash &amp; Securities</t>
  </si>
  <si>
    <t>Non-operating Assets</t>
  </si>
  <si>
    <t>Minority Interest</t>
  </si>
  <si>
    <t>Pre-tax Cost of Debt</t>
  </si>
  <si>
    <t>Outstanding Diluted Shares</t>
  </si>
  <si>
    <t>EBIT</t>
  </si>
  <si>
    <t>Market Numbers</t>
  </si>
  <si>
    <t>Riskfree Rate</t>
  </si>
  <si>
    <t>Mature Market ERP</t>
  </si>
  <si>
    <t>Beta</t>
  </si>
  <si>
    <t>Terminal Cost of Capital</t>
  </si>
  <si>
    <t>WACC</t>
  </si>
  <si>
    <t>TGR</t>
  </si>
  <si>
    <t>EV/EBITDA</t>
  </si>
  <si>
    <t>Valuation Assumptions</t>
  </si>
  <si>
    <t>Manual</t>
  </si>
  <si>
    <t>Ending</t>
  </si>
  <si>
    <t xml:space="preserve">  % growth</t>
  </si>
  <si>
    <t>Optimstic Case</t>
  </si>
  <si>
    <t>Total Revenue</t>
  </si>
  <si>
    <t>Revenue</t>
  </si>
  <si>
    <t>EBIT (Operating Income)</t>
  </si>
  <si>
    <t xml:space="preserve">  % of sales</t>
  </si>
  <si>
    <t xml:space="preserve">  % of EBIT</t>
  </si>
  <si>
    <t>EBIAT</t>
  </si>
  <si>
    <t xml:space="preserve">  % of CapEx</t>
  </si>
  <si>
    <t>CapEx</t>
  </si>
  <si>
    <t>dNWC</t>
  </si>
  <si>
    <t xml:space="preserve">  % of  change in sales</t>
  </si>
  <si>
    <t xml:space="preserve">Unlevered FCF </t>
  </si>
  <si>
    <t>Projection Period (12/31 YE)</t>
  </si>
  <si>
    <t>Adjusted Unlevered FCF</t>
  </si>
  <si>
    <t>Perpertunity Growth TV</t>
  </si>
  <si>
    <t>EV/EBITDA TV</t>
  </si>
  <si>
    <t>Average TV</t>
  </si>
  <si>
    <t>Discount Factor</t>
  </si>
  <si>
    <t>PV of FCF</t>
  </si>
  <si>
    <t>PV of TV</t>
  </si>
  <si>
    <t>Enterprise Value</t>
  </si>
  <si>
    <t>(+) Cash</t>
  </si>
  <si>
    <t>(+) Non-operating Assets</t>
  </si>
  <si>
    <t>(-) Debt</t>
  </si>
  <si>
    <t>(-) Minority Interest</t>
  </si>
  <si>
    <t xml:space="preserve"> </t>
  </si>
  <si>
    <t>Equity Value</t>
  </si>
  <si>
    <t>Outstanding Diluted Share</t>
  </si>
  <si>
    <t>Sensitivity Analysis</t>
  </si>
  <si>
    <t>TGR Step-up</t>
  </si>
  <si>
    <t>EV/EBITDA Multiple</t>
  </si>
  <si>
    <t>EV/EBITDA Step-up</t>
  </si>
  <si>
    <t>WACC Step-up</t>
  </si>
  <si>
    <t xml:space="preserve">WACC </t>
  </si>
  <si>
    <t>Summary Financials (6/30 FYE)</t>
  </si>
  <si>
    <t>EBITDA</t>
  </si>
  <si>
    <t xml:space="preserve">EBIT </t>
  </si>
  <si>
    <t xml:space="preserve">  (+) D&amp;A</t>
  </si>
  <si>
    <t xml:space="preserve">  (-) CapEx</t>
  </si>
  <si>
    <t xml:space="preserve">  (-) dNWC</t>
  </si>
  <si>
    <t>FCF</t>
  </si>
  <si>
    <t>Q121A</t>
  </si>
  <si>
    <t>Q221A</t>
  </si>
  <si>
    <t>Q321A</t>
  </si>
  <si>
    <t>Q421A</t>
  </si>
  <si>
    <t>Q122A</t>
  </si>
  <si>
    <t>Q222A</t>
  </si>
  <si>
    <t>Q322A</t>
  </si>
  <si>
    <t>WACC = % of equity x cost of equity + % of debt x cost of debt x (1 - tax rate)</t>
  </si>
  <si>
    <t>Cost of equity = Risk Free Rate + Beta x Market Risk Premium</t>
  </si>
  <si>
    <t>WACC Calculation</t>
  </si>
  <si>
    <t>Tax Rate</t>
  </si>
  <si>
    <t>D/(D+E)</t>
  </si>
  <si>
    <t>After Tax Cost of Debt</t>
  </si>
  <si>
    <t>10 yr Treasury Yield</t>
  </si>
  <si>
    <t>Equity Risk Premium</t>
  </si>
  <si>
    <t>E/(D+E)</t>
  </si>
  <si>
    <t>Cost of Equity</t>
  </si>
  <si>
    <t>$s in millions</t>
  </si>
  <si>
    <t xml:space="preserve">  Sales per store</t>
  </si>
  <si>
    <t xml:space="preserve">  CapEx per store</t>
  </si>
  <si>
    <t>Unlevered FCF</t>
  </si>
  <si>
    <t>Q422E</t>
  </si>
  <si>
    <t>Lowe's DCF</t>
  </si>
  <si>
    <t>LOW</t>
  </si>
  <si>
    <t>Revenue Build (1/31 FYE)</t>
  </si>
  <si>
    <t>DCF (1/31 FYE)</t>
  </si>
  <si>
    <t>Average volume per store</t>
  </si>
  <si>
    <t>Total transaction volume (millions)</t>
  </si>
  <si>
    <t>Net adds</t>
  </si>
  <si>
    <t>Avg. ticket size</t>
  </si>
  <si>
    <t xml:space="preserve">  per store</t>
  </si>
  <si>
    <t>Avg. ticket size - 2023</t>
  </si>
  <si>
    <t>Interest Bearing Debt</t>
  </si>
  <si>
    <t>Price Target: $299.46</t>
  </si>
  <si>
    <t>10yr CAGR: 11.80%</t>
  </si>
  <si>
    <t>Implied Upside: 43.43%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</si>
</sst>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\A"/>
    <numFmt numFmtId="165" formatCode="#,##0.0_);\(#,##0.0\)"/>
    <numFmt numFmtId="168" formatCode="&quot;$&quot;#,##0.00"/>
    <numFmt numFmtId="169" formatCode="General\E"/>
    <numFmt numFmtId="170" formatCode="_([$$-409]* #,##0.00_);_([$$-409]* \(#,##0.00\);_([$$-409]* &quot;-&quot;??_);_(@_)"/>
    <numFmt numFmtId="171" formatCode="0.0%"/>
    <numFmt numFmtId="172" formatCode="0.0\x"/>
    <numFmt numFmtId="175" formatCode="#,##0.0"/>
    <numFmt numFmtId="181" formatCode="0.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name val="Geneva"/>
      <family val="2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 (Body)"/>
    </font>
    <font>
      <b/>
      <u/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theme="9"/>
      <name val="Calibri"/>
      <family val="2"/>
      <scheme val="minor"/>
    </font>
    <font>
      <i/>
      <sz val="12"/>
      <color rgb="FF7030A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164" fontId="0" fillId="0" borderId="0" xfId="0" applyNumberFormat="1"/>
    <xf numFmtId="37" fontId="0" fillId="0" borderId="0" xfId="0" applyNumberFormat="1"/>
    <xf numFmtId="0" fontId="6" fillId="0" borderId="0" xfId="0" applyFont="1"/>
    <xf numFmtId="37" fontId="6" fillId="0" borderId="0" xfId="0" applyNumberFormat="1" applyFont="1"/>
    <xf numFmtId="165" fontId="0" fillId="0" borderId="0" xfId="0" applyNumberFormat="1"/>
    <xf numFmtId="39" fontId="0" fillId="0" borderId="0" xfId="0" applyNumberFormat="1"/>
    <xf numFmtId="9" fontId="0" fillId="0" borderId="0" xfId="3" applyFont="1"/>
    <xf numFmtId="9" fontId="6" fillId="0" borderId="0" xfId="3" applyFont="1"/>
    <xf numFmtId="0" fontId="0" fillId="0" borderId="0" xfId="0" applyFont="1"/>
    <xf numFmtId="37" fontId="0" fillId="0" borderId="0" xfId="0" applyNumberFormat="1" applyFont="1"/>
    <xf numFmtId="9" fontId="1" fillId="0" borderId="0" xfId="3" applyFont="1"/>
    <xf numFmtId="168" fontId="0" fillId="0" borderId="0" xfId="1" applyNumberFormat="1" applyFont="1"/>
    <xf numFmtId="168" fontId="0" fillId="0" borderId="0" xfId="0" applyNumberFormat="1"/>
    <xf numFmtId="0" fontId="8" fillId="0" borderId="0" xfId="0" applyFont="1"/>
    <xf numFmtId="37" fontId="8" fillId="0" borderId="0" xfId="0" applyNumberFormat="1" applyFont="1"/>
    <xf numFmtId="9" fontId="8" fillId="0" borderId="0" xfId="3" applyFont="1"/>
    <xf numFmtId="169" fontId="0" fillId="0" borderId="0" xfId="0" applyNumberFormat="1"/>
    <xf numFmtId="0" fontId="10" fillId="0" borderId="2" xfId="5" applyFont="1" applyBorder="1"/>
    <xf numFmtId="0" fontId="11" fillId="0" borderId="2" xfId="5" applyFont="1" applyBorder="1"/>
    <xf numFmtId="0" fontId="12" fillId="0" borderId="2" xfId="5" applyFont="1" applyBorder="1"/>
    <xf numFmtId="0" fontId="13" fillId="0" borderId="2" xfId="5" applyFont="1" applyBorder="1"/>
    <xf numFmtId="0" fontId="10" fillId="0" borderId="0" xfId="5" applyFont="1"/>
    <xf numFmtId="0" fontId="3" fillId="3" borderId="1" xfId="4" applyAlignment="1" applyProtection="1">
      <alignment horizontal="center"/>
    </xf>
    <xf numFmtId="44" fontId="3" fillId="3" borderId="1" xfId="2" applyFont="1" applyFill="1" applyBorder="1" applyProtection="1"/>
    <xf numFmtId="44" fontId="3" fillId="3" borderId="1" xfId="4" applyNumberFormat="1" applyProtection="1"/>
    <xf numFmtId="14" fontId="3" fillId="3" borderId="1" xfId="4" applyNumberFormat="1" applyAlignment="1" applyProtection="1">
      <alignment horizontal="center"/>
    </xf>
    <xf numFmtId="170" fontId="3" fillId="3" borderId="1" xfId="4" applyNumberFormat="1" applyProtection="1"/>
    <xf numFmtId="10" fontId="3" fillId="3" borderId="1" xfId="6" applyNumberFormat="1" applyFont="1" applyFill="1" applyBorder="1" applyAlignment="1" applyProtection="1">
      <alignment horizontal="center"/>
    </xf>
    <xf numFmtId="0" fontId="4" fillId="4" borderId="0" xfId="5" applyFont="1" applyFill="1"/>
    <xf numFmtId="0" fontId="14" fillId="4" borderId="0" xfId="5" applyFont="1" applyFill="1"/>
    <xf numFmtId="0" fontId="15" fillId="4" borderId="0" xfId="5" applyFont="1" applyFill="1"/>
    <xf numFmtId="0" fontId="10" fillId="4" borderId="0" xfId="5" applyFont="1" applyFill="1"/>
    <xf numFmtId="0" fontId="16" fillId="0" borderId="0" xfId="5" applyFont="1"/>
    <xf numFmtId="0" fontId="9" fillId="0" borderId="0" xfId="5"/>
    <xf numFmtId="0" fontId="3" fillId="3" borderId="1" xfId="4" applyAlignment="1" applyProtection="1">
      <alignment horizontal="center"/>
      <protection locked="0"/>
    </xf>
    <xf numFmtId="9" fontId="3" fillId="3" borderId="1" xfId="6" applyFont="1" applyFill="1" applyBorder="1" applyAlignment="1" applyProtection="1">
      <alignment horizontal="center"/>
    </xf>
    <xf numFmtId="37" fontId="3" fillId="3" borderId="1" xfId="6" applyNumberFormat="1" applyFont="1" applyFill="1" applyBorder="1" applyAlignment="1" applyProtection="1">
      <alignment horizontal="center"/>
      <protection locked="0"/>
    </xf>
    <xf numFmtId="171" fontId="3" fillId="3" borderId="1" xfId="6" applyNumberFormat="1" applyFont="1" applyFill="1" applyBorder="1" applyAlignment="1" applyProtection="1">
      <alignment horizontal="center"/>
    </xf>
    <xf numFmtId="0" fontId="10" fillId="0" borderId="0" xfId="5" applyFont="1" applyAlignment="1">
      <alignment horizontal="center"/>
    </xf>
    <xf numFmtId="171" fontId="3" fillId="3" borderId="1" xfId="6" applyNumberFormat="1" applyFont="1" applyFill="1" applyBorder="1" applyAlignment="1" applyProtection="1">
      <alignment horizontal="center"/>
      <protection locked="0"/>
    </xf>
    <xf numFmtId="9" fontId="3" fillId="3" borderId="1" xfId="6" applyFont="1" applyFill="1" applyBorder="1" applyAlignment="1" applyProtection="1">
      <alignment horizontal="center"/>
      <protection locked="0"/>
    </xf>
    <xf numFmtId="0" fontId="3" fillId="3" borderId="1" xfId="6" applyNumberFormat="1" applyFont="1" applyFill="1" applyBorder="1" applyAlignment="1" applyProtection="1">
      <alignment horizontal="center"/>
      <protection locked="0"/>
    </xf>
    <xf numFmtId="171" fontId="17" fillId="3" borderId="1" xfId="4" applyNumberFormat="1" applyFont="1" applyAlignment="1" applyProtection="1">
      <alignment horizontal="center"/>
    </xf>
    <xf numFmtId="171" fontId="3" fillId="3" borderId="1" xfId="4" applyNumberFormat="1" applyAlignment="1" applyProtection="1">
      <alignment horizontal="center"/>
    </xf>
    <xf numFmtId="172" fontId="3" fillId="3" borderId="1" xfId="4" applyNumberFormat="1" applyAlignment="1" applyProtection="1">
      <alignment horizontal="center"/>
    </xf>
    <xf numFmtId="172" fontId="10" fillId="0" borderId="0" xfId="5" applyNumberFormat="1" applyFont="1"/>
    <xf numFmtId="171" fontId="3" fillId="3" borderId="1" xfId="4" applyNumberFormat="1" applyAlignment="1" applyProtection="1">
      <alignment horizontal="center"/>
      <protection locked="0"/>
    </xf>
    <xf numFmtId="172" fontId="3" fillId="3" borderId="1" xfId="4" applyNumberFormat="1" applyAlignment="1" applyProtection="1">
      <alignment horizontal="center"/>
      <protection locked="0"/>
    </xf>
    <xf numFmtId="164" fontId="4" fillId="4" borderId="0" xfId="5" applyNumberFormat="1" applyFont="1" applyFill="1"/>
    <xf numFmtId="169" fontId="4" fillId="4" borderId="0" xfId="5" applyNumberFormat="1" applyFont="1" applyFill="1"/>
    <xf numFmtId="17" fontId="4" fillId="4" borderId="0" xfId="5" applyNumberFormat="1" applyFont="1" applyFill="1"/>
    <xf numFmtId="37" fontId="17" fillId="0" borderId="0" xfId="5" applyNumberFormat="1" applyFont="1"/>
    <xf numFmtId="37" fontId="17" fillId="0" borderId="3" xfId="5" applyNumberFormat="1" applyFont="1" applyBorder="1"/>
    <xf numFmtId="37" fontId="10" fillId="0" borderId="0" xfId="5" applyNumberFormat="1" applyFont="1"/>
    <xf numFmtId="0" fontId="18" fillId="0" borderId="0" xfId="5" applyFont="1"/>
    <xf numFmtId="9" fontId="18" fillId="0" borderId="0" xfId="6" applyFont="1" applyProtection="1"/>
    <xf numFmtId="9" fontId="18" fillId="0" borderId="3" xfId="6" applyFont="1" applyBorder="1" applyProtection="1"/>
    <xf numFmtId="0" fontId="10" fillId="0" borderId="3" xfId="5" applyFont="1" applyBorder="1"/>
    <xf numFmtId="9" fontId="19" fillId="3" borderId="4" xfId="4" applyNumberFormat="1" applyFont="1" applyBorder="1" applyProtection="1"/>
    <xf numFmtId="9" fontId="19" fillId="3" borderId="1" xfId="4" applyNumberFormat="1" applyFont="1" applyProtection="1"/>
    <xf numFmtId="9" fontId="3" fillId="3" borderId="1" xfId="4" applyNumberFormat="1" applyProtection="1"/>
    <xf numFmtId="9" fontId="17" fillId="3" borderId="4" xfId="4" applyNumberFormat="1" applyFont="1" applyBorder="1" applyProtection="1"/>
    <xf numFmtId="9" fontId="3" fillId="3" borderId="4" xfId="4" applyNumberFormat="1" applyBorder="1" applyProtection="1">
      <protection locked="0"/>
    </xf>
    <xf numFmtId="9" fontId="3" fillId="3" borderId="1" xfId="4" applyNumberFormat="1" applyProtection="1">
      <protection locked="0"/>
    </xf>
    <xf numFmtId="37" fontId="1" fillId="0" borderId="0" xfId="5" applyNumberFormat="1" applyFont="1"/>
    <xf numFmtId="0" fontId="0" fillId="0" borderId="3" xfId="0" applyBorder="1"/>
    <xf numFmtId="0" fontId="16" fillId="0" borderId="5" xfId="5" applyFont="1" applyBorder="1"/>
    <xf numFmtId="0" fontId="10" fillId="0" borderId="5" xfId="5" applyFont="1" applyBorder="1"/>
    <xf numFmtId="37" fontId="10" fillId="0" borderId="5" xfId="5" applyNumberFormat="1" applyFont="1" applyBorder="1"/>
    <xf numFmtId="37" fontId="10" fillId="0" borderId="6" xfId="5" applyNumberFormat="1" applyFont="1" applyBorder="1"/>
    <xf numFmtId="37" fontId="19" fillId="0" borderId="0" xfId="5" applyNumberFormat="1" applyFont="1"/>
    <xf numFmtId="37" fontId="19" fillId="0" borderId="3" xfId="5" applyNumberFormat="1" applyFont="1" applyBorder="1"/>
    <xf numFmtId="0" fontId="8" fillId="0" borderId="0" xfId="5" applyFont="1"/>
    <xf numFmtId="9" fontId="8" fillId="0" borderId="0" xfId="5" applyNumberFormat="1" applyFont="1"/>
    <xf numFmtId="9" fontId="8" fillId="0" borderId="3" xfId="5" applyNumberFormat="1" applyFont="1" applyBorder="1"/>
    <xf numFmtId="0" fontId="1" fillId="0" borderId="0" xfId="5" applyFont="1"/>
    <xf numFmtId="0" fontId="1" fillId="0" borderId="3" xfId="5" applyFont="1" applyBorder="1"/>
    <xf numFmtId="9" fontId="8" fillId="0" borderId="0" xfId="6" applyFont="1" applyProtection="1"/>
    <xf numFmtId="9" fontId="8" fillId="0" borderId="3" xfId="6" applyFont="1" applyBorder="1" applyProtection="1"/>
    <xf numFmtId="9" fontId="20" fillId="0" borderId="0" xfId="6" applyFont="1" applyProtection="1"/>
    <xf numFmtId="9" fontId="21" fillId="0" borderId="0" xfId="5" applyNumberFormat="1" applyFont="1"/>
    <xf numFmtId="0" fontId="10" fillId="0" borderId="7" xfId="5" applyFont="1" applyBorder="1"/>
    <xf numFmtId="37" fontId="1" fillId="0" borderId="7" xfId="5" applyNumberFormat="1" applyFont="1" applyBorder="1"/>
    <xf numFmtId="37" fontId="1" fillId="0" borderId="8" xfId="5" applyNumberFormat="1" applyFont="1" applyBorder="1"/>
    <xf numFmtId="0" fontId="1" fillId="0" borderId="6" xfId="5" applyFont="1" applyBorder="1"/>
    <xf numFmtId="9" fontId="22" fillId="0" borderId="0" xfId="6" applyFont="1" applyProtection="1"/>
    <xf numFmtId="37" fontId="1" fillId="0" borderId="3" xfId="5" applyNumberFormat="1" applyFont="1" applyBorder="1"/>
    <xf numFmtId="37" fontId="8" fillId="0" borderId="0" xfId="5" applyNumberFormat="1" applyFont="1"/>
    <xf numFmtId="9" fontId="1" fillId="0" borderId="0" xfId="6" applyFont="1" applyProtection="1"/>
    <xf numFmtId="9" fontId="1" fillId="0" borderId="3" xfId="6" applyFont="1" applyBorder="1" applyProtection="1"/>
    <xf numFmtId="37" fontId="1" fillId="0" borderId="5" xfId="6" applyNumberFormat="1" applyFont="1" applyBorder="1" applyProtection="1"/>
    <xf numFmtId="37" fontId="1" fillId="0" borderId="6" xfId="6" applyNumberFormat="1" applyFont="1" applyBorder="1" applyProtection="1"/>
    <xf numFmtId="9" fontId="8" fillId="0" borderId="0" xfId="6" applyFont="1" applyBorder="1" applyProtection="1"/>
    <xf numFmtId="9" fontId="10" fillId="0" borderId="0" xfId="6" applyFont="1" applyBorder="1" applyProtection="1"/>
    <xf numFmtId="9" fontId="10" fillId="0" borderId="3" xfId="6" applyFont="1" applyBorder="1" applyProtection="1"/>
    <xf numFmtId="37" fontId="10" fillId="0" borderId="0" xfId="6" applyNumberFormat="1" applyFont="1" applyBorder="1" applyProtection="1"/>
    <xf numFmtId="9" fontId="2" fillId="2" borderId="0" xfId="6" applyFont="1" applyFill="1" applyProtection="1"/>
    <xf numFmtId="37" fontId="4" fillId="4" borderId="0" xfId="5" applyNumberFormat="1" applyFont="1" applyFill="1"/>
    <xf numFmtId="0" fontId="6" fillId="0" borderId="0" xfId="5" applyFont="1"/>
    <xf numFmtId="9" fontId="10" fillId="0" borderId="0" xfId="6" applyFont="1" applyProtection="1"/>
    <xf numFmtId="37" fontId="10" fillId="0" borderId="0" xfId="6" applyNumberFormat="1" applyFont="1" applyProtection="1"/>
    <xf numFmtId="0" fontId="18" fillId="0" borderId="3" xfId="5" applyFont="1" applyBorder="1"/>
    <xf numFmtId="37" fontId="10" fillId="0" borderId="9" xfId="5" applyNumberFormat="1" applyFont="1" applyBorder="1"/>
    <xf numFmtId="0" fontId="10" fillId="0" borderId="9" xfId="5" applyFont="1" applyBorder="1"/>
    <xf numFmtId="0" fontId="10" fillId="0" borderId="10" xfId="5" applyFont="1" applyBorder="1"/>
    <xf numFmtId="171" fontId="19" fillId="0" borderId="0" xfId="6" applyNumberFormat="1" applyFont="1" applyProtection="1"/>
    <xf numFmtId="171" fontId="1" fillId="0" borderId="0" xfId="6" applyNumberFormat="1" applyFont="1" applyProtection="1"/>
    <xf numFmtId="2" fontId="10" fillId="0" borderId="0" xfId="5" applyNumberFormat="1" applyFont="1"/>
    <xf numFmtId="0" fontId="10" fillId="0" borderId="8" xfId="5" applyFont="1" applyBorder="1"/>
    <xf numFmtId="37" fontId="10" fillId="0" borderId="7" xfId="5" applyNumberFormat="1" applyFont="1" applyBorder="1"/>
    <xf numFmtId="0" fontId="14" fillId="0" borderId="5" xfId="5" applyFont="1" applyBorder="1"/>
    <xf numFmtId="3" fontId="19" fillId="0" borderId="0" xfId="5" applyNumberFormat="1" applyFont="1"/>
    <xf numFmtId="3" fontId="1" fillId="0" borderId="5" xfId="5" applyNumberFormat="1" applyFont="1" applyBorder="1"/>
    <xf numFmtId="3" fontId="1" fillId="0" borderId="9" xfId="5" applyNumberFormat="1" applyFont="1" applyBorder="1"/>
    <xf numFmtId="0" fontId="14" fillId="0" borderId="0" xfId="5" applyFont="1"/>
    <xf numFmtId="4" fontId="10" fillId="0" borderId="0" xfId="5" applyNumberFormat="1" applyFont="1"/>
    <xf numFmtId="0" fontId="7" fillId="4" borderId="0" xfId="5" applyFont="1" applyFill="1"/>
    <xf numFmtId="37" fontId="7" fillId="4" borderId="0" xfId="5" applyNumberFormat="1" applyFont="1" applyFill="1"/>
    <xf numFmtId="171" fontId="19" fillId="3" borderId="1" xfId="4" applyNumberFormat="1" applyFont="1" applyAlignment="1" applyProtection="1">
      <alignment horizontal="center"/>
    </xf>
    <xf numFmtId="172" fontId="19" fillId="3" borderId="1" xfId="4" applyNumberFormat="1" applyFont="1" applyAlignment="1" applyProtection="1">
      <alignment horizontal="center"/>
    </xf>
    <xf numFmtId="172" fontId="3" fillId="3" borderId="1" xfId="6" applyNumberFormat="1" applyFont="1" applyFill="1" applyBorder="1" applyAlignment="1" applyProtection="1">
      <alignment horizontal="center"/>
      <protection locked="0"/>
    </xf>
    <xf numFmtId="0" fontId="23" fillId="4" borderId="0" xfId="5" applyFont="1" applyFill="1" applyAlignment="1">
      <alignment horizontal="center" vertical="center"/>
    </xf>
    <xf numFmtId="171" fontId="10" fillId="5" borderId="0" xfId="5" applyNumberFormat="1" applyFont="1" applyFill="1"/>
    <xf numFmtId="171" fontId="10" fillId="5" borderId="0" xfId="6" applyNumberFormat="1" applyFont="1" applyFill="1" applyProtection="1"/>
    <xf numFmtId="172" fontId="10" fillId="5" borderId="0" xfId="5" applyNumberFormat="1" applyFont="1" applyFill="1"/>
    <xf numFmtId="171" fontId="10" fillId="5" borderId="0" xfId="6" applyNumberFormat="1" applyFont="1" applyFill="1" applyAlignment="1" applyProtection="1"/>
    <xf numFmtId="2" fontId="10" fillId="5" borderId="0" xfId="5" applyNumberFormat="1" applyFont="1" applyFill="1"/>
    <xf numFmtId="2" fontId="7" fillId="4" borderId="0" xfId="5" applyNumberFormat="1" applyFont="1" applyFill="1"/>
    <xf numFmtId="37" fontId="10" fillId="0" borderId="3" xfId="5" applyNumberFormat="1" applyFont="1" applyBorder="1"/>
    <xf numFmtId="9" fontId="18" fillId="0" borderId="0" xfId="5" applyNumberFormat="1" applyFont="1"/>
    <xf numFmtId="9" fontId="18" fillId="0" borderId="3" xfId="5" applyNumberFormat="1" applyFont="1" applyBorder="1"/>
    <xf numFmtId="37" fontId="10" fillId="0" borderId="10" xfId="5" applyNumberFormat="1" applyFont="1" applyBorder="1"/>
    <xf numFmtId="0" fontId="0" fillId="0" borderId="0" xfId="0" applyAlignment="1">
      <alignment horizontal="right"/>
    </xf>
    <xf numFmtId="37" fontId="5" fillId="0" borderId="0" xfId="0" applyNumberFormat="1" applyFont="1"/>
    <xf numFmtId="9" fontId="5" fillId="0" borderId="0" xfId="3" applyFont="1"/>
    <xf numFmtId="3" fontId="0" fillId="0" borderId="0" xfId="0" applyNumberFormat="1"/>
    <xf numFmtId="0" fontId="1" fillId="0" borderId="2" xfId="7" applyBorder="1"/>
    <xf numFmtId="0" fontId="24" fillId="0" borderId="2" xfId="7" applyFont="1" applyBorder="1"/>
    <xf numFmtId="0" fontId="1" fillId="0" borderId="0" xfId="7"/>
    <xf numFmtId="0" fontId="4" fillId="4" borderId="0" xfId="7" applyFont="1" applyFill="1" applyAlignment="1">
      <alignment horizontal="center" vertical="center"/>
    </xf>
    <xf numFmtId="0" fontId="7" fillId="4" borderId="0" xfId="7" applyFont="1" applyFill="1" applyAlignment="1">
      <alignment horizontal="center" vertical="center"/>
    </xf>
    <xf numFmtId="3" fontId="1" fillId="0" borderId="0" xfId="7" applyNumberFormat="1"/>
    <xf numFmtId="38" fontId="1" fillId="0" borderId="0" xfId="7" applyNumberFormat="1"/>
    <xf numFmtId="10" fontId="1" fillId="0" borderId="0" xfId="8" applyNumberFormat="1" applyFont="1"/>
    <xf numFmtId="0" fontId="1" fillId="0" borderId="9" xfId="7" applyBorder="1"/>
    <xf numFmtId="10" fontId="1" fillId="0" borderId="9" xfId="8" applyNumberFormat="1" applyFont="1" applyBorder="1"/>
    <xf numFmtId="0" fontId="6" fillId="0" borderId="7" xfId="7" applyFont="1" applyBorder="1"/>
    <xf numFmtId="0" fontId="1" fillId="0" borderId="7" xfId="7" applyBorder="1"/>
    <xf numFmtId="10" fontId="1" fillId="0" borderId="7" xfId="7" applyNumberFormat="1" applyBorder="1"/>
    <xf numFmtId="10" fontId="1" fillId="0" borderId="0" xfId="7" applyNumberFormat="1"/>
    <xf numFmtId="0" fontId="6" fillId="0" borderId="0" xfId="7" applyFont="1"/>
    <xf numFmtId="0" fontId="6" fillId="0" borderId="7" xfId="7" applyFont="1" applyBorder="1" applyAlignment="1">
      <alignment vertical="center"/>
    </xf>
    <xf numFmtId="0" fontId="1" fillId="0" borderId="7" xfId="7" applyBorder="1" applyAlignment="1">
      <alignment vertical="center"/>
    </xf>
    <xf numFmtId="10" fontId="6" fillId="0" borderId="7" xfId="7" applyNumberFormat="1" applyFont="1" applyBorder="1" applyAlignment="1">
      <alignment vertical="center"/>
    </xf>
    <xf numFmtId="14" fontId="0" fillId="0" borderId="0" xfId="0" applyNumberFormat="1"/>
    <xf numFmtId="3" fontId="6" fillId="0" borderId="0" xfId="0" applyNumberFormat="1" applyFont="1"/>
    <xf numFmtId="165" fontId="8" fillId="0" borderId="0" xfId="0" applyNumberFormat="1" applyFont="1"/>
    <xf numFmtId="175" fontId="0" fillId="0" borderId="0" xfId="0" applyNumberFormat="1"/>
    <xf numFmtId="181" fontId="0" fillId="0" borderId="0" xfId="0" applyNumberFormat="1"/>
    <xf numFmtId="181" fontId="0" fillId="0" borderId="0" xfId="0" applyNumberFormat="1" applyFont="1"/>
    <xf numFmtId="164" fontId="0" fillId="0" borderId="0" xfId="0" applyNumberFormat="1" applyAlignment="1">
      <alignment horizontal="right"/>
    </xf>
    <xf numFmtId="37" fontId="26" fillId="0" borderId="0" xfId="0" applyNumberFormat="1" applyFont="1"/>
    <xf numFmtId="37" fontId="27" fillId="0" borderId="0" xfId="0" applyNumberFormat="1" applyFont="1"/>
    <xf numFmtId="9" fontId="22" fillId="0" borderId="0" xfId="3" applyFont="1"/>
    <xf numFmtId="165" fontId="5" fillId="0" borderId="0" xfId="0" applyNumberFormat="1" applyFont="1"/>
    <xf numFmtId="37" fontId="1" fillId="0" borderId="0" xfId="3" applyNumberFormat="1" applyFont="1"/>
    <xf numFmtId="39" fontId="17" fillId="0" borderId="0" xfId="5" applyNumberFormat="1" applyFont="1"/>
    <xf numFmtId="37" fontId="18" fillId="0" borderId="0" xfId="6" applyNumberFormat="1" applyFont="1" applyProtection="1"/>
    <xf numFmtId="37" fontId="19" fillId="3" borderId="4" xfId="4" applyNumberFormat="1" applyFont="1" applyBorder="1" applyProtection="1"/>
    <xf numFmtId="37" fontId="19" fillId="3" borderId="1" xfId="4" applyNumberFormat="1" applyFont="1" applyProtection="1"/>
    <xf numFmtId="37" fontId="3" fillId="3" borderId="1" xfId="4" applyNumberFormat="1" applyProtection="1"/>
    <xf numFmtId="37" fontId="17" fillId="3" borderId="4" xfId="4" applyNumberFormat="1" applyFont="1" applyBorder="1" applyProtection="1"/>
    <xf numFmtId="37" fontId="3" fillId="3" borderId="4" xfId="4" applyNumberFormat="1" applyBorder="1" applyProtection="1">
      <protection locked="0"/>
    </xf>
    <xf numFmtId="37" fontId="3" fillId="3" borderId="1" xfId="4" applyNumberFormat="1" applyProtection="1">
      <protection locked="0"/>
    </xf>
    <xf numFmtId="39" fontId="1" fillId="0" borderId="0" xfId="5" applyNumberFormat="1" applyFont="1"/>
    <xf numFmtId="39" fontId="10" fillId="0" borderId="0" xfId="5" applyNumberFormat="1" applyFont="1"/>
    <xf numFmtId="1" fontId="3" fillId="3" borderId="1" xfId="6" applyNumberFormat="1" applyFont="1" applyFill="1" applyBorder="1" applyAlignment="1" applyProtection="1">
      <alignment horizontal="center"/>
    </xf>
    <xf numFmtId="168" fontId="17" fillId="0" borderId="0" xfId="5" applyNumberFormat="1" applyFont="1"/>
    <xf numFmtId="168" fontId="1" fillId="0" borderId="0" xfId="5" applyNumberFormat="1" applyFont="1"/>
    <xf numFmtId="168" fontId="10" fillId="0" borderId="0" xfId="5" applyNumberFormat="1" applyFont="1"/>
    <xf numFmtId="37" fontId="18" fillId="0" borderId="3" xfId="6" applyNumberFormat="1" applyFont="1" applyBorder="1" applyProtection="1"/>
    <xf numFmtId="39" fontId="17" fillId="0" borderId="3" xfId="5" applyNumberFormat="1" applyFont="1" applyBorder="1"/>
    <xf numFmtId="37" fontId="6" fillId="0" borderId="3" xfId="0" applyNumberFormat="1" applyFont="1" applyBorder="1"/>
    <xf numFmtId="168" fontId="17" fillId="0" borderId="3" xfId="5" applyNumberFormat="1" applyFont="1" applyBorder="1"/>
    <xf numFmtId="37" fontId="17" fillId="0" borderId="0" xfId="5" applyNumberFormat="1" applyFont="1" applyBorder="1"/>
    <xf numFmtId="37" fontId="1" fillId="0" borderId="0" xfId="5" applyNumberFormat="1" applyFont="1" applyBorder="1"/>
    <xf numFmtId="9" fontId="22" fillId="0" borderId="0" xfId="6" applyFont="1" applyBorder="1" applyProtection="1"/>
    <xf numFmtId="2" fontId="8" fillId="0" borderId="0" xfId="6" applyNumberFormat="1" applyFont="1" applyProtection="1"/>
    <xf numFmtId="2" fontId="8" fillId="0" borderId="3" xfId="6" applyNumberFormat="1" applyFont="1" applyBorder="1" applyProtection="1"/>
    <xf numFmtId="4" fontId="7" fillId="0" borderId="0" xfId="5" applyNumberFormat="1" applyFont="1"/>
  </cellXfs>
  <cellStyles count="9">
    <cellStyle name="Comma" xfId="1" builtinId="3"/>
    <cellStyle name="Currency" xfId="2" builtinId="4"/>
    <cellStyle name="Input" xfId="4" builtinId="20"/>
    <cellStyle name="Normal" xfId="0" builtinId="0"/>
    <cellStyle name="Normal 2" xfId="5" xr:uid="{7B9D07BE-3596-BA43-B814-A4D0B092CC8B}"/>
    <cellStyle name="Normal 2 2" xfId="7" xr:uid="{8D40232F-1718-1844-BAAA-DDBD61B4227A}"/>
    <cellStyle name="Percent" xfId="3" builtinId="5"/>
    <cellStyle name="Percent 2" xfId="6" xr:uid="{F2E2526D-BD08-4B4C-BA5D-AFF1CAE493E1}"/>
    <cellStyle name="Percent 2 2" xfId="8" xr:uid="{4EB617FD-4A39-314C-8883-0EAE2D273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101600</xdr:rowOff>
    </xdr:from>
    <xdr:to>
      <xdr:col>9</xdr:col>
      <xdr:colOff>12700</xdr:colOff>
      <xdr:row>59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4D961BA-882A-0472-A5C7-65F7B59A3089}"/>
            </a:ext>
          </a:extLst>
        </xdr:cNvPr>
        <xdr:cNvCxnSpPr/>
      </xdr:nvCxnSpPr>
      <xdr:spPr>
        <a:xfrm>
          <a:off x="8813800" y="101600"/>
          <a:ext cx="12700" cy="12077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0</xdr:row>
      <xdr:rowOff>0</xdr:rowOff>
    </xdr:from>
    <xdr:to>
      <xdr:col>18</xdr:col>
      <xdr:colOff>38100</xdr:colOff>
      <xdr:row>59</xdr:row>
      <xdr:rowOff>88900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F8CB5B6-2D54-5B4E-8182-C379C368471E}"/>
            </a:ext>
          </a:extLst>
        </xdr:cNvPr>
        <xdr:cNvCxnSpPr/>
      </xdr:nvCxnSpPr>
      <xdr:spPr>
        <a:xfrm>
          <a:off x="16268700" y="0"/>
          <a:ext cx="12700" cy="12077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https://www.bing.com/financeapi/forcetrigger?t=a1x2ur&amp;q=XNYS%3aLOW&amp;form=skydnc</v>
    <v>Learn more on Bing</v>
  </rv>
  <rv s="1">
    <v>0</v>
    <v>LOWE'S COMPANIES, INC. (XNYS:LOW)</v>
    <v>2</v>
    <v>3</v>
    <v>Finance</v>
    <v>4</v>
    <v>en-US</v>
    <v>a1x2ur</v>
    <v>268435456</v>
    <v>1</v>
    <v>Powered by Refinitiv</v>
    <v>238.37</v>
    <v>170.12</v>
    <v>1.0894999999999999</v>
    <v>0.14000000000000001</v>
    <v>6.7100000000000005E-4</v>
    <v>0</v>
    <v>0</v>
    <v>USD</v>
    <v>Lowe's Companies, Inc. is a home improvement company. The Company operates home improvement and hardware stores. It offers a range of products in departments, including appliances; bathroom; building supplies; cleaning and pet supplies; doors and windows; electrical; flooring and rugs; hardware; heating and cooling; home decor and furniture; kitchen; lawn and garden; lighting and ceiling fans; molding and millwork; outdoor living and patio; paint; plumbing; smart home, security, wireless fidelity (Wi-Fi); sports and fitness; storage and organization; tools; accessible home; animal and pet care; automotive, and holiday decorations. The Company offers installation and services for the bathroom; doors and windows; exterior home; flooring; heating and cooling; home accessibility; interior home, and kitchen. It offers products and services through its contact centers, in-store, online, or through its mobile application. It operates over 1,700 home improvement stores in the United States.</v>
    <v>200000</v>
    <v>New York Stock Exchange</v>
    <v>XNYS</v>
    <v>XNYS</v>
    <v>1000 Lowes Blvd, MOORESVILLE, NC, 28117-8520 US</v>
    <v>208.93</v>
    <v>Specialty Retailers</v>
    <v>Stock</v>
    <v>44968.005969814061</v>
    <v>0</v>
    <v>206.33</v>
    <v>126249800000</v>
    <v>LOWE'S COMPANIES, INC.</v>
    <v>LOWE'S COMPANIES, INC.</v>
    <v>207.46</v>
    <v>20.458300000000001</v>
    <v>208.64</v>
    <v>208.78</v>
    <v>208.78</v>
    <v>604702600</v>
    <v>LOW</v>
    <v>LOWE'S COMPANIES, INC. (XNYS:LOW)</v>
    <v>1836457</v>
    <v>2974825</v>
    <v>1952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\ h:mm"/>
    </x:dxf>
    <x:dxf>
      <x:numFmt numFmtId="1" formatCode="0"/>
    </x:dxf>
    <x:dxf>
      <x:numFmt numFmtId="2" formatCode="0.00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</rpv>
    </rSty>
    <rSty dxfid="6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38EE-8971-CF4A-ADEA-FE85E053C0FD}">
  <dimension ref="A2:AA143"/>
  <sheetViews>
    <sheetView showGridLines="0" tabSelected="1" topLeftCell="A35" zoomScaleNormal="100" workbookViewId="0">
      <selection activeCell="U63" sqref="K63:U63"/>
    </sheetView>
  </sheetViews>
  <sheetFormatPr baseColWidth="10" defaultColWidth="11.83203125" defaultRowHeight="16" customHeight="1" x14ac:dyDescent="0.2"/>
  <cols>
    <col min="1" max="1" width="4.83203125" style="22" customWidth="1"/>
    <col min="2" max="16384" width="11.83203125" style="22"/>
  </cols>
  <sheetData>
    <row r="2" spans="1:27" s="18" customFormat="1" ht="31" customHeight="1" thickBot="1" x14ac:dyDescent="0.35">
      <c r="B2" s="19" t="s">
        <v>125</v>
      </c>
      <c r="E2" s="20" t="s">
        <v>136</v>
      </c>
      <c r="F2" s="21"/>
      <c r="G2" s="21"/>
      <c r="H2" s="20" t="s">
        <v>137</v>
      </c>
      <c r="K2" s="20" t="s">
        <v>138</v>
      </c>
    </row>
    <row r="4" spans="1:27" ht="16" customHeight="1" x14ac:dyDescent="0.2">
      <c r="B4" s="22" t="s">
        <v>28</v>
      </c>
      <c r="C4" s="23" t="s">
        <v>126</v>
      </c>
      <c r="E4" s="22" t="s">
        <v>29</v>
      </c>
      <c r="G4" s="24">
        <f ca="1">D109</f>
        <v>299.45950689978281</v>
      </c>
      <c r="I4" s="22" t="s">
        <v>30</v>
      </c>
      <c r="K4" s="24">
        <v>311.65590993907375</v>
      </c>
      <c r="M4" s="22" t="s">
        <v>31</v>
      </c>
      <c r="O4" s="25">
        <v>220.67963131113586</v>
      </c>
      <c r="Q4" s="22" t="s">
        <v>32</v>
      </c>
      <c r="S4" s="25">
        <f ca="1">G4*(1+((1/T95)^(1/10)-1))^10</f>
        <v>637.06458881704748</v>
      </c>
    </row>
    <row r="5" spans="1:27" ht="16" customHeight="1" x14ac:dyDescent="0.2">
      <c r="B5" s="22" t="s">
        <v>33</v>
      </c>
      <c r="C5" s="26">
        <v>44969</v>
      </c>
      <c r="E5" s="22" t="s">
        <v>34</v>
      </c>
      <c r="G5" s="27" cm="1">
        <f t="array" ref="G5">_FV('Financials + KPIs'!B1,"price")</f>
        <v>208.78</v>
      </c>
      <c r="I5" s="22" t="s">
        <v>35</v>
      </c>
      <c r="K5" s="24">
        <v>403.66153494163507</v>
      </c>
      <c r="M5" s="22" t="s">
        <v>36</v>
      </c>
      <c r="O5" s="28">
        <f ca="1">G4/G5-1</f>
        <v>0.43433042867986793</v>
      </c>
      <c r="Q5" s="22" t="s">
        <v>37</v>
      </c>
      <c r="S5" s="28">
        <f ca="1">(S4/G5)^(1/10)-1</f>
        <v>0.11801970296040265</v>
      </c>
    </row>
    <row r="7" spans="1:27" ht="16" customHeight="1" x14ac:dyDescent="0.2">
      <c r="A7" s="22" t="s">
        <v>38</v>
      </c>
      <c r="B7" s="29" t="s">
        <v>39</v>
      </c>
      <c r="C7" s="30"/>
      <c r="D7" s="30"/>
      <c r="E7" s="31" t="s">
        <v>40</v>
      </c>
      <c r="F7" s="30"/>
      <c r="G7" s="30"/>
      <c r="H7" s="30"/>
      <c r="I7" s="30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/>
      <c r="W7"/>
      <c r="X7"/>
      <c r="Y7"/>
      <c r="Z7"/>
      <c r="AA7"/>
    </row>
    <row r="8" spans="1:27" ht="16" customHeight="1" x14ac:dyDescent="0.2">
      <c r="B8" s="33" t="s">
        <v>41</v>
      </c>
      <c r="F8" s="33" t="s">
        <v>31</v>
      </c>
      <c r="J8" s="33" t="s">
        <v>42</v>
      </c>
      <c r="N8" s="33" t="s">
        <v>35</v>
      </c>
      <c r="R8" s="33" t="s">
        <v>43</v>
      </c>
      <c r="S8" s="34"/>
      <c r="T8" s="34"/>
    </row>
    <row r="9" spans="1:27" ht="16" customHeight="1" x14ac:dyDescent="0.2">
      <c r="B9" s="22" t="s">
        <v>131</v>
      </c>
      <c r="D9" s="35">
        <v>1</v>
      </c>
      <c r="F9" s="22" t="s">
        <v>131</v>
      </c>
      <c r="H9" s="177">
        <v>-2</v>
      </c>
      <c r="J9" s="22" t="s">
        <v>131</v>
      </c>
      <c r="L9" s="177">
        <v>0</v>
      </c>
      <c r="N9" s="22" t="s">
        <v>131</v>
      </c>
      <c r="P9" s="177">
        <v>2</v>
      </c>
      <c r="R9" s="22" t="s">
        <v>44</v>
      </c>
      <c r="S9" s="34"/>
      <c r="T9" s="37">
        <f>3192+464</f>
        <v>3656</v>
      </c>
    </row>
    <row r="10" spans="1:27" ht="16" customHeight="1" x14ac:dyDescent="0.2">
      <c r="B10" s="22" t="s">
        <v>22</v>
      </c>
      <c r="D10" s="35">
        <v>2</v>
      </c>
      <c r="F10" s="22" t="s">
        <v>22</v>
      </c>
      <c r="H10" s="36">
        <v>-0.01</v>
      </c>
      <c r="J10" s="22" t="s">
        <v>22</v>
      </c>
      <c r="L10" s="36">
        <v>0</v>
      </c>
      <c r="N10" s="22" t="str">
        <f>J10</f>
        <v>Transaction volume</v>
      </c>
      <c r="P10" s="36">
        <v>0.01</v>
      </c>
      <c r="R10" s="22" t="s">
        <v>135</v>
      </c>
      <c r="S10" s="34"/>
      <c r="T10" s="37">
        <f>609+651+32904</f>
        <v>34164</v>
      </c>
    </row>
    <row r="11" spans="1:27" ht="16" customHeight="1" x14ac:dyDescent="0.2">
      <c r="B11" s="22" t="s">
        <v>132</v>
      </c>
      <c r="D11" s="35">
        <v>2</v>
      </c>
      <c r="F11" s="22" t="s">
        <v>134</v>
      </c>
      <c r="H11" s="36">
        <v>0.02</v>
      </c>
      <c r="J11" s="22" t="s">
        <v>134</v>
      </c>
      <c r="L11" s="36">
        <v>0.03</v>
      </c>
      <c r="N11" s="22" t="s">
        <v>134</v>
      </c>
      <c r="P11" s="36">
        <v>0.04</v>
      </c>
      <c r="R11" s="22" t="s">
        <v>46</v>
      </c>
      <c r="S11" s="34"/>
      <c r="T11" s="37"/>
    </row>
    <row r="12" spans="1:27" ht="16" customHeight="1" x14ac:dyDescent="0.2">
      <c r="B12" s="22" t="s">
        <v>49</v>
      </c>
      <c r="D12" s="35">
        <v>3</v>
      </c>
      <c r="F12" s="22" t="s">
        <v>49</v>
      </c>
      <c r="H12" s="36">
        <v>0.12</v>
      </c>
      <c r="J12" s="22" t="str">
        <f>F12</f>
        <v>EBIT</v>
      </c>
      <c r="L12" s="36">
        <v>0.14000000000000001</v>
      </c>
      <c r="N12" s="22" t="str">
        <f>J12</f>
        <v>EBIT</v>
      </c>
      <c r="P12" s="36">
        <v>0.15</v>
      </c>
      <c r="R12" s="22" t="s">
        <v>45</v>
      </c>
      <c r="T12" s="37"/>
    </row>
    <row r="13" spans="1:27" ht="16" customHeight="1" x14ac:dyDescent="0.2">
      <c r="B13" s="22" t="s">
        <v>8</v>
      </c>
      <c r="F13" s="22" t="s">
        <v>8</v>
      </c>
      <c r="J13" s="22" t="s">
        <v>8</v>
      </c>
      <c r="L13" s="41">
        <v>0.23</v>
      </c>
      <c r="N13" s="22" t="s">
        <v>8</v>
      </c>
      <c r="R13" s="22" t="s">
        <v>47</v>
      </c>
      <c r="S13" s="34"/>
      <c r="T13" s="40">
        <v>4.4999999999999998E-2</v>
      </c>
    </row>
    <row r="14" spans="1:27" ht="16" customHeight="1" x14ac:dyDescent="0.2">
      <c r="D14" s="39"/>
      <c r="H14" s="39"/>
      <c r="R14" s="22" t="s">
        <v>48</v>
      </c>
      <c r="T14" s="37">
        <v>620</v>
      </c>
    </row>
    <row r="15" spans="1:27" ht="16" customHeight="1" x14ac:dyDescent="0.2">
      <c r="B15" s="22" t="s">
        <v>55</v>
      </c>
      <c r="D15" s="35">
        <v>3</v>
      </c>
      <c r="F15" s="22" t="s">
        <v>55</v>
      </c>
      <c r="H15" s="38">
        <f>L15-0.5%</f>
        <v>7.3416285834826595E-2</v>
      </c>
      <c r="J15" s="22" t="s">
        <v>55</v>
      </c>
      <c r="L15" s="43">
        <f>WACC!F22</f>
        <v>7.8416285834826599E-2</v>
      </c>
      <c r="N15" s="22" t="s">
        <v>55</v>
      </c>
      <c r="P15" s="38">
        <f>L15+0.5%</f>
        <v>8.3416285834826603E-2</v>
      </c>
    </row>
    <row r="16" spans="1:27" ht="16" customHeight="1" x14ac:dyDescent="0.2">
      <c r="B16" s="22" t="s">
        <v>56</v>
      </c>
      <c r="D16" s="35">
        <v>3</v>
      </c>
      <c r="F16" s="22" t="s">
        <v>56</v>
      </c>
      <c r="H16" s="44">
        <f>L16-0.5%</f>
        <v>0.02</v>
      </c>
      <c r="J16" s="22" t="s">
        <v>56</v>
      </c>
      <c r="L16" s="44">
        <v>2.5000000000000001E-2</v>
      </c>
      <c r="N16" s="22" t="s">
        <v>56</v>
      </c>
      <c r="P16" s="44">
        <f>L16+0.5%</f>
        <v>3.0000000000000002E-2</v>
      </c>
      <c r="R16" s="33" t="s">
        <v>50</v>
      </c>
      <c r="S16" s="34"/>
      <c r="T16" s="34"/>
    </row>
    <row r="17" spans="1:24" ht="16" customHeight="1" x14ac:dyDescent="0.2">
      <c r="B17" s="22" t="s">
        <v>57</v>
      </c>
      <c r="D17" s="35">
        <v>1</v>
      </c>
      <c r="F17" s="22" t="s">
        <v>57</v>
      </c>
      <c r="H17" s="45">
        <f>L17-2</f>
        <v>13</v>
      </c>
      <c r="I17" s="46"/>
      <c r="J17" s="46" t="s">
        <v>57</v>
      </c>
      <c r="K17" s="46"/>
      <c r="L17" s="45">
        <v>15</v>
      </c>
      <c r="M17" s="46"/>
      <c r="N17" s="46" t="s">
        <v>57</v>
      </c>
      <c r="O17" s="46"/>
      <c r="P17" s="45">
        <f>L17+2</f>
        <v>17</v>
      </c>
      <c r="R17" s="22" t="s">
        <v>51</v>
      </c>
      <c r="S17" s="34"/>
      <c r="T17" s="40">
        <v>3.4770000000000002E-2</v>
      </c>
    </row>
    <row r="18" spans="1:24" s="34" customFormat="1" ht="16" customHeight="1" x14ac:dyDescent="0.2">
      <c r="R18" s="22" t="s">
        <v>52</v>
      </c>
      <c r="T18" s="40">
        <v>4.8899999999999999E-2</v>
      </c>
      <c r="V18" s="22"/>
      <c r="W18" s="22"/>
      <c r="X18" s="22"/>
    </row>
    <row r="19" spans="1:24" s="34" customFormat="1" ht="16" customHeight="1" x14ac:dyDescent="0.2">
      <c r="B19" s="33" t="s">
        <v>58</v>
      </c>
      <c r="F19" s="33" t="s">
        <v>59</v>
      </c>
      <c r="R19" s="22" t="s">
        <v>53</v>
      </c>
      <c r="S19" s="22"/>
      <c r="T19" s="42">
        <v>1.1599999999999999</v>
      </c>
      <c r="V19" s="22"/>
      <c r="W19" s="22"/>
      <c r="X19" s="22"/>
    </row>
    <row r="20" spans="1:24" s="34" customFormat="1" ht="16" customHeight="1" x14ac:dyDescent="0.2">
      <c r="B20" s="22" t="s">
        <v>55</v>
      </c>
      <c r="D20" s="38">
        <f>CHOOSE(D15,H15,L15,P15,H20)</f>
        <v>8.3416285834826603E-2</v>
      </c>
      <c r="F20" s="22" t="s">
        <v>55</v>
      </c>
      <c r="G20" s="22"/>
      <c r="H20" s="40"/>
      <c r="R20" s="22" t="s">
        <v>54</v>
      </c>
      <c r="T20" s="40">
        <f>K94-1%</f>
        <v>7.3416285834826608E-2</v>
      </c>
      <c r="V20" s="22"/>
      <c r="W20" s="22"/>
      <c r="X20" s="22"/>
    </row>
    <row r="21" spans="1:24" s="34" customFormat="1" ht="16" customHeight="1" x14ac:dyDescent="0.2">
      <c r="B21" s="22" t="s">
        <v>56</v>
      </c>
      <c r="D21" s="38">
        <f>CHOOSE(D16,H16,L16,P16,H21)</f>
        <v>3.0000000000000002E-2</v>
      </c>
      <c r="F21" s="22" t="s">
        <v>56</v>
      </c>
      <c r="G21" s="22"/>
      <c r="H21" s="47"/>
      <c r="V21" s="22"/>
    </row>
    <row r="22" spans="1:24" s="34" customFormat="1" ht="16" customHeight="1" x14ac:dyDescent="0.2">
      <c r="B22" s="22" t="s">
        <v>57</v>
      </c>
      <c r="D22" s="45">
        <f>CHOOSE(D17,H17,L17,P17,H22)</f>
        <v>13</v>
      </c>
      <c r="F22" s="46" t="s">
        <v>57</v>
      </c>
      <c r="G22" s="46"/>
      <c r="H22" s="48"/>
    </row>
    <row r="24" spans="1:24" ht="16" customHeight="1" x14ac:dyDescent="0.2">
      <c r="A24" s="22" t="s">
        <v>38</v>
      </c>
      <c r="B24" s="29" t="s">
        <v>127</v>
      </c>
      <c r="C24" s="29"/>
      <c r="D24" s="29"/>
      <c r="E24" s="49">
        <v>2017</v>
      </c>
      <c r="F24" s="49">
        <f>E24+1</f>
        <v>2018</v>
      </c>
      <c r="G24" s="49">
        <f t="shared" ref="G24:J24" si="0">F24+1</f>
        <v>2019</v>
      </c>
      <c r="H24" s="49">
        <f t="shared" si="0"/>
        <v>2020</v>
      </c>
      <c r="I24" s="49">
        <f t="shared" si="0"/>
        <v>2021</v>
      </c>
      <c r="J24" s="49">
        <f t="shared" si="0"/>
        <v>2022</v>
      </c>
      <c r="K24" s="50">
        <v>2022</v>
      </c>
      <c r="L24" s="50">
        <f>K24+1</f>
        <v>2023</v>
      </c>
      <c r="M24" s="50">
        <f t="shared" ref="M24:U24" si="1">L24+1</f>
        <v>2024</v>
      </c>
      <c r="N24" s="50">
        <f t="shared" si="1"/>
        <v>2025</v>
      </c>
      <c r="O24" s="50">
        <f t="shared" si="1"/>
        <v>2026</v>
      </c>
      <c r="P24" s="50">
        <f t="shared" si="1"/>
        <v>2027</v>
      </c>
      <c r="Q24" s="50">
        <f t="shared" si="1"/>
        <v>2028</v>
      </c>
      <c r="R24" s="50">
        <f t="shared" si="1"/>
        <v>2029</v>
      </c>
      <c r="S24" s="50">
        <f t="shared" si="1"/>
        <v>2030</v>
      </c>
      <c r="T24" s="50">
        <f t="shared" si="1"/>
        <v>2031</v>
      </c>
      <c r="U24" s="50">
        <f t="shared" si="1"/>
        <v>2032</v>
      </c>
    </row>
    <row r="25" spans="1:24" ht="16" customHeight="1" x14ac:dyDescent="0.2">
      <c r="B25" s="29" t="s">
        <v>60</v>
      </c>
      <c r="C25" s="29"/>
      <c r="D25" s="29"/>
      <c r="E25" s="51">
        <f>EDATE(F25,-12)</f>
        <v>42766</v>
      </c>
      <c r="F25" s="51">
        <f t="shared" ref="F25:I25" si="2">EDATE(G25,-12)</f>
        <v>43131</v>
      </c>
      <c r="G25" s="51">
        <f t="shared" si="2"/>
        <v>43496</v>
      </c>
      <c r="H25" s="51">
        <f t="shared" si="2"/>
        <v>43861</v>
      </c>
      <c r="I25" s="51">
        <f t="shared" si="2"/>
        <v>44227</v>
      </c>
      <c r="J25" s="51">
        <f>EDATE(K25,-12)</f>
        <v>44592</v>
      </c>
      <c r="K25" s="51">
        <v>44957</v>
      </c>
      <c r="L25" s="51">
        <f>EDATE(K25,12)</f>
        <v>45322</v>
      </c>
      <c r="M25" s="51">
        <f t="shared" ref="M25:U25" si="3">EDATE(L25,12)</f>
        <v>45688</v>
      </c>
      <c r="N25" s="51">
        <f t="shared" si="3"/>
        <v>46053</v>
      </c>
      <c r="O25" s="51">
        <f t="shared" si="3"/>
        <v>46418</v>
      </c>
      <c r="P25" s="51">
        <f t="shared" si="3"/>
        <v>46783</v>
      </c>
      <c r="Q25" s="51">
        <f t="shared" si="3"/>
        <v>47149</v>
      </c>
      <c r="R25" s="51">
        <f t="shared" si="3"/>
        <v>47514</v>
      </c>
      <c r="S25" s="51">
        <f t="shared" si="3"/>
        <v>47879</v>
      </c>
      <c r="T25" s="51">
        <f t="shared" si="3"/>
        <v>48244</v>
      </c>
      <c r="U25" s="51">
        <f t="shared" si="3"/>
        <v>48610</v>
      </c>
    </row>
    <row r="26" spans="1:24" ht="16" customHeight="1" x14ac:dyDescent="0.2">
      <c r="B26" s="33" t="s">
        <v>23</v>
      </c>
      <c r="E26" s="52">
        <f>'Financials + KPIs'!M3</f>
        <v>2129</v>
      </c>
      <c r="F26" s="52">
        <f>'Financials + KPIs'!N3</f>
        <v>2152</v>
      </c>
      <c r="G26" s="52">
        <f>'Financials + KPIs'!O3</f>
        <v>2015</v>
      </c>
      <c r="H26" s="52">
        <f>'Financials + KPIs'!P3</f>
        <v>1977</v>
      </c>
      <c r="I26" s="52">
        <f>'Financials + KPIs'!Q3</f>
        <v>1974</v>
      </c>
      <c r="J26" s="53">
        <f>'Financials + KPIs'!R3</f>
        <v>1971</v>
      </c>
      <c r="K26" s="54">
        <f ca="1">J26+K28</f>
        <v>1969</v>
      </c>
      <c r="L26" s="54">
        <f t="shared" ref="L26:U26" ca="1" si="4">K26+L28</f>
        <v>1967</v>
      </c>
      <c r="M26" s="54">
        <f t="shared" ca="1" si="4"/>
        <v>1965</v>
      </c>
      <c r="N26" s="54">
        <f t="shared" ca="1" si="4"/>
        <v>1963</v>
      </c>
      <c r="O26" s="54">
        <f t="shared" ca="1" si="4"/>
        <v>1961</v>
      </c>
      <c r="P26" s="54">
        <f t="shared" ca="1" si="4"/>
        <v>1959</v>
      </c>
      <c r="Q26" s="54">
        <f t="shared" ca="1" si="4"/>
        <v>1957</v>
      </c>
      <c r="R26" s="54">
        <f t="shared" ca="1" si="4"/>
        <v>1955</v>
      </c>
      <c r="S26" s="54">
        <f t="shared" ca="1" si="4"/>
        <v>1953</v>
      </c>
      <c r="T26" s="54">
        <f t="shared" ca="1" si="4"/>
        <v>1951</v>
      </c>
      <c r="U26" s="54">
        <f t="shared" ca="1" si="4"/>
        <v>1949</v>
      </c>
    </row>
    <row r="27" spans="1:24" s="55" customFormat="1" ht="16" customHeight="1" x14ac:dyDescent="0.2">
      <c r="B27" s="55" t="s">
        <v>61</v>
      </c>
      <c r="F27" s="56">
        <f t="shared" ref="F27:G27" si="5">F26/E26-1</f>
        <v>1.0803193987787729E-2</v>
      </c>
      <c r="G27" s="56">
        <f t="shared" si="5"/>
        <v>-6.366171003717469E-2</v>
      </c>
      <c r="H27" s="56">
        <f>H26/G26-1</f>
        <v>-1.8858560794044688E-2</v>
      </c>
      <c r="I27" s="56">
        <f t="shared" ref="I27:U27" si="6">I26/H26-1</f>
        <v>-1.5174506828528056E-3</v>
      </c>
      <c r="J27" s="57">
        <f t="shared" si="6"/>
        <v>-1.5197568389058169E-3</v>
      </c>
      <c r="K27" s="56">
        <f t="shared" ca="1" si="6"/>
        <v>-1.0147133434804667E-3</v>
      </c>
      <c r="L27" s="56">
        <f t="shared" ca="1" si="6"/>
        <v>-1.0157440325038181E-3</v>
      </c>
      <c r="M27" s="56">
        <f t="shared" ca="1" si="6"/>
        <v>-1.0167768174885738E-3</v>
      </c>
      <c r="N27" s="56">
        <f t="shared" ca="1" si="6"/>
        <v>-1.0178117048346147E-3</v>
      </c>
      <c r="O27" s="56">
        <f t="shared" ca="1" si="6"/>
        <v>-1.0188487009679115E-3</v>
      </c>
      <c r="P27" s="56">
        <f t="shared" ca="1" si="6"/>
        <v>-1.0198878123406363E-3</v>
      </c>
      <c r="Q27" s="56">
        <f t="shared" ca="1" si="6"/>
        <v>-1.0209290454313846E-3</v>
      </c>
      <c r="R27" s="56">
        <f t="shared" ca="1" si="6"/>
        <v>-1.0219724067450642E-3</v>
      </c>
      <c r="S27" s="56">
        <f t="shared" ca="1" si="6"/>
        <v>-1.023017902813339E-3</v>
      </c>
      <c r="T27" s="56">
        <f t="shared" ca="1" si="6"/>
        <v>-1.0240655401945187E-3</v>
      </c>
      <c r="U27" s="56">
        <f t="shared" ca="1" si="6"/>
        <v>-1.025115325474113E-3</v>
      </c>
    </row>
    <row r="28" spans="1:24" s="55" customFormat="1" ht="16" customHeight="1" x14ac:dyDescent="0.2">
      <c r="B28" s="55" t="s">
        <v>24</v>
      </c>
      <c r="F28" s="168">
        <f>F26-E26</f>
        <v>23</v>
      </c>
      <c r="G28" s="168">
        <f t="shared" ref="G28:J28" si="7">G26-F26</f>
        <v>-137</v>
      </c>
      <c r="H28" s="168">
        <f t="shared" si="7"/>
        <v>-38</v>
      </c>
      <c r="I28" s="168">
        <f t="shared" si="7"/>
        <v>-3</v>
      </c>
      <c r="J28" s="181">
        <f t="shared" si="7"/>
        <v>-3</v>
      </c>
      <c r="K28" s="168">
        <f ca="1">OFFSET(K28,$D$9,0)</f>
        <v>-2</v>
      </c>
      <c r="L28" s="168">
        <f t="shared" ref="L28:U28" ca="1" si="8">OFFSET(L28,$D$9,0)</f>
        <v>-2</v>
      </c>
      <c r="M28" s="168">
        <f t="shared" ca="1" si="8"/>
        <v>-2</v>
      </c>
      <c r="N28" s="168">
        <f t="shared" ca="1" si="8"/>
        <v>-2</v>
      </c>
      <c r="O28" s="168">
        <f t="shared" ca="1" si="8"/>
        <v>-2</v>
      </c>
      <c r="P28" s="168">
        <f t="shared" ca="1" si="8"/>
        <v>-2</v>
      </c>
      <c r="Q28" s="168">
        <f t="shared" ca="1" si="8"/>
        <v>-2</v>
      </c>
      <c r="R28" s="168">
        <f t="shared" ca="1" si="8"/>
        <v>-2</v>
      </c>
      <c r="S28" s="168">
        <f t="shared" ca="1" si="8"/>
        <v>-2</v>
      </c>
      <c r="T28" s="168">
        <f t="shared" ca="1" si="8"/>
        <v>-2</v>
      </c>
      <c r="U28" s="168">
        <f t="shared" ca="1" si="8"/>
        <v>-2</v>
      </c>
    </row>
    <row r="29" spans="1:24" ht="16" customHeight="1" x14ac:dyDescent="0.2">
      <c r="B29" s="22" t="s">
        <v>31</v>
      </c>
      <c r="J29" s="58"/>
      <c r="K29" s="169">
        <f>K30</f>
        <v>-2</v>
      </c>
      <c r="L29" s="170">
        <f>H9</f>
        <v>-2</v>
      </c>
      <c r="M29" s="171">
        <f>L29</f>
        <v>-2</v>
      </c>
      <c r="N29" s="171">
        <f t="shared" ref="N29:U29" si="9">M29</f>
        <v>-2</v>
      </c>
      <c r="O29" s="171">
        <f t="shared" si="9"/>
        <v>-2</v>
      </c>
      <c r="P29" s="171">
        <f t="shared" si="9"/>
        <v>-2</v>
      </c>
      <c r="Q29" s="171">
        <f t="shared" si="9"/>
        <v>-2</v>
      </c>
      <c r="R29" s="171">
        <f t="shared" si="9"/>
        <v>-2</v>
      </c>
      <c r="S29" s="171">
        <f t="shared" si="9"/>
        <v>-2</v>
      </c>
      <c r="T29" s="171">
        <f t="shared" si="9"/>
        <v>-2</v>
      </c>
      <c r="U29" s="171">
        <f t="shared" si="9"/>
        <v>-2</v>
      </c>
    </row>
    <row r="30" spans="1:24" ht="16" customHeight="1" x14ac:dyDescent="0.2">
      <c r="B30" s="22" t="s">
        <v>42</v>
      </c>
      <c r="J30" s="58"/>
      <c r="K30" s="172">
        <f>'Financials + KPIs'!S5</f>
        <v>-2</v>
      </c>
      <c r="L30" s="170">
        <f>L9</f>
        <v>0</v>
      </c>
      <c r="M30" s="171">
        <f t="shared" ref="M30:U31" si="10">L30</f>
        <v>0</v>
      </c>
      <c r="N30" s="171">
        <f t="shared" si="10"/>
        <v>0</v>
      </c>
      <c r="O30" s="171">
        <f t="shared" si="10"/>
        <v>0</v>
      </c>
      <c r="P30" s="171">
        <f t="shared" si="10"/>
        <v>0</v>
      </c>
      <c r="Q30" s="171">
        <f t="shared" si="10"/>
        <v>0</v>
      </c>
      <c r="R30" s="171">
        <f t="shared" si="10"/>
        <v>0</v>
      </c>
      <c r="S30" s="171">
        <f t="shared" si="10"/>
        <v>0</v>
      </c>
      <c r="T30" s="171">
        <f t="shared" si="10"/>
        <v>0</v>
      </c>
      <c r="U30" s="171">
        <f t="shared" si="10"/>
        <v>0</v>
      </c>
    </row>
    <row r="31" spans="1:24" ht="16" customHeight="1" x14ac:dyDescent="0.2">
      <c r="B31" s="22" t="s">
        <v>62</v>
      </c>
      <c r="J31" s="58"/>
      <c r="K31" s="169">
        <f>K30</f>
        <v>-2</v>
      </c>
      <c r="L31" s="170">
        <f>P9</f>
        <v>2</v>
      </c>
      <c r="M31" s="171">
        <f t="shared" si="10"/>
        <v>2</v>
      </c>
      <c r="N31" s="171">
        <f t="shared" si="10"/>
        <v>2</v>
      </c>
      <c r="O31" s="171">
        <f t="shared" si="10"/>
        <v>2</v>
      </c>
      <c r="P31" s="171">
        <f t="shared" si="10"/>
        <v>2</v>
      </c>
      <c r="Q31" s="171">
        <f t="shared" si="10"/>
        <v>2</v>
      </c>
      <c r="R31" s="171">
        <f t="shared" si="10"/>
        <v>2</v>
      </c>
      <c r="S31" s="171">
        <f t="shared" si="10"/>
        <v>2</v>
      </c>
      <c r="T31" s="171">
        <f t="shared" si="10"/>
        <v>2</v>
      </c>
      <c r="U31" s="171">
        <f t="shared" si="10"/>
        <v>2</v>
      </c>
    </row>
    <row r="32" spans="1:24" ht="16" customHeight="1" x14ac:dyDescent="0.2">
      <c r="B32" s="22" t="s">
        <v>59</v>
      </c>
      <c r="J32" s="58"/>
      <c r="K32" s="173"/>
      <c r="L32" s="174"/>
      <c r="M32" s="174"/>
      <c r="N32" s="174"/>
      <c r="O32" s="174"/>
      <c r="P32" s="174"/>
      <c r="Q32" s="174"/>
      <c r="R32" s="174"/>
      <c r="S32" s="174"/>
      <c r="T32" s="174"/>
      <c r="U32" s="174"/>
    </row>
    <row r="33" spans="2:21" ht="16" customHeight="1" x14ac:dyDescent="0.2">
      <c r="J33" s="58"/>
    </row>
    <row r="34" spans="2:21" ht="16" customHeight="1" x14ac:dyDescent="0.2">
      <c r="B34" s="33" t="s">
        <v>129</v>
      </c>
      <c r="E34" s="167">
        <f>'Financials + KPIs'!M10</f>
        <v>0.44387036167214655</v>
      </c>
      <c r="F34" s="167">
        <f>'Financials + KPIs'!N10</f>
        <v>0.44284386617100374</v>
      </c>
      <c r="G34" s="167">
        <f>'Financials + KPIs'!O10</f>
        <v>0.46699751861042182</v>
      </c>
      <c r="H34" s="167">
        <f>'Financials + KPIs'!P10</f>
        <v>0.46585735963581182</v>
      </c>
      <c r="I34" s="167">
        <f>'Financials + KPIs'!Q10</f>
        <v>0.52988855116514688</v>
      </c>
      <c r="J34" s="182">
        <f>'Financials + KPIs'!R10</f>
        <v>0.50837138508371382</v>
      </c>
      <c r="K34" s="175">
        <f ca="1">J34*(1+K35)</f>
        <v>0.47158295281582951</v>
      </c>
      <c r="L34" s="176">
        <f t="shared" ref="L34:U34" ca="1" si="11">K34*(1+L35)</f>
        <v>0.47158295281582951</v>
      </c>
      <c r="M34" s="176">
        <f t="shared" ca="1" si="11"/>
        <v>0.47158295281582951</v>
      </c>
      <c r="N34" s="176">
        <f t="shared" ca="1" si="11"/>
        <v>0.47158295281582951</v>
      </c>
      <c r="O34" s="176">
        <f t="shared" ca="1" si="11"/>
        <v>0.47158295281582951</v>
      </c>
      <c r="P34" s="176">
        <f t="shared" ca="1" si="11"/>
        <v>0.47158295281582951</v>
      </c>
      <c r="Q34" s="176">
        <f t="shared" ca="1" si="11"/>
        <v>0.47158295281582951</v>
      </c>
      <c r="R34" s="176">
        <f t="shared" ca="1" si="11"/>
        <v>0.47158295281582951</v>
      </c>
      <c r="S34" s="176">
        <f t="shared" ca="1" si="11"/>
        <v>0.47158295281582951</v>
      </c>
      <c r="T34" s="176">
        <f t="shared" ca="1" si="11"/>
        <v>0.47158295281582951</v>
      </c>
      <c r="U34" s="176">
        <f t="shared" ca="1" si="11"/>
        <v>0.47158295281582951</v>
      </c>
    </row>
    <row r="35" spans="2:21" s="55" customFormat="1" ht="16" customHeight="1" x14ac:dyDescent="0.2">
      <c r="B35" s="55" t="s">
        <v>61</v>
      </c>
      <c r="F35" s="56">
        <f t="shared" ref="F35:H35" si="12">F34/E34-1</f>
        <v>-2.3126020337915776E-3</v>
      </c>
      <c r="G35" s="56">
        <f t="shared" si="12"/>
        <v>5.4542140660679639E-2</v>
      </c>
      <c r="H35" s="56">
        <f t="shared" si="12"/>
        <v>-2.4414668797441141E-3</v>
      </c>
      <c r="I35" s="56">
        <f>I34/H34-1</f>
        <v>0.1374480625988006</v>
      </c>
      <c r="J35" s="57">
        <f>J34/I34-1</f>
        <v>-4.0606965434750397E-2</v>
      </c>
      <c r="K35" s="56">
        <f ca="1">OFFSET(K35,$D$10,0)</f>
        <v>-7.2365269461077797E-2</v>
      </c>
      <c r="L35" s="56">
        <f t="shared" ref="L35:U35" ca="1" si="13">OFFSET(L35,$D$10,0)</f>
        <v>0</v>
      </c>
      <c r="M35" s="56">
        <f t="shared" ca="1" si="13"/>
        <v>0</v>
      </c>
      <c r="N35" s="56">
        <f t="shared" ca="1" si="13"/>
        <v>0</v>
      </c>
      <c r="O35" s="56">
        <f t="shared" ca="1" si="13"/>
        <v>0</v>
      </c>
      <c r="P35" s="56">
        <f t="shared" ca="1" si="13"/>
        <v>0</v>
      </c>
      <c r="Q35" s="56">
        <f t="shared" ca="1" si="13"/>
        <v>0</v>
      </c>
      <c r="R35" s="56">
        <f t="shared" ca="1" si="13"/>
        <v>0</v>
      </c>
      <c r="S35" s="56">
        <f t="shared" ca="1" si="13"/>
        <v>0</v>
      </c>
      <c r="T35" s="56">
        <f t="shared" ca="1" si="13"/>
        <v>0</v>
      </c>
      <c r="U35" s="56">
        <f t="shared" ca="1" si="13"/>
        <v>0</v>
      </c>
    </row>
    <row r="36" spans="2:21" ht="16" customHeight="1" x14ac:dyDescent="0.2">
      <c r="B36" s="22" t="s">
        <v>31</v>
      </c>
      <c r="J36" s="58"/>
      <c r="K36" s="59">
        <f>K37</f>
        <v>-7.2365269461077797E-2</v>
      </c>
      <c r="L36" s="60">
        <f>H10</f>
        <v>-0.01</v>
      </c>
      <c r="M36" s="61">
        <f>L36</f>
        <v>-0.01</v>
      </c>
      <c r="N36" s="61">
        <f t="shared" ref="N36:U36" si="14">M36</f>
        <v>-0.01</v>
      </c>
      <c r="O36" s="61">
        <f t="shared" si="14"/>
        <v>-0.01</v>
      </c>
      <c r="P36" s="61">
        <f t="shared" si="14"/>
        <v>-0.01</v>
      </c>
      <c r="Q36" s="61">
        <f t="shared" si="14"/>
        <v>-0.01</v>
      </c>
      <c r="R36" s="61">
        <f t="shared" si="14"/>
        <v>-0.01</v>
      </c>
      <c r="S36" s="61">
        <f t="shared" si="14"/>
        <v>-0.01</v>
      </c>
      <c r="T36" s="61">
        <f t="shared" si="14"/>
        <v>-0.01</v>
      </c>
      <c r="U36" s="61">
        <f t="shared" si="14"/>
        <v>-0.01</v>
      </c>
    </row>
    <row r="37" spans="2:21" ht="16" customHeight="1" x14ac:dyDescent="0.2">
      <c r="B37" s="22" t="s">
        <v>42</v>
      </c>
      <c r="J37" s="58"/>
      <c r="K37" s="62">
        <f>'Financials + KPIs'!S9</f>
        <v>-7.2365269461077797E-2</v>
      </c>
      <c r="L37" s="60">
        <f>L10</f>
        <v>0</v>
      </c>
      <c r="M37" s="61">
        <f t="shared" ref="M37:U38" si="15">L37</f>
        <v>0</v>
      </c>
      <c r="N37" s="61">
        <f t="shared" si="15"/>
        <v>0</v>
      </c>
      <c r="O37" s="61">
        <f t="shared" si="15"/>
        <v>0</v>
      </c>
      <c r="P37" s="61">
        <f t="shared" si="15"/>
        <v>0</v>
      </c>
      <c r="Q37" s="61">
        <f t="shared" si="15"/>
        <v>0</v>
      </c>
      <c r="R37" s="61">
        <f t="shared" si="15"/>
        <v>0</v>
      </c>
      <c r="S37" s="61">
        <f t="shared" si="15"/>
        <v>0</v>
      </c>
      <c r="T37" s="61">
        <f t="shared" si="15"/>
        <v>0</v>
      </c>
      <c r="U37" s="61">
        <f t="shared" si="15"/>
        <v>0</v>
      </c>
    </row>
    <row r="38" spans="2:21" ht="16" customHeight="1" x14ac:dyDescent="0.2">
      <c r="B38" s="22" t="s">
        <v>62</v>
      </c>
      <c r="J38" s="58"/>
      <c r="K38" s="59">
        <f>K37</f>
        <v>-7.2365269461077797E-2</v>
      </c>
      <c r="L38" s="60">
        <f>P10</f>
        <v>0.01</v>
      </c>
      <c r="M38" s="61">
        <f t="shared" si="15"/>
        <v>0.01</v>
      </c>
      <c r="N38" s="61">
        <f t="shared" si="15"/>
        <v>0.01</v>
      </c>
      <c r="O38" s="61">
        <f t="shared" si="15"/>
        <v>0.01</v>
      </c>
      <c r="P38" s="61">
        <f t="shared" si="15"/>
        <v>0.01</v>
      </c>
      <c r="Q38" s="61">
        <f t="shared" si="15"/>
        <v>0.01</v>
      </c>
      <c r="R38" s="61">
        <f t="shared" si="15"/>
        <v>0.01</v>
      </c>
      <c r="S38" s="61">
        <f t="shared" si="15"/>
        <v>0.01</v>
      </c>
      <c r="T38" s="61">
        <f t="shared" si="15"/>
        <v>0.01</v>
      </c>
      <c r="U38" s="61">
        <f t="shared" si="15"/>
        <v>0.01</v>
      </c>
    </row>
    <row r="39" spans="2:21" ht="16" customHeight="1" x14ac:dyDescent="0.2">
      <c r="B39" s="22" t="s">
        <v>59</v>
      </c>
      <c r="J39" s="58"/>
      <c r="K39" s="63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 spans="2:21" customFormat="1" ht="16" customHeight="1" x14ac:dyDescent="0.2">
      <c r="J40" s="66"/>
    </row>
    <row r="41" spans="2:21" s="3" customFormat="1" ht="16" customHeight="1" x14ac:dyDescent="0.2">
      <c r="B41" s="3" t="s">
        <v>130</v>
      </c>
      <c r="E41" s="4">
        <f>E34*E26</f>
        <v>945</v>
      </c>
      <c r="F41" s="4">
        <f>F34*F26</f>
        <v>953</v>
      </c>
      <c r="G41" s="4">
        <f>G34*G26</f>
        <v>941</v>
      </c>
      <c r="H41" s="4">
        <f>H34*H26</f>
        <v>921</v>
      </c>
      <c r="I41" s="4">
        <f>I34*I26</f>
        <v>1046</v>
      </c>
      <c r="J41" s="183">
        <f>J34*J26</f>
        <v>1002</v>
      </c>
      <c r="K41" s="4">
        <f ca="1">K34*K26</f>
        <v>928.54683409436836</v>
      </c>
      <c r="L41" s="4">
        <f ca="1">L34*L26</f>
        <v>927.60366818873661</v>
      </c>
      <c r="M41" s="4">
        <f ca="1">M34*M26</f>
        <v>926.66050228310496</v>
      </c>
      <c r="N41" s="4">
        <f ca="1">N34*N26</f>
        <v>925.71733637747332</v>
      </c>
      <c r="O41" s="4">
        <f ca="1">O34*O26</f>
        <v>924.77417047184167</v>
      </c>
      <c r="P41" s="4">
        <f ca="1">P34*P26</f>
        <v>923.83100456621003</v>
      </c>
      <c r="Q41" s="4">
        <f ca="1">Q34*Q26</f>
        <v>922.88783866057838</v>
      </c>
      <c r="R41" s="4">
        <f ca="1">R34*R26</f>
        <v>921.94467275494674</v>
      </c>
      <c r="S41" s="4">
        <f ca="1">S34*S26</f>
        <v>921.00150684931509</v>
      </c>
      <c r="T41" s="4">
        <f ca="1">T34*T26</f>
        <v>920.05834094368333</v>
      </c>
      <c r="U41" s="4">
        <f ca="1">U34*U26</f>
        <v>919.11517503805169</v>
      </c>
    </row>
    <row r="42" spans="2:21" customFormat="1" ht="16" customHeight="1" x14ac:dyDescent="0.2">
      <c r="J42" s="66"/>
    </row>
    <row r="43" spans="2:21" ht="16" customHeight="1" x14ac:dyDescent="0.2">
      <c r="B43" s="33" t="s">
        <v>21</v>
      </c>
      <c r="E43" s="178">
        <f>'Financials + KPIs'!M12</f>
        <v>68.801058201058197</v>
      </c>
      <c r="F43" s="178">
        <f>'Financials + KPIs'!N12</f>
        <v>72.003147953830009</v>
      </c>
      <c r="G43" s="178">
        <f>'Financials + KPIs'!O12</f>
        <v>75.780021253985126</v>
      </c>
      <c r="H43" s="178">
        <f>'Financials + KPIs'!P12</f>
        <v>78.336590662323559</v>
      </c>
      <c r="I43" s="178">
        <f>'Financials + KPIs'!Q12</f>
        <v>85.656787762906305</v>
      </c>
      <c r="J43" s="184">
        <f>'Financials + KPIs'!R12</f>
        <v>96.057884231536931</v>
      </c>
      <c r="K43" s="179">
        <f ca="1">J43*(1+K44)</f>
        <v>104.548496487321</v>
      </c>
      <c r="L43" s="180">
        <f t="shared" ref="L43:U43" ca="1" si="16">K43*(1+L44)</f>
        <v>107.68495138194064</v>
      </c>
      <c r="M43" s="180">
        <f t="shared" ca="1" si="16"/>
        <v>110.91549992339885</v>
      </c>
      <c r="N43" s="180">
        <f t="shared" ca="1" si="16"/>
        <v>114.24296492110082</v>
      </c>
      <c r="O43" s="180">
        <f t="shared" ca="1" si="16"/>
        <v>117.67025386873385</v>
      </c>
      <c r="P43" s="180">
        <f t="shared" ca="1" si="16"/>
        <v>121.20036148479588</v>
      </c>
      <c r="Q43" s="180">
        <f t="shared" ca="1" si="16"/>
        <v>124.83637232933975</v>
      </c>
      <c r="R43" s="180">
        <f t="shared" ca="1" si="16"/>
        <v>128.58146349921995</v>
      </c>
      <c r="S43" s="180">
        <f t="shared" ca="1" si="16"/>
        <v>132.43890740419656</v>
      </c>
      <c r="T43" s="180">
        <f t="shared" ca="1" si="16"/>
        <v>136.41207462632246</v>
      </c>
      <c r="U43" s="180">
        <f t="shared" ca="1" si="16"/>
        <v>140.50443686511215</v>
      </c>
    </row>
    <row r="44" spans="2:21" s="55" customFormat="1" ht="16" customHeight="1" x14ac:dyDescent="0.2">
      <c r="B44" s="55" t="s">
        <v>61</v>
      </c>
      <c r="F44" s="56">
        <f t="shared" ref="F44:H44" si="17">F43/E43-1</f>
        <v>4.6541286376937663E-2</v>
      </c>
      <c r="G44" s="56">
        <f t="shared" si="17"/>
        <v>5.2454280229205175E-2</v>
      </c>
      <c r="H44" s="56">
        <f t="shared" si="17"/>
        <v>3.3736720655828334E-2</v>
      </c>
      <c r="I44" s="56">
        <f>I43/H43-1</f>
        <v>9.3445438953771554E-2</v>
      </c>
      <c r="J44" s="57">
        <f>J43/I43-1</f>
        <v>0.12142758023357514</v>
      </c>
      <c r="K44" s="56">
        <f ca="1">OFFSET(K44,$D$11,0)</f>
        <v>8.8390581613461139E-2</v>
      </c>
      <c r="L44" s="56">
        <f ca="1">OFFSET(L44,$D$11,0)</f>
        <v>0.03</v>
      </c>
      <c r="M44" s="56">
        <f ca="1">OFFSET(M44,$D$11,0)</f>
        <v>0.03</v>
      </c>
      <c r="N44" s="56">
        <f ca="1">OFFSET(N44,$D$11,0)</f>
        <v>0.03</v>
      </c>
      <c r="O44" s="56">
        <f ca="1">OFFSET(O44,$D$11,0)</f>
        <v>0.03</v>
      </c>
      <c r="P44" s="56">
        <f ca="1">OFFSET(P44,$D$11,0)</f>
        <v>0.03</v>
      </c>
      <c r="Q44" s="56">
        <f ca="1">OFFSET(Q44,$D$11,0)</f>
        <v>0.03</v>
      </c>
      <c r="R44" s="56">
        <f ca="1">OFFSET(R44,$D$11,0)</f>
        <v>0.03</v>
      </c>
      <c r="S44" s="56">
        <f ca="1">OFFSET(S44,$D$11,0)</f>
        <v>0.03</v>
      </c>
      <c r="T44" s="56">
        <f ca="1">OFFSET(T44,$D$11,0)</f>
        <v>0.03</v>
      </c>
      <c r="U44" s="56">
        <f ca="1">OFFSET(U44,$D$11,0)</f>
        <v>0.03</v>
      </c>
    </row>
    <row r="45" spans="2:21" ht="16" customHeight="1" x14ac:dyDescent="0.2">
      <c r="B45" s="22" t="s">
        <v>31</v>
      </c>
      <c r="J45" s="58"/>
      <c r="K45" s="59">
        <f>K46</f>
        <v>8.8390581613461139E-2</v>
      </c>
      <c r="L45" s="60">
        <f>H11</f>
        <v>0.02</v>
      </c>
      <c r="M45" s="61">
        <f>L45</f>
        <v>0.02</v>
      </c>
      <c r="N45" s="61">
        <f t="shared" ref="N45:U45" si="18">M45</f>
        <v>0.02</v>
      </c>
      <c r="O45" s="61">
        <f t="shared" si="18"/>
        <v>0.02</v>
      </c>
      <c r="P45" s="61">
        <f t="shared" si="18"/>
        <v>0.02</v>
      </c>
      <c r="Q45" s="61">
        <f t="shared" si="18"/>
        <v>0.02</v>
      </c>
      <c r="R45" s="61">
        <f t="shared" si="18"/>
        <v>0.02</v>
      </c>
      <c r="S45" s="61">
        <f t="shared" si="18"/>
        <v>0.02</v>
      </c>
      <c r="T45" s="61">
        <f t="shared" si="18"/>
        <v>0.02</v>
      </c>
      <c r="U45" s="61">
        <f t="shared" si="18"/>
        <v>0.02</v>
      </c>
    </row>
    <row r="46" spans="2:21" ht="16" customHeight="1" x14ac:dyDescent="0.2">
      <c r="B46" s="22" t="s">
        <v>42</v>
      </c>
      <c r="J46" s="58"/>
      <c r="K46" s="62">
        <f>'Financials + KPIs'!S13</f>
        <v>8.8390581613461139E-2</v>
      </c>
      <c r="L46" s="60">
        <f>L11</f>
        <v>0.03</v>
      </c>
      <c r="M46" s="61">
        <f t="shared" ref="M46:U47" si="19">L46</f>
        <v>0.03</v>
      </c>
      <c r="N46" s="61">
        <f t="shared" si="19"/>
        <v>0.03</v>
      </c>
      <c r="O46" s="61">
        <f t="shared" si="19"/>
        <v>0.03</v>
      </c>
      <c r="P46" s="61">
        <f t="shared" si="19"/>
        <v>0.03</v>
      </c>
      <c r="Q46" s="61">
        <f t="shared" si="19"/>
        <v>0.03</v>
      </c>
      <c r="R46" s="61">
        <f t="shared" si="19"/>
        <v>0.03</v>
      </c>
      <c r="S46" s="61">
        <f t="shared" si="19"/>
        <v>0.03</v>
      </c>
      <c r="T46" s="61">
        <f t="shared" si="19"/>
        <v>0.03</v>
      </c>
      <c r="U46" s="61">
        <f t="shared" si="19"/>
        <v>0.03</v>
      </c>
    </row>
    <row r="47" spans="2:21" ht="16" customHeight="1" x14ac:dyDescent="0.2">
      <c r="B47" s="22" t="s">
        <v>62</v>
      </c>
      <c r="J47" s="58"/>
      <c r="K47" s="59">
        <f>K46</f>
        <v>8.8390581613461139E-2</v>
      </c>
      <c r="L47" s="60">
        <f>P11</f>
        <v>0.04</v>
      </c>
      <c r="M47" s="61">
        <f t="shared" si="19"/>
        <v>0.04</v>
      </c>
      <c r="N47" s="61">
        <f t="shared" si="19"/>
        <v>0.04</v>
      </c>
      <c r="O47" s="61">
        <f t="shared" si="19"/>
        <v>0.04</v>
      </c>
      <c r="P47" s="61">
        <f t="shared" si="19"/>
        <v>0.04</v>
      </c>
      <c r="Q47" s="61">
        <f t="shared" si="19"/>
        <v>0.04</v>
      </c>
      <c r="R47" s="61">
        <f t="shared" si="19"/>
        <v>0.04</v>
      </c>
      <c r="S47" s="61">
        <f t="shared" si="19"/>
        <v>0.04</v>
      </c>
      <c r="T47" s="61">
        <f t="shared" si="19"/>
        <v>0.04</v>
      </c>
      <c r="U47" s="61">
        <f t="shared" si="19"/>
        <v>0.04</v>
      </c>
    </row>
    <row r="48" spans="2:21" ht="16" customHeight="1" x14ac:dyDescent="0.2">
      <c r="B48" s="22" t="s">
        <v>59</v>
      </c>
      <c r="J48" s="58"/>
      <c r="K48" s="63"/>
      <c r="L48" s="64"/>
      <c r="M48" s="64"/>
      <c r="N48" s="64"/>
      <c r="O48" s="64"/>
      <c r="P48" s="64"/>
      <c r="Q48" s="64"/>
      <c r="R48" s="64"/>
      <c r="S48" s="64"/>
      <c r="T48" s="64"/>
      <c r="U48" s="64"/>
    </row>
    <row r="49" spans="1:21" customFormat="1" ht="16" customHeight="1" x14ac:dyDescent="0.2">
      <c r="J49" s="66"/>
    </row>
    <row r="50" spans="1:21" ht="16" customHeight="1" x14ac:dyDescent="0.2">
      <c r="B50" s="67" t="s">
        <v>63</v>
      </c>
      <c r="C50" s="68"/>
      <c r="D50" s="68"/>
      <c r="E50" s="69">
        <f>E43*E34*E26</f>
        <v>65017</v>
      </c>
      <c r="F50" s="69">
        <f>F43*F34*F26</f>
        <v>68619</v>
      </c>
      <c r="G50" s="69">
        <f>G43*G34*G26</f>
        <v>71309</v>
      </c>
      <c r="H50" s="69">
        <f>H43*H34*H26</f>
        <v>72148</v>
      </c>
      <c r="I50" s="69">
        <f>I43*I34*I26</f>
        <v>89597</v>
      </c>
      <c r="J50" s="70">
        <f>J43*J34*J26</f>
        <v>96250</v>
      </c>
      <c r="K50" s="69">
        <f ca="1">K43*K34*K26</f>
        <v>97078.175422628105</v>
      </c>
      <c r="L50" s="69">
        <f ca="1">L43*L34*L26</f>
        <v>99888.955910613906</v>
      </c>
      <c r="M50" s="69">
        <f ca="1">M43*M34*M26</f>
        <v>102781.01286999848</v>
      </c>
      <c r="N50" s="69">
        <f ca="1">N43*N34*N26</f>
        <v>105756.69318662658</v>
      </c>
      <c r="O50" s="69">
        <f ca="1">O43*O34*O26</f>
        <v>108818.41141066936</v>
      </c>
      <c r="P50" s="69">
        <f ca="1">P43*P34*P26</f>
        <v>111968.65170428676</v>
      </c>
      <c r="Q50" s="69">
        <f ca="1">Q43*Q34*Q26</f>
        <v>115209.9698452516</v>
      </c>
      <c r="R50" s="69">
        <f ca="1">R43*R34*R26</f>
        <v>118544.99528814046</v>
      </c>
      <c r="S50" s="69">
        <f ca="1">S43*S34*S26</f>
        <v>121976.43328474193</v>
      </c>
      <c r="T50" s="69">
        <f ca="1">T43*T34*T26</f>
        <v>125507.06706538016</v>
      </c>
      <c r="U50" s="69">
        <f ca="1">U43*U34*U26</f>
        <v>129139.76008290045</v>
      </c>
    </row>
    <row r="51" spans="1:21" s="55" customFormat="1" ht="16" customHeight="1" x14ac:dyDescent="0.2">
      <c r="B51" s="55" t="s">
        <v>61</v>
      </c>
      <c r="F51" s="56">
        <f>F50/E50-1</f>
        <v>5.5400895150499174E-2</v>
      </c>
      <c r="G51" s="56">
        <f t="shared" ref="G51:U51" si="20">G50/F50-1</f>
        <v>3.9201970299771238E-2</v>
      </c>
      <c r="H51" s="56">
        <f t="shared" si="20"/>
        <v>1.176569577472697E-2</v>
      </c>
      <c r="I51" s="56">
        <f t="shared" si="20"/>
        <v>0.24185008593446811</v>
      </c>
      <c r="J51" s="57">
        <f t="shared" si="20"/>
        <v>7.4254718349944682E-2</v>
      </c>
      <c r="K51" s="56">
        <f t="shared" ca="1" si="20"/>
        <v>8.6044199753569917E-3</v>
      </c>
      <c r="L51" s="56">
        <f ca="1">L50/K50-1</f>
        <v>2.8953783646521236E-2</v>
      </c>
      <c r="M51" s="56">
        <f t="shared" ca="1" si="20"/>
        <v>2.8952719877986643E-2</v>
      </c>
      <c r="N51" s="56">
        <f t="shared" ca="1" si="20"/>
        <v>2.8951653944020439E-2</v>
      </c>
      <c r="O51" s="56">
        <f t="shared" ca="1" si="20"/>
        <v>2.8950585838003029E-2</v>
      </c>
      <c r="P51" s="56">
        <f t="shared" ca="1" si="20"/>
        <v>2.8949515553289284E-2</v>
      </c>
      <c r="Q51" s="56">
        <f t="shared" ca="1" si="20"/>
        <v>2.8948443083205877E-2</v>
      </c>
      <c r="R51" s="56">
        <f t="shared" ca="1" si="20"/>
        <v>2.8947368421052611E-2</v>
      </c>
      <c r="S51" s="56">
        <f t="shared" ca="1" si="20"/>
        <v>2.89462915601022E-2</v>
      </c>
      <c r="T51" s="56">
        <f t="shared" ca="1" si="20"/>
        <v>2.8945212493599604E-2</v>
      </c>
      <c r="U51" s="56">
        <f t="shared" ca="1" si="20"/>
        <v>2.8944131214761804E-2</v>
      </c>
    </row>
    <row r="52" spans="1:21" ht="16" customHeight="1" x14ac:dyDescent="0.2">
      <c r="J52" s="58"/>
    </row>
    <row r="53" spans="1:21" ht="16" customHeight="1" x14ac:dyDescent="0.2">
      <c r="A53" s="22" t="s">
        <v>38</v>
      </c>
      <c r="B53" s="29" t="s">
        <v>128</v>
      </c>
      <c r="C53" s="29"/>
      <c r="D53" s="29"/>
      <c r="E53" s="49">
        <v>2017</v>
      </c>
      <c r="F53" s="49">
        <f>E53+1</f>
        <v>2018</v>
      </c>
      <c r="G53" s="49">
        <f t="shared" ref="G53" si="21">F53+1</f>
        <v>2019</v>
      </c>
      <c r="H53" s="49">
        <f t="shared" ref="H53" si="22">G53+1</f>
        <v>2020</v>
      </c>
      <c r="I53" s="49">
        <f t="shared" ref="I53" si="23">H53+1</f>
        <v>2021</v>
      </c>
      <c r="J53" s="49">
        <f t="shared" ref="J53" si="24">I53+1</f>
        <v>2022</v>
      </c>
      <c r="K53" s="50">
        <v>2022</v>
      </c>
      <c r="L53" s="50">
        <f>K53+1</f>
        <v>2023</v>
      </c>
      <c r="M53" s="50">
        <f t="shared" ref="M53" si="25">L53+1</f>
        <v>2024</v>
      </c>
      <c r="N53" s="50">
        <f t="shared" ref="N53" si="26">M53+1</f>
        <v>2025</v>
      </c>
      <c r="O53" s="50">
        <f t="shared" ref="O53" si="27">N53+1</f>
        <v>2026</v>
      </c>
      <c r="P53" s="50">
        <f t="shared" ref="P53" si="28">O53+1</f>
        <v>2027</v>
      </c>
      <c r="Q53" s="50">
        <f t="shared" ref="Q53" si="29">P53+1</f>
        <v>2028</v>
      </c>
      <c r="R53" s="50">
        <f t="shared" ref="R53" si="30">Q53+1</f>
        <v>2029</v>
      </c>
      <c r="S53" s="50">
        <f t="shared" ref="S53" si="31">R53+1</f>
        <v>2030</v>
      </c>
      <c r="T53" s="50">
        <f t="shared" ref="T53" si="32">S53+1</f>
        <v>2031</v>
      </c>
      <c r="U53" s="50">
        <f t="shared" ref="U53" si="33">T53+1</f>
        <v>2032</v>
      </c>
    </row>
    <row r="54" spans="1:21" ht="16" customHeight="1" x14ac:dyDescent="0.2">
      <c r="B54" s="29" t="s">
        <v>60</v>
      </c>
      <c r="C54" s="29"/>
      <c r="D54" s="29"/>
      <c r="E54" s="51">
        <f>EDATE(F54,-12)</f>
        <v>42766</v>
      </c>
      <c r="F54" s="51">
        <f t="shared" ref="F54" si="34">EDATE(G54,-12)</f>
        <v>43131</v>
      </c>
      <c r="G54" s="51">
        <f t="shared" ref="G54" si="35">EDATE(H54,-12)</f>
        <v>43496</v>
      </c>
      <c r="H54" s="51">
        <f t="shared" ref="H54" si="36">EDATE(I54,-12)</f>
        <v>43861</v>
      </c>
      <c r="I54" s="51">
        <f t="shared" ref="I54" si="37">EDATE(J54,-12)</f>
        <v>44227</v>
      </c>
      <c r="J54" s="51">
        <f>EDATE(K54,-12)</f>
        <v>44592</v>
      </c>
      <c r="K54" s="51">
        <v>44957</v>
      </c>
      <c r="L54" s="51">
        <f>EDATE(K54,12)</f>
        <v>45322</v>
      </c>
      <c r="M54" s="51">
        <f t="shared" ref="M54" si="38">EDATE(L54,12)</f>
        <v>45688</v>
      </c>
      <c r="N54" s="51">
        <f t="shared" ref="N54" si="39">EDATE(M54,12)</f>
        <v>46053</v>
      </c>
      <c r="O54" s="51">
        <f t="shared" ref="O54" si="40">EDATE(N54,12)</f>
        <v>46418</v>
      </c>
      <c r="P54" s="51">
        <f t="shared" ref="P54" si="41">EDATE(O54,12)</f>
        <v>46783</v>
      </c>
      <c r="Q54" s="51">
        <f t="shared" ref="Q54" si="42">EDATE(P54,12)</f>
        <v>47149</v>
      </c>
      <c r="R54" s="51">
        <f t="shared" ref="R54" si="43">EDATE(Q54,12)</f>
        <v>47514</v>
      </c>
      <c r="S54" s="51">
        <f t="shared" ref="S54" si="44">EDATE(R54,12)</f>
        <v>47879</v>
      </c>
      <c r="T54" s="51">
        <f t="shared" ref="T54" si="45">EDATE(S54,12)</f>
        <v>48244</v>
      </c>
      <c r="U54" s="51">
        <f t="shared" ref="U54" si="46">EDATE(T54,12)</f>
        <v>48610</v>
      </c>
    </row>
    <row r="55" spans="1:21" ht="16" customHeight="1" x14ac:dyDescent="0.2">
      <c r="B55" s="22" t="s">
        <v>64</v>
      </c>
      <c r="E55" s="71">
        <f>E50</f>
        <v>65017</v>
      </c>
      <c r="F55" s="71">
        <f t="shared" ref="F55:U56" si="47">F50</f>
        <v>68619</v>
      </c>
      <c r="G55" s="71">
        <f t="shared" si="47"/>
        <v>71309</v>
      </c>
      <c r="H55" s="71">
        <f t="shared" si="47"/>
        <v>72148</v>
      </c>
      <c r="I55" s="71">
        <f t="shared" si="47"/>
        <v>89597</v>
      </c>
      <c r="J55" s="72">
        <f t="shared" si="47"/>
        <v>96250</v>
      </c>
      <c r="K55" s="71">
        <f t="shared" ca="1" si="47"/>
        <v>97078.175422628105</v>
      </c>
      <c r="L55" s="71">
        <f t="shared" ca="1" si="47"/>
        <v>99888.955910613906</v>
      </c>
      <c r="M55" s="71">
        <f t="shared" ca="1" si="47"/>
        <v>102781.01286999848</v>
      </c>
      <c r="N55" s="71">
        <f t="shared" ca="1" si="47"/>
        <v>105756.69318662658</v>
      </c>
      <c r="O55" s="71">
        <f t="shared" ca="1" si="47"/>
        <v>108818.41141066936</v>
      </c>
      <c r="P55" s="71">
        <f t="shared" ca="1" si="47"/>
        <v>111968.65170428676</v>
      </c>
      <c r="Q55" s="71">
        <f t="shared" ca="1" si="47"/>
        <v>115209.9698452516</v>
      </c>
      <c r="R55" s="71">
        <f t="shared" ca="1" si="47"/>
        <v>118544.99528814046</v>
      </c>
      <c r="S55" s="71">
        <f t="shared" ca="1" si="47"/>
        <v>121976.43328474193</v>
      </c>
      <c r="T55" s="71">
        <f t="shared" ca="1" si="47"/>
        <v>125507.06706538016</v>
      </c>
      <c r="U55" s="71">
        <f t="shared" ca="1" si="47"/>
        <v>129139.76008290045</v>
      </c>
    </row>
    <row r="56" spans="1:21" s="55" customFormat="1" ht="16" customHeight="1" x14ac:dyDescent="0.2">
      <c r="B56" s="55" t="s">
        <v>61</v>
      </c>
      <c r="E56" s="73"/>
      <c r="F56" s="74">
        <f>F51</f>
        <v>5.5400895150499174E-2</v>
      </c>
      <c r="G56" s="74">
        <f t="shared" si="47"/>
        <v>3.9201970299771238E-2</v>
      </c>
      <c r="H56" s="74">
        <f t="shared" si="47"/>
        <v>1.176569577472697E-2</v>
      </c>
      <c r="I56" s="74">
        <f t="shared" si="47"/>
        <v>0.24185008593446811</v>
      </c>
      <c r="J56" s="75">
        <f t="shared" si="47"/>
        <v>7.4254718349944682E-2</v>
      </c>
      <c r="K56" s="74">
        <f t="shared" ca="1" si="47"/>
        <v>8.6044199753569917E-3</v>
      </c>
      <c r="L56" s="74">
        <f t="shared" ca="1" si="47"/>
        <v>2.8953783646521236E-2</v>
      </c>
      <c r="M56" s="74">
        <f t="shared" ca="1" si="47"/>
        <v>2.8952719877986643E-2</v>
      </c>
      <c r="N56" s="74">
        <f t="shared" ca="1" si="47"/>
        <v>2.8951653944020439E-2</v>
      </c>
      <c r="O56" s="74">
        <f t="shared" ca="1" si="47"/>
        <v>2.8950585838003029E-2</v>
      </c>
      <c r="P56" s="74">
        <f t="shared" ca="1" si="47"/>
        <v>2.8949515553289284E-2</v>
      </c>
      <c r="Q56" s="74">
        <f t="shared" ca="1" si="47"/>
        <v>2.8948443083205877E-2</v>
      </c>
      <c r="R56" s="74">
        <f t="shared" ca="1" si="47"/>
        <v>2.8947368421052611E-2</v>
      </c>
      <c r="S56" s="74">
        <f t="shared" ca="1" si="47"/>
        <v>2.89462915601022E-2</v>
      </c>
      <c r="T56" s="74">
        <f t="shared" ca="1" si="47"/>
        <v>2.8945212493599604E-2</v>
      </c>
      <c r="U56" s="74">
        <f t="shared" ca="1" si="47"/>
        <v>2.8944131214761804E-2</v>
      </c>
    </row>
    <row r="57" spans="1:21" ht="16" customHeight="1" x14ac:dyDescent="0.2">
      <c r="E57" s="76"/>
      <c r="F57" s="76"/>
      <c r="G57" s="76"/>
      <c r="H57" s="76"/>
      <c r="I57" s="76"/>
      <c r="J57" s="77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</row>
    <row r="58" spans="1:21" s="54" customFormat="1" ht="16" customHeight="1" x14ac:dyDescent="0.2">
      <c r="B58" s="54" t="s">
        <v>65</v>
      </c>
      <c r="E58" s="52">
        <f>'Financials + KPIs'!M20</f>
        <v>5846</v>
      </c>
      <c r="F58" s="52">
        <f>'Financials + KPIs'!N20</f>
        <v>6586</v>
      </c>
      <c r="G58" s="52">
        <f>'Financials + KPIs'!O20</f>
        <v>4018</v>
      </c>
      <c r="H58" s="52">
        <f>'Financials + KPIs'!P20</f>
        <v>6314</v>
      </c>
      <c r="I58" s="52">
        <f>'Financials + KPIs'!Q20</f>
        <v>9647</v>
      </c>
      <c r="J58" s="53">
        <f>'Financials + KPIs'!R20</f>
        <v>12093</v>
      </c>
      <c r="K58" s="65">
        <f ca="1">K55*K59</f>
        <v>11498.567544172376</v>
      </c>
      <c r="L58" s="65">
        <f t="shared" ref="L58:U58" ca="1" si="48">L55*L59</f>
        <v>12146.679461641335</v>
      </c>
      <c r="M58" s="65">
        <f t="shared" ca="1" si="48"/>
        <v>12822.669209648358</v>
      </c>
      <c r="N58" s="65">
        <f t="shared" ca="1" si="48"/>
        <v>13527.6063520884</v>
      </c>
      <c r="O58" s="65">
        <f t="shared" ca="1" si="48"/>
        <v>14262.598942486271</v>
      </c>
      <c r="P58" s="65">
        <f t="shared" ca="1" si="48"/>
        <v>15028.794852942256</v>
      </c>
      <c r="Q58" s="65">
        <f t="shared" ca="1" si="48"/>
        <v>15827.383147639013</v>
      </c>
      <c r="R58" s="65">
        <f t="shared" ca="1" si="48"/>
        <v>16659.595502371427</v>
      </c>
      <c r="S58" s="65">
        <f t="shared" ca="1" si="48"/>
        <v>17526.707671608056</v>
      </c>
      <c r="T58" s="65">
        <f t="shared" ca="1" si="48"/>
        <v>18430.041004641487</v>
      </c>
      <c r="U58" s="65">
        <f t="shared" ca="1" si="48"/>
        <v>19370.964012435066</v>
      </c>
    </row>
    <row r="59" spans="1:21" s="55" customFormat="1" ht="16" customHeight="1" x14ac:dyDescent="0.2">
      <c r="B59" s="55" t="s">
        <v>66</v>
      </c>
      <c r="E59" s="78">
        <f>E58/E55</f>
        <v>8.9914945321992706E-2</v>
      </c>
      <c r="F59" s="78">
        <f t="shared" ref="F59:J59" si="49">F58/F55</f>
        <v>9.5979247730220499E-2</v>
      </c>
      <c r="G59" s="78">
        <f t="shared" si="49"/>
        <v>5.6346323745950722E-2</v>
      </c>
      <c r="H59" s="78">
        <f t="shared" si="49"/>
        <v>8.7514553417974164E-2</v>
      </c>
      <c r="I59" s="78">
        <f t="shared" si="49"/>
        <v>0.10767101577061731</v>
      </c>
      <c r="J59" s="79">
        <f t="shared" si="49"/>
        <v>0.12564155844155844</v>
      </c>
      <c r="K59" s="78">
        <f ca="1">OFFSET(K59,$D$12,0)</f>
        <v>0.11844647361895264</v>
      </c>
      <c r="L59" s="78">
        <f t="shared" ref="L59:U59" ca="1" si="50">OFFSET(L59,$D$12,0)</f>
        <v>0.12160182625705737</v>
      </c>
      <c r="M59" s="78">
        <f t="shared" ca="1" si="50"/>
        <v>0.12475717889516211</v>
      </c>
      <c r="N59" s="78">
        <f t="shared" ca="1" si="50"/>
        <v>0.12791253153326684</v>
      </c>
      <c r="O59" s="78">
        <f t="shared" ca="1" si="50"/>
        <v>0.13106788417137158</v>
      </c>
      <c r="P59" s="78">
        <f t="shared" ca="1" si="50"/>
        <v>0.13422323680947632</v>
      </c>
      <c r="Q59" s="78">
        <f t="shared" ca="1" si="50"/>
        <v>0.13737858944758105</v>
      </c>
      <c r="R59" s="78">
        <f t="shared" ca="1" si="50"/>
        <v>0.14053394208568579</v>
      </c>
      <c r="S59" s="78">
        <f t="shared" ca="1" si="50"/>
        <v>0.14368929472379052</v>
      </c>
      <c r="T59" s="78">
        <f t="shared" ca="1" si="50"/>
        <v>0.14684464736189526</v>
      </c>
      <c r="U59" s="78">
        <f t="shared" ca="1" si="50"/>
        <v>0.15</v>
      </c>
    </row>
    <row r="60" spans="1:21" ht="16" customHeight="1" x14ac:dyDescent="0.2">
      <c r="B60" s="22" t="s">
        <v>31</v>
      </c>
      <c r="J60" s="58"/>
      <c r="K60" s="59">
        <f>K61</f>
        <v>0.11844647361895264</v>
      </c>
      <c r="L60" s="61">
        <f>K60-($K$60-$U$60)/($U$53-$K$53)</f>
        <v>0.11860182625705737</v>
      </c>
      <c r="M60" s="61">
        <f t="shared" ref="M60:T60" si="51">L60-($K$60-$U$60)/($U$53-$K$53)</f>
        <v>0.1187571788951621</v>
      </c>
      <c r="N60" s="61">
        <f t="shared" si="51"/>
        <v>0.11891253153326684</v>
      </c>
      <c r="O60" s="61">
        <f t="shared" si="51"/>
        <v>0.11906788417137157</v>
      </c>
      <c r="P60" s="61">
        <f t="shared" si="51"/>
        <v>0.1192232368094763</v>
      </c>
      <c r="Q60" s="61">
        <f t="shared" si="51"/>
        <v>0.11937858944758103</v>
      </c>
      <c r="R60" s="61">
        <f t="shared" si="51"/>
        <v>0.11953394208568577</v>
      </c>
      <c r="S60" s="61">
        <f t="shared" si="51"/>
        <v>0.1196892947237905</v>
      </c>
      <c r="T60" s="61">
        <f t="shared" si="51"/>
        <v>0.11984464736189523</v>
      </c>
      <c r="U60" s="60">
        <f>H12</f>
        <v>0.12</v>
      </c>
    </row>
    <row r="61" spans="1:21" ht="16" customHeight="1" x14ac:dyDescent="0.2">
      <c r="B61" s="22" t="s">
        <v>42</v>
      </c>
      <c r="J61" s="58"/>
      <c r="K61" s="62">
        <f>'Financials + KPIs'!S32</f>
        <v>0.11844647361895264</v>
      </c>
      <c r="L61" s="61">
        <f>K61-($K$61-$U$61)/($U$53-$K$53)</f>
        <v>0.12060182625705737</v>
      </c>
      <c r="M61" s="61">
        <f t="shared" ref="M61:T61" si="52">L61-($K$61-$U$61)/($U$53-$K$53)</f>
        <v>0.12275717889516211</v>
      </c>
      <c r="N61" s="61">
        <f t="shared" si="52"/>
        <v>0.12491253153326684</v>
      </c>
      <c r="O61" s="61">
        <f t="shared" si="52"/>
        <v>0.12706788417137158</v>
      </c>
      <c r="P61" s="61">
        <f t="shared" si="52"/>
        <v>0.12922323680947631</v>
      </c>
      <c r="Q61" s="61">
        <f t="shared" si="52"/>
        <v>0.13137858944758105</v>
      </c>
      <c r="R61" s="61">
        <f t="shared" si="52"/>
        <v>0.13353394208568578</v>
      </c>
      <c r="S61" s="61">
        <f t="shared" si="52"/>
        <v>0.13568929472379052</v>
      </c>
      <c r="T61" s="61">
        <f t="shared" si="52"/>
        <v>0.13784464736189525</v>
      </c>
      <c r="U61" s="60">
        <f>L12</f>
        <v>0.14000000000000001</v>
      </c>
    </row>
    <row r="62" spans="1:21" ht="16" customHeight="1" x14ac:dyDescent="0.2">
      <c r="B62" s="22" t="s">
        <v>62</v>
      </c>
      <c r="J62" s="58"/>
      <c r="K62" s="59">
        <f>K61</f>
        <v>0.11844647361895264</v>
      </c>
      <c r="L62" s="61">
        <f>K62-($K$62-$U$62)/($U$53-$K$53)</f>
        <v>0.12160182625705737</v>
      </c>
      <c r="M62" s="61">
        <f t="shared" ref="M62:T62" si="53">L62-($K$62-$U$62)/($U$53-$K$53)</f>
        <v>0.12475717889516211</v>
      </c>
      <c r="N62" s="61">
        <f t="shared" si="53"/>
        <v>0.12791253153326684</v>
      </c>
      <c r="O62" s="61">
        <f t="shared" si="53"/>
        <v>0.13106788417137158</v>
      </c>
      <c r="P62" s="61">
        <f t="shared" si="53"/>
        <v>0.13422323680947632</v>
      </c>
      <c r="Q62" s="61">
        <f t="shared" si="53"/>
        <v>0.13737858944758105</v>
      </c>
      <c r="R62" s="61">
        <f t="shared" si="53"/>
        <v>0.14053394208568579</v>
      </c>
      <c r="S62" s="61">
        <f t="shared" si="53"/>
        <v>0.14368929472379052</v>
      </c>
      <c r="T62" s="61">
        <f t="shared" si="53"/>
        <v>0.14684464736189526</v>
      </c>
      <c r="U62" s="60">
        <f>P12</f>
        <v>0.15</v>
      </c>
    </row>
    <row r="63" spans="1:21" ht="16" customHeight="1" x14ac:dyDescent="0.2">
      <c r="B63" s="22" t="s">
        <v>59</v>
      </c>
      <c r="J63" s="58"/>
      <c r="K63" s="63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 spans="1:21" ht="16" customHeight="1" x14ac:dyDescent="0.2">
      <c r="J64" s="58"/>
    </row>
    <row r="65" spans="2:21" ht="16" customHeight="1" x14ac:dyDescent="0.2">
      <c r="B65" s="22" t="s">
        <v>8</v>
      </c>
      <c r="E65" s="52">
        <f>'Financials + KPIs'!M23</f>
        <v>2108</v>
      </c>
      <c r="F65" s="52">
        <f>'Financials + KPIs'!N23</f>
        <v>2042</v>
      </c>
      <c r="G65" s="52">
        <f>'Financials + KPIs'!O23</f>
        <v>1080</v>
      </c>
      <c r="H65" s="52">
        <f>'Financials + KPIs'!P23</f>
        <v>1342</v>
      </c>
      <c r="I65" s="52">
        <f>'Financials + KPIs'!Q23</f>
        <v>1904</v>
      </c>
      <c r="J65" s="53">
        <f>'Financials + KPIs'!R23</f>
        <v>2766</v>
      </c>
      <c r="K65" s="65">
        <f t="shared" ref="K65:U65" ca="1" si="54">K58*K66</f>
        <v>3150.5246185852729</v>
      </c>
      <c r="L65" s="65">
        <f t="shared" ca="1" si="54"/>
        <v>2793.7362761775071</v>
      </c>
      <c r="M65" s="65">
        <f t="shared" ca="1" si="54"/>
        <v>2949.2139182191227</v>
      </c>
      <c r="N65" s="65">
        <f t="shared" ca="1" si="54"/>
        <v>3111.349460980332</v>
      </c>
      <c r="O65" s="65">
        <f t="shared" ca="1" si="54"/>
        <v>3280.3977567718425</v>
      </c>
      <c r="P65" s="65">
        <f t="shared" ca="1" si="54"/>
        <v>3456.622816176719</v>
      </c>
      <c r="Q65" s="65">
        <f t="shared" ca="1" si="54"/>
        <v>3640.2981239569731</v>
      </c>
      <c r="R65" s="65">
        <f t="shared" ca="1" si="54"/>
        <v>3831.7069655454284</v>
      </c>
      <c r="S65" s="65">
        <f t="shared" ca="1" si="54"/>
        <v>4031.1427644698529</v>
      </c>
      <c r="T65" s="65">
        <f t="shared" ca="1" si="54"/>
        <v>4238.9094310675418</v>
      </c>
      <c r="U65" s="65">
        <f t="shared" ca="1" si="54"/>
        <v>4455.3217228600652</v>
      </c>
    </row>
    <row r="66" spans="2:21" s="55" customFormat="1" ht="16" customHeight="1" x14ac:dyDescent="0.2">
      <c r="B66" s="55" t="s">
        <v>67</v>
      </c>
      <c r="E66" s="78">
        <f t="shared" ref="E66:J66" si="55">E65/E58</f>
        <v>0.36058843653780365</v>
      </c>
      <c r="F66" s="78">
        <f t="shared" si="55"/>
        <v>0.31005162465836622</v>
      </c>
      <c r="G66" s="78">
        <f t="shared" si="55"/>
        <v>0.26879044300647087</v>
      </c>
      <c r="H66" s="78">
        <f t="shared" si="55"/>
        <v>0.21254355400696864</v>
      </c>
      <c r="I66" s="78">
        <f t="shared" si="55"/>
        <v>0.19736705711620192</v>
      </c>
      <c r="J66" s="79">
        <f t="shared" si="55"/>
        <v>0.22872736293723642</v>
      </c>
      <c r="K66" s="80">
        <f>'Financials + KPIs'!S33</f>
        <v>0.2739927914048737</v>
      </c>
      <c r="L66" s="81">
        <f>L13</f>
        <v>0.23</v>
      </c>
      <c r="M66" s="74">
        <f t="shared" ref="M66:U66" si="56">L66</f>
        <v>0.23</v>
      </c>
      <c r="N66" s="74">
        <f t="shared" si="56"/>
        <v>0.23</v>
      </c>
      <c r="O66" s="74">
        <f t="shared" si="56"/>
        <v>0.23</v>
      </c>
      <c r="P66" s="74">
        <f t="shared" si="56"/>
        <v>0.23</v>
      </c>
      <c r="Q66" s="74">
        <f t="shared" si="56"/>
        <v>0.23</v>
      </c>
      <c r="R66" s="74">
        <f t="shared" si="56"/>
        <v>0.23</v>
      </c>
      <c r="S66" s="74">
        <f t="shared" si="56"/>
        <v>0.23</v>
      </c>
      <c r="T66" s="74">
        <f t="shared" si="56"/>
        <v>0.23</v>
      </c>
      <c r="U66" s="74">
        <f t="shared" si="56"/>
        <v>0.23</v>
      </c>
    </row>
    <row r="67" spans="2:21" ht="16" customHeight="1" x14ac:dyDescent="0.2">
      <c r="E67" s="76"/>
      <c r="F67" s="76"/>
      <c r="G67" s="76"/>
      <c r="H67" s="76"/>
      <c r="I67" s="76"/>
      <c r="J67" s="77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</row>
    <row r="68" spans="2:21" ht="16" customHeight="1" x14ac:dyDescent="0.2">
      <c r="B68" s="82" t="s">
        <v>68</v>
      </c>
      <c r="C68" s="82"/>
      <c r="D68" s="82"/>
      <c r="E68" s="83">
        <f>E58-E65</f>
        <v>3738</v>
      </c>
      <c r="F68" s="83">
        <f t="shared" ref="F68:J68" si="57">F58-F65</f>
        <v>4544</v>
      </c>
      <c r="G68" s="83">
        <f t="shared" si="57"/>
        <v>2938</v>
      </c>
      <c r="H68" s="83">
        <f t="shared" si="57"/>
        <v>4972</v>
      </c>
      <c r="I68" s="83">
        <f t="shared" si="57"/>
        <v>7743</v>
      </c>
      <c r="J68" s="84">
        <f t="shared" si="57"/>
        <v>9327</v>
      </c>
      <c r="K68" s="83">
        <f ca="1">K58-K65</f>
        <v>8348.0429255871022</v>
      </c>
      <c r="L68" s="83">
        <f t="shared" ref="L68:U68" ca="1" si="58">L58-L65</f>
        <v>9352.9431854638278</v>
      </c>
      <c r="M68" s="83">
        <f t="shared" ca="1" si="58"/>
        <v>9873.4552914292362</v>
      </c>
      <c r="N68" s="83">
        <f t="shared" ca="1" si="58"/>
        <v>10416.256891108067</v>
      </c>
      <c r="O68" s="83">
        <f ca="1">O58-O65</f>
        <v>10982.201185714428</v>
      </c>
      <c r="P68" s="83">
        <f t="shared" ca="1" si="58"/>
        <v>11572.172036765536</v>
      </c>
      <c r="Q68" s="83">
        <f t="shared" ca="1" si="58"/>
        <v>12187.085023682041</v>
      </c>
      <c r="R68" s="83">
        <f t="shared" ca="1" si="58"/>
        <v>12827.888536825998</v>
      </c>
      <c r="S68" s="83">
        <f t="shared" ca="1" si="58"/>
        <v>13495.564907138203</v>
      </c>
      <c r="T68" s="83">
        <f t="shared" ca="1" si="58"/>
        <v>14191.131573573944</v>
      </c>
      <c r="U68" s="83">
        <f t="shared" ca="1" si="58"/>
        <v>14915.642289575</v>
      </c>
    </row>
    <row r="69" spans="2:21" ht="16" customHeight="1" x14ac:dyDescent="0.2">
      <c r="E69" s="76"/>
      <c r="F69" s="76"/>
      <c r="G69" s="76"/>
      <c r="H69" s="76"/>
      <c r="I69" s="76"/>
      <c r="J69" s="85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</row>
    <row r="70" spans="2:21" ht="16" customHeight="1" x14ac:dyDescent="0.2">
      <c r="B70" s="22" t="s">
        <v>4</v>
      </c>
      <c r="E70" s="52">
        <f>'Financials + KPIs'!M19</f>
        <v>1453</v>
      </c>
      <c r="F70" s="52">
        <f>'Financials + KPIs'!N19</f>
        <v>1404</v>
      </c>
      <c r="G70" s="52">
        <f>'Financials + KPIs'!O19</f>
        <v>1477</v>
      </c>
      <c r="H70" s="52">
        <f>'Financials + KPIs'!P19</f>
        <v>1262</v>
      </c>
      <c r="I70" s="52">
        <f>'Financials + KPIs'!Q19</f>
        <v>1399</v>
      </c>
      <c r="J70" s="53">
        <f>'Financials + KPIs'!R19</f>
        <v>1662</v>
      </c>
      <c r="K70" s="185">
        <f>'Financials + KPIs'!S19</f>
        <v>1803.3843987823439</v>
      </c>
      <c r="L70" s="186">
        <f t="shared" ref="L70:U70" ca="1" si="59">L55*L71</f>
        <v>1833.3588251210288</v>
      </c>
      <c r="M70" s="65">
        <f ca="1">M55*M71</f>
        <v>1850.3490921329621</v>
      </c>
      <c r="N70" s="65">
        <f t="shared" ca="1" si="59"/>
        <v>1856.1557509975705</v>
      </c>
      <c r="O70" s="65">
        <f t="shared" ca="1" si="59"/>
        <v>1910.969251552789</v>
      </c>
      <c r="P70" s="65">
        <f t="shared" ca="1" si="59"/>
        <v>2002.6195215232658</v>
      </c>
      <c r="Q70" s="65">
        <f t="shared" ca="1" si="59"/>
        <v>2072.4589627382456</v>
      </c>
      <c r="R70" s="65">
        <f t="shared" ca="1" si="59"/>
        <v>2120.8321686376717</v>
      </c>
      <c r="S70" s="65">
        <f t="shared" ca="1" si="59"/>
        <v>2172.8008431581484</v>
      </c>
      <c r="T70" s="65">
        <f t="shared" ca="1" si="59"/>
        <v>2231.7281327782785</v>
      </c>
      <c r="U70" s="65">
        <f t="shared" ca="1" si="59"/>
        <v>2301.2847610491253</v>
      </c>
    </row>
    <row r="71" spans="2:21" s="55" customFormat="1" ht="16" customHeight="1" x14ac:dyDescent="0.2">
      <c r="B71" s="55" t="s">
        <v>66</v>
      </c>
      <c r="E71" s="78">
        <f t="shared" ref="E71:K71" si="60">E70/E55</f>
        <v>2.2348001291969791E-2</v>
      </c>
      <c r="F71" s="78">
        <f t="shared" si="60"/>
        <v>2.0460805316311809E-2</v>
      </c>
      <c r="G71" s="78">
        <f t="shared" si="60"/>
        <v>2.0712673014626485E-2</v>
      </c>
      <c r="H71" s="78">
        <f t="shared" si="60"/>
        <v>1.7491822365138326E-2</v>
      </c>
      <c r="I71" s="78">
        <f t="shared" si="60"/>
        <v>1.561436208801634E-2</v>
      </c>
      <c r="J71" s="79">
        <f t="shared" si="60"/>
        <v>1.7267532467532466E-2</v>
      </c>
      <c r="K71" s="78">
        <f t="shared" ca="1" si="60"/>
        <v>1.857662024375038E-2</v>
      </c>
      <c r="L71" s="187">
        <f t="shared" ref="L71:U71" ca="1" si="61">AVERAGE(F71:K71)</f>
        <v>1.8353969249229298E-2</v>
      </c>
      <c r="M71" s="86">
        <f t="shared" ca="1" si="61"/>
        <v>1.8002829904715547E-2</v>
      </c>
      <c r="N71" s="86">
        <f t="shared" ca="1" si="61"/>
        <v>1.7551189386397058E-2</v>
      </c>
      <c r="O71" s="86">
        <f t="shared" ca="1" si="61"/>
        <v>1.7561083889940186E-2</v>
      </c>
      <c r="P71" s="86">
        <f t="shared" ca="1" si="61"/>
        <v>1.7885537523594158E-2</v>
      </c>
      <c r="Q71" s="86">
        <f t="shared" ca="1" si="61"/>
        <v>1.7988538366271106E-2</v>
      </c>
      <c r="R71" s="86">
        <f t="shared" ca="1" si="61"/>
        <v>1.7890524720024559E-2</v>
      </c>
      <c r="S71" s="86">
        <f t="shared" ca="1" si="61"/>
        <v>1.7813283965157103E-2</v>
      </c>
      <c r="T71" s="86">
        <f t="shared" ca="1" si="61"/>
        <v>1.7781692975230697E-2</v>
      </c>
      <c r="U71" s="86">
        <f t="shared" ca="1" si="61"/>
        <v>1.78201102400363E-2</v>
      </c>
    </row>
    <row r="72" spans="2:21" s="55" customFormat="1" ht="16" customHeight="1" x14ac:dyDescent="0.2">
      <c r="B72" s="55" t="s">
        <v>69</v>
      </c>
      <c r="E72" s="78">
        <f>E70/E75</f>
        <v>1.2450728363324763</v>
      </c>
      <c r="F72" s="78">
        <f>F70/F75</f>
        <v>1.2502226179875333</v>
      </c>
      <c r="G72" s="78">
        <f>G70/G75</f>
        <v>1.25809199318569</v>
      </c>
      <c r="H72" s="78">
        <f>H70/H75</f>
        <v>0.85040431266846361</v>
      </c>
      <c r="I72" s="78">
        <f>I70/I75</f>
        <v>0.78112786152987157</v>
      </c>
      <c r="J72" s="79">
        <f>J70/J75</f>
        <v>0.89692390717754988</v>
      </c>
      <c r="K72" s="78">
        <f>K70/K75</f>
        <v>0.94583759514810273</v>
      </c>
      <c r="L72" s="93">
        <f ca="1">L70/L75</f>
        <v>0.95679064711213402</v>
      </c>
      <c r="M72" s="78">
        <f ca="1">M70/M75</f>
        <v>0.91261210135589532</v>
      </c>
      <c r="N72" s="78">
        <f ca="1">N70/N75</f>
        <v>0.89737897608970674</v>
      </c>
      <c r="O72" s="78">
        <f ca="1">O70/O75</f>
        <v>0.90186179346149731</v>
      </c>
      <c r="P72" s="78">
        <f ca="1">P70/P75</f>
        <v>0.916452661511023</v>
      </c>
      <c r="Q72" s="78">
        <f ca="1">Q70/Q75</f>
        <v>0.92290640337964414</v>
      </c>
      <c r="R72" s="78">
        <f ca="1">R70/R75</f>
        <v>0.91498291813097132</v>
      </c>
      <c r="S72" s="78">
        <f ca="1">S70/S75</f>
        <v>0.91265553569017632</v>
      </c>
      <c r="T72" s="78">
        <f ca="1">T70/T75</f>
        <v>0.91141241886478463</v>
      </c>
      <c r="U72" s="78">
        <f ca="1">U70/U75</f>
        <v>0.91302580382302267</v>
      </c>
    </row>
    <row r="73" spans="2:21" s="55" customFormat="1" ht="16" customHeight="1" x14ac:dyDescent="0.2">
      <c r="B73" s="55" t="s">
        <v>133</v>
      </c>
      <c r="E73" s="188">
        <f>E70/E26</f>
        <v>0.68248003757632691</v>
      </c>
      <c r="F73" s="188">
        <f t="shared" ref="F73:U73" si="62">F70/F26</f>
        <v>0.65241635687732347</v>
      </c>
      <c r="G73" s="188">
        <f t="shared" si="62"/>
        <v>0.73300248138957813</v>
      </c>
      <c r="H73" s="188">
        <f t="shared" si="62"/>
        <v>0.63834092058674763</v>
      </c>
      <c r="I73" s="188">
        <f t="shared" si="62"/>
        <v>0.70871327254305982</v>
      </c>
      <c r="J73" s="189">
        <f t="shared" si="62"/>
        <v>0.84322678843226784</v>
      </c>
      <c r="K73" s="188">
        <f t="shared" ca="1" si="62"/>
        <v>0.91588847068681756</v>
      </c>
      <c r="L73" s="188">
        <f t="shared" ca="1" si="62"/>
        <v>0.93205837576056372</v>
      </c>
      <c r="M73" s="188">
        <f t="shared" ca="1" si="62"/>
        <v>0.94165348200150745</v>
      </c>
      <c r="N73" s="188">
        <f t="shared" ca="1" si="62"/>
        <v>0.9455709378489916</v>
      </c>
      <c r="O73" s="188">
        <f t="shared" ca="1" si="62"/>
        <v>0.97448712470820453</v>
      </c>
      <c r="P73" s="188">
        <f t="shared" ca="1" si="62"/>
        <v>1.0222662182354598</v>
      </c>
      <c r="Q73" s="188">
        <f t="shared" ca="1" si="62"/>
        <v>1.058997937014944</v>
      </c>
      <c r="R73" s="188">
        <f t="shared" ca="1" si="62"/>
        <v>1.0848246386893461</v>
      </c>
      <c r="S73" s="188">
        <f t="shared" ca="1" si="62"/>
        <v>1.112545234591986</v>
      </c>
      <c r="T73" s="188">
        <f t="shared" ca="1" si="62"/>
        <v>1.1438893556013729</v>
      </c>
      <c r="U73" s="188">
        <f t="shared" ca="1" si="62"/>
        <v>1.1807515449200232</v>
      </c>
    </row>
    <row r="74" spans="2:21" ht="16" customHeight="1" x14ac:dyDescent="0.2">
      <c r="E74" s="65"/>
      <c r="F74" s="65"/>
      <c r="G74" s="65"/>
      <c r="H74" s="65"/>
      <c r="I74" s="65"/>
      <c r="J74" s="87"/>
      <c r="K74" s="65"/>
      <c r="L74" s="186"/>
      <c r="M74" s="65"/>
      <c r="N74" s="65"/>
      <c r="O74" s="65"/>
      <c r="P74" s="65"/>
      <c r="Q74" s="65"/>
      <c r="R74" s="65"/>
      <c r="S74" s="65"/>
      <c r="T74" s="65"/>
      <c r="U74" s="65"/>
    </row>
    <row r="75" spans="2:21" ht="16" customHeight="1" x14ac:dyDescent="0.2">
      <c r="B75" s="22" t="s">
        <v>70</v>
      </c>
      <c r="E75" s="52">
        <f>'Financials + KPIs'!M39</f>
        <v>1167</v>
      </c>
      <c r="F75" s="52">
        <f>'Financials + KPIs'!N39</f>
        <v>1123</v>
      </c>
      <c r="G75" s="52">
        <f>'Financials + KPIs'!O39</f>
        <v>1174</v>
      </c>
      <c r="H75" s="52">
        <f>'Financials + KPIs'!P39</f>
        <v>1484</v>
      </c>
      <c r="I75" s="52">
        <f>'Financials + KPIs'!Q39</f>
        <v>1791</v>
      </c>
      <c r="J75" s="53">
        <f>'Financials + KPIs'!R39</f>
        <v>1853</v>
      </c>
      <c r="K75" s="185">
        <f>'Financials + KPIs'!S39</f>
        <v>1906.6533282597668</v>
      </c>
      <c r="L75" s="186">
        <f ca="1">L55*L76</f>
        <v>1916.1546265681282</v>
      </c>
      <c r="M75" s="65">
        <f ca="1">M55*M76</f>
        <v>2027.5307432192085</v>
      </c>
      <c r="N75" s="65">
        <f ca="1">N55*N76</f>
        <v>2068.419029701025</v>
      </c>
      <c r="O75" s="65">
        <f ca="1">O55*O76</f>
        <v>2118.9158531909502</v>
      </c>
      <c r="P75" s="65">
        <f ca="1">P55*P76</f>
        <v>2185.1859955552964</v>
      </c>
      <c r="Q75" s="65">
        <f ca="1">Q55*Q76</f>
        <v>2245.5787013168278</v>
      </c>
      <c r="R75" s="65">
        <f ca="1">R55*R76</f>
        <v>2317.8926366952069</v>
      </c>
      <c r="S75" s="65">
        <f ca="1">S55*S76</f>
        <v>2380.7458106469644</v>
      </c>
      <c r="T75" s="65">
        <f ca="1">T55*T76</f>
        <v>2448.6479299437474</v>
      </c>
      <c r="U75" s="65">
        <f ca="1">U55*U76</f>
        <v>2520.5035294875383</v>
      </c>
    </row>
    <row r="76" spans="2:21" s="55" customFormat="1" ht="16" customHeight="1" x14ac:dyDescent="0.2">
      <c r="B76" s="55" t="s">
        <v>66</v>
      </c>
      <c r="E76" s="78">
        <f>E75/E55</f>
        <v>1.7949151760308844E-2</v>
      </c>
      <c r="F76" s="78">
        <f>F75/F55</f>
        <v>1.6365729608417492E-2</v>
      </c>
      <c r="G76" s="78">
        <f>G75/G55</f>
        <v>1.6463559999439062E-2</v>
      </c>
      <c r="H76" s="78">
        <f>H75/H55</f>
        <v>2.0568830736818762E-2</v>
      </c>
      <c r="I76" s="78">
        <f>I75/I55</f>
        <v>1.9989508577296113E-2</v>
      </c>
      <c r="J76" s="79">
        <f>J75/J55</f>
        <v>1.9251948051948051E-2</v>
      </c>
      <c r="K76" s="78">
        <f ca="1">K75/K55</f>
        <v>1.96403910555507E-2</v>
      </c>
      <c r="L76" s="187">
        <f t="shared" ref="L76:U76" ca="1" si="63">AVERAGE(G76:K76)</f>
        <v>1.9182847684210535E-2</v>
      </c>
      <c r="M76" s="86">
        <f t="shared" ca="1" si="63"/>
        <v>1.972670522116483E-2</v>
      </c>
      <c r="N76" s="86">
        <f t="shared" ca="1" si="63"/>
        <v>1.9558280118034045E-2</v>
      </c>
      <c r="O76" s="86">
        <f t="shared" ca="1" si="63"/>
        <v>1.9472034426181634E-2</v>
      </c>
      <c r="P76" s="86">
        <f t="shared" ca="1" si="63"/>
        <v>1.9516051701028349E-2</v>
      </c>
      <c r="Q76" s="86">
        <f t="shared" ca="1" si="63"/>
        <v>1.9491183830123878E-2</v>
      </c>
      <c r="R76" s="86">
        <f t="shared" ca="1" si="63"/>
        <v>1.9552851059306549E-2</v>
      </c>
      <c r="S76" s="86">
        <f t="shared" ca="1" si="63"/>
        <v>1.9518080226934891E-2</v>
      </c>
      <c r="T76" s="86">
        <f t="shared" ca="1" si="63"/>
        <v>1.9510040248715062E-2</v>
      </c>
      <c r="U76" s="86">
        <f t="shared" ca="1" si="63"/>
        <v>1.9517641413221747E-2</v>
      </c>
    </row>
    <row r="77" spans="2:21" s="55" customFormat="1" ht="16" customHeight="1" x14ac:dyDescent="0.2">
      <c r="B77" s="55" t="s">
        <v>133</v>
      </c>
      <c r="E77" s="188">
        <f>E75/E26</f>
        <v>0.54814466885861912</v>
      </c>
      <c r="F77" s="188">
        <f t="shared" ref="F77:U77" si="64">F75/F26</f>
        <v>0.52184014869888473</v>
      </c>
      <c r="G77" s="188">
        <f t="shared" si="64"/>
        <v>0.58263027295285363</v>
      </c>
      <c r="H77" s="188">
        <f t="shared" si="64"/>
        <v>0.75063227111785535</v>
      </c>
      <c r="I77" s="188">
        <f t="shared" si="64"/>
        <v>0.90729483282674772</v>
      </c>
      <c r="J77" s="189">
        <f t="shared" si="64"/>
        <v>0.94013191273465246</v>
      </c>
      <c r="K77" s="188">
        <f t="shared" ca="1" si="64"/>
        <v>0.96833587011669209</v>
      </c>
      <c r="L77" s="188">
        <f t="shared" ca="1" si="64"/>
        <v>0.97415080150896194</v>
      </c>
      <c r="M77" s="188">
        <f t="shared" ca="1" si="64"/>
        <v>1.0318222611802588</v>
      </c>
      <c r="N77" s="188">
        <f t="shared" ca="1" si="64"/>
        <v>1.0537030207340932</v>
      </c>
      <c r="O77" s="188">
        <f t="shared" ca="1" si="64"/>
        <v>1.0805282270224121</v>
      </c>
      <c r="P77" s="188">
        <f t="shared" ca="1" si="64"/>
        <v>1.1154599262661034</v>
      </c>
      <c r="Q77" s="188">
        <f t="shared" ca="1" si="64"/>
        <v>1.147459734960055</v>
      </c>
      <c r="R77" s="188">
        <f t="shared" ca="1" si="64"/>
        <v>1.1856228320691595</v>
      </c>
      <c r="S77" s="188">
        <f t="shared" ca="1" si="64"/>
        <v>1.2190198723230745</v>
      </c>
      <c r="T77" s="188">
        <f t="shared" ca="1" si="64"/>
        <v>1.2550732598379022</v>
      </c>
      <c r="U77" s="188">
        <f t="shared" ca="1" si="64"/>
        <v>1.2932291069715436</v>
      </c>
    </row>
    <row r="78" spans="2:21" ht="16" customHeight="1" x14ac:dyDescent="0.2">
      <c r="B78" s="55"/>
      <c r="E78" s="65"/>
      <c r="F78" s="65"/>
      <c r="G78" s="65"/>
      <c r="H78" s="65"/>
      <c r="I78" s="65"/>
      <c r="J78" s="87"/>
      <c r="K78" s="65"/>
      <c r="L78" s="186"/>
      <c r="M78" s="65"/>
      <c r="N78" s="65"/>
      <c r="O78" s="65"/>
      <c r="P78" s="65"/>
      <c r="Q78" s="65"/>
      <c r="R78" s="65"/>
      <c r="S78" s="65"/>
      <c r="T78" s="65"/>
      <c r="U78" s="65"/>
    </row>
    <row r="79" spans="2:21" ht="16" customHeight="1" x14ac:dyDescent="0.2">
      <c r="B79" s="22" t="s">
        <v>71</v>
      </c>
      <c r="E79" s="52">
        <f>'Financials + KPIs'!M40</f>
        <v>212</v>
      </c>
      <c r="F79" s="52">
        <f>'Financials + KPIs'!N40</f>
        <v>744</v>
      </c>
      <c r="G79" s="52">
        <f>'Financials + KPIs'!O40</f>
        <v>-583</v>
      </c>
      <c r="H79" s="52">
        <f>'Financials + KPIs'!P40</f>
        <v>1465</v>
      </c>
      <c r="I79" s="52">
        <f>'Financials + KPIs'!Q40</f>
        <v>-2246</v>
      </c>
      <c r="J79" s="53">
        <f>'Financials + KPIs'!R40</f>
        <v>373</v>
      </c>
      <c r="K79" s="185">
        <f>'Financials + KPIs'!S40</f>
        <v>1183</v>
      </c>
      <c r="L79" s="186">
        <f ca="1">L55*L80</f>
        <v>245.82011345497799</v>
      </c>
      <c r="M79" s="65">
        <f ca="1">M55*M80</f>
        <v>241.19451703352823</v>
      </c>
      <c r="N79" s="65">
        <f ca="1">N55*N80</f>
        <v>119.82219361399724</v>
      </c>
      <c r="O79" s="65">
        <f ca="1">O55*O80</f>
        <v>267.99915770833553</v>
      </c>
      <c r="P79" s="65">
        <f ca="1">P55*P80</f>
        <v>-9.6452493138316449</v>
      </c>
      <c r="Q79" s="65">
        <f ca="1">Q55*Q80</f>
        <v>401.23788340282499</v>
      </c>
      <c r="R79" s="65">
        <f ca="1">R55*R80</f>
        <v>406.20299550414018</v>
      </c>
      <c r="S79" s="65">
        <f ca="1">S55*S80</f>
        <v>265.32528331394576</v>
      </c>
      <c r="T79" s="65">
        <f ca="1">T55*T80</f>
        <v>267.88240708986012</v>
      </c>
      <c r="U79" s="65">
        <f ca="1">U55*U80</f>
        <v>271.71972689691717</v>
      </c>
    </row>
    <row r="80" spans="2:21" s="55" customFormat="1" ht="16" customHeight="1" x14ac:dyDescent="0.2">
      <c r="B80" s="55" t="s">
        <v>66</v>
      </c>
      <c r="E80" s="78">
        <f>E79/E55</f>
        <v>3.2606856668255997E-3</v>
      </c>
      <c r="F80" s="78">
        <f>F79/F55</f>
        <v>1.0842478030866087E-2</v>
      </c>
      <c r="G80" s="78">
        <f>G79/G55</f>
        <v>-8.1756860985289382E-3</v>
      </c>
      <c r="H80" s="78">
        <f>H79/H55</f>
        <v>2.0305483173476743E-2</v>
      </c>
      <c r="I80" s="78">
        <f>I79/I55</f>
        <v>-2.5067803609495853E-2</v>
      </c>
      <c r="J80" s="79">
        <f>J79/J55</f>
        <v>3.8753246753246754E-3</v>
      </c>
      <c r="K80" s="78">
        <f ca="1">K79/K55</f>
        <v>1.2186055154516765E-2</v>
      </c>
      <c r="L80" s="187">
        <f ca="1">AVERAGE(E80:K80)</f>
        <v>2.4609338561407254E-3</v>
      </c>
      <c r="M80" s="187">
        <f t="shared" ref="M80:U80" ca="1" si="65">AVERAGE(F80:L80)</f>
        <v>2.3466835974714577E-3</v>
      </c>
      <c r="N80" s="187">
        <f t="shared" ca="1" si="65"/>
        <v>1.1329986784150822E-3</v>
      </c>
      <c r="O80" s="187">
        <f t="shared" ca="1" si="65"/>
        <v>2.4628107894070846E-3</v>
      </c>
      <c r="P80" s="187">
        <f t="shared" ca="1" si="65"/>
        <v>-8.614240831715197E-5</v>
      </c>
      <c r="Q80" s="187">
        <f t="shared" ca="1" si="65"/>
        <v>3.4826663347083766E-3</v>
      </c>
      <c r="R80" s="187">
        <f t="shared" ca="1" si="65"/>
        <v>3.4265722860489056E-3</v>
      </c>
      <c r="S80" s="187">
        <f t="shared" ca="1" si="65"/>
        <v>2.1752175905534973E-3</v>
      </c>
      <c r="T80" s="187">
        <f t="shared" ca="1" si="65"/>
        <v>2.1344009811838931E-3</v>
      </c>
      <c r="U80" s="187">
        <f t="shared" ca="1" si="65"/>
        <v>2.1040748931428124E-3</v>
      </c>
    </row>
    <row r="81" spans="1:21" s="55" customFormat="1" ht="16" customHeight="1" x14ac:dyDescent="0.2">
      <c r="B81" s="55" t="s">
        <v>72</v>
      </c>
      <c r="E81" s="88"/>
      <c r="F81" s="78">
        <f>F79/(F55-E55)</f>
        <v>0.2065519156024431</v>
      </c>
      <c r="G81" s="78">
        <f>G79/(G55-F55)</f>
        <v>-0.21672862453531599</v>
      </c>
      <c r="H81" s="78">
        <f>H79/(H55-G55)</f>
        <v>1.7461263408820025</v>
      </c>
      <c r="I81" s="78">
        <f>I79/(I55-H55)</f>
        <v>-0.12871797810762795</v>
      </c>
      <c r="J81" s="79">
        <f>J79/(J55-I55)</f>
        <v>5.606493311288141E-2</v>
      </c>
      <c r="K81" s="78">
        <f ca="1">K79/(K55-J55)</f>
        <v>1.4284413273771235</v>
      </c>
      <c r="L81" s="78">
        <f ca="1">L79/(L55-K55)</f>
        <v>8.7456176142425165E-2</v>
      </c>
      <c r="M81" s="78">
        <f ca="1">M79/(M55-L55)</f>
        <v>8.3398951134369861E-2</v>
      </c>
      <c r="N81" s="78">
        <f ca="1">N79/(N55-M55)</f>
        <v>4.0267159393578264E-2</v>
      </c>
      <c r="O81" s="78">
        <f ca="1">O79/(O55-N55)</f>
        <v>8.7532273742180589E-2</v>
      </c>
      <c r="P81" s="78">
        <f ca="1">P79/(P55-O55)</f>
        <v>-3.0617503475444587E-3</v>
      </c>
      <c r="Q81" s="78">
        <f ca="1">Q79/(Q55-P55)</f>
        <v>0.12378849158058551</v>
      </c>
      <c r="R81" s="78">
        <f ca="1">R79/(R55-Q55)</f>
        <v>0.12179906944046577</v>
      </c>
      <c r="S81" s="78">
        <f ca="1">S79/(S55-R55)</f>
        <v>7.7321893496757541E-2</v>
      </c>
      <c r="T81" s="78">
        <f ca="1">T79/(T55-S55)</f>
        <v>7.5873744979983379E-2</v>
      </c>
      <c r="U81" s="78">
        <f ca="1">U79/(U55-T55)</f>
        <v>7.4798427939390205E-2</v>
      </c>
    </row>
    <row r="82" spans="1:21" ht="16" customHeight="1" x14ac:dyDescent="0.2">
      <c r="B82" s="55"/>
      <c r="E82" s="65"/>
      <c r="F82" s="89"/>
      <c r="G82" s="89"/>
      <c r="H82" s="89"/>
      <c r="I82" s="89"/>
      <c r="J82" s="90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</row>
    <row r="83" spans="1:21" ht="16" customHeight="1" x14ac:dyDescent="0.2">
      <c r="B83" s="68" t="s">
        <v>73</v>
      </c>
      <c r="C83" s="68"/>
      <c r="D83" s="68"/>
      <c r="E83" s="91">
        <f>E68+E70-E75-E79</f>
        <v>3812</v>
      </c>
      <c r="F83" s="91">
        <f>F68+F70-F75-F79</f>
        <v>4081</v>
      </c>
      <c r="G83" s="91">
        <f>G68+G70-G75-G79</f>
        <v>3824</v>
      </c>
      <c r="H83" s="91">
        <f>H68+H70-H75-H79</f>
        <v>3285</v>
      </c>
      <c r="I83" s="91">
        <f>I68+I70-I75-I79</f>
        <v>9597</v>
      </c>
      <c r="J83" s="92">
        <f>J68+J70-J75-J79</f>
        <v>8763</v>
      </c>
      <c r="K83" s="91">
        <f ca="1">K68+K70-K75-K79</f>
        <v>7061.7739961096795</v>
      </c>
      <c r="L83" s="91">
        <f ca="1">L68+L70-L75-L79</f>
        <v>9024.327270561751</v>
      </c>
      <c r="M83" s="91">
        <f ca="1">M68+M70-M75-M79</f>
        <v>9455.0791233094606</v>
      </c>
      <c r="N83" s="91">
        <f ca="1">N68+N70-N75-N79</f>
        <v>10084.171418790615</v>
      </c>
      <c r="O83" s="91">
        <f ca="1">O68+O70-O75-O79</f>
        <v>10506.255426367932</v>
      </c>
      <c r="P83" s="91">
        <f ca="1">P68+P70-P75-P79</f>
        <v>11399.250812047336</v>
      </c>
      <c r="Q83" s="91">
        <f ca="1">Q68+Q70-Q75-Q79</f>
        <v>11612.727401700631</v>
      </c>
      <c r="R83" s="91">
        <f ca="1">R68+R70-R75-R79</f>
        <v>12224.625073264322</v>
      </c>
      <c r="S83" s="91">
        <f ca="1">S68+S70-S75-S79</f>
        <v>13022.294656335442</v>
      </c>
      <c r="T83" s="91">
        <f ca="1">T68+T70-T75-T79</f>
        <v>13706.329369318617</v>
      </c>
      <c r="U83" s="91">
        <f ca="1">U68+U70-U75-U79</f>
        <v>14424.703794239671</v>
      </c>
    </row>
    <row r="84" spans="1:21" s="55" customFormat="1" ht="16" customHeight="1" x14ac:dyDescent="0.2">
      <c r="B84" s="55" t="s">
        <v>66</v>
      </c>
      <c r="E84" s="93">
        <f>E83/E55</f>
        <v>5.8630819631788608E-2</v>
      </c>
      <c r="F84" s="93">
        <f>F83/F55</f>
        <v>5.9473323715006049E-2</v>
      </c>
      <c r="G84" s="93">
        <f>G83/G55</f>
        <v>5.3625769538206962E-2</v>
      </c>
      <c r="H84" s="93">
        <f>H83/H55</f>
        <v>4.5531407662028053E-2</v>
      </c>
      <c r="I84" s="93">
        <f>I83/I55</f>
        <v>0.1071129613714745</v>
      </c>
      <c r="J84" s="79">
        <f>J83/J55</f>
        <v>9.1044155844155844E-2</v>
      </c>
      <c r="K84" s="93">
        <f ca="1">K83/K55</f>
        <v>7.2743167713714973E-2</v>
      </c>
      <c r="L84" s="93">
        <f ca="1">L83/L55</f>
        <v>9.034359392681221E-2</v>
      </c>
      <c r="M84" s="93">
        <f ca="1">M83/M55</f>
        <v>9.1992468835354071E-2</v>
      </c>
      <c r="N84" s="93">
        <f ca="1">N83/N55</f>
        <v>9.5352559870563389E-2</v>
      </c>
      <c r="O84" s="93">
        <f ca="1">O83/O55</f>
        <v>9.6548509486307582E-2</v>
      </c>
      <c r="P84" s="93">
        <f ca="1">P83/P55</f>
        <v>0.1018075205741797</v>
      </c>
      <c r="Q84" s="93">
        <f ca="1">Q83/Q55</f>
        <v>0.10079620207607624</v>
      </c>
      <c r="R84" s="93">
        <f ca="1">R83/R55</f>
        <v>0.10312223678064715</v>
      </c>
      <c r="S84" s="93">
        <f ca="1">S83/S55</f>
        <v>0.10676074308498743</v>
      </c>
      <c r="T84" s="93">
        <f ca="1">T83/T55</f>
        <v>0.10920763021399109</v>
      </c>
      <c r="U84" s="93">
        <f ca="1">U83/U55</f>
        <v>0.11169839393367173</v>
      </c>
    </row>
    <row r="85" spans="1:21" ht="16" customHeight="1" x14ac:dyDescent="0.2">
      <c r="E85" s="54"/>
      <c r="F85" s="94"/>
      <c r="G85" s="94"/>
      <c r="H85" s="94"/>
      <c r="I85" s="94"/>
      <c r="J85" s="95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ht="16" customHeight="1" x14ac:dyDescent="0.2">
      <c r="J86" s="58"/>
      <c r="K86" s="97">
        <v>0.25</v>
      </c>
      <c r="L86" s="97">
        <v>0.75</v>
      </c>
      <c r="U86" s="34"/>
    </row>
    <row r="87" spans="1:21" ht="16" customHeight="1" x14ac:dyDescent="0.2">
      <c r="A87" s="22" t="s">
        <v>38</v>
      </c>
      <c r="B87" s="29" t="s">
        <v>74</v>
      </c>
      <c r="C87" s="29"/>
      <c r="D87" s="29"/>
      <c r="E87" s="98"/>
      <c r="F87" s="98"/>
      <c r="G87" s="98"/>
      <c r="H87" s="98"/>
      <c r="I87" s="98"/>
      <c r="J87" s="98"/>
      <c r="K87" s="98">
        <v>1</v>
      </c>
      <c r="L87" s="98">
        <f>K87+1</f>
        <v>2</v>
      </c>
      <c r="M87" s="98">
        <f t="shared" ref="M87:T87" si="66">L87+1</f>
        <v>3</v>
      </c>
      <c r="N87" s="98">
        <f t="shared" si="66"/>
        <v>4</v>
      </c>
      <c r="O87" s="98">
        <f t="shared" si="66"/>
        <v>5</v>
      </c>
      <c r="P87" s="98">
        <f t="shared" si="66"/>
        <v>6</v>
      </c>
      <c r="Q87" s="98">
        <f t="shared" si="66"/>
        <v>7</v>
      </c>
      <c r="R87" s="98">
        <f t="shared" si="66"/>
        <v>8</v>
      </c>
      <c r="S87" s="98">
        <f t="shared" si="66"/>
        <v>9</v>
      </c>
      <c r="T87" s="98">
        <f t="shared" si="66"/>
        <v>10</v>
      </c>
      <c r="U87" s="98"/>
    </row>
    <row r="88" spans="1:21" s="99" customFormat="1" ht="16" customHeight="1" x14ac:dyDescent="0.2">
      <c r="B88" s="29" t="s">
        <v>60</v>
      </c>
      <c r="C88" s="29"/>
      <c r="D88" s="29"/>
      <c r="E88" s="98"/>
      <c r="F88" s="98"/>
      <c r="G88" s="98"/>
      <c r="H88" s="98"/>
      <c r="I88" s="98"/>
      <c r="J88" s="98"/>
      <c r="K88" s="51">
        <v>45229</v>
      </c>
      <c r="L88" s="51">
        <f>EDATE(K88,12)</f>
        <v>45595</v>
      </c>
      <c r="M88" s="51">
        <f t="shared" ref="M88:T88" si="67">EDATE(L88,12)</f>
        <v>45960</v>
      </c>
      <c r="N88" s="51">
        <f t="shared" si="67"/>
        <v>46325</v>
      </c>
      <c r="O88" s="51">
        <f t="shared" si="67"/>
        <v>46690</v>
      </c>
      <c r="P88" s="51">
        <f t="shared" si="67"/>
        <v>47056</v>
      </c>
      <c r="Q88" s="51">
        <f t="shared" si="67"/>
        <v>47421</v>
      </c>
      <c r="R88" s="51">
        <f t="shared" si="67"/>
        <v>47786</v>
      </c>
      <c r="S88" s="51">
        <f t="shared" si="67"/>
        <v>48151</v>
      </c>
      <c r="T88" s="51">
        <f t="shared" si="67"/>
        <v>48517</v>
      </c>
      <c r="U88" s="98"/>
    </row>
    <row r="89" spans="1:21" ht="16" customHeight="1" x14ac:dyDescent="0.2">
      <c r="B89" s="22" t="s">
        <v>75</v>
      </c>
      <c r="E89" s="100"/>
      <c r="F89" s="100"/>
      <c r="G89" s="100"/>
      <c r="H89" s="100"/>
      <c r="I89" s="100"/>
      <c r="J89" s="95"/>
      <c r="K89" s="101">
        <f t="shared" ref="K89:T89" ca="1" si="68">$K$86*K83+$L$86*L83</f>
        <v>8533.688951948734</v>
      </c>
      <c r="L89" s="101">
        <f t="shared" ca="1" si="68"/>
        <v>9347.3911601225336</v>
      </c>
      <c r="M89" s="101">
        <f t="shared" ca="1" si="68"/>
        <v>9926.8983449203261</v>
      </c>
      <c r="N89" s="101">
        <f t="shared" ca="1" si="68"/>
        <v>10400.734424473601</v>
      </c>
      <c r="O89" s="101">
        <f t="shared" ca="1" si="68"/>
        <v>11176.001965627485</v>
      </c>
      <c r="P89" s="101">
        <f t="shared" ca="1" si="68"/>
        <v>11559.358254287308</v>
      </c>
      <c r="Q89" s="101">
        <f t="shared" ca="1" si="68"/>
        <v>12071.6506553734</v>
      </c>
      <c r="R89" s="101">
        <f t="shared" ca="1" si="68"/>
        <v>12822.877260567662</v>
      </c>
      <c r="S89" s="101">
        <f t="shared" ca="1" si="68"/>
        <v>13535.320691072824</v>
      </c>
      <c r="T89" s="101">
        <f t="shared" ca="1" si="68"/>
        <v>14245.110188009407</v>
      </c>
      <c r="U89" s="34"/>
    </row>
    <row r="90" spans="1:21" s="55" customFormat="1" ht="16" customHeight="1" x14ac:dyDescent="0.2">
      <c r="B90" s="55" t="s">
        <v>61</v>
      </c>
      <c r="J90" s="102"/>
      <c r="L90" s="56">
        <f ca="1">L89/K89-1</f>
        <v>9.5351753825991592E-2</v>
      </c>
      <c r="M90" s="56">
        <f t="shared" ref="M90:T90" ca="1" si="69">M89/L89-1</f>
        <v>6.19966763849642E-2</v>
      </c>
      <c r="N90" s="56">
        <f t="shared" ca="1" si="69"/>
        <v>4.7732540728166128E-2</v>
      </c>
      <c r="O90" s="56">
        <f t="shared" ca="1" si="69"/>
        <v>7.4539692055748397E-2</v>
      </c>
      <c r="P90" s="56">
        <f t="shared" ca="1" si="69"/>
        <v>3.4301737762650664E-2</v>
      </c>
      <c r="Q90" s="56">
        <f t="shared" ca="1" si="69"/>
        <v>4.431841195821451E-2</v>
      </c>
      <c r="R90" s="56">
        <f t="shared" ca="1" si="69"/>
        <v>6.2230644891953624E-2</v>
      </c>
      <c r="S90" s="56">
        <f t="shared" ca="1" si="69"/>
        <v>5.5560340789975182E-2</v>
      </c>
      <c r="T90" s="56">
        <f t="shared" ca="1" si="69"/>
        <v>5.2439799036658297E-2</v>
      </c>
    </row>
    <row r="91" spans="1:21" ht="16" customHeight="1" x14ac:dyDescent="0.2">
      <c r="B91" s="22" t="s">
        <v>76</v>
      </c>
      <c r="J91" s="58"/>
      <c r="T91" s="54">
        <f ca="1">T89*(1+D21)/(T94-D21)</f>
        <v>337948.38069451106</v>
      </c>
    </row>
    <row r="92" spans="1:21" ht="16" customHeight="1" x14ac:dyDescent="0.2">
      <c r="B92" s="22" t="s">
        <v>77</v>
      </c>
      <c r="J92" s="58"/>
      <c r="T92" s="103">
        <f ca="1">(T58+T70)*D22</f>
        <v>268602.998786457</v>
      </c>
    </row>
    <row r="93" spans="1:21" ht="16" customHeight="1" x14ac:dyDescent="0.2">
      <c r="B93" s="104" t="s">
        <v>78</v>
      </c>
      <c r="C93" s="104"/>
      <c r="D93" s="104"/>
      <c r="E93" s="104"/>
      <c r="F93" s="104"/>
      <c r="G93" s="104"/>
      <c r="H93" s="104"/>
      <c r="I93" s="104"/>
      <c r="J93" s="105"/>
      <c r="K93" s="104"/>
      <c r="L93" s="104"/>
      <c r="M93" s="104"/>
      <c r="N93" s="104"/>
      <c r="O93" s="104"/>
      <c r="P93" s="104"/>
      <c r="Q93" s="104"/>
      <c r="R93" s="104"/>
      <c r="S93" s="104"/>
      <c r="T93" s="103">
        <f ca="1">AVERAGE(T91:T92)</f>
        <v>303275.689740484</v>
      </c>
    </row>
    <row r="94" spans="1:21" ht="16" customHeight="1" x14ac:dyDescent="0.2">
      <c r="B94" s="22" t="s">
        <v>55</v>
      </c>
      <c r="J94" s="58"/>
      <c r="K94" s="106">
        <f>D20</f>
        <v>8.3416285834826603E-2</v>
      </c>
      <c r="L94" s="107">
        <f t="shared" ref="L94:S94" si="70">K94-($K$94-$T$94)/($T$87-$K$87)</f>
        <v>8.2305174723715499E-2</v>
      </c>
      <c r="M94" s="107">
        <f t="shared" si="70"/>
        <v>8.1194063612604395E-2</v>
      </c>
      <c r="N94" s="107">
        <f t="shared" si="70"/>
        <v>8.008295250149329E-2</v>
      </c>
      <c r="O94" s="107">
        <f t="shared" si="70"/>
        <v>7.8971841390382186E-2</v>
      </c>
      <c r="P94" s="107">
        <f t="shared" si="70"/>
        <v>7.7860730279271081E-2</v>
      </c>
      <c r="Q94" s="107">
        <f t="shared" si="70"/>
        <v>7.6749619168159977E-2</v>
      </c>
      <c r="R94" s="107">
        <f t="shared" si="70"/>
        <v>7.5638508057048873E-2</v>
      </c>
      <c r="S94" s="107">
        <f t="shared" si="70"/>
        <v>7.4527396945937768E-2</v>
      </c>
      <c r="T94" s="106">
        <f>T20</f>
        <v>7.3416285834826608E-2</v>
      </c>
    </row>
    <row r="95" spans="1:21" ht="16" customHeight="1" x14ac:dyDescent="0.2">
      <c r="B95" s="22" t="s">
        <v>79</v>
      </c>
      <c r="J95" s="58"/>
      <c r="K95" s="108">
        <f>1/(1+K94)</f>
        <v>0.92300624706730328</v>
      </c>
      <c r="L95" s="108">
        <f>K95*(1/(1+L94))</f>
        <v>0.85281514735705011</v>
      </c>
      <c r="M95" s="108">
        <f t="shared" ref="M95:T95" si="71">L95*(1/(1+M94))</f>
        <v>0.78877157770135209</v>
      </c>
      <c r="N95" s="108">
        <f t="shared" si="71"/>
        <v>0.7302879615630834</v>
      </c>
      <c r="O95" s="108">
        <f t="shared" si="71"/>
        <v>0.67683690486493275</v>
      </c>
      <c r="P95" s="108">
        <f t="shared" si="71"/>
        <v>0.62794467397431386</v>
      </c>
      <c r="Q95" s="108">
        <f t="shared" si="71"/>
        <v>0.58318541543523439</v>
      </c>
      <c r="R95" s="108">
        <f t="shared" si="71"/>
        <v>0.54217602946240351</v>
      </c>
      <c r="S95" s="108">
        <f t="shared" si="71"/>
        <v>0.5045716200474708</v>
      </c>
      <c r="T95" s="108">
        <f t="shared" si="71"/>
        <v>0.4700614539819945</v>
      </c>
    </row>
    <row r="96" spans="1:21" ht="16" customHeight="1" x14ac:dyDescent="0.2">
      <c r="J96" s="58"/>
    </row>
    <row r="97" spans="1:21" ht="16" customHeight="1" x14ac:dyDescent="0.2">
      <c r="B97" s="82" t="s">
        <v>80</v>
      </c>
      <c r="C97" s="82"/>
      <c r="D97" s="82"/>
      <c r="E97" s="82"/>
      <c r="F97" s="82"/>
      <c r="G97" s="82"/>
      <c r="H97" s="82"/>
      <c r="I97" s="82"/>
      <c r="J97" s="109"/>
      <c r="K97" s="110">
        <f t="shared" ref="K97:T97" ca="1" si="72">K95*K89</f>
        <v>7876.6482131779094</v>
      </c>
      <c r="L97" s="110">
        <f t="shared" ca="1" si="72"/>
        <v>7971.5967696238858</v>
      </c>
      <c r="M97" s="110">
        <f t="shared" ca="1" si="72"/>
        <v>7830.0552692037463</v>
      </c>
      <c r="N97" s="110">
        <f t="shared" ca="1" si="72"/>
        <v>7595.5311416078157</v>
      </c>
      <c r="O97" s="110">
        <f t="shared" ca="1" si="72"/>
        <v>7564.330579179712</v>
      </c>
      <c r="P97" s="110">
        <f t="shared" ca="1" si="72"/>
        <v>7258.6374503407378</v>
      </c>
      <c r="Q97" s="110">
        <f t="shared" ca="1" si="72"/>
        <v>7040.010602442956</v>
      </c>
      <c r="R97" s="110">
        <f t="shared" ca="1" si="72"/>
        <v>6952.2566794183167</v>
      </c>
      <c r="S97" s="110">
        <f t="shared" ca="1" si="72"/>
        <v>6829.5386889566671</v>
      </c>
      <c r="T97" s="110">
        <f t="shared" ca="1" si="72"/>
        <v>6696.0772071094243</v>
      </c>
    </row>
    <row r="98" spans="1:21" ht="16" customHeight="1" x14ac:dyDescent="0.2">
      <c r="B98" s="22" t="s">
        <v>81</v>
      </c>
      <c r="T98" s="54">
        <f ca="1">T95*T93</f>
        <v>142558.21167680417</v>
      </c>
    </row>
    <row r="100" spans="1:21" ht="16" customHeight="1" x14ac:dyDescent="0.2">
      <c r="B100" s="111" t="s">
        <v>82</v>
      </c>
      <c r="C100" s="68"/>
      <c r="D100" s="69">
        <f ca="1">SUM(K97:T98)</f>
        <v>216172.89427786536</v>
      </c>
    </row>
    <row r="102" spans="1:21" ht="16" customHeight="1" x14ac:dyDescent="0.2">
      <c r="B102" s="22" t="s">
        <v>83</v>
      </c>
      <c r="D102" s="112">
        <f>T9</f>
        <v>3656</v>
      </c>
    </row>
    <row r="103" spans="1:21" ht="16" customHeight="1" x14ac:dyDescent="0.2">
      <c r="B103" s="22" t="s">
        <v>84</v>
      </c>
      <c r="D103" s="112">
        <f>T12</f>
        <v>0</v>
      </c>
    </row>
    <row r="104" spans="1:21" ht="16" customHeight="1" x14ac:dyDescent="0.2">
      <c r="B104" s="22" t="s">
        <v>85</v>
      </c>
      <c r="D104" s="112">
        <f>T10</f>
        <v>34164</v>
      </c>
    </row>
    <row r="105" spans="1:21" ht="16" customHeight="1" x14ac:dyDescent="0.2">
      <c r="B105" s="22" t="s">
        <v>86</v>
      </c>
      <c r="D105" s="112">
        <f>T11</f>
        <v>0</v>
      </c>
      <c r="H105" s="22" t="s">
        <v>87</v>
      </c>
    </row>
    <row r="106" spans="1:21" ht="16" customHeight="1" x14ac:dyDescent="0.2">
      <c r="B106" s="111" t="s">
        <v>88</v>
      </c>
      <c r="C106" s="68"/>
      <c r="D106" s="113">
        <f ca="1">D100+D102+D103-D104-D105</f>
        <v>185664.89427786536</v>
      </c>
    </row>
    <row r="107" spans="1:21" ht="16" customHeight="1" x14ac:dyDescent="0.2">
      <c r="D107" s="76"/>
    </row>
    <row r="108" spans="1:21" ht="16" customHeight="1" x14ac:dyDescent="0.2">
      <c r="B108" s="104" t="s">
        <v>89</v>
      </c>
      <c r="C108" s="104"/>
      <c r="D108" s="114">
        <f>T14</f>
        <v>620</v>
      </c>
    </row>
    <row r="109" spans="1:21" ht="16" customHeight="1" x14ac:dyDescent="0.2">
      <c r="B109" s="115" t="s">
        <v>29</v>
      </c>
      <c r="D109" s="116">
        <f ca="1">D106/D108</f>
        <v>299.45950689978281</v>
      </c>
    </row>
    <row r="111" spans="1:21" ht="16" customHeight="1" x14ac:dyDescent="0.2">
      <c r="A111" s="22" t="s">
        <v>38</v>
      </c>
      <c r="B111" s="29" t="s">
        <v>90</v>
      </c>
      <c r="C111" s="117"/>
      <c r="D111" s="117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</row>
    <row r="113" spans="1:21" ht="16" customHeight="1" x14ac:dyDescent="0.2">
      <c r="B113" s="22" t="s">
        <v>56</v>
      </c>
      <c r="D113" s="119">
        <f>D21</f>
        <v>3.0000000000000002E-2</v>
      </c>
      <c r="F113" s="22" t="s">
        <v>91</v>
      </c>
      <c r="H113" s="40">
        <v>5.0000000000000001E-3</v>
      </c>
      <c r="J113" s="22" t="s">
        <v>92</v>
      </c>
      <c r="L113" s="120">
        <f>D22</f>
        <v>13</v>
      </c>
      <c r="N113" s="22" t="s">
        <v>93</v>
      </c>
      <c r="P113" s="121">
        <v>0.5</v>
      </c>
    </row>
    <row r="114" spans="1:21" ht="16" customHeight="1" x14ac:dyDescent="0.2">
      <c r="B114" s="22" t="s">
        <v>55</v>
      </c>
      <c r="D114" s="119">
        <f>D20</f>
        <v>8.3416285834826603E-2</v>
      </c>
      <c r="F114" s="22" t="s">
        <v>94</v>
      </c>
      <c r="H114" s="40">
        <v>5.0000000000000001E-3</v>
      </c>
      <c r="J114" s="22" t="s">
        <v>95</v>
      </c>
      <c r="L114" s="119">
        <f>D20</f>
        <v>8.3416285834826603E-2</v>
      </c>
      <c r="N114" s="22" t="s">
        <v>94</v>
      </c>
      <c r="P114" s="40">
        <v>5.0000000000000001E-3</v>
      </c>
    </row>
    <row r="116" spans="1:21" ht="16" customHeight="1" x14ac:dyDescent="0.2">
      <c r="D116" s="122" t="s">
        <v>56</v>
      </c>
      <c r="E116" s="122"/>
      <c r="F116" s="122"/>
      <c r="G116" s="122"/>
      <c r="H116" s="122"/>
      <c r="L116" s="122" t="s">
        <v>57</v>
      </c>
      <c r="M116" s="122"/>
      <c r="N116" s="122"/>
      <c r="O116" s="122"/>
      <c r="P116" s="122"/>
    </row>
    <row r="117" spans="1:21" ht="16" customHeight="1" x14ac:dyDescent="0.2">
      <c r="D117" s="122"/>
      <c r="E117" s="122"/>
      <c r="F117" s="122"/>
      <c r="G117" s="122"/>
      <c r="H117" s="122"/>
      <c r="L117" s="122"/>
      <c r="M117" s="122"/>
      <c r="N117" s="122"/>
      <c r="O117" s="122"/>
      <c r="P117" s="122"/>
    </row>
    <row r="118" spans="1:21" ht="16" customHeight="1" x14ac:dyDescent="0.2">
      <c r="C118" s="190">
        <f ca="1">D109</f>
        <v>299.45950689978281</v>
      </c>
      <c r="D118" s="123">
        <f>E118-H113</f>
        <v>0.02</v>
      </c>
      <c r="E118" s="123">
        <f>F118-H113</f>
        <v>2.5000000000000001E-2</v>
      </c>
      <c r="F118" s="124">
        <f>CHOOSE(D16,H16,L16,P16,H21)</f>
        <v>3.0000000000000002E-2</v>
      </c>
      <c r="G118" s="123">
        <f>F118+H113</f>
        <v>3.5000000000000003E-2</v>
      </c>
      <c r="H118" s="123">
        <f>G118+H113</f>
        <v>0.04</v>
      </c>
      <c r="K118" s="190">
        <f ca="1">D109</f>
        <v>299.45950689978281</v>
      </c>
      <c r="L118" s="125">
        <f>M118-P113</f>
        <v>12</v>
      </c>
      <c r="M118" s="125">
        <f>N118-P113</f>
        <v>12.5</v>
      </c>
      <c r="N118" s="125">
        <f>CHOOSE(D17,H17,L17,P17,H22)</f>
        <v>13</v>
      </c>
      <c r="O118" s="125">
        <f>N118+P113</f>
        <v>13.5</v>
      </c>
      <c r="P118" s="125">
        <f>O118+P113</f>
        <v>14</v>
      </c>
    </row>
    <row r="119" spans="1:21" ht="16" customHeight="1" x14ac:dyDescent="0.2">
      <c r="B119" s="122" t="s">
        <v>55</v>
      </c>
      <c r="C119" s="126">
        <f>C120-H114</f>
        <v>7.3416285834826595E-2</v>
      </c>
      <c r="D119" s="108">
        <f t="dataTable" ref="D119:H123" dt2D="1" dtr="1" r1="D21" r2="D20" ca="1"/>
        <v>326.62415521502834</v>
      </c>
      <c r="E119" s="108">
        <v>345.51988975830244</v>
      </c>
      <c r="F119" s="108">
        <v>370.07027264779714</v>
      </c>
      <c r="G119" s="108">
        <v>403.26020225081987</v>
      </c>
      <c r="H119" s="108">
        <v>450.6239977850741</v>
      </c>
      <c r="J119" s="122" t="s">
        <v>55</v>
      </c>
      <c r="K119" s="126">
        <f>K120-P114</f>
        <v>7.3416285834826595E-2</v>
      </c>
      <c r="L119" s="108">
        <f t="dataTable" ref="L119:P123" dt2D="1" dtr="1" r1="D22" r2="D20" ca="1"/>
        <v>361.47300986888706</v>
      </c>
      <c r="M119" s="108">
        <v>365.77164125834207</v>
      </c>
      <c r="N119" s="108">
        <v>370.07027264779714</v>
      </c>
      <c r="O119" s="108">
        <v>374.36890403725221</v>
      </c>
      <c r="P119" s="108">
        <v>378.66753542670727</v>
      </c>
    </row>
    <row r="120" spans="1:21" ht="16" customHeight="1" x14ac:dyDescent="0.2">
      <c r="B120" s="122"/>
      <c r="C120" s="126">
        <f>C121-H114</f>
        <v>7.8416285834826599E-2</v>
      </c>
      <c r="D120" s="108">
        <v>298.35326189446045</v>
      </c>
      <c r="E120" s="127">
        <v>312.72958706929836</v>
      </c>
      <c r="F120" s="127">
        <v>330.84815979941783</v>
      </c>
      <c r="G120" s="127">
        <v>354.38881109915383</v>
      </c>
      <c r="H120" s="108">
        <v>386.21367358559075</v>
      </c>
      <c r="J120" s="122"/>
      <c r="K120" s="126">
        <f>K121-P114</f>
        <v>7.8416285834826599E-2</v>
      </c>
      <c r="L120" s="108">
        <v>322.64307235954971</v>
      </c>
      <c r="M120" s="127">
        <v>326.74561607948374</v>
      </c>
      <c r="N120" s="127">
        <v>330.84815979941783</v>
      </c>
      <c r="O120" s="127">
        <v>334.95070351935186</v>
      </c>
      <c r="P120" s="108">
        <v>339.05324723928595</v>
      </c>
    </row>
    <row r="121" spans="1:21" ht="16" customHeight="1" x14ac:dyDescent="0.2">
      <c r="B121" s="122"/>
      <c r="C121" s="126">
        <f>CHOOSE(D15,H15,L15,P15,H20)</f>
        <v>8.3416285834826603E-2</v>
      </c>
      <c r="D121" s="108">
        <v>274.46522910062089</v>
      </c>
      <c r="E121" s="127">
        <v>285.67177551834402</v>
      </c>
      <c r="F121" s="128">
        <v>299.45950689978281</v>
      </c>
      <c r="G121" s="127">
        <v>316.83627118271551</v>
      </c>
      <c r="H121" s="108">
        <v>339.4131239401197</v>
      </c>
      <c r="J121" s="122"/>
      <c r="K121" s="126">
        <f>CHOOSE(D15,H15,L15,P15,H20)</f>
        <v>8.3416285834826603E-2</v>
      </c>
      <c r="L121" s="108">
        <v>291.62700589770554</v>
      </c>
      <c r="M121" s="127">
        <v>295.54325639874412</v>
      </c>
      <c r="N121" s="128">
        <v>299.45950689978281</v>
      </c>
      <c r="O121" s="127">
        <v>303.37575740082144</v>
      </c>
      <c r="P121" s="108">
        <v>307.29200790186007</v>
      </c>
    </row>
    <row r="122" spans="1:21" ht="16" customHeight="1" x14ac:dyDescent="0.2">
      <c r="B122" s="122"/>
      <c r="C122" s="126">
        <f>C121+H114</f>
        <v>8.8416285834826608E-2</v>
      </c>
      <c r="D122" s="108">
        <v>253.89720171882888</v>
      </c>
      <c r="E122" s="127">
        <v>262.8068013488388</v>
      </c>
      <c r="F122" s="127">
        <v>273.55660814806555</v>
      </c>
      <c r="G122" s="127">
        <v>286.78239984386386</v>
      </c>
      <c r="H122" s="108">
        <v>303.45094801868873</v>
      </c>
      <c r="J122" s="122"/>
      <c r="K122" s="126">
        <f>K121+P114</f>
        <v>8.8416285834826608E-2</v>
      </c>
      <c r="L122" s="108">
        <v>266.0781672450849</v>
      </c>
      <c r="M122" s="127">
        <v>269.81738769657522</v>
      </c>
      <c r="N122" s="127">
        <v>273.55660814806555</v>
      </c>
      <c r="O122" s="127">
        <v>277.29582859955593</v>
      </c>
      <c r="P122" s="108">
        <v>281.03504905104626</v>
      </c>
    </row>
    <row r="123" spans="1:21" ht="16" customHeight="1" x14ac:dyDescent="0.2">
      <c r="B123" s="122"/>
      <c r="C123" s="126">
        <f>C122+H114</f>
        <v>9.3416285834826612E-2</v>
      </c>
      <c r="D123" s="108">
        <v>235.91736498464118</v>
      </c>
      <c r="E123" s="108">
        <v>243.11754083770614</v>
      </c>
      <c r="F123" s="108">
        <v>251.66565313759352</v>
      </c>
      <c r="G123" s="108">
        <v>261.97931026449419</v>
      </c>
      <c r="H123" s="108">
        <v>274.668494668449</v>
      </c>
      <c r="J123" s="122"/>
      <c r="K123" s="126">
        <f>K122+P114</f>
        <v>9.3416285834826612E-2</v>
      </c>
      <c r="L123" s="108">
        <v>244.5237463997085</v>
      </c>
      <c r="M123" s="108">
        <v>248.094699768651</v>
      </c>
      <c r="N123" s="108">
        <v>251.66565313759352</v>
      </c>
      <c r="O123" s="108">
        <v>255.23660650653605</v>
      </c>
      <c r="P123" s="108">
        <v>258.8075598754786</v>
      </c>
    </row>
    <row r="125" spans="1:21" ht="16" customHeight="1" x14ac:dyDescent="0.2">
      <c r="A125" s="22" t="s">
        <v>38</v>
      </c>
      <c r="B125" s="29" t="s">
        <v>96</v>
      </c>
      <c r="C125" s="117"/>
      <c r="D125" s="117"/>
      <c r="E125" s="49">
        <v>2017</v>
      </c>
      <c r="F125" s="49">
        <f>E125+1</f>
        <v>2018</v>
      </c>
      <c r="G125" s="49">
        <f t="shared" ref="G125" si="73">F125+1</f>
        <v>2019</v>
      </c>
      <c r="H125" s="49">
        <f t="shared" ref="H125" si="74">G125+1</f>
        <v>2020</v>
      </c>
      <c r="I125" s="49">
        <f t="shared" ref="I125" si="75">H125+1</f>
        <v>2021</v>
      </c>
      <c r="J125" s="49">
        <f t="shared" ref="J125" si="76">I125+1</f>
        <v>2022</v>
      </c>
      <c r="K125" s="50">
        <v>2022</v>
      </c>
      <c r="L125" s="50">
        <f>K125+1</f>
        <v>2023</v>
      </c>
      <c r="M125" s="50">
        <f t="shared" ref="M125" si="77">L125+1</f>
        <v>2024</v>
      </c>
      <c r="N125" s="50">
        <f t="shared" ref="N125" si="78">M125+1</f>
        <v>2025</v>
      </c>
      <c r="O125" s="50">
        <f t="shared" ref="O125" si="79">N125+1</f>
        <v>2026</v>
      </c>
      <c r="P125" s="50">
        <f t="shared" ref="P125" si="80">O125+1</f>
        <v>2027</v>
      </c>
      <c r="Q125" s="50">
        <f t="shared" ref="Q125" si="81">P125+1</f>
        <v>2028</v>
      </c>
      <c r="R125" s="50">
        <f t="shared" ref="R125" si="82">Q125+1</f>
        <v>2029</v>
      </c>
      <c r="S125" s="50">
        <f t="shared" ref="S125" si="83">R125+1</f>
        <v>2030</v>
      </c>
      <c r="T125" s="50">
        <f t="shared" ref="T125" si="84">S125+1</f>
        <v>2031</v>
      </c>
      <c r="U125" s="50">
        <f t="shared" ref="U125" si="85">T125+1</f>
        <v>2032</v>
      </c>
    </row>
    <row r="126" spans="1:21" ht="16" customHeight="1" x14ac:dyDescent="0.2">
      <c r="B126" s="29" t="s">
        <v>60</v>
      </c>
      <c r="C126" s="29"/>
      <c r="D126" s="29"/>
      <c r="E126" s="51">
        <f>EDATE(F126,-12)</f>
        <v>42766</v>
      </c>
      <c r="F126" s="51">
        <f t="shared" ref="F126" si="86">EDATE(G126,-12)</f>
        <v>43131</v>
      </c>
      <c r="G126" s="51">
        <f t="shared" ref="G126" si="87">EDATE(H126,-12)</f>
        <v>43496</v>
      </c>
      <c r="H126" s="51">
        <f t="shared" ref="H126" si="88">EDATE(I126,-12)</f>
        <v>43861</v>
      </c>
      <c r="I126" s="51">
        <f t="shared" ref="I126" si="89">EDATE(J126,-12)</f>
        <v>44227</v>
      </c>
      <c r="J126" s="51">
        <f>EDATE(K126,-12)</f>
        <v>44592</v>
      </c>
      <c r="K126" s="51">
        <v>44957</v>
      </c>
      <c r="L126" s="51">
        <f>EDATE(K126,12)</f>
        <v>45322</v>
      </c>
      <c r="M126" s="51">
        <f t="shared" ref="M126" si="90">EDATE(L126,12)</f>
        <v>45688</v>
      </c>
      <c r="N126" s="51">
        <f t="shared" ref="N126" si="91">EDATE(M126,12)</f>
        <v>46053</v>
      </c>
      <c r="O126" s="51">
        <f t="shared" ref="O126" si="92">EDATE(N126,12)</f>
        <v>46418</v>
      </c>
      <c r="P126" s="51">
        <f t="shared" ref="P126" si="93">EDATE(O126,12)</f>
        <v>46783</v>
      </c>
      <c r="Q126" s="51">
        <f t="shared" ref="Q126" si="94">EDATE(P126,12)</f>
        <v>47149</v>
      </c>
      <c r="R126" s="51">
        <f t="shared" ref="R126" si="95">EDATE(Q126,12)</f>
        <v>47514</v>
      </c>
      <c r="S126" s="51">
        <f t="shared" ref="S126" si="96">EDATE(R126,12)</f>
        <v>47879</v>
      </c>
      <c r="T126" s="51">
        <f t="shared" ref="T126" si="97">EDATE(S126,12)</f>
        <v>48244</v>
      </c>
      <c r="U126" s="51">
        <f t="shared" ref="U126" si="98">EDATE(T126,12)</f>
        <v>48610</v>
      </c>
    </row>
    <row r="127" spans="1:21" ht="16" customHeight="1" x14ac:dyDescent="0.2">
      <c r="B127" s="22" t="s">
        <v>64</v>
      </c>
      <c r="E127" s="54">
        <f>E55</f>
        <v>65017</v>
      </c>
      <c r="F127" s="54">
        <f>F55</f>
        <v>68619</v>
      </c>
      <c r="G127" s="54">
        <f>G55</f>
        <v>71309</v>
      </c>
      <c r="H127" s="54">
        <f>H55</f>
        <v>72148</v>
      </c>
      <c r="I127" s="54">
        <f>I55</f>
        <v>89597</v>
      </c>
      <c r="J127" s="129">
        <f>J55</f>
        <v>96250</v>
      </c>
      <c r="K127" s="54">
        <f ca="1">K55</f>
        <v>97078.175422628105</v>
      </c>
      <c r="L127" s="54">
        <f ca="1">L55</f>
        <v>99888.955910613906</v>
      </c>
      <c r="M127" s="54">
        <f ca="1">M55</f>
        <v>102781.01286999848</v>
      </c>
      <c r="N127" s="54">
        <f ca="1">N55</f>
        <v>105756.69318662658</v>
      </c>
      <c r="O127" s="54">
        <f ca="1">O55</f>
        <v>108818.41141066936</v>
      </c>
      <c r="P127" s="54">
        <f ca="1">P55</f>
        <v>111968.65170428676</v>
      </c>
      <c r="Q127" s="54">
        <f ca="1">Q55</f>
        <v>115209.9698452516</v>
      </c>
      <c r="R127" s="54">
        <f ca="1">R55</f>
        <v>118544.99528814046</v>
      </c>
      <c r="S127" s="54">
        <f ca="1">S55</f>
        <v>121976.43328474193</v>
      </c>
      <c r="T127" s="54">
        <f ca="1">T55</f>
        <v>125507.06706538016</v>
      </c>
      <c r="U127" s="54">
        <f ca="1">U55</f>
        <v>129139.76008290045</v>
      </c>
    </row>
    <row r="128" spans="1:21" s="55" customFormat="1" ht="16" customHeight="1" x14ac:dyDescent="0.2">
      <c r="B128" s="55" t="s">
        <v>61</v>
      </c>
      <c r="F128" s="130">
        <f>F56</f>
        <v>5.5400895150499174E-2</v>
      </c>
      <c r="G128" s="130">
        <f>G56</f>
        <v>3.9201970299771238E-2</v>
      </c>
      <c r="H128" s="130">
        <f>H56</f>
        <v>1.176569577472697E-2</v>
      </c>
      <c r="I128" s="130">
        <f>I56</f>
        <v>0.24185008593446811</v>
      </c>
      <c r="J128" s="131">
        <f>J56</f>
        <v>7.4254718349944682E-2</v>
      </c>
      <c r="K128" s="130">
        <f ca="1">K56</f>
        <v>8.6044199753569917E-3</v>
      </c>
      <c r="L128" s="130">
        <f ca="1">L56</f>
        <v>2.8953783646521236E-2</v>
      </c>
      <c r="M128" s="130">
        <f ca="1">M56</f>
        <v>2.8952719877986643E-2</v>
      </c>
      <c r="N128" s="130">
        <f ca="1">N56</f>
        <v>2.8951653944020439E-2</v>
      </c>
      <c r="O128" s="130">
        <f ca="1">O56</f>
        <v>2.8950585838003029E-2</v>
      </c>
      <c r="P128" s="130">
        <f ca="1">P56</f>
        <v>2.8949515553289284E-2</v>
      </c>
      <c r="Q128" s="130">
        <f ca="1">Q56</f>
        <v>2.8948443083205877E-2</v>
      </c>
      <c r="R128" s="130">
        <f ca="1">R56</f>
        <v>2.8947368421052611E-2</v>
      </c>
      <c r="S128" s="130">
        <f ca="1">S56</f>
        <v>2.89462915601022E-2</v>
      </c>
      <c r="T128" s="130">
        <f ca="1">T56</f>
        <v>2.8945212493599604E-2</v>
      </c>
      <c r="U128" s="130">
        <f ca="1">U56</f>
        <v>2.8944131214761804E-2</v>
      </c>
    </row>
    <row r="129" spans="2:21" ht="16" customHeight="1" x14ac:dyDescent="0.2">
      <c r="B129" s="22" t="s">
        <v>97</v>
      </c>
      <c r="E129" s="54">
        <f>E70+E58</f>
        <v>7299</v>
      </c>
      <c r="F129" s="54">
        <f>F70+F58</f>
        <v>7990</v>
      </c>
      <c r="G129" s="54">
        <f>G70+G58</f>
        <v>5495</v>
      </c>
      <c r="H129" s="54">
        <f>H70+H58</f>
        <v>7576</v>
      </c>
      <c r="I129" s="54">
        <f>I70+I58</f>
        <v>11046</v>
      </c>
      <c r="J129" s="129">
        <f>J70+J58</f>
        <v>13755</v>
      </c>
      <c r="K129" s="54">
        <f ca="1">K70+K58</f>
        <v>13301.95194295472</v>
      </c>
      <c r="L129" s="54">
        <f ca="1">L70+L58</f>
        <v>13980.038286762365</v>
      </c>
      <c r="M129" s="54">
        <f ca="1">M70+M58</f>
        <v>14673.018301781321</v>
      </c>
      <c r="N129" s="54">
        <f ca="1">N70+N58</f>
        <v>15383.76210308597</v>
      </c>
      <c r="O129" s="54">
        <f ca="1">O70+O58</f>
        <v>16173.56819403906</v>
      </c>
      <c r="P129" s="54">
        <f ca="1">P70+P58</f>
        <v>17031.414374465523</v>
      </c>
      <c r="Q129" s="54">
        <f ca="1">Q70+Q58</f>
        <v>17899.84211037726</v>
      </c>
      <c r="R129" s="54">
        <f ca="1">R70+R58</f>
        <v>18780.4276710091</v>
      </c>
      <c r="S129" s="54">
        <f ca="1">S70+S58</f>
        <v>19699.508514766203</v>
      </c>
      <c r="T129" s="54">
        <f ca="1">T70+T58</f>
        <v>20661.769137419768</v>
      </c>
      <c r="U129" s="54">
        <f ca="1">U70+U58</f>
        <v>21672.248773484192</v>
      </c>
    </row>
    <row r="130" spans="2:21" s="55" customFormat="1" ht="16" customHeight="1" x14ac:dyDescent="0.2">
      <c r="B130" s="55" t="s">
        <v>66</v>
      </c>
      <c r="E130" s="56">
        <f>E129/E127</f>
        <v>0.11226294661396251</v>
      </c>
      <c r="F130" s="56">
        <f>F129/F127</f>
        <v>0.11644005304653231</v>
      </c>
      <c r="G130" s="56">
        <f t="shared" ref="G130:U130" si="99">G129/G127</f>
        <v>7.7058996760577203E-2</v>
      </c>
      <c r="H130" s="56">
        <f t="shared" si="99"/>
        <v>0.10500637578311249</v>
      </c>
      <c r="I130" s="56">
        <f t="shared" si="99"/>
        <v>0.12328537785863367</v>
      </c>
      <c r="J130" s="57">
        <f t="shared" si="99"/>
        <v>0.1429090909090909</v>
      </c>
      <c r="K130" s="56">
        <f t="shared" ca="1" si="99"/>
        <v>0.137023093862703</v>
      </c>
      <c r="L130" s="56">
        <f t="shared" ca="1" si="99"/>
        <v>0.13995579550628667</v>
      </c>
      <c r="M130" s="56">
        <f t="shared" ca="1" si="99"/>
        <v>0.14276000879987766</v>
      </c>
      <c r="N130" s="56">
        <f t="shared" ca="1" si="99"/>
        <v>0.14546372091966389</v>
      </c>
      <c r="O130" s="56">
        <f t="shared" ca="1" si="99"/>
        <v>0.14862896806131176</v>
      </c>
      <c r="P130" s="56">
        <f t="shared" ca="1" si="99"/>
        <v>0.15210877433307049</v>
      </c>
      <c r="Q130" s="56">
        <f t="shared" ca="1" si="99"/>
        <v>0.15536712781385217</v>
      </c>
      <c r="R130" s="56">
        <f t="shared" ca="1" si="99"/>
        <v>0.15842446680571037</v>
      </c>
      <c r="S130" s="56">
        <f t="shared" ca="1" si="99"/>
        <v>0.16150257868894763</v>
      </c>
      <c r="T130" s="56">
        <f t="shared" ca="1" si="99"/>
        <v>0.16462634033712595</v>
      </c>
      <c r="U130" s="56">
        <f t="shared" ca="1" si="99"/>
        <v>0.16782011024003629</v>
      </c>
    </row>
    <row r="131" spans="2:21" ht="16" customHeight="1" x14ac:dyDescent="0.2">
      <c r="B131" s="22" t="s">
        <v>4</v>
      </c>
      <c r="E131" s="54">
        <f>E70</f>
        <v>1453</v>
      </c>
      <c r="F131" s="54">
        <f>F70</f>
        <v>1404</v>
      </c>
      <c r="G131" s="54">
        <f>G70</f>
        <v>1477</v>
      </c>
      <c r="H131" s="54">
        <f>H70</f>
        <v>1262</v>
      </c>
      <c r="I131" s="54">
        <f>I70</f>
        <v>1399</v>
      </c>
      <c r="J131" s="129">
        <f>J70</f>
        <v>1662</v>
      </c>
      <c r="K131" s="54">
        <f>K70</f>
        <v>1803.3843987823439</v>
      </c>
      <c r="L131" s="54">
        <f ca="1">L70</f>
        <v>1833.3588251210288</v>
      </c>
      <c r="M131" s="54">
        <f ca="1">M70</f>
        <v>1850.3490921329621</v>
      </c>
      <c r="N131" s="54">
        <f ca="1">N70</f>
        <v>1856.1557509975705</v>
      </c>
      <c r="O131" s="54">
        <f ca="1">O70</f>
        <v>1910.969251552789</v>
      </c>
      <c r="P131" s="54">
        <f ca="1">P70</f>
        <v>2002.6195215232658</v>
      </c>
      <c r="Q131" s="54">
        <f ca="1">Q70</f>
        <v>2072.4589627382456</v>
      </c>
      <c r="R131" s="54">
        <f ca="1">R70</f>
        <v>2120.8321686376717</v>
      </c>
      <c r="S131" s="54">
        <f ca="1">S70</f>
        <v>2172.8008431581484</v>
      </c>
      <c r="T131" s="54">
        <f ca="1">T70</f>
        <v>2231.7281327782785</v>
      </c>
      <c r="U131" s="54">
        <f ca="1">U70</f>
        <v>2301.2847610491253</v>
      </c>
    </row>
    <row r="132" spans="2:21" s="55" customFormat="1" ht="16" customHeight="1" x14ac:dyDescent="0.2">
      <c r="B132" s="55" t="s">
        <v>69</v>
      </c>
      <c r="E132" s="130">
        <f>E72</f>
        <v>1.2450728363324763</v>
      </c>
      <c r="F132" s="130">
        <f>F72</f>
        <v>1.2502226179875333</v>
      </c>
      <c r="G132" s="130">
        <f>G72</f>
        <v>1.25809199318569</v>
      </c>
      <c r="H132" s="130">
        <f>H72</f>
        <v>0.85040431266846361</v>
      </c>
      <c r="I132" s="130">
        <f>I72</f>
        <v>0.78112786152987157</v>
      </c>
      <c r="J132" s="131">
        <f>J72</f>
        <v>0.89692390717754988</v>
      </c>
      <c r="K132" s="130">
        <f>K72</f>
        <v>0.94583759514810273</v>
      </c>
      <c r="L132" s="130">
        <f ca="1">L72</f>
        <v>0.95679064711213402</v>
      </c>
      <c r="M132" s="130">
        <f ca="1">M72</f>
        <v>0.91261210135589532</v>
      </c>
      <c r="N132" s="130">
        <f ca="1">N72</f>
        <v>0.89737897608970674</v>
      </c>
      <c r="O132" s="130">
        <f ca="1">O72</f>
        <v>0.90186179346149731</v>
      </c>
      <c r="P132" s="130">
        <f ca="1">P72</f>
        <v>0.916452661511023</v>
      </c>
      <c r="Q132" s="130">
        <f ca="1">Q72</f>
        <v>0.92290640337964414</v>
      </c>
      <c r="R132" s="130">
        <f ca="1">R72</f>
        <v>0.91498291813097132</v>
      </c>
      <c r="S132" s="130">
        <f ca="1">S72</f>
        <v>0.91265553569017632</v>
      </c>
      <c r="T132" s="130">
        <f ca="1">T72</f>
        <v>0.91141241886478463</v>
      </c>
      <c r="U132" s="130">
        <f ca="1">U72</f>
        <v>0.91302580382302267</v>
      </c>
    </row>
    <row r="133" spans="2:21" ht="16" customHeight="1" x14ac:dyDescent="0.2">
      <c r="B133" s="22" t="s">
        <v>98</v>
      </c>
      <c r="E133" s="54">
        <f>E58</f>
        <v>5846</v>
      </c>
      <c r="F133" s="54">
        <f>F58</f>
        <v>6586</v>
      </c>
      <c r="G133" s="54">
        <f>G58</f>
        <v>4018</v>
      </c>
      <c r="H133" s="54">
        <f>H58</f>
        <v>6314</v>
      </c>
      <c r="I133" s="54">
        <f>I58</f>
        <v>9647</v>
      </c>
      <c r="J133" s="129">
        <f>J58</f>
        <v>12093</v>
      </c>
      <c r="K133" s="54">
        <f ca="1">K58</f>
        <v>11498.567544172376</v>
      </c>
      <c r="L133" s="54">
        <f ca="1">L58</f>
        <v>12146.679461641335</v>
      </c>
      <c r="M133" s="54">
        <f ca="1">M58</f>
        <v>12822.669209648358</v>
      </c>
      <c r="N133" s="54">
        <f ca="1">N58</f>
        <v>13527.6063520884</v>
      </c>
      <c r="O133" s="54">
        <f ca="1">O58</f>
        <v>14262.598942486271</v>
      </c>
      <c r="P133" s="54">
        <f ca="1">P58</f>
        <v>15028.794852942256</v>
      </c>
      <c r="Q133" s="54">
        <f ca="1">Q58</f>
        <v>15827.383147639013</v>
      </c>
      <c r="R133" s="54">
        <f ca="1">R58</f>
        <v>16659.595502371427</v>
      </c>
      <c r="S133" s="54">
        <f ca="1">S58</f>
        <v>17526.707671608056</v>
      </c>
      <c r="T133" s="54">
        <f ca="1">T58</f>
        <v>18430.041004641487</v>
      </c>
      <c r="U133" s="54">
        <f ca="1">U58</f>
        <v>19370.964012435066</v>
      </c>
    </row>
    <row r="134" spans="2:21" s="55" customFormat="1" ht="16" customHeight="1" x14ac:dyDescent="0.2">
      <c r="B134" s="55" t="s">
        <v>66</v>
      </c>
      <c r="E134" s="56">
        <f>E59</f>
        <v>8.9914945321992706E-2</v>
      </c>
      <c r="F134" s="56">
        <f>F59</f>
        <v>9.5979247730220499E-2</v>
      </c>
      <c r="G134" s="56">
        <f>G59</f>
        <v>5.6346323745950722E-2</v>
      </c>
      <c r="H134" s="56">
        <f>H59</f>
        <v>8.7514553417974164E-2</v>
      </c>
      <c r="I134" s="56">
        <f>I59</f>
        <v>0.10767101577061731</v>
      </c>
      <c r="J134" s="57">
        <f>J59</f>
        <v>0.12564155844155844</v>
      </c>
      <c r="K134" s="56">
        <f ca="1">K59</f>
        <v>0.11844647361895264</v>
      </c>
      <c r="L134" s="56">
        <f ca="1">L59</f>
        <v>0.12160182625705737</v>
      </c>
      <c r="M134" s="56">
        <f ca="1">M59</f>
        <v>0.12475717889516211</v>
      </c>
      <c r="N134" s="56">
        <f ca="1">N59</f>
        <v>0.12791253153326684</v>
      </c>
      <c r="O134" s="56">
        <f ca="1">O59</f>
        <v>0.13106788417137158</v>
      </c>
      <c r="P134" s="56">
        <f ca="1">P59</f>
        <v>0.13422323680947632</v>
      </c>
      <c r="Q134" s="56">
        <f ca="1">Q59</f>
        <v>0.13737858944758105</v>
      </c>
      <c r="R134" s="56">
        <f ca="1">R59</f>
        <v>0.14053394208568579</v>
      </c>
      <c r="S134" s="56">
        <f ca="1">S59</f>
        <v>0.14368929472379052</v>
      </c>
      <c r="T134" s="56">
        <f ca="1">T59</f>
        <v>0.14684464736189526</v>
      </c>
      <c r="U134" s="56">
        <f ca="1">U59</f>
        <v>0.15</v>
      </c>
    </row>
    <row r="135" spans="2:21" ht="16" customHeight="1" x14ac:dyDescent="0.2">
      <c r="B135" s="22" t="s">
        <v>8</v>
      </c>
      <c r="E135" s="54">
        <f>E65</f>
        <v>2108</v>
      </c>
      <c r="F135" s="54">
        <f>F65</f>
        <v>2042</v>
      </c>
      <c r="G135" s="54">
        <f>G65</f>
        <v>1080</v>
      </c>
      <c r="H135" s="54">
        <f>H65</f>
        <v>1342</v>
      </c>
      <c r="I135" s="54">
        <f>I65</f>
        <v>1904</v>
      </c>
      <c r="J135" s="129">
        <f>J65</f>
        <v>2766</v>
      </c>
      <c r="K135" s="54">
        <f ca="1">K65</f>
        <v>3150.5246185852729</v>
      </c>
      <c r="L135" s="54">
        <f ca="1">L65</f>
        <v>2793.7362761775071</v>
      </c>
      <c r="M135" s="54">
        <f ca="1">M65</f>
        <v>2949.2139182191227</v>
      </c>
      <c r="N135" s="54">
        <f ca="1">N65</f>
        <v>3111.349460980332</v>
      </c>
      <c r="O135" s="54">
        <f ca="1">O65</f>
        <v>3280.3977567718425</v>
      </c>
      <c r="P135" s="54">
        <f ca="1">P65</f>
        <v>3456.622816176719</v>
      </c>
      <c r="Q135" s="54">
        <f ca="1">Q65</f>
        <v>3640.2981239569731</v>
      </c>
      <c r="R135" s="54">
        <f ca="1">R65</f>
        <v>3831.7069655454284</v>
      </c>
      <c r="S135" s="54">
        <f ca="1">S65</f>
        <v>4031.1427644698529</v>
      </c>
      <c r="T135" s="54">
        <f ca="1">T65</f>
        <v>4238.9094310675418</v>
      </c>
      <c r="U135" s="54">
        <f ca="1">U65</f>
        <v>4455.3217228600652</v>
      </c>
    </row>
    <row r="136" spans="2:21" s="55" customFormat="1" ht="16" customHeight="1" x14ac:dyDescent="0.2">
      <c r="B136" s="55" t="s">
        <v>67</v>
      </c>
      <c r="E136" s="56">
        <f>E66</f>
        <v>0.36058843653780365</v>
      </c>
      <c r="F136" s="56">
        <f>F66</f>
        <v>0.31005162465836622</v>
      </c>
      <c r="G136" s="56">
        <f>G66</f>
        <v>0.26879044300647087</v>
      </c>
      <c r="H136" s="56">
        <f>H66</f>
        <v>0.21254355400696864</v>
      </c>
      <c r="I136" s="56">
        <f>I66</f>
        <v>0.19736705711620192</v>
      </c>
      <c r="J136" s="57">
        <f>J66</f>
        <v>0.22872736293723642</v>
      </c>
      <c r="K136" s="56">
        <f>K66</f>
        <v>0.2739927914048737</v>
      </c>
      <c r="L136" s="56">
        <f>L66</f>
        <v>0.23</v>
      </c>
      <c r="M136" s="56">
        <f>M66</f>
        <v>0.23</v>
      </c>
      <c r="N136" s="56">
        <f>N66</f>
        <v>0.23</v>
      </c>
      <c r="O136" s="56">
        <f>O66</f>
        <v>0.23</v>
      </c>
      <c r="P136" s="56">
        <f>P66</f>
        <v>0.23</v>
      </c>
      <c r="Q136" s="56">
        <f>Q66</f>
        <v>0.23</v>
      </c>
      <c r="R136" s="56">
        <f>R66</f>
        <v>0.23</v>
      </c>
      <c r="S136" s="56">
        <f>S66</f>
        <v>0.23</v>
      </c>
      <c r="T136" s="56">
        <f>T66</f>
        <v>0.23</v>
      </c>
      <c r="U136" s="56">
        <f>U66</f>
        <v>0.23</v>
      </c>
    </row>
    <row r="137" spans="2:21" ht="16" customHeight="1" x14ac:dyDescent="0.2">
      <c r="B137" s="22" t="s">
        <v>68</v>
      </c>
      <c r="E137" s="54">
        <f>E68</f>
        <v>3738</v>
      </c>
      <c r="F137" s="54">
        <f>F68</f>
        <v>4544</v>
      </c>
      <c r="G137" s="54">
        <f>G68</f>
        <v>2938</v>
      </c>
      <c r="H137" s="54">
        <f>H68</f>
        <v>4972</v>
      </c>
      <c r="I137" s="54">
        <f>I68</f>
        <v>7743</v>
      </c>
      <c r="J137" s="129">
        <f>J68</f>
        <v>9327</v>
      </c>
      <c r="K137" s="54">
        <f ca="1">K68</f>
        <v>8348.0429255871022</v>
      </c>
      <c r="L137" s="54">
        <f ca="1">L68</f>
        <v>9352.9431854638278</v>
      </c>
      <c r="M137" s="54">
        <f ca="1">M68</f>
        <v>9873.4552914292362</v>
      </c>
      <c r="N137" s="54">
        <f ca="1">N68</f>
        <v>10416.256891108067</v>
      </c>
      <c r="O137" s="54">
        <f ca="1">O68</f>
        <v>10982.201185714428</v>
      </c>
      <c r="P137" s="54">
        <f ca="1">P68</f>
        <v>11572.172036765536</v>
      </c>
      <c r="Q137" s="54">
        <f ca="1">Q68</f>
        <v>12187.085023682041</v>
      </c>
      <c r="R137" s="54">
        <f ca="1">R68</f>
        <v>12827.888536825998</v>
      </c>
      <c r="S137" s="54">
        <f ca="1">S68</f>
        <v>13495.564907138203</v>
      </c>
      <c r="T137" s="54">
        <f ca="1">T68</f>
        <v>14191.131573573944</v>
      </c>
      <c r="U137" s="54">
        <f ca="1">U68</f>
        <v>14915.642289575</v>
      </c>
    </row>
    <row r="138" spans="2:21" ht="16" customHeight="1" x14ac:dyDescent="0.2">
      <c r="B138" s="22" t="s">
        <v>99</v>
      </c>
      <c r="E138" s="54">
        <f>E131</f>
        <v>1453</v>
      </c>
      <c r="F138" s="54">
        <f t="shared" ref="F138:U138" si="100">F131</f>
        <v>1404</v>
      </c>
      <c r="G138" s="54">
        <f t="shared" si="100"/>
        <v>1477</v>
      </c>
      <c r="H138" s="54">
        <f t="shared" si="100"/>
        <v>1262</v>
      </c>
      <c r="I138" s="54">
        <f t="shared" si="100"/>
        <v>1399</v>
      </c>
      <c r="J138" s="129">
        <f t="shared" si="100"/>
        <v>1662</v>
      </c>
      <c r="K138" s="54">
        <f t="shared" si="100"/>
        <v>1803.3843987823439</v>
      </c>
      <c r="L138" s="54">
        <f t="shared" ca="1" si="100"/>
        <v>1833.3588251210288</v>
      </c>
      <c r="M138" s="54">
        <f t="shared" ca="1" si="100"/>
        <v>1850.3490921329621</v>
      </c>
      <c r="N138" s="54">
        <f t="shared" ca="1" si="100"/>
        <v>1856.1557509975705</v>
      </c>
      <c r="O138" s="54">
        <f t="shared" ca="1" si="100"/>
        <v>1910.969251552789</v>
      </c>
      <c r="P138" s="54">
        <f t="shared" ca="1" si="100"/>
        <v>2002.6195215232658</v>
      </c>
      <c r="Q138" s="54">
        <f t="shared" ca="1" si="100"/>
        <v>2072.4589627382456</v>
      </c>
      <c r="R138" s="54">
        <f t="shared" ca="1" si="100"/>
        <v>2120.8321686376717</v>
      </c>
      <c r="S138" s="54">
        <f t="shared" ca="1" si="100"/>
        <v>2172.8008431581484</v>
      </c>
      <c r="T138" s="54">
        <f t="shared" ca="1" si="100"/>
        <v>2231.7281327782785</v>
      </c>
      <c r="U138" s="54">
        <f t="shared" ca="1" si="100"/>
        <v>2301.2847610491253</v>
      </c>
    </row>
    <row r="139" spans="2:21" ht="16" customHeight="1" x14ac:dyDescent="0.2">
      <c r="B139" s="22" t="s">
        <v>100</v>
      </c>
      <c r="E139" s="54">
        <f t="shared" ref="E139:U139" si="101">E75</f>
        <v>1167</v>
      </c>
      <c r="F139" s="54">
        <f t="shared" si="101"/>
        <v>1123</v>
      </c>
      <c r="G139" s="54">
        <f t="shared" si="101"/>
        <v>1174</v>
      </c>
      <c r="H139" s="54">
        <f t="shared" si="101"/>
        <v>1484</v>
      </c>
      <c r="I139" s="54">
        <f t="shared" si="101"/>
        <v>1791</v>
      </c>
      <c r="J139" s="129">
        <f t="shared" si="101"/>
        <v>1853</v>
      </c>
      <c r="K139" s="54">
        <f t="shared" si="101"/>
        <v>1906.6533282597668</v>
      </c>
      <c r="L139" s="54">
        <f t="shared" ca="1" si="101"/>
        <v>1916.1546265681282</v>
      </c>
      <c r="M139" s="54">
        <f t="shared" ca="1" si="101"/>
        <v>2027.5307432192085</v>
      </c>
      <c r="N139" s="54">
        <f t="shared" ca="1" si="101"/>
        <v>2068.419029701025</v>
      </c>
      <c r="O139" s="54">
        <f t="shared" ca="1" si="101"/>
        <v>2118.9158531909502</v>
      </c>
      <c r="P139" s="54">
        <f t="shared" ca="1" si="101"/>
        <v>2185.1859955552964</v>
      </c>
      <c r="Q139" s="54">
        <f t="shared" ca="1" si="101"/>
        <v>2245.5787013168278</v>
      </c>
      <c r="R139" s="54">
        <f t="shared" ca="1" si="101"/>
        <v>2317.8926366952069</v>
      </c>
      <c r="S139" s="54">
        <f t="shared" ca="1" si="101"/>
        <v>2380.7458106469644</v>
      </c>
      <c r="T139" s="54">
        <f t="shared" ca="1" si="101"/>
        <v>2448.6479299437474</v>
      </c>
      <c r="U139" s="54">
        <f t="shared" ca="1" si="101"/>
        <v>2520.5035294875383</v>
      </c>
    </row>
    <row r="140" spans="2:21" ht="16" customHeight="1" x14ac:dyDescent="0.2">
      <c r="B140" s="22" t="s">
        <v>101</v>
      </c>
      <c r="E140" s="54">
        <f t="shared" ref="E140:U140" si="102">E79</f>
        <v>212</v>
      </c>
      <c r="F140" s="54">
        <f t="shared" si="102"/>
        <v>744</v>
      </c>
      <c r="G140" s="54">
        <f t="shared" si="102"/>
        <v>-583</v>
      </c>
      <c r="H140" s="54">
        <f t="shared" si="102"/>
        <v>1465</v>
      </c>
      <c r="I140" s="54">
        <f t="shared" si="102"/>
        <v>-2246</v>
      </c>
      <c r="J140" s="129">
        <f t="shared" si="102"/>
        <v>373</v>
      </c>
      <c r="K140" s="54">
        <f t="shared" si="102"/>
        <v>1183</v>
      </c>
      <c r="L140" s="54">
        <f t="shared" ca="1" si="102"/>
        <v>245.82011345497799</v>
      </c>
      <c r="M140" s="54">
        <f t="shared" ca="1" si="102"/>
        <v>241.19451703352823</v>
      </c>
      <c r="N140" s="54">
        <f t="shared" ca="1" si="102"/>
        <v>119.82219361399724</v>
      </c>
      <c r="O140" s="54">
        <f t="shared" ca="1" si="102"/>
        <v>267.99915770833553</v>
      </c>
      <c r="P140" s="54">
        <f t="shared" ca="1" si="102"/>
        <v>-9.6452493138316449</v>
      </c>
      <c r="Q140" s="54">
        <f t="shared" ca="1" si="102"/>
        <v>401.23788340282499</v>
      </c>
      <c r="R140" s="54">
        <f t="shared" ca="1" si="102"/>
        <v>406.20299550414018</v>
      </c>
      <c r="S140" s="54">
        <f t="shared" ca="1" si="102"/>
        <v>265.32528331394576</v>
      </c>
      <c r="T140" s="54">
        <f t="shared" ca="1" si="102"/>
        <v>267.88240708986012</v>
      </c>
      <c r="U140" s="54">
        <f t="shared" ca="1" si="102"/>
        <v>271.71972689691717</v>
      </c>
    </row>
    <row r="141" spans="2:21" ht="16" customHeight="1" x14ac:dyDescent="0.2">
      <c r="J141" s="58"/>
    </row>
    <row r="142" spans="2:21" ht="16" customHeight="1" x14ac:dyDescent="0.2">
      <c r="B142" s="104" t="s">
        <v>102</v>
      </c>
      <c r="C142" s="104"/>
      <c r="D142" s="104"/>
      <c r="E142" s="103">
        <f>E137+E138-E139-E140</f>
        <v>3812</v>
      </c>
      <c r="F142" s="103">
        <f t="shared" ref="F142:U142" si="103">F137+F138-F139-F140</f>
        <v>4081</v>
      </c>
      <c r="G142" s="103">
        <f t="shared" si="103"/>
        <v>3824</v>
      </c>
      <c r="H142" s="103">
        <f t="shared" si="103"/>
        <v>3285</v>
      </c>
      <c r="I142" s="103">
        <f t="shared" si="103"/>
        <v>9597</v>
      </c>
      <c r="J142" s="132">
        <f t="shared" si="103"/>
        <v>8763</v>
      </c>
      <c r="K142" s="103">
        <f t="shared" ca="1" si="103"/>
        <v>7061.7739961096795</v>
      </c>
      <c r="L142" s="103">
        <f t="shared" ca="1" si="103"/>
        <v>9024.327270561751</v>
      </c>
      <c r="M142" s="103">
        <f t="shared" ca="1" si="103"/>
        <v>9455.0791233094606</v>
      </c>
      <c r="N142" s="103">
        <f t="shared" ca="1" si="103"/>
        <v>10084.171418790615</v>
      </c>
      <c r="O142" s="103">
        <f t="shared" ca="1" si="103"/>
        <v>10506.255426367932</v>
      </c>
      <c r="P142" s="103">
        <f t="shared" ca="1" si="103"/>
        <v>11399.250812047336</v>
      </c>
      <c r="Q142" s="103">
        <f t="shared" ca="1" si="103"/>
        <v>11612.727401700631</v>
      </c>
      <c r="R142" s="103">
        <f t="shared" ca="1" si="103"/>
        <v>12224.625073264322</v>
      </c>
      <c r="S142" s="103">
        <f t="shared" ca="1" si="103"/>
        <v>13022.294656335442</v>
      </c>
      <c r="T142" s="103">
        <f t="shared" ca="1" si="103"/>
        <v>13706.329369318617</v>
      </c>
      <c r="U142" s="103">
        <f t="shared" ca="1" si="103"/>
        <v>14424.703794239671</v>
      </c>
    </row>
    <row r="143" spans="2:21" ht="16" customHeight="1" x14ac:dyDescent="0.2">
      <c r="E143" s="54"/>
    </row>
  </sheetData>
  <sheetProtection algorithmName="SHA-512" hashValue="1JR7fH6+VFw/B9SO3PH0v90pIH54bqRYnfvqfZssSkbg2YROIb8bX4SxKy4MAxEhPyh39NGgBA3urCVnwoRbRg==" saltValue="WNcnkmPsy7CXd93J3vEmqQ==" spinCount="100000" sheet="1" objects="1" scenarios="1" selectLockedCells="1"/>
  <mergeCells count="4">
    <mergeCell ref="D116:H117"/>
    <mergeCell ref="L116:P117"/>
    <mergeCell ref="B119:B123"/>
    <mergeCell ref="J119:J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516-7F81-C940-8AA2-5EF465401B82}">
  <dimension ref="A1:AH7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47" sqref="M47"/>
    </sheetView>
  </sheetViews>
  <sheetFormatPr baseColWidth="10" defaultRowHeight="16" x14ac:dyDescent="0.2"/>
  <cols>
    <col min="1" max="1" width="5.6640625" customWidth="1"/>
    <col min="2" max="2" width="34.1640625" customWidth="1"/>
    <col min="3" max="6" width="10.83203125" customWidth="1"/>
    <col min="12" max="15" width="10.83203125" customWidth="1"/>
    <col min="20" max="28" width="0" hidden="1" customWidth="1"/>
  </cols>
  <sheetData>
    <row r="1" spans="2:28" x14ac:dyDescent="0.2">
      <c r="B1" t="e" vm="1">
        <v>#VALUE!</v>
      </c>
      <c r="G1" s="155"/>
      <c r="H1" s="155"/>
      <c r="I1" s="155"/>
      <c r="J1" s="155"/>
      <c r="K1" s="155"/>
      <c r="R1" s="155">
        <v>44592</v>
      </c>
    </row>
    <row r="2" spans="2:28" x14ac:dyDescent="0.2">
      <c r="B2" t="s">
        <v>120</v>
      </c>
      <c r="C2" s="133" t="s">
        <v>103</v>
      </c>
      <c r="D2" s="133" t="s">
        <v>104</v>
      </c>
      <c r="E2" s="133" t="s">
        <v>105</v>
      </c>
      <c r="F2" s="133" t="s">
        <v>106</v>
      </c>
      <c r="G2" s="161" t="s">
        <v>107</v>
      </c>
      <c r="H2" s="161" t="s">
        <v>108</v>
      </c>
      <c r="I2" s="161" t="s">
        <v>109</v>
      </c>
      <c r="J2" s="161" t="s">
        <v>124</v>
      </c>
      <c r="K2" s="161"/>
      <c r="M2" s="1">
        <f t="shared" ref="M2:O2" si="0">N2-1</f>
        <v>2016</v>
      </c>
      <c r="N2" s="1">
        <f t="shared" si="0"/>
        <v>2017</v>
      </c>
      <c r="O2" s="1">
        <f t="shared" si="0"/>
        <v>2018</v>
      </c>
      <c r="P2" s="1">
        <f>Q2-1</f>
        <v>2019</v>
      </c>
      <c r="Q2" s="1">
        <f>R2-1</f>
        <v>2020</v>
      </c>
      <c r="R2" s="1">
        <v>2021</v>
      </c>
      <c r="S2" s="17">
        <v>2022</v>
      </c>
      <c r="T2" s="17">
        <f>S2+1</f>
        <v>2023</v>
      </c>
      <c r="U2" s="17">
        <f t="shared" ref="U2:AB2" si="1">T2+1</f>
        <v>2024</v>
      </c>
      <c r="V2" s="17">
        <f t="shared" si="1"/>
        <v>2025</v>
      </c>
      <c r="W2" s="17">
        <f t="shared" si="1"/>
        <v>2026</v>
      </c>
      <c r="X2" s="17">
        <f t="shared" si="1"/>
        <v>2027</v>
      </c>
      <c r="Y2" s="17">
        <f t="shared" si="1"/>
        <v>2028</v>
      </c>
      <c r="Z2" s="17">
        <f t="shared" si="1"/>
        <v>2029</v>
      </c>
      <c r="AA2" s="17">
        <f t="shared" si="1"/>
        <v>2030</v>
      </c>
      <c r="AB2" s="17">
        <f t="shared" si="1"/>
        <v>2031</v>
      </c>
    </row>
    <row r="3" spans="2:28" x14ac:dyDescent="0.2">
      <c r="B3" t="s">
        <v>23</v>
      </c>
      <c r="C3" s="136">
        <v>1972</v>
      </c>
      <c r="D3" s="136">
        <v>1973</v>
      </c>
      <c r="E3" s="136">
        <v>1973</v>
      </c>
      <c r="F3" s="2">
        <f>R3</f>
        <v>1971</v>
      </c>
      <c r="G3" s="2">
        <v>1971</v>
      </c>
      <c r="H3" s="2">
        <v>1969</v>
      </c>
      <c r="I3" s="2">
        <v>1969</v>
      </c>
      <c r="J3" s="134">
        <f>I3</f>
        <v>1969</v>
      </c>
      <c r="K3" s="2"/>
      <c r="M3" s="2">
        <v>2129</v>
      </c>
      <c r="N3" s="2">
        <v>2152</v>
      </c>
      <c r="O3" s="2">
        <v>2015</v>
      </c>
      <c r="P3" s="2">
        <v>1977</v>
      </c>
      <c r="Q3" s="2">
        <v>1974</v>
      </c>
      <c r="R3" s="2">
        <v>1971</v>
      </c>
      <c r="S3" s="2">
        <f>J3</f>
        <v>1969</v>
      </c>
    </row>
    <row r="4" spans="2:28" s="14" customFormat="1" x14ac:dyDescent="0.2">
      <c r="B4" s="14" t="s">
        <v>25</v>
      </c>
      <c r="G4" s="16">
        <f>G3/C3-1</f>
        <v>-5.0709939148074756E-4</v>
      </c>
      <c r="H4" s="16">
        <f t="shared" ref="H4:J4" si="2">H3/D3-1</f>
        <v>-2.0273694880892368E-3</v>
      </c>
      <c r="I4" s="16">
        <f t="shared" si="2"/>
        <v>-2.0273694880892368E-3</v>
      </c>
      <c r="J4" s="16">
        <f t="shared" si="2"/>
        <v>-1.0147133434804667E-3</v>
      </c>
      <c r="K4" s="16"/>
      <c r="N4" s="16">
        <f t="shared" ref="N4:P4" si="3">N3/M3-1</f>
        <v>1.0803193987787729E-2</v>
      </c>
      <c r="O4" s="16">
        <f t="shared" si="3"/>
        <v>-6.366171003717469E-2</v>
      </c>
      <c r="P4" s="16">
        <f t="shared" si="3"/>
        <v>-1.8858560794044688E-2</v>
      </c>
      <c r="Q4" s="16">
        <f>Q3/P3-1</f>
        <v>-1.5174506828528056E-3</v>
      </c>
      <c r="R4" s="16">
        <f>R3/Q3-1</f>
        <v>-1.5197568389058169E-3</v>
      </c>
      <c r="S4" s="16">
        <f>S3/R3-1</f>
        <v>-1.0147133434804667E-3</v>
      </c>
      <c r="T4" s="16">
        <f t="shared" ref="T4:AB4" si="4">T3/S3-1</f>
        <v>-1</v>
      </c>
      <c r="U4" s="16" t="e">
        <f t="shared" si="4"/>
        <v>#DIV/0!</v>
      </c>
      <c r="V4" s="16" t="e">
        <f t="shared" si="4"/>
        <v>#DIV/0!</v>
      </c>
      <c r="W4" s="16" t="e">
        <f t="shared" si="4"/>
        <v>#DIV/0!</v>
      </c>
      <c r="X4" s="16" t="e">
        <f t="shared" si="4"/>
        <v>#DIV/0!</v>
      </c>
      <c r="Y4" s="16" t="e">
        <f t="shared" si="4"/>
        <v>#DIV/0!</v>
      </c>
      <c r="Z4" s="16" t="e">
        <f t="shared" si="4"/>
        <v>#DIV/0!</v>
      </c>
      <c r="AA4" s="16" t="e">
        <f t="shared" si="4"/>
        <v>#DIV/0!</v>
      </c>
      <c r="AB4" s="16" t="e">
        <f t="shared" si="4"/>
        <v>#DIV/0!</v>
      </c>
    </row>
    <row r="5" spans="2:28" s="9" customFormat="1" x14ac:dyDescent="0.2">
      <c r="B5" s="9" t="s">
        <v>24</v>
      </c>
      <c r="C5" s="10"/>
      <c r="D5" s="10">
        <f t="shared" ref="D5:H5" si="5">D3-C3</f>
        <v>1</v>
      </c>
      <c r="E5" s="10">
        <f t="shared" si="5"/>
        <v>0</v>
      </c>
      <c r="F5" s="10">
        <f t="shared" si="5"/>
        <v>-2</v>
      </c>
      <c r="G5" s="10">
        <f t="shared" si="5"/>
        <v>0</v>
      </c>
      <c r="H5" s="10">
        <f t="shared" si="5"/>
        <v>-2</v>
      </c>
      <c r="I5" s="10">
        <f>I3-H3</f>
        <v>0</v>
      </c>
      <c r="J5" s="10">
        <f>J3-I3</f>
        <v>0</v>
      </c>
      <c r="K5" s="10"/>
      <c r="M5" s="10"/>
      <c r="N5" s="10">
        <f t="shared" ref="N5:P5" si="6">N3-M3</f>
        <v>23</v>
      </c>
      <c r="O5" s="10">
        <f t="shared" si="6"/>
        <v>-137</v>
      </c>
      <c r="P5" s="10">
        <f t="shared" si="6"/>
        <v>-38</v>
      </c>
      <c r="Q5" s="10">
        <f>Q3-P3</f>
        <v>-3</v>
      </c>
      <c r="R5" s="10">
        <f>R3-Q3</f>
        <v>-3</v>
      </c>
      <c r="S5" s="10">
        <f t="shared" ref="S5:AB5" si="7">S3-R3</f>
        <v>-2</v>
      </c>
      <c r="T5" s="10">
        <f t="shared" si="7"/>
        <v>-1969</v>
      </c>
      <c r="U5" s="10">
        <f t="shared" si="7"/>
        <v>0</v>
      </c>
      <c r="V5" s="10">
        <f t="shared" si="7"/>
        <v>0</v>
      </c>
      <c r="W5" s="10">
        <f t="shared" si="7"/>
        <v>0</v>
      </c>
      <c r="X5" s="10">
        <f t="shared" si="7"/>
        <v>0</v>
      </c>
      <c r="Y5" s="10">
        <f t="shared" si="7"/>
        <v>0</v>
      </c>
      <c r="Z5" s="10">
        <f t="shared" si="7"/>
        <v>0</v>
      </c>
      <c r="AA5" s="10">
        <f t="shared" si="7"/>
        <v>0</v>
      </c>
      <c r="AB5" s="10">
        <f t="shared" si="7"/>
        <v>0</v>
      </c>
    </row>
    <row r="6" spans="2:28" s="14" customFormat="1" x14ac:dyDescent="0.2">
      <c r="B6" s="14" t="s">
        <v>25</v>
      </c>
      <c r="G6" s="16" t="e">
        <f>G5/C5-1</f>
        <v>#DIV/0!</v>
      </c>
      <c r="H6" s="16">
        <f t="shared" ref="H6:J6" si="8">H5/D5-1</f>
        <v>-3</v>
      </c>
      <c r="I6" s="16" t="e">
        <f t="shared" si="8"/>
        <v>#DIV/0!</v>
      </c>
      <c r="J6" s="16">
        <f t="shared" si="8"/>
        <v>-1</v>
      </c>
      <c r="K6" s="16"/>
      <c r="M6" s="16"/>
      <c r="N6" s="16"/>
      <c r="O6" s="16">
        <f t="shared" ref="O6:P6" si="9">O5/N5-1</f>
        <v>-6.9565217391304346</v>
      </c>
      <c r="P6" s="16">
        <f t="shared" si="9"/>
        <v>-0.72262773722627738</v>
      </c>
      <c r="Q6" s="16">
        <f>Q5/P5-1</f>
        <v>-0.92105263157894735</v>
      </c>
      <c r="R6" s="16">
        <f>R5/Q5-1</f>
        <v>0</v>
      </c>
      <c r="S6" s="16">
        <f t="shared" ref="S6:AB6" si="10">S5/R5-1</f>
        <v>-0.33333333333333337</v>
      </c>
      <c r="T6" s="16">
        <f t="shared" si="10"/>
        <v>983.5</v>
      </c>
      <c r="U6" s="16">
        <f t="shared" si="10"/>
        <v>-1</v>
      </c>
      <c r="V6" s="16" t="e">
        <f t="shared" si="10"/>
        <v>#DIV/0!</v>
      </c>
      <c r="W6" s="16" t="e">
        <f t="shared" si="10"/>
        <v>#DIV/0!</v>
      </c>
      <c r="X6" s="16" t="e">
        <f t="shared" si="10"/>
        <v>#DIV/0!</v>
      </c>
      <c r="Y6" s="16" t="e">
        <f t="shared" si="10"/>
        <v>#DIV/0!</v>
      </c>
      <c r="Z6" s="16" t="e">
        <f t="shared" si="10"/>
        <v>#DIV/0!</v>
      </c>
      <c r="AA6" s="16" t="e">
        <f t="shared" si="10"/>
        <v>#DIV/0!</v>
      </c>
      <c r="AB6" s="16" t="e">
        <f t="shared" si="10"/>
        <v>#DIV/0!</v>
      </c>
    </row>
    <row r="7" spans="2:28" s="14" customFormat="1" x14ac:dyDescent="0.2">
      <c r="G7" s="16"/>
      <c r="H7" s="16"/>
      <c r="I7" s="16"/>
      <c r="J7" s="16"/>
      <c r="K7" s="16"/>
      <c r="P7" s="15"/>
      <c r="Q7" s="16"/>
      <c r="R7" s="16"/>
      <c r="S7" s="15"/>
      <c r="T7" s="15"/>
      <c r="U7" s="15"/>
      <c r="V7" s="15"/>
    </row>
    <row r="8" spans="2:28" x14ac:dyDescent="0.2">
      <c r="B8" t="s">
        <v>26</v>
      </c>
      <c r="C8">
        <v>261</v>
      </c>
      <c r="D8">
        <v>287</v>
      </c>
      <c r="E8">
        <v>237</v>
      </c>
      <c r="F8" s="2">
        <f>R8-SUM(C8:E8)</f>
        <v>217</v>
      </c>
      <c r="G8" s="2">
        <v>226</v>
      </c>
      <c r="H8" s="2">
        <v>268</v>
      </c>
      <c r="I8" s="2">
        <v>225</v>
      </c>
      <c r="J8" s="2">
        <f>F8*(1+J9)</f>
        <v>210.48999999999998</v>
      </c>
      <c r="K8" s="2"/>
      <c r="M8">
        <v>945</v>
      </c>
      <c r="N8">
        <v>953</v>
      </c>
      <c r="O8">
        <v>941</v>
      </c>
      <c r="P8" s="2">
        <v>921</v>
      </c>
      <c r="Q8" s="2">
        <v>1046</v>
      </c>
      <c r="R8" s="2">
        <v>1002</v>
      </c>
      <c r="S8" s="2">
        <f>SUM(G8:J8)</f>
        <v>929.49</v>
      </c>
      <c r="T8" s="2"/>
      <c r="U8" s="2"/>
      <c r="V8" s="2"/>
    </row>
    <row r="9" spans="2:28" x14ac:dyDescent="0.2">
      <c r="B9" s="14" t="s">
        <v>25</v>
      </c>
      <c r="C9" s="14"/>
      <c r="D9" s="14"/>
      <c r="E9" s="14"/>
      <c r="F9" s="14"/>
      <c r="G9" s="16">
        <f>G8/C8-1</f>
        <v>-0.13409961685823757</v>
      </c>
      <c r="H9" s="16">
        <f t="shared" ref="H9:I9" si="11">H8/D8-1</f>
        <v>-6.6202090592334506E-2</v>
      </c>
      <c r="I9" s="16">
        <f t="shared" si="11"/>
        <v>-5.0632911392405111E-2</v>
      </c>
      <c r="J9" s="164">
        <v>-0.03</v>
      </c>
      <c r="K9" s="16"/>
      <c r="L9" s="14"/>
      <c r="M9" s="14"/>
      <c r="N9" s="16">
        <f t="shared" ref="N9:P9" si="12">N8/M8-1</f>
        <v>8.4656084656085095E-3</v>
      </c>
      <c r="O9" s="16">
        <f t="shared" si="12"/>
        <v>-1.2591815320041944E-2</v>
      </c>
      <c r="P9" s="16">
        <f t="shared" si="12"/>
        <v>-2.1253985122210439E-2</v>
      </c>
      <c r="Q9" s="16">
        <f>Q8/P8-1</f>
        <v>0.1357220412595006</v>
      </c>
      <c r="R9" s="16">
        <f>R8/Q8-1</f>
        <v>-4.2065009560229405E-2</v>
      </c>
      <c r="S9" s="16">
        <f t="shared" ref="S9:AB9" si="13">S8/R8-1</f>
        <v>-7.2365269461077797E-2</v>
      </c>
      <c r="T9" s="16">
        <f t="shared" si="13"/>
        <v>-1</v>
      </c>
      <c r="U9" s="16" t="e">
        <f t="shared" si="13"/>
        <v>#DIV/0!</v>
      </c>
      <c r="V9" s="16" t="e">
        <f t="shared" si="13"/>
        <v>#DIV/0!</v>
      </c>
      <c r="W9" s="16" t="e">
        <f t="shared" si="13"/>
        <v>#DIV/0!</v>
      </c>
      <c r="X9" s="16" t="e">
        <f t="shared" si="13"/>
        <v>#DIV/0!</v>
      </c>
      <c r="Y9" s="16" t="e">
        <f t="shared" si="13"/>
        <v>#DIV/0!</v>
      </c>
      <c r="Z9" s="16" t="e">
        <f t="shared" si="13"/>
        <v>#DIV/0!</v>
      </c>
      <c r="AA9" s="16" t="e">
        <f t="shared" si="13"/>
        <v>#DIV/0!</v>
      </c>
      <c r="AB9" s="16" t="e">
        <f t="shared" si="13"/>
        <v>#DIV/0!</v>
      </c>
    </row>
    <row r="10" spans="2:28" x14ac:dyDescent="0.2">
      <c r="B10" s="14" t="s">
        <v>27</v>
      </c>
      <c r="C10" s="6">
        <f t="shared" ref="C10:E10" si="14">C8/C3</f>
        <v>0.13235294117647059</v>
      </c>
      <c r="D10" s="6">
        <f t="shared" si="14"/>
        <v>0.14546376077040041</v>
      </c>
      <c r="E10" s="6">
        <f t="shared" si="14"/>
        <v>0.12012164216928535</v>
      </c>
      <c r="F10" s="6">
        <f>F8/F3</f>
        <v>0.11009639776763064</v>
      </c>
      <c r="G10" s="6">
        <f t="shared" ref="G10:J10" si="15">G8/G3</f>
        <v>0.11466260781329274</v>
      </c>
      <c r="H10" s="6">
        <f t="shared" si="15"/>
        <v>0.1361097003555104</v>
      </c>
      <c r="I10" s="6">
        <f t="shared" si="15"/>
        <v>0.11427120365667852</v>
      </c>
      <c r="J10" s="6">
        <f t="shared" si="15"/>
        <v>0.10690198070086337</v>
      </c>
      <c r="K10" s="6"/>
      <c r="L10" s="14"/>
      <c r="M10" s="6">
        <f t="shared" ref="M10:O10" si="16">M8/M3</f>
        <v>0.44387036167214655</v>
      </c>
      <c r="N10" s="6">
        <f t="shared" si="16"/>
        <v>0.44284386617100374</v>
      </c>
      <c r="O10" s="6">
        <f t="shared" si="16"/>
        <v>0.46699751861042182</v>
      </c>
      <c r="P10" s="6">
        <f>P8/P3</f>
        <v>0.46585735963581182</v>
      </c>
      <c r="Q10" s="6">
        <f t="shared" ref="Q10:R10" si="17">Q8/Q3</f>
        <v>0.52988855116514688</v>
      </c>
      <c r="R10" s="6">
        <f t="shared" si="17"/>
        <v>0.50837138508371382</v>
      </c>
      <c r="S10" s="6">
        <f t="shared" ref="S10:AB10" si="18">S8/S3</f>
        <v>0.47206196038598275</v>
      </c>
      <c r="T10" s="6" t="e">
        <f t="shared" si="18"/>
        <v>#DIV/0!</v>
      </c>
      <c r="U10" s="6" t="e">
        <f t="shared" si="18"/>
        <v>#DIV/0!</v>
      </c>
      <c r="V10" s="6" t="e">
        <f t="shared" si="18"/>
        <v>#DIV/0!</v>
      </c>
      <c r="W10" s="6" t="e">
        <f t="shared" si="18"/>
        <v>#DIV/0!</v>
      </c>
      <c r="X10" s="6" t="e">
        <f t="shared" si="18"/>
        <v>#DIV/0!</v>
      </c>
      <c r="Y10" s="6" t="e">
        <f t="shared" si="18"/>
        <v>#DIV/0!</v>
      </c>
      <c r="Z10" s="6" t="e">
        <f t="shared" si="18"/>
        <v>#DIV/0!</v>
      </c>
      <c r="AA10" s="6" t="e">
        <f t="shared" si="18"/>
        <v>#DIV/0!</v>
      </c>
      <c r="AB10" s="6" t="e">
        <f t="shared" si="18"/>
        <v>#DIV/0!</v>
      </c>
    </row>
    <row r="11" spans="2:28" x14ac:dyDescent="0.2">
      <c r="B11" s="14"/>
      <c r="C11" s="14"/>
      <c r="D11" s="14"/>
      <c r="E11" s="14"/>
      <c r="F11" s="14"/>
      <c r="G11" s="2"/>
      <c r="H11" s="2"/>
      <c r="I11" s="2"/>
      <c r="J11" s="2"/>
      <c r="K11" s="2"/>
      <c r="L11" s="14"/>
      <c r="M11" s="14"/>
      <c r="N11" s="14"/>
      <c r="O11" s="14"/>
      <c r="P11" s="2"/>
      <c r="Q11" s="2"/>
      <c r="R11" s="2"/>
      <c r="S11" s="2"/>
      <c r="T11" s="2"/>
      <c r="U11" s="2"/>
      <c r="V11" s="2"/>
    </row>
    <row r="12" spans="2:28" x14ac:dyDescent="0.2">
      <c r="B12" t="s">
        <v>21</v>
      </c>
      <c r="C12" s="13">
        <f t="shared" ref="C12:F12" si="19">C15/C8</f>
        <v>93.570881226053643</v>
      </c>
      <c r="D12" s="13">
        <f t="shared" si="19"/>
        <v>96.062717770034837</v>
      </c>
      <c r="E12" s="13">
        <f t="shared" si="19"/>
        <v>96.700421940928265</v>
      </c>
      <c r="F12" s="13">
        <f t="shared" si="19"/>
        <v>98.341013824884797</v>
      </c>
      <c r="G12" s="13">
        <f>G15/G8</f>
        <v>104.6858407079646</v>
      </c>
      <c r="H12" s="13">
        <f>H15/H8</f>
        <v>102.5223880597015</v>
      </c>
      <c r="I12" s="13">
        <f>I15/I8</f>
        <v>104.35111111111111</v>
      </c>
      <c r="J12" s="13">
        <f>F12*(1+J13)</f>
        <v>107.19170506912444</v>
      </c>
      <c r="K12" s="13"/>
      <c r="M12" s="13">
        <v>68.801058201058197</v>
      </c>
      <c r="N12" s="13">
        <v>72.003147953830009</v>
      </c>
      <c r="O12" s="13">
        <v>75.780021253985126</v>
      </c>
      <c r="P12" s="13">
        <v>78.336590662323559</v>
      </c>
      <c r="Q12" s="13">
        <v>85.656787762906305</v>
      </c>
      <c r="R12" s="13">
        <v>96.057884231536931</v>
      </c>
      <c r="S12" s="13">
        <f>S15/S8</f>
        <v>104.548496487321</v>
      </c>
      <c r="T12" s="2"/>
      <c r="U12" s="2"/>
      <c r="V12" s="2"/>
    </row>
    <row r="13" spans="2:28" x14ac:dyDescent="0.2">
      <c r="B13" s="14" t="s">
        <v>25</v>
      </c>
      <c r="C13" s="14"/>
      <c r="D13" s="14"/>
      <c r="E13" s="14"/>
      <c r="F13" s="14"/>
      <c r="G13" s="16">
        <f>G12/C12-1</f>
        <v>0.11878652136511181</v>
      </c>
      <c r="H13" s="16">
        <f t="shared" ref="H13" si="20">H12/D12-1</f>
        <v>6.7244300802841162E-2</v>
      </c>
      <c r="I13" s="16">
        <f t="shared" ref="I13" si="21">I12/E12-1</f>
        <v>7.9117433167524842E-2</v>
      </c>
      <c r="J13" s="164">
        <v>0.09</v>
      </c>
      <c r="K13" s="16"/>
      <c r="L13" s="14"/>
      <c r="M13" s="14"/>
      <c r="N13" s="16">
        <f t="shared" ref="N13:P13" si="22">N12/M12-1</f>
        <v>4.6541286376937663E-2</v>
      </c>
      <c r="O13" s="16">
        <f t="shared" si="22"/>
        <v>5.2454280229205175E-2</v>
      </c>
      <c r="P13" s="16">
        <f t="shared" si="22"/>
        <v>3.3736720655828334E-2</v>
      </c>
      <c r="Q13" s="16">
        <f>Q12/P12-1</f>
        <v>9.3445438953771554E-2</v>
      </c>
      <c r="R13" s="16">
        <f>R12/Q12-1</f>
        <v>0.12142758023357514</v>
      </c>
      <c r="S13" s="16">
        <f>S12/R12-1</f>
        <v>8.8390581613461139E-2</v>
      </c>
      <c r="T13" s="2"/>
      <c r="U13" s="2"/>
      <c r="V13" s="2"/>
    </row>
    <row r="14" spans="2:28" x14ac:dyDescent="0.2">
      <c r="B14" s="14"/>
      <c r="C14" s="14"/>
      <c r="D14" s="14"/>
      <c r="E14" s="14"/>
      <c r="F14" s="14"/>
      <c r="G14" s="16"/>
      <c r="H14" s="16"/>
      <c r="I14" s="16"/>
      <c r="J14" s="16"/>
      <c r="K14" s="16"/>
      <c r="L14" s="14"/>
      <c r="M14" s="14"/>
      <c r="N14" s="14"/>
      <c r="O14" s="14"/>
      <c r="P14" s="2"/>
      <c r="Q14" s="16"/>
      <c r="R14" s="16"/>
      <c r="S14" s="2"/>
      <c r="T14" s="2"/>
      <c r="U14" s="2"/>
      <c r="V14" s="2"/>
    </row>
    <row r="15" spans="2:28" s="3" customFormat="1" x14ac:dyDescent="0.2">
      <c r="B15" s="3" t="s">
        <v>0</v>
      </c>
      <c r="C15" s="4">
        <v>24422</v>
      </c>
      <c r="D15" s="4">
        <v>27570</v>
      </c>
      <c r="E15" s="162">
        <v>22918</v>
      </c>
      <c r="F15" s="4">
        <f>R15-SUM(C15:E15)</f>
        <v>21340</v>
      </c>
      <c r="G15" s="4">
        <v>23659</v>
      </c>
      <c r="H15" s="4">
        <v>27476</v>
      </c>
      <c r="I15" s="4">
        <v>23479</v>
      </c>
      <c r="J15" s="4">
        <f>J12*J10*J3</f>
        <v>22562.781999999999</v>
      </c>
      <c r="K15" s="4"/>
      <c r="M15" s="4">
        <f>M12*M10*M3</f>
        <v>65017</v>
      </c>
      <c r="N15" s="4">
        <f t="shared" ref="N15:S15" si="23">N12*N10*N3</f>
        <v>68619</v>
      </c>
      <c r="O15" s="4">
        <f t="shared" si="23"/>
        <v>71309</v>
      </c>
      <c r="P15" s="4">
        <f t="shared" si="23"/>
        <v>72148</v>
      </c>
      <c r="Q15" s="4">
        <f t="shared" si="23"/>
        <v>89597</v>
      </c>
      <c r="R15" s="4">
        <f t="shared" si="23"/>
        <v>96250</v>
      </c>
      <c r="S15" s="4">
        <f>SUM(G15:J15)</f>
        <v>97176.782000000007</v>
      </c>
      <c r="T15" s="4" t="e">
        <f t="shared" ref="T15:AB15" si="24">T12*T10*T3</f>
        <v>#DIV/0!</v>
      </c>
      <c r="U15" s="4" t="e">
        <f t="shared" si="24"/>
        <v>#DIV/0!</v>
      </c>
      <c r="V15" s="4" t="e">
        <f t="shared" si="24"/>
        <v>#DIV/0!</v>
      </c>
      <c r="W15" s="4" t="e">
        <f t="shared" si="24"/>
        <v>#DIV/0!</v>
      </c>
      <c r="X15" s="4" t="e">
        <f t="shared" si="24"/>
        <v>#DIV/0!</v>
      </c>
      <c r="Y15" s="4" t="e">
        <f t="shared" si="24"/>
        <v>#DIV/0!</v>
      </c>
      <c r="Z15" s="4" t="e">
        <f t="shared" si="24"/>
        <v>#DIV/0!</v>
      </c>
      <c r="AA15" s="4" t="e">
        <f t="shared" si="24"/>
        <v>#DIV/0!</v>
      </c>
      <c r="AB15" s="4" t="e">
        <f t="shared" si="24"/>
        <v>#DIV/0!</v>
      </c>
    </row>
    <row r="16" spans="2:28" x14ac:dyDescent="0.2">
      <c r="B16" t="s">
        <v>1</v>
      </c>
      <c r="C16" s="2">
        <f t="shared" ref="C16:F16" si="25">C15-C17</f>
        <v>16292</v>
      </c>
      <c r="D16" s="2">
        <f t="shared" si="25"/>
        <v>18258</v>
      </c>
      <c r="E16" s="163">
        <v>15331</v>
      </c>
      <c r="F16" s="2">
        <f t="shared" si="25"/>
        <v>14313</v>
      </c>
      <c r="G16" s="2">
        <f>G15-G17</f>
        <v>15609</v>
      </c>
      <c r="H16" s="2">
        <f>H15-H17</f>
        <v>18343</v>
      </c>
      <c r="I16" s="2">
        <f>I15-I17</f>
        <v>15661</v>
      </c>
      <c r="J16" s="2">
        <f>J45*J3</f>
        <v>14870.415464231355</v>
      </c>
      <c r="K16" s="2"/>
      <c r="M16" s="2">
        <f t="shared" ref="M16" si="26">M15-M17</f>
        <v>43343</v>
      </c>
      <c r="N16" s="2">
        <f t="shared" ref="N16" si="27">N15-N17</f>
        <v>46185</v>
      </c>
      <c r="O16" s="2">
        <f t="shared" ref="O16" si="28">O15-O17</f>
        <v>48401</v>
      </c>
      <c r="P16" s="2">
        <f t="shared" ref="P16:Q16" si="29">P15-P17</f>
        <v>49205</v>
      </c>
      <c r="Q16" s="2">
        <f t="shared" si="29"/>
        <v>60025</v>
      </c>
      <c r="R16" s="2">
        <f>R15-R17</f>
        <v>64194</v>
      </c>
      <c r="S16" s="2">
        <f>S15-S17</f>
        <v>64483.415464231366</v>
      </c>
      <c r="T16" s="2" t="e">
        <f t="shared" ref="T16:AB16" si="30">T15-T17</f>
        <v>#DIV/0!</v>
      </c>
      <c r="U16" s="2" t="e">
        <f t="shared" si="30"/>
        <v>#DIV/0!</v>
      </c>
      <c r="V16" s="2" t="e">
        <f t="shared" si="30"/>
        <v>#DIV/0!</v>
      </c>
      <c r="W16" s="2" t="e">
        <f t="shared" si="30"/>
        <v>#DIV/0!</v>
      </c>
      <c r="X16" s="2" t="e">
        <f t="shared" si="30"/>
        <v>#DIV/0!</v>
      </c>
      <c r="Y16" s="2" t="e">
        <f t="shared" si="30"/>
        <v>#DIV/0!</v>
      </c>
      <c r="Z16" s="2" t="e">
        <f t="shared" si="30"/>
        <v>#DIV/0!</v>
      </c>
      <c r="AA16" s="2" t="e">
        <f t="shared" si="30"/>
        <v>#DIV/0!</v>
      </c>
      <c r="AB16" s="2" t="e">
        <f t="shared" si="30"/>
        <v>#DIV/0!</v>
      </c>
    </row>
    <row r="17" spans="2:28" s="3" customFormat="1" x14ac:dyDescent="0.2">
      <c r="B17" s="3" t="s">
        <v>2</v>
      </c>
      <c r="C17" s="4">
        <v>8130</v>
      </c>
      <c r="D17" s="4">
        <v>9312</v>
      </c>
      <c r="E17" s="162">
        <v>7587</v>
      </c>
      <c r="F17" s="4">
        <f>R17-SUM(C17:E17)</f>
        <v>7027</v>
      </c>
      <c r="G17" s="4">
        <v>8050</v>
      </c>
      <c r="H17" s="4">
        <v>9133</v>
      </c>
      <c r="I17" s="4">
        <v>7818</v>
      </c>
      <c r="J17" s="4">
        <f>J15-J16</f>
        <v>7692.3665357686441</v>
      </c>
      <c r="K17" s="4"/>
      <c r="M17" s="156">
        <v>21674</v>
      </c>
      <c r="N17" s="156">
        <v>22434</v>
      </c>
      <c r="O17" s="156">
        <v>22908</v>
      </c>
      <c r="P17" s="4">
        <v>22943</v>
      </c>
      <c r="Q17" s="4">
        <v>29572</v>
      </c>
      <c r="R17" s="4">
        <v>32056</v>
      </c>
      <c r="S17" s="4">
        <f>SUM(G17:J17)</f>
        <v>32693.366535768644</v>
      </c>
      <c r="T17" s="4"/>
      <c r="U17" s="4"/>
      <c r="V17" s="4"/>
    </row>
    <row r="18" spans="2:28" x14ac:dyDescent="0.2">
      <c r="B18" t="s">
        <v>3</v>
      </c>
      <c r="C18" s="2">
        <v>4494</v>
      </c>
      <c r="D18" s="2">
        <v>4693</v>
      </c>
      <c r="E18" s="163">
        <v>4373</v>
      </c>
      <c r="F18" s="10">
        <f>R18-SUM(C18:E18)</f>
        <v>4741</v>
      </c>
      <c r="G18" s="2">
        <v>4303</v>
      </c>
      <c r="H18" s="2">
        <v>4455</v>
      </c>
      <c r="I18" s="2">
        <v>6443</v>
      </c>
      <c r="J18" s="2">
        <f>J15*J30</f>
        <v>4178.7349914485858</v>
      </c>
      <c r="K18" s="2"/>
      <c r="M18" s="136">
        <v>14375</v>
      </c>
      <c r="N18" s="136">
        <v>14444</v>
      </c>
      <c r="O18" s="136">
        <v>17413</v>
      </c>
      <c r="P18" s="2">
        <v>15367</v>
      </c>
      <c r="Q18" s="2">
        <v>18526</v>
      </c>
      <c r="R18" s="2">
        <v>18301</v>
      </c>
      <c r="S18" s="2">
        <f>SUM(G18:J18)</f>
        <v>19379.734991448586</v>
      </c>
      <c r="T18" s="2"/>
      <c r="U18" s="2"/>
      <c r="V18" s="2"/>
    </row>
    <row r="19" spans="2:28" x14ac:dyDescent="0.2">
      <c r="B19" t="s">
        <v>4</v>
      </c>
      <c r="C19" s="2">
        <v>391</v>
      </c>
      <c r="D19" s="2">
        <v>409</v>
      </c>
      <c r="E19" s="163">
        <v>425</v>
      </c>
      <c r="F19" s="10">
        <f>R19-SUM(C19:E19)</f>
        <v>437</v>
      </c>
      <c r="G19" s="2">
        <v>445</v>
      </c>
      <c r="H19" s="2">
        <v>449</v>
      </c>
      <c r="I19" s="2">
        <v>451</v>
      </c>
      <c r="J19" s="2">
        <f>J49*J3</f>
        <v>458.38439878234396</v>
      </c>
      <c r="K19" s="2"/>
      <c r="M19" s="136">
        <v>1453</v>
      </c>
      <c r="N19" s="136">
        <v>1404</v>
      </c>
      <c r="O19" s="136">
        <v>1477</v>
      </c>
      <c r="P19" s="2">
        <v>1262</v>
      </c>
      <c r="Q19" s="2">
        <v>1399</v>
      </c>
      <c r="R19" s="2">
        <v>1662</v>
      </c>
      <c r="S19" s="2">
        <f>SUM(G19:J19)</f>
        <v>1803.3843987823439</v>
      </c>
      <c r="T19" s="2"/>
      <c r="U19" s="2"/>
      <c r="V19" s="2"/>
    </row>
    <row r="20" spans="2:28" s="3" customFormat="1" x14ac:dyDescent="0.2">
      <c r="B20" s="3" t="s">
        <v>5</v>
      </c>
      <c r="C20" s="4">
        <f t="shared" ref="C20:F20" si="31">C17-SUM(C18:C19)</f>
        <v>3245</v>
      </c>
      <c r="D20" s="4">
        <f t="shared" si="31"/>
        <v>4210</v>
      </c>
      <c r="E20" s="162">
        <v>2789</v>
      </c>
      <c r="F20" s="4">
        <f t="shared" si="31"/>
        <v>1849</v>
      </c>
      <c r="G20" s="4">
        <f>G17-SUM(G18:G19)</f>
        <v>3302</v>
      </c>
      <c r="H20" s="4">
        <f>H17-SUM(H18:H19)</f>
        <v>4229</v>
      </c>
      <c r="I20" s="4">
        <f>I17-SUM(I18:I19)</f>
        <v>924</v>
      </c>
      <c r="J20" s="4">
        <f t="shared" ref="J20" si="32">J17-SUM(J18:J19)</f>
        <v>3055.2471455377145</v>
      </c>
      <c r="K20" s="4"/>
      <c r="M20" s="4">
        <f t="shared" ref="M20" si="33">M17-SUM(M18:M19)</f>
        <v>5846</v>
      </c>
      <c r="N20" s="4">
        <f t="shared" ref="N20" si="34">N17-SUM(N18:N19)</f>
        <v>6586</v>
      </c>
      <c r="O20" s="4">
        <f t="shared" ref="O20" si="35">O17-SUM(O18:O19)</f>
        <v>4018</v>
      </c>
      <c r="P20" s="4">
        <f t="shared" ref="P20:Q20" si="36">P17-SUM(P18:P19)</f>
        <v>6314</v>
      </c>
      <c r="Q20" s="4">
        <f t="shared" si="36"/>
        <v>9647</v>
      </c>
      <c r="R20" s="4">
        <f>R17-SUM(R18:R19)</f>
        <v>12093</v>
      </c>
      <c r="S20" s="4">
        <f t="shared" ref="S20:AA20" si="37">S17-SUM(S18:S19)</f>
        <v>11510.247145537713</v>
      </c>
      <c r="T20" s="4">
        <f t="shared" si="37"/>
        <v>0</v>
      </c>
      <c r="U20" s="4">
        <f t="shared" si="37"/>
        <v>0</v>
      </c>
      <c r="V20" s="4">
        <f t="shared" si="37"/>
        <v>0</v>
      </c>
      <c r="W20" s="4">
        <f t="shared" si="37"/>
        <v>0</v>
      </c>
      <c r="X20" s="4">
        <f t="shared" si="37"/>
        <v>0</v>
      </c>
      <c r="Y20" s="4">
        <f t="shared" si="37"/>
        <v>0</v>
      </c>
      <c r="Z20" s="4">
        <f t="shared" si="37"/>
        <v>0</v>
      </c>
      <c r="AA20" s="4">
        <f t="shared" si="37"/>
        <v>0</v>
      </c>
      <c r="AB20" s="4">
        <f>AB17-SUM(AB18:AB19)</f>
        <v>0</v>
      </c>
    </row>
    <row r="21" spans="2:28" x14ac:dyDescent="0.2">
      <c r="B21" t="s">
        <v>6</v>
      </c>
      <c r="C21" s="2">
        <v>211</v>
      </c>
      <c r="D21" s="2">
        <v>216</v>
      </c>
      <c r="E21" s="163">
        <v>223</v>
      </c>
      <c r="F21" s="10">
        <f>R21-SUM(C21:E21)</f>
        <v>235</v>
      </c>
      <c r="G21" s="2">
        <v>243</v>
      </c>
      <c r="H21" s="2">
        <v>264</v>
      </c>
      <c r="I21" s="2">
        <v>295</v>
      </c>
      <c r="J21" s="134">
        <f>I21+15</f>
        <v>310</v>
      </c>
      <c r="K21" s="2"/>
      <c r="M21">
        <v>645</v>
      </c>
      <c r="N21">
        <v>633</v>
      </c>
      <c r="O21">
        <v>624</v>
      </c>
      <c r="P21" s="2">
        <v>691</v>
      </c>
      <c r="Q21" s="2">
        <v>848</v>
      </c>
      <c r="R21" s="2">
        <v>885</v>
      </c>
      <c r="S21" s="2">
        <f>SUM(G21:J21)</f>
        <v>1112</v>
      </c>
      <c r="T21" s="2"/>
      <c r="U21" s="2"/>
      <c r="V21" s="2"/>
    </row>
    <row r="22" spans="2:28" x14ac:dyDescent="0.2">
      <c r="B22" t="s">
        <v>7</v>
      </c>
      <c r="C22" s="2">
        <f t="shared" ref="C22:F22" si="38">C20-C21</f>
        <v>3034</v>
      </c>
      <c r="D22" s="2">
        <f t="shared" si="38"/>
        <v>3994</v>
      </c>
      <c r="E22" s="2">
        <f t="shared" si="38"/>
        <v>2566</v>
      </c>
      <c r="F22" s="2">
        <f t="shared" si="38"/>
        <v>1614</v>
      </c>
      <c r="G22" s="2">
        <f>G20-G21</f>
        <v>3059</v>
      </c>
      <c r="H22" s="2">
        <f>H20-H21</f>
        <v>3965</v>
      </c>
      <c r="I22" s="2">
        <f>I20-I21</f>
        <v>629</v>
      </c>
      <c r="J22" s="2">
        <f>J20-J21</f>
        <v>2745.2471455377145</v>
      </c>
      <c r="K22" s="2"/>
      <c r="M22" s="2">
        <f t="shared" ref="M22" si="39">M20-M21</f>
        <v>5201</v>
      </c>
      <c r="N22" s="2">
        <f t="shared" ref="N22" si="40">N20-N21</f>
        <v>5953</v>
      </c>
      <c r="O22" s="2">
        <f t="shared" ref="O22" si="41">O20-O21</f>
        <v>3394</v>
      </c>
      <c r="P22" s="2">
        <f t="shared" ref="P22:Q22" si="42">P20-P21</f>
        <v>5623</v>
      </c>
      <c r="Q22" s="2">
        <f t="shared" si="42"/>
        <v>8799</v>
      </c>
      <c r="R22" s="2">
        <f>R20-R21</f>
        <v>11208</v>
      </c>
      <c r="S22" s="2">
        <f t="shared" ref="S22:AB22" si="43">S20-S21</f>
        <v>10398.247145537713</v>
      </c>
      <c r="T22" s="2">
        <f t="shared" si="43"/>
        <v>0</v>
      </c>
      <c r="U22" s="2">
        <f t="shared" si="43"/>
        <v>0</v>
      </c>
      <c r="V22" s="2">
        <f t="shared" si="43"/>
        <v>0</v>
      </c>
      <c r="W22" s="2">
        <f t="shared" si="43"/>
        <v>0</v>
      </c>
      <c r="X22" s="2">
        <f t="shared" si="43"/>
        <v>0</v>
      </c>
      <c r="Y22" s="2">
        <f t="shared" si="43"/>
        <v>0</v>
      </c>
      <c r="Z22" s="2">
        <f t="shared" si="43"/>
        <v>0</v>
      </c>
      <c r="AA22" s="2">
        <f t="shared" si="43"/>
        <v>0</v>
      </c>
      <c r="AB22" s="2">
        <f t="shared" si="43"/>
        <v>0</v>
      </c>
    </row>
    <row r="23" spans="2:28" x14ac:dyDescent="0.2">
      <c r="B23" t="s">
        <v>8</v>
      </c>
      <c r="C23" s="2">
        <v>713</v>
      </c>
      <c r="D23" s="2">
        <v>976</v>
      </c>
      <c r="E23" s="2">
        <v>670</v>
      </c>
      <c r="F23" s="10">
        <f>R23-SUM(C23:E23)</f>
        <v>407</v>
      </c>
      <c r="G23" s="2">
        <v>726</v>
      </c>
      <c r="H23" s="2">
        <v>973</v>
      </c>
      <c r="I23" s="2">
        <v>475</v>
      </c>
      <c r="J23" s="2">
        <f>J22*J33</f>
        <v>675.04476112363807</v>
      </c>
      <c r="K23" s="2"/>
      <c r="M23" s="136">
        <v>2108</v>
      </c>
      <c r="N23" s="136">
        <v>2042</v>
      </c>
      <c r="O23" s="136">
        <v>1080</v>
      </c>
      <c r="P23" s="2">
        <v>1342</v>
      </c>
      <c r="Q23" s="2">
        <v>1904</v>
      </c>
      <c r="R23" s="2">
        <v>2766</v>
      </c>
      <c r="S23" s="2">
        <f>SUM(G23:J23)</f>
        <v>2849.0447611236382</v>
      </c>
      <c r="T23" s="2"/>
      <c r="U23" s="2"/>
      <c r="V23" s="2"/>
    </row>
    <row r="24" spans="2:28" s="3" customFormat="1" x14ac:dyDescent="0.2">
      <c r="B24" s="3" t="s">
        <v>9</v>
      </c>
      <c r="C24" s="4">
        <f t="shared" ref="C24:F24" si="44">C22-C23</f>
        <v>2321</v>
      </c>
      <c r="D24" s="4">
        <f t="shared" si="44"/>
        <v>3018</v>
      </c>
      <c r="E24" s="4">
        <f t="shared" si="44"/>
        <v>1896</v>
      </c>
      <c r="F24" s="4">
        <f t="shared" si="44"/>
        <v>1207</v>
      </c>
      <c r="G24" s="4">
        <f>G22-G23</f>
        <v>2333</v>
      </c>
      <c r="H24" s="4">
        <f>H22-H23</f>
        <v>2992</v>
      </c>
      <c r="I24" s="4">
        <f>I22-I23</f>
        <v>154</v>
      </c>
      <c r="J24" s="4">
        <f>J22-J23</f>
        <v>2070.2023844140763</v>
      </c>
      <c r="K24" s="4"/>
      <c r="M24" s="4">
        <f t="shared" ref="M24" si="45">M22-M23</f>
        <v>3093</v>
      </c>
      <c r="N24" s="4">
        <f t="shared" ref="N24" si="46">N22-N23</f>
        <v>3911</v>
      </c>
      <c r="O24" s="4">
        <f t="shared" ref="O24" si="47">O22-O23</f>
        <v>2314</v>
      </c>
      <c r="P24" s="4">
        <f t="shared" ref="P24:Q24" si="48">P22-P23</f>
        <v>4281</v>
      </c>
      <c r="Q24" s="4">
        <f t="shared" si="48"/>
        <v>6895</v>
      </c>
      <c r="R24" s="4">
        <f>R22-R23</f>
        <v>8442</v>
      </c>
      <c r="S24" s="4">
        <f t="shared" ref="S24:AB24" si="49">S22-S23</f>
        <v>7549.2023844140749</v>
      </c>
      <c r="T24" s="4">
        <f t="shared" si="49"/>
        <v>0</v>
      </c>
      <c r="U24" s="4">
        <f t="shared" si="49"/>
        <v>0</v>
      </c>
      <c r="V24" s="4">
        <f t="shared" si="49"/>
        <v>0</v>
      </c>
      <c r="W24" s="4">
        <f t="shared" si="49"/>
        <v>0</v>
      </c>
      <c r="X24" s="4">
        <f t="shared" si="49"/>
        <v>0</v>
      </c>
      <c r="Y24" s="4">
        <f t="shared" si="49"/>
        <v>0</v>
      </c>
      <c r="Z24" s="4">
        <f t="shared" si="49"/>
        <v>0</v>
      </c>
      <c r="AA24" s="4">
        <f t="shared" si="49"/>
        <v>0</v>
      </c>
      <c r="AB24" s="4">
        <f t="shared" si="49"/>
        <v>0</v>
      </c>
    </row>
    <row r="25" spans="2:28" s="9" customFormat="1" x14ac:dyDescent="0.2">
      <c r="B25" s="9" t="s">
        <v>17</v>
      </c>
      <c r="C25" s="12">
        <f t="shared" ref="C25" si="50">C24/C26</f>
        <v>3.2325905292479109</v>
      </c>
      <c r="D25" s="12">
        <f t="shared" ref="D25" si="51">D24/D26</f>
        <v>4.280851063829787</v>
      </c>
      <c r="E25" s="12">
        <f t="shared" ref="E25" si="52">E24/E26</f>
        <v>2.7478260869565219</v>
      </c>
      <c r="F25" s="12">
        <f t="shared" ref="F25" si="53">F24/F26</f>
        <v>1.7341954022988506</v>
      </c>
      <c r="G25" s="12">
        <f t="shared" ref="G25" si="54">G24/G26</f>
        <v>3.5348484848484847</v>
      </c>
      <c r="H25" s="12">
        <f t="shared" ref="H25" si="55">H24/H26</f>
        <v>4.6896551724137927</v>
      </c>
      <c r="I25" s="12">
        <f t="shared" ref="I25" si="56">I24/I26</f>
        <v>0.24919093851132687</v>
      </c>
      <c r="J25" s="12">
        <f t="shared" ref="J25" si="57">J24/J26</f>
        <v>3.3836788343206763</v>
      </c>
      <c r="K25" s="12"/>
      <c r="M25" s="12">
        <f t="shared" ref="M25:O25" si="58">M24/M26</f>
        <v>3.5147727272727272</v>
      </c>
      <c r="N25" s="12">
        <f t="shared" si="58"/>
        <v>4.6615017878426697</v>
      </c>
      <c r="O25" s="12">
        <f t="shared" si="58"/>
        <v>2.5400658616904499</v>
      </c>
      <c r="P25" s="12">
        <f>P24/P26</f>
        <v>5.5096525096525095</v>
      </c>
      <c r="Q25" s="12">
        <f t="shared" ref="Q25:R25" si="59">Q24/Q26</f>
        <v>9.2179144385026746</v>
      </c>
      <c r="R25" s="12">
        <f t="shared" si="59"/>
        <v>12.129310344827585</v>
      </c>
      <c r="S25" s="12">
        <f t="shared" ref="S25" si="60">S24/S26</f>
        <v>11.945791052233266</v>
      </c>
      <c r="T25" s="12" t="e">
        <f t="shared" ref="T25" si="61">T24/T26</f>
        <v>#DIV/0!</v>
      </c>
      <c r="U25" s="12" t="e">
        <f t="shared" ref="U25" si="62">U24/U26</f>
        <v>#DIV/0!</v>
      </c>
      <c r="V25" s="12" t="e">
        <f t="shared" ref="V25" si="63">V24/V26</f>
        <v>#DIV/0!</v>
      </c>
      <c r="W25" s="12" t="e">
        <f t="shared" ref="W25" si="64">W24/W26</f>
        <v>#DIV/0!</v>
      </c>
      <c r="X25" s="12" t="e">
        <f t="shared" ref="X25" si="65">X24/X26</f>
        <v>#DIV/0!</v>
      </c>
      <c r="Y25" s="12" t="e">
        <f t="shared" ref="Y25" si="66">Y24/Y26</f>
        <v>#DIV/0!</v>
      </c>
      <c r="Z25" s="12" t="e">
        <f t="shared" ref="Z25" si="67">Z24/Z26</f>
        <v>#DIV/0!</v>
      </c>
      <c r="AA25" s="12" t="e">
        <f t="shared" ref="AA25" si="68">AA24/AA26</f>
        <v>#DIV/0!</v>
      </c>
      <c r="AB25" s="12" t="e">
        <f t="shared" ref="AB25" si="69">AB24/AB26</f>
        <v>#DIV/0!</v>
      </c>
    </row>
    <row r="26" spans="2:28" s="9" customFormat="1" x14ac:dyDescent="0.2">
      <c r="B26" s="9" t="s">
        <v>16</v>
      </c>
      <c r="C26" s="9">
        <v>718</v>
      </c>
      <c r="D26" s="9">
        <v>705</v>
      </c>
      <c r="E26" s="9">
        <v>690</v>
      </c>
      <c r="F26" s="10">
        <f>R26</f>
        <v>696</v>
      </c>
      <c r="G26" s="10">
        <v>660</v>
      </c>
      <c r="H26" s="10">
        <v>638</v>
      </c>
      <c r="I26" s="10">
        <v>618</v>
      </c>
      <c r="J26" s="10">
        <f>I26*(1+J35)</f>
        <v>611.82000000000005</v>
      </c>
      <c r="K26" s="10"/>
      <c r="M26" s="9">
        <v>880</v>
      </c>
      <c r="N26" s="9">
        <v>839</v>
      </c>
      <c r="O26" s="9">
        <v>911</v>
      </c>
      <c r="P26" s="10">
        <v>777</v>
      </c>
      <c r="Q26" s="10">
        <v>748</v>
      </c>
      <c r="R26" s="10">
        <v>696</v>
      </c>
      <c r="S26" s="10">
        <f>AVERAGE(G26:J26)</f>
        <v>631.95500000000004</v>
      </c>
      <c r="T26" s="10"/>
      <c r="U26" s="10"/>
      <c r="V26" s="10"/>
    </row>
    <row r="27" spans="2:28" x14ac:dyDescent="0.2">
      <c r="G27" s="2"/>
      <c r="H27" s="2"/>
      <c r="I27" s="2"/>
      <c r="J27" s="2"/>
      <c r="K27" s="2"/>
      <c r="P27" s="2"/>
      <c r="Q27" s="2"/>
      <c r="R27" s="2"/>
      <c r="S27" s="2"/>
      <c r="T27" s="2"/>
      <c r="U27" s="2"/>
      <c r="V27" s="2"/>
    </row>
    <row r="28" spans="2:28" s="3" customFormat="1" x14ac:dyDescent="0.2">
      <c r="B28" s="3" t="s">
        <v>10</v>
      </c>
      <c r="G28" s="8">
        <f>G15/C15-1</f>
        <v>-3.1242322496110031E-2</v>
      </c>
      <c r="H28" s="8">
        <f t="shared" ref="H28:J28" si="70">H15/D15-1</f>
        <v>-3.409503083061316E-3</v>
      </c>
      <c r="I28" s="8">
        <f t="shared" si="70"/>
        <v>2.4478575791953894E-2</v>
      </c>
      <c r="J28" s="8">
        <f t="shared" si="70"/>
        <v>5.7299999999999907E-2</v>
      </c>
      <c r="K28" s="8"/>
      <c r="N28" s="8">
        <f t="shared" ref="N28:P28" si="71">N15/M15-1</f>
        <v>5.5400895150499174E-2</v>
      </c>
      <c r="O28" s="8">
        <f t="shared" si="71"/>
        <v>3.9201970299771238E-2</v>
      </c>
      <c r="P28" s="8">
        <f t="shared" si="71"/>
        <v>1.176569577472697E-2</v>
      </c>
      <c r="Q28" s="8">
        <f>Q15/P15-1</f>
        <v>0.24185008593446811</v>
      </c>
      <c r="R28" s="8">
        <f>R15/Q15-1</f>
        <v>7.4254718349944682E-2</v>
      </c>
      <c r="S28" s="8">
        <f t="shared" ref="S28:AB28" si="72">S15/R15-1</f>
        <v>9.6289038961039353E-3</v>
      </c>
      <c r="T28" s="8" t="e">
        <f t="shared" si="72"/>
        <v>#DIV/0!</v>
      </c>
      <c r="U28" s="8" t="e">
        <f t="shared" si="72"/>
        <v>#DIV/0!</v>
      </c>
      <c r="V28" s="8" t="e">
        <f t="shared" si="72"/>
        <v>#DIV/0!</v>
      </c>
      <c r="W28" s="8" t="e">
        <f t="shared" si="72"/>
        <v>#DIV/0!</v>
      </c>
      <c r="X28" s="8" t="e">
        <f t="shared" si="72"/>
        <v>#DIV/0!</v>
      </c>
      <c r="Y28" s="8" t="e">
        <f t="shared" si="72"/>
        <v>#DIV/0!</v>
      </c>
      <c r="Z28" s="8" t="e">
        <f t="shared" si="72"/>
        <v>#DIV/0!</v>
      </c>
      <c r="AA28" s="8" t="e">
        <f t="shared" si="72"/>
        <v>#DIV/0!</v>
      </c>
      <c r="AB28" s="8" t="e">
        <f t="shared" si="72"/>
        <v>#DIV/0!</v>
      </c>
    </row>
    <row r="29" spans="2:28" x14ac:dyDescent="0.2">
      <c r="B29" t="s">
        <v>2</v>
      </c>
      <c r="C29" s="7">
        <f t="shared" ref="C29:H29" si="73">C17/C15</f>
        <v>0.33289656866759482</v>
      </c>
      <c r="D29" s="7">
        <f t="shared" si="73"/>
        <v>0.33775843307943415</v>
      </c>
      <c r="E29" s="7">
        <f t="shared" si="73"/>
        <v>0.33104982982808273</v>
      </c>
      <c r="F29" s="7">
        <f t="shared" si="73"/>
        <v>0.32928772258669164</v>
      </c>
      <c r="G29" s="7">
        <f t="shared" si="73"/>
        <v>0.34025106724713639</v>
      </c>
      <c r="H29" s="7">
        <f t="shared" si="73"/>
        <v>0.33239918474304847</v>
      </c>
      <c r="I29" s="7">
        <f t="shared" ref="I29:J29" si="74">I17/I15</f>
        <v>0.33297840623535924</v>
      </c>
      <c r="J29" s="7">
        <f t="shared" si="74"/>
        <v>0.34093165176921197</v>
      </c>
      <c r="K29" s="7"/>
      <c r="M29" s="7">
        <f t="shared" ref="M29:O29" si="75">M17/M15</f>
        <v>0.33335896765461343</v>
      </c>
      <c r="N29" s="7">
        <f t="shared" si="75"/>
        <v>0.32693568836619596</v>
      </c>
      <c r="O29" s="7">
        <f t="shared" si="75"/>
        <v>0.3212497721185264</v>
      </c>
      <c r="P29" s="7">
        <f>P17/P15</f>
        <v>0.31799911293452349</v>
      </c>
      <c r="Q29" s="7">
        <f t="shared" ref="Q29:R29" si="76">Q17/Q15</f>
        <v>0.33005569382903444</v>
      </c>
      <c r="R29" s="7">
        <f t="shared" si="76"/>
        <v>0.33304935064935065</v>
      </c>
      <c r="S29" s="7">
        <f t="shared" ref="S29:T29" si="77">S17/S15</f>
        <v>0.33643187048289624</v>
      </c>
      <c r="T29" s="7" t="e">
        <f t="shared" si="77"/>
        <v>#DIV/0!</v>
      </c>
      <c r="U29" s="7" t="e">
        <f t="shared" ref="U29:AB29" si="78">U17/U15</f>
        <v>#DIV/0!</v>
      </c>
      <c r="V29" s="7" t="e">
        <f t="shared" si="78"/>
        <v>#DIV/0!</v>
      </c>
      <c r="W29" s="7" t="e">
        <f t="shared" si="78"/>
        <v>#DIV/0!</v>
      </c>
      <c r="X29" s="7" t="e">
        <f t="shared" si="78"/>
        <v>#DIV/0!</v>
      </c>
      <c r="Y29" s="7" t="e">
        <f t="shared" si="78"/>
        <v>#DIV/0!</v>
      </c>
      <c r="Z29" s="7" t="e">
        <f t="shared" si="78"/>
        <v>#DIV/0!</v>
      </c>
      <c r="AA29" s="7" t="e">
        <f t="shared" si="78"/>
        <v>#DIV/0!</v>
      </c>
      <c r="AB29" s="7" t="e">
        <f t="shared" si="78"/>
        <v>#DIV/0!</v>
      </c>
    </row>
    <row r="30" spans="2:28" x14ac:dyDescent="0.2">
      <c r="B30" t="s">
        <v>11</v>
      </c>
      <c r="C30" s="7">
        <f t="shared" ref="C30:H32" si="79">C18/C$15</f>
        <v>0.18401441323396936</v>
      </c>
      <c r="D30" s="7">
        <f t="shared" si="79"/>
        <v>0.17022125498730503</v>
      </c>
      <c r="E30" s="7">
        <f t="shared" si="79"/>
        <v>0.19081071646740552</v>
      </c>
      <c r="F30" s="7">
        <f t="shared" si="79"/>
        <v>0.22216494845360824</v>
      </c>
      <c r="G30" s="7">
        <f t="shared" si="79"/>
        <v>0.18187581892725813</v>
      </c>
      <c r="H30" s="7">
        <f t="shared" si="79"/>
        <v>0.16214150531372834</v>
      </c>
      <c r="I30" s="7">
        <f t="shared" ref="I30:J32" si="80">I18/I$15</f>
        <v>0.27441543506963667</v>
      </c>
      <c r="J30" s="135">
        <f>AVERAGE(C30:H30)</f>
        <v>0.18520477623054576</v>
      </c>
      <c r="K30" s="7"/>
      <c r="M30" s="7">
        <f t="shared" ref="M30:O30" si="81">M18/M$15</f>
        <v>0.2210960210406509</v>
      </c>
      <c r="N30" s="7">
        <f t="shared" si="81"/>
        <v>0.21049563531966364</v>
      </c>
      <c r="O30" s="7">
        <f t="shared" si="81"/>
        <v>0.2441907753579492</v>
      </c>
      <c r="P30" s="7">
        <f>P18/P$15</f>
        <v>0.21299273715141098</v>
      </c>
      <c r="Q30" s="7">
        <f t="shared" ref="Q30:R30" si="82">Q18/Q$15</f>
        <v>0.2067703159704008</v>
      </c>
      <c r="R30" s="7">
        <f t="shared" si="82"/>
        <v>0.19014025974025975</v>
      </c>
      <c r="S30" s="7">
        <f t="shared" ref="S30:T30" si="83">S18/S$15</f>
        <v>0.19942762656463131</v>
      </c>
      <c r="T30" s="7" t="e">
        <f t="shared" si="83"/>
        <v>#DIV/0!</v>
      </c>
      <c r="U30" s="7" t="e">
        <f t="shared" ref="U30:AB30" si="84">U18/U$15</f>
        <v>#DIV/0!</v>
      </c>
      <c r="V30" s="7" t="e">
        <f t="shared" si="84"/>
        <v>#DIV/0!</v>
      </c>
      <c r="W30" s="7" t="e">
        <f t="shared" si="84"/>
        <v>#DIV/0!</v>
      </c>
      <c r="X30" s="7" t="e">
        <f t="shared" si="84"/>
        <v>#DIV/0!</v>
      </c>
      <c r="Y30" s="7" t="e">
        <f t="shared" si="84"/>
        <v>#DIV/0!</v>
      </c>
      <c r="Z30" s="7" t="e">
        <f t="shared" si="84"/>
        <v>#DIV/0!</v>
      </c>
      <c r="AA30" s="7" t="e">
        <f t="shared" si="84"/>
        <v>#DIV/0!</v>
      </c>
      <c r="AB30" s="7" t="e">
        <f t="shared" si="84"/>
        <v>#DIV/0!</v>
      </c>
    </row>
    <row r="31" spans="2:28" x14ac:dyDescent="0.2">
      <c r="B31" t="s">
        <v>12</v>
      </c>
      <c r="C31" s="7">
        <f t="shared" si="79"/>
        <v>1.6010154778478423E-2</v>
      </c>
      <c r="D31" s="7">
        <f t="shared" si="79"/>
        <v>1.4834965542256075E-2</v>
      </c>
      <c r="E31" s="7">
        <f t="shared" si="79"/>
        <v>1.8544375599965093E-2</v>
      </c>
      <c r="F31" s="7">
        <f t="shared" si="79"/>
        <v>2.0477975632614807E-2</v>
      </c>
      <c r="G31" s="7">
        <f t="shared" si="79"/>
        <v>1.8808909928568408E-2</v>
      </c>
      <c r="H31" s="7">
        <f t="shared" si="79"/>
        <v>1.6341534430048044E-2</v>
      </c>
      <c r="I31" s="7">
        <f t="shared" si="80"/>
        <v>1.9208654542356998E-2</v>
      </c>
      <c r="J31" s="11">
        <f>AVERAGE(C31:I31)</f>
        <v>1.7746652922041122E-2</v>
      </c>
      <c r="K31" s="7"/>
      <c r="M31" s="7">
        <f t="shared" ref="M31:O31" si="85">M19/M$15</f>
        <v>2.2348001291969791E-2</v>
      </c>
      <c r="N31" s="7">
        <f t="shared" si="85"/>
        <v>2.0460805316311809E-2</v>
      </c>
      <c r="O31" s="7">
        <f t="shared" si="85"/>
        <v>2.0712673014626485E-2</v>
      </c>
      <c r="P31" s="7">
        <f>P19/P$15</f>
        <v>1.7491822365138326E-2</v>
      </c>
      <c r="Q31" s="7">
        <f t="shared" ref="Q31:R31" si="86">Q19/Q$15</f>
        <v>1.561436208801634E-2</v>
      </c>
      <c r="R31" s="7">
        <f t="shared" si="86"/>
        <v>1.7267532467532466E-2</v>
      </c>
      <c r="S31" s="7">
        <f t="shared" ref="S31:T31" si="87">S19/S$15</f>
        <v>1.8557770299312274E-2</v>
      </c>
      <c r="T31" s="7" t="e">
        <f t="shared" si="87"/>
        <v>#DIV/0!</v>
      </c>
      <c r="U31" s="7" t="e">
        <f t="shared" ref="U31:AB31" si="88">U19/U$15</f>
        <v>#DIV/0!</v>
      </c>
      <c r="V31" s="7" t="e">
        <f t="shared" si="88"/>
        <v>#DIV/0!</v>
      </c>
      <c r="W31" s="7" t="e">
        <f t="shared" si="88"/>
        <v>#DIV/0!</v>
      </c>
      <c r="X31" s="7" t="e">
        <f t="shared" si="88"/>
        <v>#DIV/0!</v>
      </c>
      <c r="Y31" s="7" t="e">
        <f t="shared" si="88"/>
        <v>#DIV/0!</v>
      </c>
      <c r="Z31" s="7" t="e">
        <f t="shared" si="88"/>
        <v>#DIV/0!</v>
      </c>
      <c r="AA31" s="7" t="e">
        <f t="shared" si="88"/>
        <v>#DIV/0!</v>
      </c>
      <c r="AB31" s="7" t="e">
        <f t="shared" si="88"/>
        <v>#DIV/0!</v>
      </c>
    </row>
    <row r="32" spans="2:28" s="3" customFormat="1" x14ac:dyDescent="0.2">
      <c r="B32" s="3" t="s">
        <v>18</v>
      </c>
      <c r="C32" s="8">
        <f t="shared" si="79"/>
        <v>0.13287200065514701</v>
      </c>
      <c r="D32" s="8">
        <f t="shared" si="79"/>
        <v>0.15270221254987304</v>
      </c>
      <c r="E32" s="8">
        <f t="shared" si="79"/>
        <v>0.1216947377607121</v>
      </c>
      <c r="F32" s="8">
        <f t="shared" si="79"/>
        <v>8.6644798500468606E-2</v>
      </c>
      <c r="G32" s="8">
        <f t="shared" si="79"/>
        <v>0.13956633839130986</v>
      </c>
      <c r="H32" s="8">
        <f t="shared" si="79"/>
        <v>0.15391614499927209</v>
      </c>
      <c r="I32" s="8">
        <f t="shared" si="80"/>
        <v>3.9354316623365561E-2</v>
      </c>
      <c r="J32" s="8">
        <f t="shared" si="80"/>
        <v>0.13541092341971459</v>
      </c>
      <c r="K32" s="8"/>
      <c r="M32" s="8">
        <f t="shared" ref="M32:O32" si="89">M20/M$15</f>
        <v>8.9914945321992706E-2</v>
      </c>
      <c r="N32" s="8">
        <f t="shared" si="89"/>
        <v>9.5979247730220499E-2</v>
      </c>
      <c r="O32" s="8">
        <f t="shared" si="89"/>
        <v>5.6346323745950722E-2</v>
      </c>
      <c r="P32" s="8">
        <f>P20/P$15</f>
        <v>8.7514553417974164E-2</v>
      </c>
      <c r="Q32" s="8">
        <f t="shared" ref="Q32:R32" si="90">Q20/Q$15</f>
        <v>0.10767101577061731</v>
      </c>
      <c r="R32" s="8">
        <f t="shared" si="90"/>
        <v>0.12564155844155844</v>
      </c>
      <c r="S32" s="8">
        <f t="shared" ref="S32:T32" si="91">S20/S$15</f>
        <v>0.11844647361895264</v>
      </c>
      <c r="T32" s="8" t="e">
        <f t="shared" si="91"/>
        <v>#DIV/0!</v>
      </c>
      <c r="U32" s="8" t="e">
        <f t="shared" ref="U32:AB32" si="92">U20/U$15</f>
        <v>#DIV/0!</v>
      </c>
      <c r="V32" s="8" t="e">
        <f t="shared" si="92"/>
        <v>#DIV/0!</v>
      </c>
      <c r="W32" s="8" t="e">
        <f t="shared" si="92"/>
        <v>#DIV/0!</v>
      </c>
      <c r="X32" s="8" t="e">
        <f t="shared" si="92"/>
        <v>#DIV/0!</v>
      </c>
      <c r="Y32" s="8" t="e">
        <f t="shared" si="92"/>
        <v>#DIV/0!</v>
      </c>
      <c r="Z32" s="8" t="e">
        <f t="shared" si="92"/>
        <v>#DIV/0!</v>
      </c>
      <c r="AA32" s="8" t="e">
        <f t="shared" si="92"/>
        <v>#DIV/0!</v>
      </c>
      <c r="AB32" s="8" t="e">
        <f t="shared" si="92"/>
        <v>#DIV/0!</v>
      </c>
    </row>
    <row r="33" spans="2:28" s="9" customFormat="1" x14ac:dyDescent="0.2">
      <c r="B33" s="9" t="s">
        <v>8</v>
      </c>
      <c r="C33" s="11">
        <f t="shared" ref="C33:H33" si="93">C23/C22</f>
        <v>0.23500329597890574</v>
      </c>
      <c r="D33" s="11">
        <f t="shared" si="93"/>
        <v>0.2443665498247371</v>
      </c>
      <c r="E33" s="11">
        <f t="shared" si="93"/>
        <v>0.26110678098207324</v>
      </c>
      <c r="F33" s="11">
        <f t="shared" si="93"/>
        <v>0.25216852540272616</v>
      </c>
      <c r="G33" s="11">
        <f t="shared" si="93"/>
        <v>0.23733246158875448</v>
      </c>
      <c r="H33" s="11">
        <f t="shared" si="93"/>
        <v>0.24539722572509456</v>
      </c>
      <c r="I33" s="11">
        <f t="shared" ref="I33" si="94">I23/I22</f>
        <v>0.75516693163751991</v>
      </c>
      <c r="J33" s="135">
        <f>AVERAGE(C33:H33)</f>
        <v>0.24589580658371521</v>
      </c>
      <c r="K33" s="11"/>
      <c r="M33" s="11">
        <f t="shared" ref="M33:O33" si="95">M23/M22</f>
        <v>0.4053066717938858</v>
      </c>
      <c r="N33" s="11">
        <f t="shared" si="95"/>
        <v>0.34302032588610787</v>
      </c>
      <c r="O33" s="11">
        <f t="shared" si="95"/>
        <v>0.31820860341779611</v>
      </c>
      <c r="P33" s="11">
        <f>P23/P22</f>
        <v>0.23866263560377024</v>
      </c>
      <c r="Q33" s="11">
        <f t="shared" ref="Q33:R33" si="96">Q23/Q22</f>
        <v>0.21638822593476531</v>
      </c>
      <c r="R33" s="11">
        <f t="shared" si="96"/>
        <v>0.2467880085653105</v>
      </c>
      <c r="S33" s="11">
        <f t="shared" ref="S33:T33" si="97">S23/S22</f>
        <v>0.2739927914048737</v>
      </c>
      <c r="T33" s="11" t="e">
        <f t="shared" si="97"/>
        <v>#DIV/0!</v>
      </c>
      <c r="U33" s="11" t="e">
        <f t="shared" ref="U33:AB33" si="98">U23/U22</f>
        <v>#DIV/0!</v>
      </c>
      <c r="V33" s="11" t="e">
        <f t="shared" si="98"/>
        <v>#DIV/0!</v>
      </c>
      <c r="W33" s="11" t="e">
        <f t="shared" si="98"/>
        <v>#DIV/0!</v>
      </c>
      <c r="X33" s="11" t="e">
        <f t="shared" si="98"/>
        <v>#DIV/0!</v>
      </c>
      <c r="Y33" s="11" t="e">
        <f t="shared" si="98"/>
        <v>#DIV/0!</v>
      </c>
      <c r="Z33" s="11" t="e">
        <f t="shared" si="98"/>
        <v>#DIV/0!</v>
      </c>
      <c r="AA33" s="11" t="e">
        <f t="shared" si="98"/>
        <v>#DIV/0!</v>
      </c>
      <c r="AB33" s="11" t="e">
        <f t="shared" si="98"/>
        <v>#DIV/0!</v>
      </c>
    </row>
    <row r="34" spans="2:28" s="9" customFormat="1" x14ac:dyDescent="0.2">
      <c r="B34" s="9" t="s">
        <v>19</v>
      </c>
      <c r="C34" s="11">
        <f t="shared" ref="C34:H34" si="99">C24/C15</f>
        <v>9.5037261485545824E-2</v>
      </c>
      <c r="D34" s="11">
        <f t="shared" si="99"/>
        <v>0.10946681175190424</v>
      </c>
      <c r="E34" s="11">
        <f t="shared" si="99"/>
        <v>8.2729732088314856E-2</v>
      </c>
      <c r="F34" s="11">
        <f t="shared" si="99"/>
        <v>5.6560449859418931E-2</v>
      </c>
      <c r="G34" s="11">
        <f t="shared" si="99"/>
        <v>9.860940868168562E-2</v>
      </c>
      <c r="H34" s="11">
        <f t="shared" si="99"/>
        <v>0.10889503566749163</v>
      </c>
      <c r="I34" s="11">
        <f t="shared" ref="I34:J34" si="100">I24/I15</f>
        <v>6.5590527705609268E-3</v>
      </c>
      <c r="J34" s="11">
        <f t="shared" si="100"/>
        <v>9.1752975515788621E-2</v>
      </c>
      <c r="K34" s="11"/>
      <c r="M34" s="11">
        <f t="shared" ref="M34:O34" si="101">M24/M15</f>
        <v>4.7572173431564051E-2</v>
      </c>
      <c r="N34" s="11">
        <f t="shared" si="101"/>
        <v>5.6995875777845789E-2</v>
      </c>
      <c r="O34" s="11">
        <f t="shared" si="101"/>
        <v>3.2450321838758081E-2</v>
      </c>
      <c r="P34" s="11">
        <f>P24/P15</f>
        <v>5.9336364140378114E-2</v>
      </c>
      <c r="Q34" s="11">
        <f t="shared" ref="Q34:R34" si="102">Q24/Q15</f>
        <v>7.6955701641796048E-2</v>
      </c>
      <c r="R34" s="11">
        <f t="shared" si="102"/>
        <v>8.7709090909090903E-2</v>
      </c>
      <c r="S34" s="11">
        <f t="shared" ref="S34:T34" si="103">S24/S15</f>
        <v>7.7685247741729857E-2</v>
      </c>
      <c r="T34" s="11" t="e">
        <f t="shared" si="103"/>
        <v>#DIV/0!</v>
      </c>
      <c r="U34" s="11" t="e">
        <f t="shared" ref="U34:AB34" si="104">U24/U15</f>
        <v>#DIV/0!</v>
      </c>
      <c r="V34" s="11" t="e">
        <f t="shared" si="104"/>
        <v>#DIV/0!</v>
      </c>
      <c r="W34" s="11" t="e">
        <f t="shared" si="104"/>
        <v>#DIV/0!</v>
      </c>
      <c r="X34" s="11" t="e">
        <f t="shared" si="104"/>
        <v>#DIV/0!</v>
      </c>
      <c r="Y34" s="11" t="e">
        <f t="shared" si="104"/>
        <v>#DIV/0!</v>
      </c>
      <c r="Z34" s="11" t="e">
        <f t="shared" si="104"/>
        <v>#DIV/0!</v>
      </c>
      <c r="AA34" s="11" t="e">
        <f t="shared" si="104"/>
        <v>#DIV/0!</v>
      </c>
      <c r="AB34" s="11" t="e">
        <f t="shared" si="104"/>
        <v>#DIV/0!</v>
      </c>
    </row>
    <row r="35" spans="2:28" s="9" customFormat="1" x14ac:dyDescent="0.2">
      <c r="B35" s="9" t="s">
        <v>20</v>
      </c>
      <c r="D35" s="7">
        <f>D26/C26-1</f>
        <v>-1.8105849582172651E-2</v>
      </c>
      <c r="E35" s="7">
        <f t="shared" ref="E35:I35" si="105">E26/D26-1</f>
        <v>-2.1276595744680882E-2</v>
      </c>
      <c r="F35" s="7">
        <f t="shared" si="105"/>
        <v>8.6956521739129933E-3</v>
      </c>
      <c r="G35" s="7">
        <f t="shared" si="105"/>
        <v>-5.1724137931034475E-2</v>
      </c>
      <c r="H35" s="7">
        <f t="shared" si="105"/>
        <v>-3.3333333333333326E-2</v>
      </c>
      <c r="I35" s="7">
        <f t="shared" si="105"/>
        <v>-3.1347962382445194E-2</v>
      </c>
      <c r="J35" s="135">
        <v>-0.01</v>
      </c>
      <c r="K35" s="11"/>
      <c r="N35" s="11">
        <f t="shared" ref="N35:P35" si="106">N26/M26-1</f>
        <v>-4.6590909090909127E-2</v>
      </c>
      <c r="O35" s="11">
        <f t="shared" si="106"/>
        <v>8.5816448152562508E-2</v>
      </c>
      <c r="P35" s="11">
        <f t="shared" si="106"/>
        <v>-0.14709110867178921</v>
      </c>
      <c r="Q35" s="11">
        <f>Q26/P26-1</f>
        <v>-3.7323037323037322E-2</v>
      </c>
      <c r="R35" s="11">
        <f>R26/Q26-1</f>
        <v>-6.9518716577540052E-2</v>
      </c>
      <c r="S35" s="11">
        <f>S26/R26-1</f>
        <v>-9.2018678160919465E-2</v>
      </c>
      <c r="T35" s="11">
        <f t="shared" ref="T35:AB35" si="107">T26/S26-1</f>
        <v>-1</v>
      </c>
      <c r="U35" s="11" t="e">
        <f t="shared" si="107"/>
        <v>#DIV/0!</v>
      </c>
      <c r="V35" s="11" t="e">
        <f t="shared" si="107"/>
        <v>#DIV/0!</v>
      </c>
      <c r="W35" s="11" t="e">
        <f t="shared" si="107"/>
        <v>#DIV/0!</v>
      </c>
      <c r="X35" s="11" t="e">
        <f t="shared" si="107"/>
        <v>#DIV/0!</v>
      </c>
      <c r="Y35" s="11" t="e">
        <f t="shared" si="107"/>
        <v>#DIV/0!</v>
      </c>
      <c r="Z35" s="11" t="e">
        <f t="shared" si="107"/>
        <v>#DIV/0!</v>
      </c>
      <c r="AA35" s="11" t="e">
        <f t="shared" si="107"/>
        <v>#DIV/0!</v>
      </c>
      <c r="AB35" s="11" t="e">
        <f t="shared" si="107"/>
        <v>#DIV/0!</v>
      </c>
    </row>
    <row r="36" spans="2:28" s="9" customFormat="1" x14ac:dyDescent="0.2">
      <c r="G36" s="11"/>
      <c r="H36" s="11"/>
      <c r="I36" s="11"/>
      <c r="J36" s="11"/>
      <c r="K36" s="11"/>
      <c r="N36" s="11"/>
      <c r="O36" s="11"/>
      <c r="P36" s="11"/>
      <c r="Q36" s="11"/>
      <c r="R36" s="11"/>
      <c r="S36" s="10"/>
      <c r="T36" s="10"/>
      <c r="U36" s="3"/>
      <c r="V36" s="10"/>
    </row>
    <row r="37" spans="2:28" s="3" customFormat="1" x14ac:dyDescent="0.2">
      <c r="B37" s="3" t="s">
        <v>68</v>
      </c>
      <c r="G37" s="4"/>
      <c r="H37" s="4"/>
      <c r="I37" s="4"/>
      <c r="J37" s="4"/>
      <c r="K37" s="4"/>
      <c r="M37" s="4">
        <f>M20-M23</f>
        <v>3738</v>
      </c>
      <c r="N37" s="4">
        <f t="shared" ref="N37:S37" si="108">N20-N23</f>
        <v>4544</v>
      </c>
      <c r="O37" s="4">
        <f t="shared" si="108"/>
        <v>2938</v>
      </c>
      <c r="P37" s="4">
        <f t="shared" si="108"/>
        <v>4972</v>
      </c>
      <c r="Q37" s="4">
        <f t="shared" si="108"/>
        <v>7743</v>
      </c>
      <c r="R37" s="4">
        <f t="shared" si="108"/>
        <v>9327</v>
      </c>
      <c r="S37" s="4">
        <f t="shared" si="108"/>
        <v>8661.2023844140749</v>
      </c>
      <c r="T37" s="4"/>
      <c r="U37" s="4"/>
    </row>
    <row r="38" spans="2:28" s="9" customFormat="1" x14ac:dyDescent="0.2">
      <c r="B38" s="9" t="s">
        <v>4</v>
      </c>
      <c r="G38" s="10"/>
      <c r="H38" s="10"/>
      <c r="I38" s="10"/>
      <c r="J38" s="10"/>
      <c r="K38" s="10"/>
      <c r="M38" s="10">
        <f>M19</f>
        <v>1453</v>
      </c>
      <c r="N38" s="10">
        <f t="shared" ref="N38:R38" si="109">N19</f>
        <v>1404</v>
      </c>
      <c r="O38" s="10">
        <f t="shared" si="109"/>
        <v>1477</v>
      </c>
      <c r="P38" s="10">
        <f t="shared" si="109"/>
        <v>1262</v>
      </c>
      <c r="Q38" s="10">
        <f t="shared" si="109"/>
        <v>1399</v>
      </c>
      <c r="R38" s="10">
        <f t="shared" si="109"/>
        <v>1662</v>
      </c>
      <c r="S38" s="10">
        <f>S19</f>
        <v>1803.3843987823439</v>
      </c>
      <c r="T38" s="10"/>
      <c r="U38" s="10"/>
      <c r="X38" s="10"/>
    </row>
    <row r="39" spans="2:28" x14ac:dyDescent="0.2">
      <c r="B39" t="s">
        <v>70</v>
      </c>
      <c r="G39" s="2"/>
      <c r="H39" s="2"/>
      <c r="I39" s="2"/>
      <c r="J39" s="2"/>
      <c r="K39" s="2"/>
      <c r="M39" s="136">
        <v>1167</v>
      </c>
      <c r="N39" s="136">
        <v>1123</v>
      </c>
      <c r="O39" s="136">
        <v>1174</v>
      </c>
      <c r="P39" s="2">
        <v>1484</v>
      </c>
      <c r="Q39" s="2">
        <v>1791</v>
      </c>
      <c r="R39" s="2">
        <v>1853</v>
      </c>
      <c r="S39" s="10">
        <f>S51*S3</f>
        <v>1906.6533282597668</v>
      </c>
      <c r="T39" s="2"/>
      <c r="U39" s="2"/>
      <c r="V39" s="2"/>
    </row>
    <row r="40" spans="2:28" s="9" customFormat="1" x14ac:dyDescent="0.2">
      <c r="B40" s="9" t="s">
        <v>71</v>
      </c>
      <c r="G40" s="11"/>
      <c r="H40" s="11"/>
      <c r="I40" s="11"/>
      <c r="J40" s="11"/>
      <c r="K40" s="11"/>
      <c r="M40" s="10">
        <v>212</v>
      </c>
      <c r="N40" s="166">
        <v>744</v>
      </c>
      <c r="O40" s="166">
        <v>-583</v>
      </c>
      <c r="P40" s="166">
        <v>1465</v>
      </c>
      <c r="Q40" s="166">
        <v>-2246</v>
      </c>
      <c r="R40" s="166">
        <v>373</v>
      </c>
      <c r="S40" s="10">
        <v>1183</v>
      </c>
      <c r="T40" s="10"/>
      <c r="U40" s="10"/>
      <c r="V40" s="10"/>
    </row>
    <row r="41" spans="2:28" s="3" customFormat="1" x14ac:dyDescent="0.2">
      <c r="B41" s="3" t="s">
        <v>123</v>
      </c>
      <c r="G41" s="8"/>
      <c r="H41" s="8"/>
      <c r="I41" s="8"/>
      <c r="J41" s="8"/>
      <c r="K41" s="8"/>
      <c r="M41" s="4">
        <f>M37+M38-M39-M40</f>
        <v>3812</v>
      </c>
      <c r="N41" s="4">
        <f t="shared" ref="N41:S41" si="110">N37+N38-N39-N40</f>
        <v>4081</v>
      </c>
      <c r="O41" s="4">
        <f t="shared" si="110"/>
        <v>3824</v>
      </c>
      <c r="P41" s="4">
        <f t="shared" si="110"/>
        <v>3285</v>
      </c>
      <c r="Q41" s="4">
        <f t="shared" si="110"/>
        <v>9597</v>
      </c>
      <c r="R41" s="4">
        <f t="shared" si="110"/>
        <v>8763</v>
      </c>
      <c r="S41" s="4">
        <f t="shared" si="110"/>
        <v>7374.9334549366522</v>
      </c>
      <c r="T41" s="4"/>
      <c r="U41" s="4"/>
      <c r="V41" s="4"/>
    </row>
    <row r="42" spans="2:28" x14ac:dyDescent="0.2">
      <c r="G42" s="2"/>
      <c r="H42" s="2"/>
      <c r="I42" s="2"/>
      <c r="J42" s="2"/>
      <c r="K42" s="2"/>
      <c r="P42" s="2"/>
      <c r="Q42" s="2"/>
      <c r="R42" s="2"/>
      <c r="S42" s="2"/>
      <c r="T42" s="2"/>
      <c r="U42" s="2"/>
      <c r="V42" s="2"/>
    </row>
    <row r="43" spans="2:28" x14ac:dyDescent="0.2">
      <c r="B43" t="s">
        <v>121</v>
      </c>
      <c r="C43" s="158">
        <f t="shared" ref="C43" si="111">C15/C3</f>
        <v>12.384381338742394</v>
      </c>
      <c r="D43" s="158">
        <f t="shared" ref="D43:I43" si="112">D15/D3</f>
        <v>13.97364419665484</v>
      </c>
      <c r="E43" s="158">
        <f t="shared" si="112"/>
        <v>11.615813482007097</v>
      </c>
      <c r="F43" s="158">
        <f t="shared" si="112"/>
        <v>10.826991374936581</v>
      </c>
      <c r="G43" s="158">
        <f t="shared" si="112"/>
        <v>12.003551496702181</v>
      </c>
      <c r="H43" s="158">
        <f t="shared" si="112"/>
        <v>13.954291518537328</v>
      </c>
      <c r="I43" s="158">
        <f t="shared" si="112"/>
        <v>11.924327069578466</v>
      </c>
      <c r="J43" s="158">
        <f t="shared" ref="J43" si="113">J15/J3</f>
        <v>11.459005586592179</v>
      </c>
      <c r="K43" s="158"/>
      <c r="M43" s="158">
        <f>M15/M3</f>
        <v>30.538750587130107</v>
      </c>
      <c r="N43" s="158">
        <f t="shared" ref="N43:R43" si="114">N15/N3</f>
        <v>31.886152416356879</v>
      </c>
      <c r="O43" s="158">
        <f t="shared" si="114"/>
        <v>35.389081885856079</v>
      </c>
      <c r="P43" s="158">
        <f t="shared" si="114"/>
        <v>36.493677288821445</v>
      </c>
      <c r="Q43" s="158">
        <f t="shared" si="114"/>
        <v>45.388551165146907</v>
      </c>
      <c r="R43" s="158">
        <f t="shared" si="114"/>
        <v>48.833079654997462</v>
      </c>
      <c r="S43" s="158">
        <f t="shared" ref="S43" si="115">S15/S3</f>
        <v>49.353368207211787</v>
      </c>
      <c r="T43" s="2"/>
      <c r="U43" s="2"/>
      <c r="V43" s="2"/>
    </row>
    <row r="44" spans="2:28" x14ac:dyDescent="0.2">
      <c r="B44" s="14" t="s">
        <v>25</v>
      </c>
      <c r="C44" s="16"/>
      <c r="D44" s="16"/>
      <c r="E44" s="16"/>
      <c r="F44" s="16"/>
      <c r="G44" s="16">
        <f>G43/C43-1</f>
        <v>-3.0750816825128924E-2</v>
      </c>
      <c r="H44" s="16">
        <f t="shared" ref="H44" si="116">H43/D43-1</f>
        <v>-1.3849413828745938E-3</v>
      </c>
      <c r="I44" s="16">
        <f t="shared" ref="I44:J44" si="117">I43/E43-1</f>
        <v>2.6559791791531229E-2</v>
      </c>
      <c r="J44" s="16">
        <f t="shared" si="117"/>
        <v>5.8373946165566126E-2</v>
      </c>
      <c r="K44" s="16"/>
      <c r="L44" s="14"/>
      <c r="N44" s="16">
        <f>N43/M43-1</f>
        <v>4.4121052869615651E-2</v>
      </c>
      <c r="O44" s="16">
        <f t="shared" ref="O44:S44" si="118">O43/N43-1</f>
        <v>0.1098573896204007</v>
      </c>
      <c r="P44" s="16">
        <f t="shared" si="118"/>
        <v>3.1212886689971908E-2</v>
      </c>
      <c r="Q44" s="16">
        <f t="shared" si="118"/>
        <v>0.24373739609546274</v>
      </c>
      <c r="R44" s="16">
        <f t="shared" si="118"/>
        <v>7.588980924545452E-2</v>
      </c>
      <c r="S44" s="16">
        <f t="shared" si="118"/>
        <v>1.0654428430279861E-2</v>
      </c>
      <c r="T44" s="2"/>
      <c r="U44" s="2"/>
      <c r="V44" s="2"/>
    </row>
    <row r="45" spans="2:28" x14ac:dyDescent="0.2">
      <c r="B45" t="s">
        <v>15</v>
      </c>
      <c r="C45" s="5">
        <f t="shared" ref="C45" si="119">C16/C3</f>
        <v>8.2616632860040564</v>
      </c>
      <c r="D45" s="5">
        <f t="shared" ref="D45:H45" si="120">D16/D3</f>
        <v>9.2539280283831733</v>
      </c>
      <c r="E45" s="5">
        <f t="shared" si="120"/>
        <v>7.7704004054738975</v>
      </c>
      <c r="F45" s="5">
        <f t="shared" si="120"/>
        <v>7.2617960426179602</v>
      </c>
      <c r="G45" s="5">
        <f t="shared" si="120"/>
        <v>7.9193302891933026</v>
      </c>
      <c r="H45" s="5">
        <f t="shared" si="120"/>
        <v>9.3158963941086839</v>
      </c>
      <c r="I45" s="5">
        <f>I16/I3</f>
        <v>7.9537836465210763</v>
      </c>
      <c r="J45" s="5">
        <f>F45*(1+J46)</f>
        <v>7.5522678843226787</v>
      </c>
      <c r="K45" s="5"/>
      <c r="M45" s="5">
        <f t="shared" ref="M45:O45" si="121">M16/M3</f>
        <v>20.358384217942696</v>
      </c>
      <c r="N45" s="5">
        <f t="shared" si="121"/>
        <v>21.4614312267658</v>
      </c>
      <c r="O45" s="5">
        <f t="shared" si="121"/>
        <v>24.020347394540941</v>
      </c>
      <c r="P45" s="5">
        <f>P16/P3</f>
        <v>24.888720283257459</v>
      </c>
      <c r="Q45" s="5">
        <f t="shared" ref="Q45:R45" si="122">Q16/Q3</f>
        <v>30.407801418439718</v>
      </c>
      <c r="R45" s="5">
        <f t="shared" si="122"/>
        <v>32.569254185692543</v>
      </c>
      <c r="S45" s="5">
        <f t="shared" ref="S45" si="123">S16/S3</f>
        <v>32.749322226628422</v>
      </c>
      <c r="T45" s="2"/>
      <c r="U45" s="2"/>
      <c r="V45" s="2"/>
    </row>
    <row r="46" spans="2:28" s="14" customFormat="1" x14ac:dyDescent="0.2">
      <c r="B46" s="14" t="s">
        <v>25</v>
      </c>
      <c r="C46" s="16"/>
      <c r="D46" s="16"/>
      <c r="E46" s="16"/>
      <c r="F46" s="16"/>
      <c r="G46" s="16">
        <f>G45/C45-1</f>
        <v>-4.1436328855315896E-2</v>
      </c>
      <c r="H46" s="16">
        <f t="shared" ref="H46" si="124">H45/D45-1</f>
        <v>6.6964391267625434E-3</v>
      </c>
      <c r="I46" s="16">
        <f t="shared" ref="I46" si="125">I45/E45-1</f>
        <v>2.360023055156768E-2</v>
      </c>
      <c r="J46" s="164">
        <v>0.04</v>
      </c>
      <c r="K46" s="16"/>
      <c r="M46" s="157"/>
      <c r="N46" s="16">
        <f>N45/M45-1</f>
        <v>5.4181461407479592E-2</v>
      </c>
      <c r="O46" s="16">
        <f t="shared" ref="O46:S46" si="126">O45/N45-1</f>
        <v>0.11923324873989616</v>
      </c>
      <c r="P46" s="16">
        <f t="shared" si="126"/>
        <v>3.6151554115902318E-2</v>
      </c>
      <c r="Q46" s="16">
        <f t="shared" si="126"/>
        <v>0.22175029782045175</v>
      </c>
      <c r="R46" s="16">
        <f t="shared" si="126"/>
        <v>7.1082178468256263E-2</v>
      </c>
      <c r="S46" s="16">
        <f t="shared" si="126"/>
        <v>5.5287738524569807E-3</v>
      </c>
      <c r="T46" s="15"/>
      <c r="U46" s="15"/>
      <c r="V46" s="15"/>
    </row>
    <row r="47" spans="2:28" x14ac:dyDescent="0.2">
      <c r="B47" t="s">
        <v>14</v>
      </c>
      <c r="C47" s="5">
        <f t="shared" ref="C47" si="127">C18/C3</f>
        <v>2.2789046653144016</v>
      </c>
      <c r="D47" s="5">
        <f t="shared" ref="D47:I47" si="128">D18/D3</f>
        <v>2.3786112519006588</v>
      </c>
      <c r="E47" s="5">
        <f t="shared" si="128"/>
        <v>2.2164216928535225</v>
      </c>
      <c r="F47" s="5">
        <f t="shared" si="128"/>
        <v>2.4053779807204463</v>
      </c>
      <c r="G47" s="5">
        <f t="shared" si="128"/>
        <v>2.1831557584982244</v>
      </c>
      <c r="H47" s="5">
        <f t="shared" si="128"/>
        <v>2.2625698324022347</v>
      </c>
      <c r="I47" s="5">
        <f t="shared" si="128"/>
        <v>3.272219400711021</v>
      </c>
      <c r="J47" s="5">
        <f t="shared" ref="J47" si="129">J18/J3</f>
        <v>2.1222625654893781</v>
      </c>
      <c r="K47" s="5"/>
      <c r="M47" s="5">
        <f t="shared" ref="M47:O47" si="130">M18/M3</f>
        <v>6.7519962423673086</v>
      </c>
      <c r="N47" s="5">
        <f t="shared" si="130"/>
        <v>6.7118959107806688</v>
      </c>
      <c r="O47" s="5">
        <f t="shared" si="130"/>
        <v>8.6416873449131515</v>
      </c>
      <c r="P47" s="5">
        <f>P18/P3</f>
        <v>7.7728882144663629</v>
      </c>
      <c r="Q47" s="5">
        <f t="shared" ref="Q47:R47" si="131">Q18/Q3</f>
        <v>9.385005065856129</v>
      </c>
      <c r="R47" s="5">
        <f t="shared" si="131"/>
        <v>9.2851344495180115</v>
      </c>
      <c r="S47" s="5">
        <f t="shared" ref="S47" si="132">S18/S3</f>
        <v>9.8424250845345789</v>
      </c>
      <c r="T47" s="2"/>
      <c r="U47" s="2"/>
      <c r="V47" s="2"/>
    </row>
    <row r="48" spans="2:28" s="14" customFormat="1" x14ac:dyDescent="0.2">
      <c r="B48" s="14" t="s">
        <v>25</v>
      </c>
      <c r="C48" s="16"/>
      <c r="D48" s="16"/>
      <c r="E48" s="16"/>
      <c r="F48" s="16"/>
      <c r="G48" s="16">
        <f>G47/C47-1</f>
        <v>-4.2015319145861429E-2</v>
      </c>
      <c r="H48" s="16">
        <f t="shared" ref="H48" si="133">H47/D47-1</f>
        <v>-4.8785365580735318E-2</v>
      </c>
      <c r="I48" s="16">
        <f t="shared" ref="I48:J48" si="134">I47/E47-1</f>
        <v>0.47635236167455863</v>
      </c>
      <c r="J48" s="16">
        <f t="shared" si="134"/>
        <v>-0.1177010089475713</v>
      </c>
      <c r="K48" s="16"/>
      <c r="M48" s="157"/>
      <c r="N48" s="16">
        <f>N47/M47-1</f>
        <v>-5.9390334572491099E-3</v>
      </c>
      <c r="O48" s="16">
        <f t="shared" ref="O48:S48" si="135">O47/N47-1</f>
        <v>0.28751808129694711</v>
      </c>
      <c r="P48" s="16">
        <f t="shared" si="135"/>
        <v>-0.1005358208149244</v>
      </c>
      <c r="Q48" s="16">
        <f t="shared" si="135"/>
        <v>0.20740255190977863</v>
      </c>
      <c r="R48" s="16">
        <f t="shared" si="135"/>
        <v>-1.0641509049521991E-2</v>
      </c>
      <c r="S48" s="16">
        <f t="shared" si="135"/>
        <v>6.0019662401926466E-2</v>
      </c>
      <c r="T48" s="15"/>
      <c r="U48" s="15"/>
      <c r="V48" s="15"/>
    </row>
    <row r="49" spans="2:22" x14ac:dyDescent="0.2">
      <c r="B49" t="s">
        <v>13</v>
      </c>
      <c r="C49" s="5">
        <f t="shared" ref="C49" si="136">C19/C3</f>
        <v>0.19827586206896552</v>
      </c>
      <c r="D49" s="5">
        <f t="shared" ref="D49:I49" si="137">D19/D3</f>
        <v>0.20729853015712113</v>
      </c>
      <c r="E49" s="5">
        <f t="shared" si="137"/>
        <v>0.21540800810947794</v>
      </c>
      <c r="F49" s="5">
        <f t="shared" si="137"/>
        <v>0.22171486555048198</v>
      </c>
      <c r="G49" s="5">
        <f t="shared" si="137"/>
        <v>0.22577371892440384</v>
      </c>
      <c r="H49" s="5">
        <f t="shared" si="137"/>
        <v>0.22803453529710513</v>
      </c>
      <c r="I49" s="5">
        <f t="shared" si="137"/>
        <v>0.22905027932960895</v>
      </c>
      <c r="J49" s="165">
        <f>F49*(1+J50)</f>
        <v>0.23280060882800607</v>
      </c>
      <c r="K49" s="5"/>
      <c r="M49" s="5">
        <f t="shared" ref="M49:O49" si="138">M19/M3</f>
        <v>0.68248003757632691</v>
      </c>
      <c r="N49" s="5">
        <f t="shared" si="138"/>
        <v>0.65241635687732347</v>
      </c>
      <c r="O49" s="5">
        <f t="shared" si="138"/>
        <v>0.73300248138957813</v>
      </c>
      <c r="P49" s="5">
        <f>P19/P3</f>
        <v>0.63834092058674763</v>
      </c>
      <c r="Q49" s="5">
        <f t="shared" ref="Q49:R49" si="139">Q19/Q3</f>
        <v>0.70871327254305982</v>
      </c>
      <c r="R49" s="5">
        <f t="shared" si="139"/>
        <v>0.84322678843226784</v>
      </c>
      <c r="S49" s="5">
        <f t="shared" ref="S49" si="140">S19/S3</f>
        <v>0.91588847068681756</v>
      </c>
      <c r="T49" s="2"/>
      <c r="U49" s="2"/>
      <c r="V49" s="2"/>
    </row>
    <row r="50" spans="2:22" x14ac:dyDescent="0.2">
      <c r="B50" s="14" t="s">
        <v>25</v>
      </c>
      <c r="C50" s="16"/>
      <c r="D50" s="16"/>
      <c r="E50" s="16"/>
      <c r="F50" s="16"/>
      <c r="G50" s="16">
        <f>G49/C49-1</f>
        <v>0.13868484327090624</v>
      </c>
      <c r="H50" s="16">
        <f t="shared" ref="H50" si="141">H49/D49-1</f>
        <v>0.10002967760681769</v>
      </c>
      <c r="I50" s="16">
        <f t="shared" ref="I50" si="142">I49/E49-1</f>
        <v>6.3332237923102275E-2</v>
      </c>
      <c r="J50" s="164">
        <v>0.05</v>
      </c>
      <c r="K50" s="16"/>
      <c r="L50" s="14"/>
      <c r="N50" s="16">
        <f>N49/M49-1</f>
        <v>-4.405063744540838E-2</v>
      </c>
      <c r="O50" s="16">
        <f t="shared" ref="O50:S50" si="143">O49/N49-1</f>
        <v>0.12351947289912535</v>
      </c>
      <c r="P50" s="16">
        <f t="shared" si="143"/>
        <v>-0.12914221057393604</v>
      </c>
      <c r="Q50" s="16">
        <f t="shared" si="143"/>
        <v>0.11024258305675838</v>
      </c>
      <c r="R50" s="16">
        <f t="shared" si="143"/>
        <v>0.18979962856704535</v>
      </c>
      <c r="S50" s="16">
        <f t="shared" si="143"/>
        <v>8.6170984189962496E-2</v>
      </c>
      <c r="T50" s="2"/>
      <c r="U50" s="2"/>
      <c r="V50" s="2"/>
    </row>
    <row r="51" spans="2:22" s="9" customFormat="1" x14ac:dyDescent="0.2">
      <c r="B51" s="9" t="s">
        <v>122</v>
      </c>
      <c r="C51" s="160"/>
      <c r="D51" s="160"/>
      <c r="E51" s="160"/>
      <c r="F51" s="160"/>
      <c r="G51" s="160"/>
      <c r="H51" s="160"/>
      <c r="I51" s="160"/>
      <c r="J51" s="160"/>
      <c r="K51" s="160"/>
      <c r="M51" s="160">
        <f>M39/M3</f>
        <v>0.54814466885861912</v>
      </c>
      <c r="N51" s="160">
        <f>N39/N3</f>
        <v>0.52184014869888473</v>
      </c>
      <c r="O51" s="160">
        <f>O39/O3</f>
        <v>0.58263027295285363</v>
      </c>
      <c r="P51" s="160">
        <f>P39/P3</f>
        <v>0.75063227111785535</v>
      </c>
      <c r="Q51" s="160">
        <f>Q39/Q3</f>
        <v>0.90729483282674772</v>
      </c>
      <c r="R51" s="160">
        <f>R39/R3</f>
        <v>0.94013191273465246</v>
      </c>
      <c r="S51" s="160">
        <f>R51*(1+S52)</f>
        <v>0.96833587011669209</v>
      </c>
      <c r="T51" s="10"/>
      <c r="U51" s="10"/>
      <c r="V51" s="10"/>
    </row>
    <row r="52" spans="2:22" x14ac:dyDescent="0.2">
      <c r="B52" s="14" t="s">
        <v>25</v>
      </c>
      <c r="C52" s="16"/>
      <c r="D52" s="16"/>
      <c r="E52" s="16"/>
      <c r="F52" s="16"/>
      <c r="G52" s="16"/>
      <c r="H52" s="16"/>
      <c r="I52" s="16"/>
      <c r="J52" s="16"/>
      <c r="K52" s="16"/>
      <c r="L52" s="14"/>
      <c r="M52" s="159"/>
      <c r="N52" s="16">
        <f>N51/M51-1</f>
        <v>-4.7988280565616548E-2</v>
      </c>
      <c r="O52" s="16">
        <f t="shared" ref="O52:S52" si="144">O51/N51-1</f>
        <v>0.11649184986156813</v>
      </c>
      <c r="P52" s="16">
        <f t="shared" si="144"/>
        <v>0.28835095937178745</v>
      </c>
      <c r="Q52" s="16">
        <f t="shared" si="144"/>
        <v>0.20870746933859863</v>
      </c>
      <c r="R52" s="16">
        <f t="shared" si="144"/>
        <v>3.6192292427807971E-2</v>
      </c>
      <c r="S52" s="164">
        <v>0.03</v>
      </c>
      <c r="T52" s="2"/>
      <c r="U52" s="2"/>
      <c r="V52" s="2"/>
    </row>
    <row r="53" spans="2:22" x14ac:dyDescent="0.2">
      <c r="G53" s="2"/>
      <c r="H53" s="2"/>
      <c r="I53" s="2"/>
      <c r="J53" s="2"/>
      <c r="K53" s="2"/>
      <c r="P53" s="2"/>
      <c r="Q53" s="2"/>
      <c r="R53" s="2"/>
      <c r="S53" s="2"/>
      <c r="T53" s="2"/>
      <c r="U53" s="2"/>
      <c r="V53" s="2"/>
    </row>
    <row r="54" spans="2:22" x14ac:dyDescent="0.2">
      <c r="G54" s="2"/>
      <c r="H54" s="2"/>
      <c r="I54" s="2"/>
      <c r="J54" s="2"/>
      <c r="K54" s="2"/>
      <c r="P54" s="2"/>
      <c r="Q54" s="2"/>
      <c r="R54" s="2"/>
      <c r="S54" s="2"/>
      <c r="T54" s="2"/>
      <c r="U54" s="2"/>
      <c r="V54" s="2"/>
    </row>
    <row r="55" spans="2:22" x14ac:dyDescent="0.2">
      <c r="G55" s="2"/>
      <c r="H55" s="2"/>
      <c r="I55" s="2"/>
      <c r="J55" s="2"/>
      <c r="K55" s="2"/>
      <c r="P55" s="2"/>
      <c r="Q55" s="2"/>
      <c r="R55" s="2"/>
      <c r="S55" s="2"/>
      <c r="T55" s="2"/>
      <c r="U55" s="2"/>
      <c r="V55" s="2"/>
    </row>
    <row r="56" spans="2:22" x14ac:dyDescent="0.2">
      <c r="G56" s="2"/>
      <c r="H56" s="2"/>
      <c r="I56" s="2"/>
      <c r="J56" s="2"/>
      <c r="K56" s="2"/>
      <c r="P56" s="2"/>
      <c r="Q56" s="2"/>
      <c r="R56" s="2"/>
      <c r="S56" s="2"/>
      <c r="T56" s="2"/>
      <c r="U56" s="2"/>
      <c r="V56" s="2"/>
    </row>
    <row r="57" spans="2:22" x14ac:dyDescent="0.2">
      <c r="G57" s="2"/>
      <c r="H57" s="2"/>
      <c r="I57" s="2"/>
      <c r="J57" s="2"/>
      <c r="K57" s="2"/>
      <c r="P57" s="2"/>
      <c r="Q57" s="2"/>
      <c r="R57" s="2"/>
      <c r="S57" s="2"/>
      <c r="T57" s="2"/>
      <c r="U57" s="2"/>
      <c r="V57" s="2"/>
    </row>
    <row r="58" spans="2:22" x14ac:dyDescent="0.2">
      <c r="G58" s="2"/>
      <c r="H58" s="2"/>
      <c r="I58" s="2"/>
      <c r="J58" s="2"/>
      <c r="K58" s="2"/>
      <c r="P58" s="2"/>
      <c r="Q58" s="2"/>
      <c r="R58" s="2"/>
      <c r="S58" s="2"/>
      <c r="T58" s="2"/>
      <c r="U58" s="2"/>
      <c r="V58" s="2"/>
    </row>
    <row r="59" spans="2:22" x14ac:dyDescent="0.2">
      <c r="G59" s="2"/>
      <c r="H59" s="2"/>
      <c r="I59" s="2"/>
      <c r="J59" s="2"/>
      <c r="K59" s="2"/>
      <c r="P59" s="2"/>
      <c r="Q59" s="2"/>
      <c r="R59" s="2"/>
      <c r="S59" s="2"/>
      <c r="T59" s="2"/>
      <c r="U59" s="2"/>
      <c r="V59" s="2"/>
    </row>
    <row r="60" spans="2:22" x14ac:dyDescent="0.2">
      <c r="G60" s="2"/>
      <c r="H60" s="2"/>
      <c r="I60" s="2"/>
      <c r="J60" s="2"/>
      <c r="K60" s="2"/>
      <c r="P60" s="2"/>
      <c r="Q60" s="2"/>
      <c r="R60" s="2"/>
      <c r="S60" s="2"/>
      <c r="T60" s="2"/>
      <c r="U60" s="2"/>
      <c r="V60" s="2"/>
    </row>
    <row r="61" spans="2:22" x14ac:dyDescent="0.2">
      <c r="G61" s="2"/>
      <c r="H61" s="2"/>
      <c r="I61" s="2"/>
      <c r="J61" s="2"/>
      <c r="K61" s="2"/>
      <c r="P61" s="2"/>
      <c r="Q61" s="2"/>
      <c r="R61" s="2"/>
      <c r="S61" s="2"/>
      <c r="T61" s="2"/>
      <c r="U61" s="2"/>
      <c r="V61" s="2"/>
    </row>
    <row r="62" spans="2:22" x14ac:dyDescent="0.2">
      <c r="G62" s="2"/>
      <c r="H62" s="2"/>
      <c r="I62" s="2"/>
      <c r="J62" s="2"/>
      <c r="K62" s="2"/>
      <c r="P62" s="2"/>
      <c r="Q62" s="2"/>
      <c r="R62" s="2"/>
      <c r="S62" s="2"/>
      <c r="T62" s="2"/>
      <c r="U62" s="2"/>
      <c r="V62" s="2"/>
    </row>
    <row r="63" spans="2:22" x14ac:dyDescent="0.2">
      <c r="G63" s="2"/>
      <c r="H63" s="2"/>
      <c r="I63" s="2"/>
      <c r="J63" s="2"/>
      <c r="K63" s="2"/>
      <c r="P63" s="2"/>
      <c r="Q63" s="2"/>
      <c r="R63" s="2"/>
      <c r="S63" s="2"/>
      <c r="T63" s="2"/>
      <c r="U63" s="2"/>
      <c r="V63" s="2"/>
    </row>
    <row r="64" spans="2:22" x14ac:dyDescent="0.2">
      <c r="G64" s="2"/>
      <c r="H64" s="2"/>
      <c r="I64" s="2"/>
      <c r="J64" s="2"/>
      <c r="K64" s="2"/>
      <c r="P64" s="2"/>
      <c r="Q64" s="2"/>
      <c r="R64" s="2"/>
      <c r="S64" s="2"/>
      <c r="T64" s="2"/>
      <c r="U64" s="2"/>
      <c r="V64" s="2"/>
    </row>
    <row r="65" spans="7:22" x14ac:dyDescent="0.2">
      <c r="G65" s="2"/>
      <c r="H65" s="2"/>
      <c r="I65" s="2"/>
      <c r="J65" s="2"/>
      <c r="K65" s="2"/>
      <c r="P65" s="2"/>
      <c r="Q65" s="2"/>
      <c r="R65" s="2"/>
      <c r="S65" s="2"/>
      <c r="T65" s="2"/>
      <c r="U65" s="2"/>
      <c r="V65" s="2"/>
    </row>
    <row r="66" spans="7:22" x14ac:dyDescent="0.2">
      <c r="G66" s="2"/>
      <c r="H66" s="2"/>
      <c r="I66" s="2"/>
      <c r="J66" s="2"/>
      <c r="K66" s="2"/>
      <c r="P66" s="2"/>
      <c r="Q66" s="2"/>
      <c r="R66" s="2"/>
      <c r="S66" s="2"/>
      <c r="T66" s="2"/>
      <c r="U66" s="2"/>
      <c r="V66" s="2"/>
    </row>
    <row r="67" spans="7:22" x14ac:dyDescent="0.2">
      <c r="G67" s="2"/>
      <c r="H67" s="2"/>
      <c r="I67" s="2"/>
      <c r="J67" s="2"/>
      <c r="K67" s="2"/>
      <c r="P67" s="2"/>
      <c r="Q67" s="2"/>
      <c r="R67" s="2"/>
      <c r="S67" s="2"/>
      <c r="T67" s="2"/>
      <c r="U67" s="2"/>
      <c r="V67" s="2"/>
    </row>
    <row r="68" spans="7:22" x14ac:dyDescent="0.2">
      <c r="G68" s="2"/>
      <c r="H68" s="2"/>
      <c r="I68" s="2"/>
      <c r="J68" s="2"/>
      <c r="K68" s="2"/>
      <c r="P68" s="2"/>
      <c r="Q68" s="2"/>
      <c r="R68" s="2"/>
      <c r="S68" s="2"/>
      <c r="T68" s="2"/>
      <c r="U68" s="2"/>
      <c r="V68" s="2"/>
    </row>
    <row r="69" spans="7:22" x14ac:dyDescent="0.2">
      <c r="G69" s="2"/>
      <c r="H69" s="2"/>
      <c r="I69" s="2"/>
      <c r="J69" s="2"/>
      <c r="K69" s="2"/>
      <c r="P69" s="2"/>
      <c r="Q69" s="2"/>
      <c r="R69" s="2"/>
      <c r="S69" s="2"/>
      <c r="T69" s="2"/>
      <c r="U69" s="2"/>
      <c r="V69" s="2"/>
    </row>
    <row r="70" spans="7:22" x14ac:dyDescent="0.2">
      <c r="G70" s="2"/>
      <c r="H70" s="2"/>
      <c r="I70" s="2"/>
      <c r="J70" s="2"/>
      <c r="K70" s="2"/>
      <c r="P70" s="2"/>
      <c r="Q70" s="2"/>
      <c r="R70" s="2"/>
      <c r="S70" s="2"/>
      <c r="T70" s="2"/>
      <c r="U70" s="2"/>
      <c r="V70" s="2"/>
    </row>
    <row r="71" spans="7:22" x14ac:dyDescent="0.2">
      <c r="G71" s="2"/>
      <c r="H71" s="2"/>
      <c r="I71" s="2"/>
      <c r="J71" s="2"/>
      <c r="K71" s="2"/>
      <c r="P71" s="2"/>
      <c r="Q71" s="2"/>
      <c r="R71" s="2"/>
      <c r="S71" s="2"/>
      <c r="T71" s="2"/>
      <c r="U71" s="2"/>
      <c r="V71" s="2"/>
    </row>
    <row r="72" spans="7:22" x14ac:dyDescent="0.2">
      <c r="G72" s="2"/>
      <c r="H72" s="2"/>
      <c r="I72" s="2"/>
      <c r="J72" s="2"/>
      <c r="K72" s="2"/>
      <c r="P72" s="2"/>
      <c r="Q72" s="2"/>
      <c r="R72" s="2"/>
      <c r="S72" s="2"/>
      <c r="T72" s="2"/>
      <c r="U72" s="2"/>
      <c r="V72" s="2"/>
    </row>
  </sheetData>
  <sheetProtection algorithmName="SHA-512" hashValue="GCm6tWz2g1QvZ/NPNipx1PbOxt9LkQsHtnIRg34GYuha6OgoscdRJK6umIGsjEzPXy6uw7Y0rt8ep/9+QaL2EQ==" saltValue="FcnQXTeY7tL+KMJcaoH9yQ==" spinCount="100000" sheet="1" objects="1" scenarios="1" selectLockedCells="1" selectUnlockedCells="1"/>
  <phoneticPr fontId="25" type="noConversion"/>
  <pageMargins left="0.7" right="0.7" top="0.75" bottom="0.75" header="0.3" footer="0.3"/>
  <ignoredErrors>
    <ignoredError sqref="Q5:R5 O5:P5 N47:S47 N49:S49 N45:S45 N51:R51 D45:I45 D47:I47 D49:I49 J30 J23 S15" formula="1"/>
    <ignoredError sqref="Q6" evalError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8BF6-0A48-D846-ACB5-6FC9EA992A93}">
  <dimension ref="A2:AD22"/>
  <sheetViews>
    <sheetView showGridLines="0" zoomScale="130" zoomScaleNormal="130" workbookViewId="0">
      <selection activeCell="I23" sqref="I23"/>
    </sheetView>
  </sheetViews>
  <sheetFormatPr baseColWidth="10" defaultColWidth="10.83203125" defaultRowHeight="16" x14ac:dyDescent="0.2"/>
  <cols>
    <col min="1" max="1" width="6.1640625" style="139" customWidth="1"/>
    <col min="2" max="5" width="10.83203125" style="139"/>
    <col min="6" max="6" width="12.83203125" style="139" customWidth="1"/>
    <col min="7" max="8" width="10.83203125" style="139"/>
    <col min="9" max="9" width="17" style="139" bestFit="1" customWidth="1"/>
    <col min="10" max="16384" width="10.83203125" style="139"/>
  </cols>
  <sheetData>
    <row r="2" spans="1:30" ht="22" thickBot="1" x14ac:dyDescent="0.3">
      <c r="A2" s="137"/>
      <c r="B2" s="138" t="s">
        <v>55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</row>
    <row r="4" spans="1:30" x14ac:dyDescent="0.2">
      <c r="B4" s="139" t="s">
        <v>110</v>
      </c>
    </row>
    <row r="5" spans="1:30" x14ac:dyDescent="0.2">
      <c r="B5" s="139" t="s">
        <v>111</v>
      </c>
    </row>
    <row r="7" spans="1:30" ht="20" customHeight="1" x14ac:dyDescent="0.2">
      <c r="B7" s="140" t="s">
        <v>112</v>
      </c>
      <c r="C7" s="141"/>
      <c r="D7" s="141"/>
      <c r="E7" s="141"/>
      <c r="F7" s="141"/>
    </row>
    <row r="9" spans="1:30" x14ac:dyDescent="0.2">
      <c r="B9" s="139" t="s">
        <v>88</v>
      </c>
      <c r="F9" s="142">
        <f>DCF!G5*DCF!D108</f>
        <v>129443.6</v>
      </c>
      <c r="I9" s="142"/>
    </row>
    <row r="10" spans="1:30" x14ac:dyDescent="0.2">
      <c r="B10" s="139" t="s">
        <v>135</v>
      </c>
      <c r="F10" s="143">
        <f>DCF!T10</f>
        <v>34164</v>
      </c>
    </row>
    <row r="11" spans="1:30" x14ac:dyDescent="0.2">
      <c r="B11" s="139" t="s">
        <v>47</v>
      </c>
      <c r="F11" s="144">
        <f>DCF!T13</f>
        <v>4.4999999999999998E-2</v>
      </c>
    </row>
    <row r="12" spans="1:30" x14ac:dyDescent="0.2">
      <c r="B12" s="139" t="s">
        <v>113</v>
      </c>
      <c r="F12" s="144">
        <f>DCF!K66</f>
        <v>0.2739927914048737</v>
      </c>
    </row>
    <row r="13" spans="1:30" x14ac:dyDescent="0.2">
      <c r="B13" s="145" t="s">
        <v>114</v>
      </c>
      <c r="C13" s="145"/>
      <c r="D13" s="145"/>
      <c r="E13" s="145"/>
      <c r="F13" s="146">
        <f>(F10)/(F10+F9)</f>
        <v>0.20881670533642691</v>
      </c>
    </row>
    <row r="14" spans="1:30" x14ac:dyDescent="0.2">
      <c r="B14" s="147" t="s">
        <v>115</v>
      </c>
      <c r="C14" s="148"/>
      <c r="D14" s="148"/>
      <c r="E14" s="148"/>
      <c r="F14" s="149">
        <f>F11*(1-F12)</f>
        <v>3.2670324386780684E-2</v>
      </c>
    </row>
    <row r="16" spans="1:30" x14ac:dyDescent="0.2">
      <c r="B16" s="139" t="s">
        <v>116</v>
      </c>
      <c r="F16" s="144">
        <v>3.6700000000000003E-2</v>
      </c>
    </row>
    <row r="17" spans="2:6" x14ac:dyDescent="0.2">
      <c r="B17" s="139" t="s">
        <v>117</v>
      </c>
      <c r="F17" s="150">
        <f>DCF!T18</f>
        <v>4.8899999999999999E-2</v>
      </c>
    </row>
    <row r="18" spans="2:6" x14ac:dyDescent="0.2">
      <c r="B18" s="139" t="s">
        <v>53</v>
      </c>
      <c r="F18" s="139">
        <v>1.1000000000000001</v>
      </c>
    </row>
    <row r="19" spans="2:6" x14ac:dyDescent="0.2">
      <c r="B19" s="145" t="s">
        <v>118</v>
      </c>
      <c r="C19" s="145"/>
      <c r="D19" s="145"/>
      <c r="E19" s="145"/>
      <c r="F19" s="146">
        <f>1-F13</f>
        <v>0.79118329466357307</v>
      </c>
    </row>
    <row r="20" spans="2:6" x14ac:dyDescent="0.2">
      <c r="B20" s="151" t="s">
        <v>119</v>
      </c>
      <c r="F20" s="150">
        <f>F16+F18*F17</f>
        <v>9.0490000000000015E-2</v>
      </c>
    </row>
    <row r="22" spans="2:6" ht="26" customHeight="1" x14ac:dyDescent="0.2">
      <c r="B22" s="152" t="s">
        <v>55</v>
      </c>
      <c r="C22" s="153"/>
      <c r="D22" s="153"/>
      <c r="E22" s="153"/>
      <c r="F22" s="154">
        <f>F14*F13+F20*F19</f>
        <v>7.8416285834826599E-2</v>
      </c>
    </row>
  </sheetData>
  <sheetProtection algorithmName="SHA-512" hashValue="TfPqZjDj5w5gAxgB4mbc5JGrMGdP7C0wyYlCtmvQE/sdU8t7sCKXCtsFv5z3BWABPYTG03bUsMFaFw1YMOLoyg==" saltValue="RQMKj+86JUOzVCYGdGtClQ==" spinCount="100000" sheet="1" objects="1" scenarios="1" selectLockedCells="1"/>
  <mergeCells count="1">
    <mergeCell ref="B7:F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Financials + KPIs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2023-02-13T01:35:36Z</dcterms:created>
  <dcterms:modified xsi:type="dcterms:W3CDTF">2023-02-13T03:57:08Z</dcterms:modified>
</cp:coreProperties>
</file>